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mc:AlternateContent xmlns:mc="http://schemas.openxmlformats.org/markup-compatibility/2006">
    <mc:Choice Requires="x15">
      <x15ac:absPath xmlns:x15ac="http://schemas.microsoft.com/office/spreadsheetml/2010/11/ac" url="X:\Audit Report\2023-24\Hardoli Paper Mills Limited\Q4 Final\BSPL\Final Financial Statements\"/>
    </mc:Choice>
  </mc:AlternateContent>
  <xr:revisionPtr revIDLastSave="0" documentId="13_ncr:1_{2F439767-99AC-4701-9D68-2A6A619A73F7}" xr6:coauthVersionLast="47" xr6:coauthVersionMax="47" xr10:uidLastSave="{00000000-0000-0000-0000-000000000000}"/>
  <bookViews>
    <workbookView xWindow="-108" yWindow="-108" windowWidth="23256" windowHeight="12456" firstSheet="1" activeTab="10" xr2:uid="{00000000-000D-0000-FFFF-FFFF00000000}"/>
  </bookViews>
  <sheets>
    <sheet name="Result 1 P&amp;L" sheetId="1" r:id="rId1"/>
    <sheet name="Result 2 BS" sheetId="2" r:id="rId2"/>
    <sheet name="Result 3 CF" sheetId="3" r:id="rId3"/>
    <sheet name="BSPL" sheetId="4" r:id="rId4"/>
    <sheet name="Ratio Analysis" sheetId="27" state="hidden" r:id="rId5"/>
    <sheet name="Term Loans " sheetId="38" state="hidden" r:id="rId6"/>
    <sheet name="BSPL Lakhs" sheetId="46" r:id="rId7"/>
    <sheet name="MSME Intt" sheetId="47" r:id="rId8"/>
    <sheet name="DT 22-23" sheetId="45" r:id="rId9"/>
    <sheet name="Pivot" sheetId="5" r:id="rId10"/>
    <sheet name="COI" sheetId="6" r:id="rId11"/>
    <sheet name="DT" sheetId="16" r:id="rId12"/>
    <sheet name="Cash Flow" sheetId="7" state="hidden" r:id="rId13"/>
    <sheet name="3CD ratios" sheetId="9" state="hidden" r:id="rId14"/>
    <sheet name="Cash Flow lakhs" sheetId="10" r:id="rId15"/>
    <sheet name="CLOSING STOCK 31-03-24" sheetId="11" r:id="rId16"/>
    <sheet name="FG Valuation" sheetId="12" r:id="rId17"/>
    <sheet name="Ratio Analysis (2)" sheetId="13" r:id="rId18"/>
    <sheet name="Depreciation" sheetId="14" r:id="rId19"/>
    <sheet name="IT Dep" sheetId="15" r:id="rId20"/>
    <sheet name="Creditors Aging" sheetId="17" r:id="rId21"/>
    <sheet name="Sheet3" sheetId="18" r:id="rId22"/>
    <sheet name="HDE2023_2024_BUY_SELL" sheetId="19" r:id="rId23"/>
    <sheet name="Cost Sheet" sheetId="20" r:id="rId24"/>
    <sheet name="Sale of FA" sheetId="21" r:id="rId25"/>
    <sheet name="Depreciation lakhs" sheetId="22" r:id="rId26"/>
    <sheet name="TB 260524" sheetId="23" r:id="rId27"/>
    <sheet name="TB Final" sheetId="24" r:id="rId28"/>
    <sheet name="TB 200524" sheetId="25" r:id="rId29"/>
    <sheet name="TB 110524" sheetId="26" state="hidden" r:id="rId30"/>
    <sheet name="Working Capital" sheetId="28" r:id="rId31"/>
    <sheet name="MSME Int" sheetId="29" r:id="rId32"/>
    <sheet name="Related Parties" sheetId="30" r:id="rId33"/>
    <sheet name="TB 250524" sheetId="31" state="hidden" r:id="rId34"/>
    <sheet name="TB 100424" sheetId="32" state="hidden" r:id="rId35"/>
    <sheet name="Debtor's Ageing" sheetId="33" state="hidden" r:id="rId36"/>
    <sheet name="Dir Rem CA 2013" sheetId="34" state="hidden" r:id="rId37"/>
    <sheet name="Dir Rem" sheetId="35" state="hidden" r:id="rId38"/>
    <sheet name="TL &amp; intt." sheetId="36" state="hidden" r:id="rId39"/>
    <sheet name="Shareholders List" sheetId="37" state="hidden" r:id="rId40"/>
    <sheet name="Capital Advance" sheetId="39" state="hidden" r:id="rId41"/>
    <sheet name="Loans to staff" sheetId="40" state="hidden" r:id="rId42"/>
    <sheet name="Advance to Supplier" sheetId="41" state="hidden" r:id="rId43"/>
    <sheet name="IPS Sanction Letter &amp; Books" sheetId="42" r:id="rId44"/>
    <sheet name="Debtor's Ageing31.03.24" sheetId="43" r:id="rId45"/>
    <sheet name="Leave Encashment" sheetId="44"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13">#REF!</definedName>
    <definedName name="\a" localSheetId="19">#REF!</definedName>
    <definedName name="\a" localSheetId="17">#REF!</definedName>
    <definedName name="\a">#REF!</definedName>
    <definedName name="\B" localSheetId="13">#REF!</definedName>
    <definedName name="\B" localSheetId="19">#REF!</definedName>
    <definedName name="\B" localSheetId="17">#REF!</definedName>
    <definedName name="\B">#REF!</definedName>
    <definedName name="\C" localSheetId="17">#REF!</definedName>
    <definedName name="\C">#REF!</definedName>
    <definedName name="\D" localSheetId="17">#REF!</definedName>
    <definedName name="\D">#REF!</definedName>
    <definedName name="\E" localSheetId="17">#REF!</definedName>
    <definedName name="\E">#REF!</definedName>
    <definedName name="\F" localSheetId="17">#REF!</definedName>
    <definedName name="\F">#REF!</definedName>
    <definedName name="\G" localSheetId="17">#REF!</definedName>
    <definedName name="\G">#REF!</definedName>
    <definedName name="\I" localSheetId="17">#REF!</definedName>
    <definedName name="\I">#REF!</definedName>
    <definedName name="\J" localSheetId="17">#REF!</definedName>
    <definedName name="\J">#REF!</definedName>
    <definedName name="\M" localSheetId="17">#REF!</definedName>
    <definedName name="\M">#REF!</definedName>
    <definedName name="\P" localSheetId="17">#REF!</definedName>
    <definedName name="\P">#REF!</definedName>
    <definedName name="\Q" localSheetId="17">#REF!</definedName>
    <definedName name="\Q">#REF!</definedName>
    <definedName name="\S" localSheetId="17">#REF!</definedName>
    <definedName name="\S">#REF!</definedName>
    <definedName name="\T" localSheetId="17">#REF!</definedName>
    <definedName name="\T">#REF!</definedName>
    <definedName name="\U" localSheetId="17">#REF!</definedName>
    <definedName name="\U">#REF!</definedName>
    <definedName name="\Z" localSheetId="17">#REF!</definedName>
    <definedName name="\Z">#REF!</definedName>
    <definedName name="___________________crc1">[1]combined!$B$176:$H$232</definedName>
    <definedName name="___________________crc2">[1]combined!$B$236:$H$301</definedName>
    <definedName name="___________________crc3">[1]combined!$B$329:$H$387</definedName>
    <definedName name="___________________GRP1">'[2]BS 590'!$B$313:$G$386</definedName>
    <definedName name="___________________GRP3" localSheetId="13">'[3]BS&amp;PLA'!#REF!</definedName>
    <definedName name="___________________GRP3" localSheetId="44">'[3]BS&amp;PLA'!#REF!</definedName>
    <definedName name="___________________GRP3" localSheetId="4">'[3]BS&amp;PLA'!#REF!</definedName>
    <definedName name="___________________GRP3" localSheetId="17">'[3]BS&amp;PLA'!#REF!</definedName>
    <definedName name="___________________GRP3">'[3]BS&amp;PLA'!#REF!</definedName>
    <definedName name="___________________GRP4" localSheetId="13">'[3]BS&amp;PLA'!#REF!</definedName>
    <definedName name="___________________GRP4" localSheetId="44">'[3]BS&amp;PLA'!#REF!</definedName>
    <definedName name="___________________GRP4" localSheetId="4">'[3]BS&amp;PLA'!#REF!</definedName>
    <definedName name="___________________GRP4" localSheetId="17">'[3]BS&amp;PLA'!#REF!</definedName>
    <definedName name="___________________GRP4">'[3]BS&amp;PLA'!#REF!</definedName>
    <definedName name="___________________sch1">'[2]BS 590'!$B$125:$H$165</definedName>
    <definedName name="___________________sch2">'[2]BS 590'!$B$166:$H$193</definedName>
    <definedName name="___________________sch3">'[2]BS 590'!$B$194:$H$231</definedName>
    <definedName name="___________________sch4">'[2]BS 590'!$B$233:$H$280</definedName>
    <definedName name="___________________sch5">'[2]BS 590'!$B$281:$H$312</definedName>
    <definedName name="___________________STK1" localSheetId="42">#REF!</definedName>
    <definedName name="___________________STK1" localSheetId="35">#REF!</definedName>
    <definedName name="___________________STK1" localSheetId="44">#REF!</definedName>
    <definedName name="___________________STK1" localSheetId="19">#REF!</definedName>
    <definedName name="___________________STK1" localSheetId="41">#REF!</definedName>
    <definedName name="___________________STK1" localSheetId="17">#REF!</definedName>
    <definedName name="___________________STK1" localSheetId="32">#REF!</definedName>
    <definedName name="___________________STK1">#REF!</definedName>
    <definedName name="___________________STK2" localSheetId="42">#REF!</definedName>
    <definedName name="___________________STK2" localSheetId="35">#REF!</definedName>
    <definedName name="___________________STK2" localSheetId="44">#REF!</definedName>
    <definedName name="___________________STK2" localSheetId="41">#REF!</definedName>
    <definedName name="___________________STK2" localSheetId="17">#REF!</definedName>
    <definedName name="___________________STK2" localSheetId="32">#REF!</definedName>
    <definedName name="___________________STK2">#REF!</definedName>
    <definedName name="___________________STK3" localSheetId="42">#REF!</definedName>
    <definedName name="___________________STK3" localSheetId="35">#REF!</definedName>
    <definedName name="___________________STK3" localSheetId="44">#REF!</definedName>
    <definedName name="___________________STK3" localSheetId="41">#REF!</definedName>
    <definedName name="___________________STK3" localSheetId="17">#REF!</definedName>
    <definedName name="___________________STK3" localSheetId="32">#REF!</definedName>
    <definedName name="___________________STK3">#REF!</definedName>
    <definedName name="__________________crc1">[1]combined!$B$176:$H$232</definedName>
    <definedName name="__________________crc2">[1]combined!$B$236:$H$301</definedName>
    <definedName name="__________________crc3">[1]combined!$B$329:$H$387</definedName>
    <definedName name="__________________GRP1">'[2]BS 590'!$B$313:$G$386</definedName>
    <definedName name="__________________GRP2" localSheetId="13">'[3]BS&amp;PLA'!#REF!</definedName>
    <definedName name="__________________GRP2" localSheetId="44">'[3]BS&amp;PLA'!#REF!</definedName>
    <definedName name="__________________GRP2" localSheetId="4">'[3]BS&amp;PLA'!#REF!</definedName>
    <definedName name="__________________GRP2" localSheetId="17">'[3]BS&amp;PLA'!#REF!</definedName>
    <definedName name="__________________GRP2">'[3]BS&amp;PLA'!#REF!</definedName>
    <definedName name="__________________GRP3" localSheetId="42">'[4]BS&amp;PLA'!#REF!</definedName>
    <definedName name="__________________GRP3" localSheetId="35">'[4]BS&amp;PLA'!#REF!</definedName>
    <definedName name="__________________GRP3" localSheetId="44">'[4]BS&amp;PLA'!#REF!</definedName>
    <definedName name="__________________GRP3" localSheetId="19">'[4]BS&amp;PLA'!#REF!</definedName>
    <definedName name="__________________GRP3" localSheetId="41">'[4]BS&amp;PLA'!#REF!</definedName>
    <definedName name="__________________GRP3" localSheetId="17">'[4]BS&amp;PLA'!#REF!</definedName>
    <definedName name="__________________GRP3" localSheetId="32">'[4]BS&amp;PLA'!#REF!</definedName>
    <definedName name="__________________GRP3">'[4]BS&amp;PLA'!#REF!</definedName>
    <definedName name="__________________GRP4" localSheetId="42">'[4]BS&amp;PLA'!#REF!</definedName>
    <definedName name="__________________GRP4" localSheetId="35">'[4]BS&amp;PLA'!#REF!</definedName>
    <definedName name="__________________GRP4" localSheetId="44">'[4]BS&amp;PLA'!#REF!</definedName>
    <definedName name="__________________GRP4" localSheetId="17">'[4]BS&amp;PLA'!#REF!</definedName>
    <definedName name="__________________GRP4" localSheetId="32">'[4]BS&amp;PLA'!#REF!</definedName>
    <definedName name="__________________GRP4">'[4]BS&amp;PLA'!#REF!</definedName>
    <definedName name="__________________sch1">'[2]BS 590'!$B$125:$H$165</definedName>
    <definedName name="__________________sch2">'[2]BS 590'!$B$166:$H$193</definedName>
    <definedName name="__________________sch3">'[2]BS 590'!$B$194:$H$231</definedName>
    <definedName name="__________________sch4">'[2]BS 590'!$B$233:$H$280</definedName>
    <definedName name="__________________sch5">'[2]BS 590'!$B$281:$H$312</definedName>
    <definedName name="__________________STK1" localSheetId="42">#REF!</definedName>
    <definedName name="__________________STK1" localSheetId="35">#REF!</definedName>
    <definedName name="__________________STK1" localSheetId="44">#REF!</definedName>
    <definedName name="__________________STK1" localSheetId="19">#REF!</definedName>
    <definedName name="__________________STK1" localSheetId="41">#REF!</definedName>
    <definedName name="__________________STK1" localSheetId="17">#REF!</definedName>
    <definedName name="__________________STK1" localSheetId="32">#REF!</definedName>
    <definedName name="__________________STK1">#REF!</definedName>
    <definedName name="__________________STK2" localSheetId="42">#REF!</definedName>
    <definedName name="__________________STK2" localSheetId="35">#REF!</definedName>
    <definedName name="__________________STK2" localSheetId="44">#REF!</definedName>
    <definedName name="__________________STK2" localSheetId="41">#REF!</definedName>
    <definedName name="__________________STK2" localSheetId="17">#REF!</definedName>
    <definedName name="__________________STK2" localSheetId="32">#REF!</definedName>
    <definedName name="__________________STK2">#REF!</definedName>
    <definedName name="__________________STK3" localSheetId="42">#REF!</definedName>
    <definedName name="__________________STK3" localSheetId="35">#REF!</definedName>
    <definedName name="__________________STK3" localSheetId="44">#REF!</definedName>
    <definedName name="__________________STK3" localSheetId="41">#REF!</definedName>
    <definedName name="__________________STK3" localSheetId="17">#REF!</definedName>
    <definedName name="__________________STK3" localSheetId="32">#REF!</definedName>
    <definedName name="__________________STK3">#REF!</definedName>
    <definedName name="_________________cha1" localSheetId="42">#REF!</definedName>
    <definedName name="_________________cha1" localSheetId="35">#REF!</definedName>
    <definedName name="_________________cha1" localSheetId="44">#REF!</definedName>
    <definedName name="_________________cha1" localSheetId="41">#REF!</definedName>
    <definedName name="_________________cha1" localSheetId="17">#REF!</definedName>
    <definedName name="_________________cha1" localSheetId="32">#REF!</definedName>
    <definedName name="_________________cha1">#REF!</definedName>
    <definedName name="_________________cha2" localSheetId="42">#REF!</definedName>
    <definedName name="_________________cha2" localSheetId="35">#REF!</definedName>
    <definedName name="_________________cha2" localSheetId="44">#REF!</definedName>
    <definedName name="_________________cha2" localSheetId="41">#REF!</definedName>
    <definedName name="_________________cha2" localSheetId="17">#REF!</definedName>
    <definedName name="_________________cha2" localSheetId="32">#REF!</definedName>
    <definedName name="_________________cha2">#REF!</definedName>
    <definedName name="_________________cha3" localSheetId="42">#REF!</definedName>
    <definedName name="_________________cha3" localSheetId="35">#REF!</definedName>
    <definedName name="_________________cha3" localSheetId="44">#REF!</definedName>
    <definedName name="_________________cha3" localSheetId="41">#REF!</definedName>
    <definedName name="_________________cha3" localSheetId="17">#REF!</definedName>
    <definedName name="_________________cha3" localSheetId="32">#REF!</definedName>
    <definedName name="_________________cha3">#REF!</definedName>
    <definedName name="_________________cha4" localSheetId="42">#REF!</definedName>
    <definedName name="_________________cha4" localSheetId="35">#REF!</definedName>
    <definedName name="_________________cha4" localSheetId="44">#REF!</definedName>
    <definedName name="_________________cha4" localSheetId="41">#REF!</definedName>
    <definedName name="_________________cha4" localSheetId="17">#REF!</definedName>
    <definedName name="_________________cha4" localSheetId="32">#REF!</definedName>
    <definedName name="_________________cha4">#REF!</definedName>
    <definedName name="_________________cha5" localSheetId="42">#REF!</definedName>
    <definedName name="_________________cha5" localSheetId="35">#REF!</definedName>
    <definedName name="_________________cha5" localSheetId="44">#REF!</definedName>
    <definedName name="_________________cha5" localSheetId="41">#REF!</definedName>
    <definedName name="_________________cha5" localSheetId="17">#REF!</definedName>
    <definedName name="_________________cha5" localSheetId="32">#REF!</definedName>
    <definedName name="_________________cha5">#REF!</definedName>
    <definedName name="_________________cha6" localSheetId="42">#REF!</definedName>
    <definedName name="_________________cha6" localSheetId="35">#REF!</definedName>
    <definedName name="_________________cha6" localSheetId="44">#REF!</definedName>
    <definedName name="_________________cha6" localSheetId="41">#REF!</definedName>
    <definedName name="_________________cha6" localSheetId="17">#REF!</definedName>
    <definedName name="_________________cha6" localSheetId="32">#REF!</definedName>
    <definedName name="_________________cha6">#REF!</definedName>
    <definedName name="_________________crc1">[1]combined!$B$176:$H$232</definedName>
    <definedName name="_________________crc2">[1]combined!$B$236:$H$301</definedName>
    <definedName name="_________________crc3">[1]combined!$B$329:$H$387</definedName>
    <definedName name="_________________GRP1">'[2]BS 590'!$B$313:$G$386</definedName>
    <definedName name="_________________GRP2">'[2]BS 590'!$B$388:$G$427</definedName>
    <definedName name="_________________GRP3" localSheetId="13">'[4]BS&amp;PLA'!#REF!</definedName>
    <definedName name="_________________GRP3" localSheetId="42">'[4]BS&amp;PLA'!#REF!</definedName>
    <definedName name="_________________GRP3" localSheetId="35">'[4]BS&amp;PLA'!#REF!</definedName>
    <definedName name="_________________GRP3" localSheetId="44">'[4]BS&amp;PLA'!#REF!</definedName>
    <definedName name="_________________GRP3" localSheetId="19">'[4]BS&amp;PLA'!#REF!</definedName>
    <definedName name="_________________GRP3" localSheetId="41">'[4]BS&amp;PLA'!#REF!</definedName>
    <definedName name="_________________GRP3" localSheetId="4">'[4]BS&amp;PLA'!#REF!</definedName>
    <definedName name="_________________GRP3" localSheetId="17">'[4]BS&amp;PLA'!#REF!</definedName>
    <definedName name="_________________GRP3" localSheetId="32">'[4]BS&amp;PLA'!#REF!</definedName>
    <definedName name="_________________GRP3">'[4]BS&amp;PLA'!#REF!</definedName>
    <definedName name="_________________GRP4" localSheetId="42">'[4]BS&amp;PLA'!#REF!</definedName>
    <definedName name="_________________GRP4" localSheetId="35">'[4]BS&amp;PLA'!#REF!</definedName>
    <definedName name="_________________GRP4" localSheetId="44">'[4]BS&amp;PLA'!#REF!</definedName>
    <definedName name="_________________GRP4" localSheetId="19">'[4]BS&amp;PLA'!#REF!</definedName>
    <definedName name="_________________GRP4" localSheetId="17">'[4]BS&amp;PLA'!#REF!</definedName>
    <definedName name="_________________GRP4" localSheetId="32">'[4]BS&amp;PLA'!#REF!</definedName>
    <definedName name="_________________GRP4">'[4]BS&amp;PLA'!#REF!</definedName>
    <definedName name="_________________sch1">'[2]BS 590'!$B$125:$H$165</definedName>
    <definedName name="_________________sch2">'[2]BS 590'!$B$166:$H$193</definedName>
    <definedName name="_________________sch3">'[2]BS 590'!$B$194:$H$231</definedName>
    <definedName name="_________________sch4">'[2]BS 590'!$B$233:$H$280</definedName>
    <definedName name="_________________sch5">'[2]BS 590'!$B$281:$H$312</definedName>
    <definedName name="_________________STK1" localSheetId="42">#REF!</definedName>
    <definedName name="_________________STK1" localSheetId="35">#REF!</definedName>
    <definedName name="_________________STK1" localSheetId="44">#REF!</definedName>
    <definedName name="_________________STK1" localSheetId="19">#REF!</definedName>
    <definedName name="_________________STK1" localSheetId="41">#REF!</definedName>
    <definedName name="_________________STK1" localSheetId="17">#REF!</definedName>
    <definedName name="_________________STK1" localSheetId="32">#REF!</definedName>
    <definedName name="_________________STK1">#REF!</definedName>
    <definedName name="_________________STK2" localSheetId="42">#REF!</definedName>
    <definedName name="_________________STK2" localSheetId="35">#REF!</definedName>
    <definedName name="_________________STK2" localSheetId="44">#REF!</definedName>
    <definedName name="_________________STK2" localSheetId="41">#REF!</definedName>
    <definedName name="_________________STK2" localSheetId="17">#REF!</definedName>
    <definedName name="_________________STK2" localSheetId="32">#REF!</definedName>
    <definedName name="_________________STK2">#REF!</definedName>
    <definedName name="_________________STK3" localSheetId="42">#REF!</definedName>
    <definedName name="_________________STK3" localSheetId="35">#REF!</definedName>
    <definedName name="_________________STK3" localSheetId="44">#REF!</definedName>
    <definedName name="_________________STK3" localSheetId="41">#REF!</definedName>
    <definedName name="_________________STK3" localSheetId="17">#REF!</definedName>
    <definedName name="_________________STK3" localSheetId="32">#REF!</definedName>
    <definedName name="_________________STK3">#REF!</definedName>
    <definedName name="________________cha1" localSheetId="42">#REF!</definedName>
    <definedName name="________________cha1" localSheetId="35">#REF!</definedName>
    <definedName name="________________cha1" localSheetId="44">#REF!</definedName>
    <definedName name="________________cha1" localSheetId="41">#REF!</definedName>
    <definedName name="________________cha1" localSheetId="17">#REF!</definedName>
    <definedName name="________________cha1" localSheetId="32">#REF!</definedName>
    <definedName name="________________cha1">#REF!</definedName>
    <definedName name="________________cha2" localSheetId="42">#REF!</definedName>
    <definedName name="________________cha2" localSheetId="35">#REF!</definedName>
    <definedName name="________________cha2" localSheetId="44">#REF!</definedName>
    <definedName name="________________cha2" localSheetId="41">#REF!</definedName>
    <definedName name="________________cha2" localSheetId="17">#REF!</definedName>
    <definedName name="________________cha2" localSheetId="32">#REF!</definedName>
    <definedName name="________________cha2">#REF!</definedName>
    <definedName name="________________cha3" localSheetId="42">#REF!</definedName>
    <definedName name="________________cha3" localSheetId="35">#REF!</definedName>
    <definedName name="________________cha3" localSheetId="44">#REF!</definedName>
    <definedName name="________________cha3" localSheetId="41">#REF!</definedName>
    <definedName name="________________cha3" localSheetId="17">#REF!</definedName>
    <definedName name="________________cha3" localSheetId="32">#REF!</definedName>
    <definedName name="________________cha3">#REF!</definedName>
    <definedName name="________________cha4" localSheetId="42">#REF!</definedName>
    <definedName name="________________cha4" localSheetId="35">#REF!</definedName>
    <definedName name="________________cha4" localSheetId="44">#REF!</definedName>
    <definedName name="________________cha4" localSheetId="41">#REF!</definedName>
    <definedName name="________________cha4" localSheetId="17">#REF!</definedName>
    <definedName name="________________cha4" localSheetId="32">#REF!</definedName>
    <definedName name="________________cha4">#REF!</definedName>
    <definedName name="________________cha5" localSheetId="42">#REF!</definedName>
    <definedName name="________________cha5" localSheetId="35">#REF!</definedName>
    <definedName name="________________cha5" localSheetId="44">#REF!</definedName>
    <definedName name="________________cha5" localSheetId="41">#REF!</definedName>
    <definedName name="________________cha5" localSheetId="17">#REF!</definedName>
    <definedName name="________________cha5" localSheetId="32">#REF!</definedName>
    <definedName name="________________cha5">#REF!</definedName>
    <definedName name="________________cha6" localSheetId="42">#REF!</definedName>
    <definedName name="________________cha6" localSheetId="35">#REF!</definedName>
    <definedName name="________________cha6" localSheetId="44">#REF!</definedName>
    <definedName name="________________cha6" localSheetId="41">#REF!</definedName>
    <definedName name="________________cha6" localSheetId="17">#REF!</definedName>
    <definedName name="________________cha6" localSheetId="32">#REF!</definedName>
    <definedName name="________________cha6">#REF!</definedName>
    <definedName name="________________crc1">[1]combined!$B$176:$H$232</definedName>
    <definedName name="________________crc2">[1]combined!$B$236:$H$301</definedName>
    <definedName name="________________crc3">[1]combined!$B$329:$H$387</definedName>
    <definedName name="________________GRP1">'[2]BS 590'!$B$313:$G$386</definedName>
    <definedName name="________________GRP2">'[2]BS 590'!$B$388:$G$427</definedName>
    <definedName name="________________GRP3" localSheetId="13">'[4]BS&amp;PLA'!#REF!</definedName>
    <definedName name="________________GRP3" localSheetId="42">'[4]BS&amp;PLA'!#REF!</definedName>
    <definedName name="________________GRP3" localSheetId="35">'[4]BS&amp;PLA'!#REF!</definedName>
    <definedName name="________________GRP3" localSheetId="44">'[4]BS&amp;PLA'!#REF!</definedName>
    <definedName name="________________GRP3" localSheetId="19">'[4]BS&amp;PLA'!#REF!</definedName>
    <definedName name="________________GRP3" localSheetId="41">'[4]BS&amp;PLA'!#REF!</definedName>
    <definedName name="________________GRP3" localSheetId="4">'[4]BS&amp;PLA'!#REF!</definedName>
    <definedName name="________________GRP3" localSheetId="17">'[4]BS&amp;PLA'!#REF!</definedName>
    <definedName name="________________GRP3" localSheetId="32">'[4]BS&amp;PLA'!#REF!</definedName>
    <definedName name="________________GRP3">'[4]BS&amp;PLA'!#REF!</definedName>
    <definedName name="________________GRP4" localSheetId="42">'[4]BS&amp;PLA'!#REF!</definedName>
    <definedName name="________________GRP4" localSheetId="35">'[4]BS&amp;PLA'!#REF!</definedName>
    <definedName name="________________GRP4" localSheetId="44">'[4]BS&amp;PLA'!#REF!</definedName>
    <definedName name="________________GRP4" localSheetId="19">'[4]BS&amp;PLA'!#REF!</definedName>
    <definedName name="________________GRP4" localSheetId="17">'[4]BS&amp;PLA'!#REF!</definedName>
    <definedName name="________________GRP4" localSheetId="32">'[4]BS&amp;PLA'!#REF!</definedName>
    <definedName name="________________GRP4">'[4]BS&amp;PLA'!#REF!</definedName>
    <definedName name="________________sch1">'[2]BS 590'!$B$125:$H$165</definedName>
    <definedName name="________________sch2">'[2]BS 590'!$B$166:$H$193</definedName>
    <definedName name="________________sch3">'[2]BS 590'!$B$194:$H$231</definedName>
    <definedName name="________________sch4">'[2]BS 590'!$B$233:$H$280</definedName>
    <definedName name="________________sch5">'[2]BS 590'!$B$281:$H$312</definedName>
    <definedName name="________________STK1" localSheetId="42">#REF!</definedName>
    <definedName name="________________STK1" localSheetId="35">#REF!</definedName>
    <definedName name="________________STK1" localSheetId="44">#REF!</definedName>
    <definedName name="________________STK1" localSheetId="19">#REF!</definedName>
    <definedName name="________________STK1" localSheetId="41">#REF!</definedName>
    <definedName name="________________STK1" localSheetId="17">#REF!</definedName>
    <definedName name="________________STK1" localSheetId="32">#REF!</definedName>
    <definedName name="________________STK1">#REF!</definedName>
    <definedName name="________________STK2" localSheetId="42">#REF!</definedName>
    <definedName name="________________STK2" localSheetId="35">#REF!</definedName>
    <definedName name="________________STK2" localSheetId="44">#REF!</definedName>
    <definedName name="________________STK2" localSheetId="41">#REF!</definedName>
    <definedName name="________________STK2" localSheetId="17">#REF!</definedName>
    <definedName name="________________STK2" localSheetId="32">#REF!</definedName>
    <definedName name="________________STK2">#REF!</definedName>
    <definedName name="________________STK3" localSheetId="42">#REF!</definedName>
    <definedName name="________________STK3" localSheetId="35">#REF!</definedName>
    <definedName name="________________STK3" localSheetId="44">#REF!</definedName>
    <definedName name="________________STK3" localSheetId="41">#REF!</definedName>
    <definedName name="________________STK3" localSheetId="17">#REF!</definedName>
    <definedName name="________________STK3" localSheetId="32">#REF!</definedName>
    <definedName name="________________STK3">#REF!</definedName>
    <definedName name="_______________cha1" localSheetId="42">#REF!</definedName>
    <definedName name="_______________cha1" localSheetId="35">#REF!</definedName>
    <definedName name="_______________cha1" localSheetId="44">#REF!</definedName>
    <definedName name="_______________cha1" localSheetId="41">#REF!</definedName>
    <definedName name="_______________cha1" localSheetId="17">#REF!</definedName>
    <definedName name="_______________cha1" localSheetId="32">#REF!</definedName>
    <definedName name="_______________cha1">#REF!</definedName>
    <definedName name="_______________cha2" localSheetId="42">#REF!</definedName>
    <definedName name="_______________cha2" localSheetId="35">#REF!</definedName>
    <definedName name="_______________cha2" localSheetId="44">#REF!</definedName>
    <definedName name="_______________cha2" localSheetId="41">#REF!</definedName>
    <definedName name="_______________cha2" localSheetId="17">#REF!</definedName>
    <definedName name="_______________cha2" localSheetId="32">#REF!</definedName>
    <definedName name="_______________cha2">#REF!</definedName>
    <definedName name="_______________cha3" localSheetId="42">#REF!</definedName>
    <definedName name="_______________cha3" localSheetId="35">#REF!</definedName>
    <definedName name="_______________cha3" localSheetId="44">#REF!</definedName>
    <definedName name="_______________cha3" localSheetId="41">#REF!</definedName>
    <definedName name="_______________cha3" localSheetId="17">#REF!</definedName>
    <definedName name="_______________cha3" localSheetId="32">#REF!</definedName>
    <definedName name="_______________cha3">#REF!</definedName>
    <definedName name="_______________cha4" localSheetId="42">#REF!</definedName>
    <definedName name="_______________cha4" localSheetId="35">#REF!</definedName>
    <definedName name="_______________cha4" localSheetId="44">#REF!</definedName>
    <definedName name="_______________cha4" localSheetId="41">#REF!</definedName>
    <definedName name="_______________cha4" localSheetId="17">#REF!</definedName>
    <definedName name="_______________cha4" localSheetId="32">#REF!</definedName>
    <definedName name="_______________cha4">#REF!</definedName>
    <definedName name="_______________cha5" localSheetId="42">#REF!</definedName>
    <definedName name="_______________cha5" localSheetId="35">#REF!</definedName>
    <definedName name="_______________cha5" localSheetId="44">#REF!</definedName>
    <definedName name="_______________cha5" localSheetId="41">#REF!</definedName>
    <definedName name="_______________cha5" localSheetId="17">#REF!</definedName>
    <definedName name="_______________cha5" localSheetId="32">#REF!</definedName>
    <definedName name="_______________cha5">#REF!</definedName>
    <definedName name="_______________cha6" localSheetId="42">#REF!</definedName>
    <definedName name="_______________cha6" localSheetId="35">#REF!</definedName>
    <definedName name="_______________cha6" localSheetId="44">#REF!</definedName>
    <definedName name="_______________cha6" localSheetId="41">#REF!</definedName>
    <definedName name="_______________cha6" localSheetId="17">#REF!</definedName>
    <definedName name="_______________cha6" localSheetId="32">#REF!</definedName>
    <definedName name="_______________cha6">#REF!</definedName>
    <definedName name="_______________crc1">[1]combined!$B$176:$H$232</definedName>
    <definedName name="_______________crc2">[1]combined!$B$236:$H$301</definedName>
    <definedName name="_______________crc3">[1]combined!$B$329:$H$387</definedName>
    <definedName name="_______________GRP1">'[2]BS 590'!$B$313:$G$386</definedName>
    <definedName name="_______________GRP2">'[2]BS 590'!$B$388:$G$427</definedName>
    <definedName name="_______________GRP3" localSheetId="13">'[4]BS&amp;PLA'!#REF!</definedName>
    <definedName name="_______________GRP3" localSheetId="42">'[4]BS&amp;PLA'!#REF!</definedName>
    <definedName name="_______________GRP3" localSheetId="35">'[4]BS&amp;PLA'!#REF!</definedName>
    <definedName name="_______________GRP3" localSheetId="44">'[4]BS&amp;PLA'!#REF!</definedName>
    <definedName name="_______________GRP3" localSheetId="19">'[4]BS&amp;PLA'!#REF!</definedName>
    <definedName name="_______________GRP3" localSheetId="41">'[4]BS&amp;PLA'!#REF!</definedName>
    <definedName name="_______________GRP3" localSheetId="4">'[4]BS&amp;PLA'!#REF!</definedName>
    <definedName name="_______________GRP3" localSheetId="17">'[4]BS&amp;PLA'!#REF!</definedName>
    <definedName name="_______________GRP3" localSheetId="32">'[4]BS&amp;PLA'!#REF!</definedName>
    <definedName name="_______________GRP3">'[4]BS&amp;PLA'!#REF!</definedName>
    <definedName name="_______________GRP4" localSheetId="42">'[4]BS&amp;PLA'!#REF!</definedName>
    <definedName name="_______________GRP4" localSheetId="35">'[4]BS&amp;PLA'!#REF!</definedName>
    <definedName name="_______________GRP4" localSheetId="44">'[4]BS&amp;PLA'!#REF!</definedName>
    <definedName name="_______________GRP4" localSheetId="19">'[4]BS&amp;PLA'!#REF!</definedName>
    <definedName name="_______________GRP4" localSheetId="17">'[4]BS&amp;PLA'!#REF!</definedName>
    <definedName name="_______________GRP4" localSheetId="32">'[4]BS&amp;PLA'!#REF!</definedName>
    <definedName name="_______________GRP4">'[4]BS&amp;PLA'!#REF!</definedName>
    <definedName name="_______________sch1">'[2]BS 590'!$B$125:$H$165</definedName>
    <definedName name="_______________sch2">'[2]BS 590'!$B$166:$H$193</definedName>
    <definedName name="_______________sch3">'[2]BS 590'!$B$194:$H$231</definedName>
    <definedName name="_______________sch4">'[2]BS 590'!$B$233:$H$280</definedName>
    <definedName name="_______________sch5">'[2]BS 590'!$B$281:$H$312</definedName>
    <definedName name="_______________STK1" localSheetId="42">#REF!</definedName>
    <definedName name="_______________STK1" localSheetId="35">#REF!</definedName>
    <definedName name="_______________STK1" localSheetId="44">#REF!</definedName>
    <definedName name="_______________STK1" localSheetId="19">#REF!</definedName>
    <definedName name="_______________STK1" localSheetId="41">#REF!</definedName>
    <definedName name="_______________STK1" localSheetId="17">#REF!</definedName>
    <definedName name="_______________STK1" localSheetId="32">#REF!</definedName>
    <definedName name="_______________STK1">#REF!</definedName>
    <definedName name="_______________STK2" localSheetId="42">#REF!</definedName>
    <definedName name="_______________STK2" localSheetId="35">#REF!</definedName>
    <definedName name="_______________STK2" localSheetId="44">#REF!</definedName>
    <definedName name="_______________STK2" localSheetId="41">#REF!</definedName>
    <definedName name="_______________STK2" localSheetId="17">#REF!</definedName>
    <definedName name="_______________STK2" localSheetId="32">#REF!</definedName>
    <definedName name="_______________STK2">#REF!</definedName>
    <definedName name="_______________STK3" localSheetId="42">#REF!</definedName>
    <definedName name="_______________STK3" localSheetId="35">#REF!</definedName>
    <definedName name="_______________STK3" localSheetId="44">#REF!</definedName>
    <definedName name="_______________STK3" localSheetId="41">#REF!</definedName>
    <definedName name="_______________STK3" localSheetId="17">#REF!</definedName>
    <definedName name="_______________STK3" localSheetId="32">#REF!</definedName>
    <definedName name="_______________STK3">#REF!</definedName>
    <definedName name="______________cha1" localSheetId="42">#REF!</definedName>
    <definedName name="______________cha1" localSheetId="35">#REF!</definedName>
    <definedName name="______________cha1" localSheetId="44">#REF!</definedName>
    <definedName name="______________cha1" localSheetId="41">#REF!</definedName>
    <definedName name="______________cha1" localSheetId="17">#REF!</definedName>
    <definedName name="______________cha1" localSheetId="32">#REF!</definedName>
    <definedName name="______________cha1">#REF!</definedName>
    <definedName name="______________cha2" localSheetId="42">#REF!</definedName>
    <definedName name="______________cha2" localSheetId="35">#REF!</definedName>
    <definedName name="______________cha2" localSheetId="44">#REF!</definedName>
    <definedName name="______________cha2" localSheetId="41">#REF!</definedName>
    <definedName name="______________cha2" localSheetId="17">#REF!</definedName>
    <definedName name="______________cha2" localSheetId="32">#REF!</definedName>
    <definedName name="______________cha2">#REF!</definedName>
    <definedName name="______________cha3" localSheetId="42">#REF!</definedName>
    <definedName name="______________cha3" localSheetId="35">#REF!</definedName>
    <definedName name="______________cha3" localSheetId="44">#REF!</definedName>
    <definedName name="______________cha3" localSheetId="41">#REF!</definedName>
    <definedName name="______________cha3" localSheetId="17">#REF!</definedName>
    <definedName name="______________cha3" localSheetId="32">#REF!</definedName>
    <definedName name="______________cha3">#REF!</definedName>
    <definedName name="______________cha4" localSheetId="42">#REF!</definedName>
    <definedName name="______________cha4" localSheetId="35">#REF!</definedName>
    <definedName name="______________cha4" localSheetId="44">#REF!</definedName>
    <definedName name="______________cha4" localSheetId="41">#REF!</definedName>
    <definedName name="______________cha4" localSheetId="17">#REF!</definedName>
    <definedName name="______________cha4" localSheetId="32">#REF!</definedName>
    <definedName name="______________cha4">#REF!</definedName>
    <definedName name="______________cha5" localSheetId="42">#REF!</definedName>
    <definedName name="______________cha5" localSheetId="35">#REF!</definedName>
    <definedName name="______________cha5" localSheetId="44">#REF!</definedName>
    <definedName name="______________cha5" localSheetId="41">#REF!</definedName>
    <definedName name="______________cha5" localSheetId="17">#REF!</definedName>
    <definedName name="______________cha5" localSheetId="32">#REF!</definedName>
    <definedName name="______________cha5">#REF!</definedName>
    <definedName name="______________cha6" localSheetId="42">#REF!</definedName>
    <definedName name="______________cha6" localSheetId="35">#REF!</definedName>
    <definedName name="______________cha6" localSheetId="44">#REF!</definedName>
    <definedName name="______________cha6" localSheetId="41">#REF!</definedName>
    <definedName name="______________cha6" localSheetId="17">#REF!</definedName>
    <definedName name="______________cha6" localSheetId="32">#REF!</definedName>
    <definedName name="______________cha6">#REF!</definedName>
    <definedName name="______________crc1">[1]combined!$B$176:$H$232</definedName>
    <definedName name="______________crc2">[1]combined!$B$236:$H$301</definedName>
    <definedName name="______________crc3">[1]combined!$B$329:$H$387</definedName>
    <definedName name="______________GRP1">'[2]BS 590'!$B$313:$G$386</definedName>
    <definedName name="______________GRP2">'[2]BS 590'!$B$388:$G$427</definedName>
    <definedName name="______________GRP3" localSheetId="13">'[4]BS&amp;PLA'!#REF!</definedName>
    <definedName name="______________GRP3" localSheetId="42">'[4]BS&amp;PLA'!#REF!</definedName>
    <definedName name="______________GRP3" localSheetId="35">'[4]BS&amp;PLA'!#REF!</definedName>
    <definedName name="______________GRP3" localSheetId="44">'[4]BS&amp;PLA'!#REF!</definedName>
    <definedName name="______________GRP3" localSheetId="19">'[4]BS&amp;PLA'!#REF!</definedName>
    <definedName name="______________GRP3" localSheetId="41">'[4]BS&amp;PLA'!#REF!</definedName>
    <definedName name="______________GRP3" localSheetId="4">'[4]BS&amp;PLA'!#REF!</definedName>
    <definedName name="______________GRP3" localSheetId="17">'[4]BS&amp;PLA'!#REF!</definedName>
    <definedName name="______________GRP3" localSheetId="32">'[4]BS&amp;PLA'!#REF!</definedName>
    <definedName name="______________GRP3">'[4]BS&amp;PLA'!#REF!</definedName>
    <definedName name="______________GRP4" localSheetId="42">'[4]BS&amp;PLA'!#REF!</definedName>
    <definedName name="______________GRP4" localSheetId="35">'[4]BS&amp;PLA'!#REF!</definedName>
    <definedName name="______________GRP4" localSheetId="44">'[4]BS&amp;PLA'!#REF!</definedName>
    <definedName name="______________GRP4" localSheetId="19">'[4]BS&amp;PLA'!#REF!</definedName>
    <definedName name="______________GRP4" localSheetId="17">'[4]BS&amp;PLA'!#REF!</definedName>
    <definedName name="______________GRP4" localSheetId="32">'[4]BS&amp;PLA'!#REF!</definedName>
    <definedName name="______________GRP4">'[4]BS&amp;PLA'!#REF!</definedName>
    <definedName name="______________sch1">'[2]BS 590'!$B$125:$H$165</definedName>
    <definedName name="______________sch2">'[2]BS 590'!$B$166:$H$193</definedName>
    <definedName name="______________sch3">'[2]BS 590'!$B$194:$H$231</definedName>
    <definedName name="______________sch4">'[2]BS 590'!$B$233:$H$280</definedName>
    <definedName name="______________sch5">'[2]BS 590'!$B$281:$H$312</definedName>
    <definedName name="______________STK1" localSheetId="42">#REF!</definedName>
    <definedName name="______________STK1" localSheetId="35">#REF!</definedName>
    <definedName name="______________STK1" localSheetId="44">#REF!</definedName>
    <definedName name="______________STK1" localSheetId="19">#REF!</definedName>
    <definedName name="______________STK1" localSheetId="41">#REF!</definedName>
    <definedName name="______________STK1" localSheetId="17">#REF!</definedName>
    <definedName name="______________STK1" localSheetId="32">#REF!</definedName>
    <definedName name="______________STK1">#REF!</definedName>
    <definedName name="______________STK2" localSheetId="42">#REF!</definedName>
    <definedName name="______________STK2" localSheetId="35">#REF!</definedName>
    <definedName name="______________STK2" localSheetId="44">#REF!</definedName>
    <definedName name="______________STK2" localSheetId="41">#REF!</definedName>
    <definedName name="______________STK2" localSheetId="17">#REF!</definedName>
    <definedName name="______________STK2" localSheetId="32">#REF!</definedName>
    <definedName name="______________STK2">#REF!</definedName>
    <definedName name="______________STK3" localSheetId="42">#REF!</definedName>
    <definedName name="______________STK3" localSheetId="35">#REF!</definedName>
    <definedName name="______________STK3" localSheetId="44">#REF!</definedName>
    <definedName name="______________STK3" localSheetId="41">#REF!</definedName>
    <definedName name="______________STK3" localSheetId="17">#REF!</definedName>
    <definedName name="______________STK3" localSheetId="32">#REF!</definedName>
    <definedName name="______________STK3">#REF!</definedName>
    <definedName name="_____________cha1" localSheetId="42">#REF!</definedName>
    <definedName name="_____________cha1" localSheetId="35">#REF!</definedName>
    <definedName name="_____________cha1" localSheetId="44">#REF!</definedName>
    <definedName name="_____________cha1" localSheetId="41">#REF!</definedName>
    <definedName name="_____________cha1" localSheetId="17">#REF!</definedName>
    <definedName name="_____________cha1" localSheetId="32">#REF!</definedName>
    <definedName name="_____________cha1">#REF!</definedName>
    <definedName name="_____________cha2" localSheetId="42">#REF!</definedName>
    <definedName name="_____________cha2" localSheetId="35">#REF!</definedName>
    <definedName name="_____________cha2" localSheetId="44">#REF!</definedName>
    <definedName name="_____________cha2" localSheetId="41">#REF!</definedName>
    <definedName name="_____________cha2" localSheetId="17">#REF!</definedName>
    <definedName name="_____________cha2" localSheetId="32">#REF!</definedName>
    <definedName name="_____________cha2">#REF!</definedName>
    <definedName name="_____________cha3" localSheetId="42">#REF!</definedName>
    <definedName name="_____________cha3" localSheetId="35">#REF!</definedName>
    <definedName name="_____________cha3" localSheetId="44">#REF!</definedName>
    <definedName name="_____________cha3" localSheetId="41">#REF!</definedName>
    <definedName name="_____________cha3" localSheetId="17">#REF!</definedName>
    <definedName name="_____________cha3" localSheetId="32">#REF!</definedName>
    <definedName name="_____________cha3">#REF!</definedName>
    <definedName name="_____________cha4" localSheetId="42">#REF!</definedName>
    <definedName name="_____________cha4" localSheetId="35">#REF!</definedName>
    <definedName name="_____________cha4" localSheetId="44">#REF!</definedName>
    <definedName name="_____________cha4" localSheetId="41">#REF!</definedName>
    <definedName name="_____________cha4" localSheetId="17">#REF!</definedName>
    <definedName name="_____________cha4" localSheetId="32">#REF!</definedName>
    <definedName name="_____________cha4">#REF!</definedName>
    <definedName name="_____________cha5" localSheetId="42">#REF!</definedName>
    <definedName name="_____________cha5" localSheetId="35">#REF!</definedName>
    <definedName name="_____________cha5" localSheetId="44">#REF!</definedName>
    <definedName name="_____________cha5" localSheetId="41">#REF!</definedName>
    <definedName name="_____________cha5" localSheetId="17">#REF!</definedName>
    <definedName name="_____________cha5" localSheetId="32">#REF!</definedName>
    <definedName name="_____________cha5">#REF!</definedName>
    <definedName name="_____________cha6" localSheetId="42">#REF!</definedName>
    <definedName name="_____________cha6" localSheetId="35">#REF!</definedName>
    <definedName name="_____________cha6" localSheetId="44">#REF!</definedName>
    <definedName name="_____________cha6" localSheetId="41">#REF!</definedName>
    <definedName name="_____________cha6" localSheetId="17">#REF!</definedName>
    <definedName name="_____________cha6" localSheetId="32">#REF!</definedName>
    <definedName name="_____________cha6">#REF!</definedName>
    <definedName name="_____________crc1">[1]combined!$B$176:$H$232</definedName>
    <definedName name="_____________crc2">[1]combined!$B$236:$H$301</definedName>
    <definedName name="_____________crc3">[1]combined!$B$329:$H$387</definedName>
    <definedName name="_____________GRP1">'[2]BS 590'!$B$313:$G$386</definedName>
    <definedName name="_____________GRP2">'[2]BS 590'!$B$388:$G$427</definedName>
    <definedName name="_____________GRP3" localSheetId="13">'[4]BS&amp;PLA'!#REF!</definedName>
    <definedName name="_____________GRP3" localSheetId="42">'[4]BS&amp;PLA'!#REF!</definedName>
    <definedName name="_____________GRP3" localSheetId="35">'[4]BS&amp;PLA'!#REF!</definedName>
    <definedName name="_____________GRP3" localSheetId="44">'[4]BS&amp;PLA'!#REF!</definedName>
    <definedName name="_____________GRP3" localSheetId="19">'[4]BS&amp;PLA'!#REF!</definedName>
    <definedName name="_____________GRP3" localSheetId="41">'[4]BS&amp;PLA'!#REF!</definedName>
    <definedName name="_____________GRP3" localSheetId="4">'[4]BS&amp;PLA'!#REF!</definedName>
    <definedName name="_____________GRP3" localSheetId="17">'[4]BS&amp;PLA'!#REF!</definedName>
    <definedName name="_____________GRP3" localSheetId="32">'[4]BS&amp;PLA'!#REF!</definedName>
    <definedName name="_____________GRP3">'[4]BS&amp;PLA'!#REF!</definedName>
    <definedName name="_____________GRP4" localSheetId="42">'[4]BS&amp;PLA'!#REF!</definedName>
    <definedName name="_____________GRP4" localSheetId="35">'[4]BS&amp;PLA'!#REF!</definedName>
    <definedName name="_____________GRP4" localSheetId="44">'[4]BS&amp;PLA'!#REF!</definedName>
    <definedName name="_____________GRP4" localSheetId="19">'[4]BS&amp;PLA'!#REF!</definedName>
    <definedName name="_____________GRP4" localSheetId="17">'[4]BS&amp;PLA'!#REF!</definedName>
    <definedName name="_____________GRP4" localSheetId="32">'[4]BS&amp;PLA'!#REF!</definedName>
    <definedName name="_____________GRP4">'[4]BS&amp;PLA'!#REF!</definedName>
    <definedName name="_____________sch1">'[2]BS 590'!$B$125:$H$165</definedName>
    <definedName name="_____________sch2">'[2]BS 590'!$B$166:$H$193</definedName>
    <definedName name="_____________sch3">'[2]BS 590'!$B$194:$H$231</definedName>
    <definedName name="_____________sch4">'[2]BS 590'!$B$233:$H$280</definedName>
    <definedName name="_____________sch5">'[2]BS 590'!$B$281:$H$312</definedName>
    <definedName name="_____________STK1" localSheetId="42">#REF!</definedName>
    <definedName name="_____________STK1" localSheetId="35">#REF!</definedName>
    <definedName name="_____________STK1" localSheetId="44">#REF!</definedName>
    <definedName name="_____________STK1" localSheetId="19">#REF!</definedName>
    <definedName name="_____________STK1" localSheetId="41">#REF!</definedName>
    <definedName name="_____________STK1" localSheetId="17">#REF!</definedName>
    <definedName name="_____________STK1" localSheetId="32">#REF!</definedName>
    <definedName name="_____________STK1">#REF!</definedName>
    <definedName name="_____________STK2" localSheetId="42">#REF!</definedName>
    <definedName name="_____________STK2" localSheetId="35">#REF!</definedName>
    <definedName name="_____________STK2" localSheetId="44">#REF!</definedName>
    <definedName name="_____________STK2" localSheetId="41">#REF!</definedName>
    <definedName name="_____________STK2" localSheetId="17">#REF!</definedName>
    <definedName name="_____________STK2" localSheetId="32">#REF!</definedName>
    <definedName name="_____________STK2">#REF!</definedName>
    <definedName name="_____________STK3" localSheetId="42">#REF!</definedName>
    <definedName name="_____________STK3" localSheetId="35">#REF!</definedName>
    <definedName name="_____________STK3" localSheetId="44">#REF!</definedName>
    <definedName name="_____________STK3" localSheetId="41">#REF!</definedName>
    <definedName name="_____________STK3" localSheetId="17">#REF!</definedName>
    <definedName name="_____________STK3" localSheetId="32">#REF!</definedName>
    <definedName name="_____________STK3">#REF!</definedName>
    <definedName name="____________cha1" localSheetId="42">#REF!</definedName>
    <definedName name="____________cha1" localSheetId="35">#REF!</definedName>
    <definedName name="____________cha1" localSheetId="44">#REF!</definedName>
    <definedName name="____________cha1" localSheetId="41">#REF!</definedName>
    <definedName name="____________cha1" localSheetId="17">#REF!</definedName>
    <definedName name="____________cha1" localSheetId="32">#REF!</definedName>
    <definedName name="____________cha1">#REF!</definedName>
    <definedName name="____________cha2" localSheetId="42">#REF!</definedName>
    <definedName name="____________cha2" localSheetId="35">#REF!</definedName>
    <definedName name="____________cha2" localSheetId="44">#REF!</definedName>
    <definedName name="____________cha2" localSheetId="41">#REF!</definedName>
    <definedName name="____________cha2" localSheetId="17">#REF!</definedName>
    <definedName name="____________cha2" localSheetId="32">#REF!</definedName>
    <definedName name="____________cha2">#REF!</definedName>
    <definedName name="____________cha3" localSheetId="42">#REF!</definedName>
    <definedName name="____________cha3" localSheetId="35">#REF!</definedName>
    <definedName name="____________cha3" localSheetId="44">#REF!</definedName>
    <definedName name="____________cha3" localSheetId="41">#REF!</definedName>
    <definedName name="____________cha3" localSheetId="17">#REF!</definedName>
    <definedName name="____________cha3" localSheetId="32">#REF!</definedName>
    <definedName name="____________cha3">#REF!</definedName>
    <definedName name="____________cha4" localSheetId="42">#REF!</definedName>
    <definedName name="____________cha4" localSheetId="35">#REF!</definedName>
    <definedName name="____________cha4" localSheetId="44">#REF!</definedName>
    <definedName name="____________cha4" localSheetId="41">#REF!</definedName>
    <definedName name="____________cha4" localSheetId="17">#REF!</definedName>
    <definedName name="____________cha4" localSheetId="32">#REF!</definedName>
    <definedName name="____________cha4">#REF!</definedName>
    <definedName name="____________cha5" localSheetId="42">#REF!</definedName>
    <definedName name="____________cha5" localSheetId="35">#REF!</definedName>
    <definedName name="____________cha5" localSheetId="44">#REF!</definedName>
    <definedName name="____________cha5" localSheetId="41">#REF!</definedName>
    <definedName name="____________cha5" localSheetId="17">#REF!</definedName>
    <definedName name="____________cha5" localSheetId="32">#REF!</definedName>
    <definedName name="____________cha5">#REF!</definedName>
    <definedName name="____________cha6" localSheetId="42">#REF!</definedName>
    <definedName name="____________cha6" localSheetId="35">#REF!</definedName>
    <definedName name="____________cha6" localSheetId="44">#REF!</definedName>
    <definedName name="____________cha6" localSheetId="41">#REF!</definedName>
    <definedName name="____________cha6" localSheetId="17">#REF!</definedName>
    <definedName name="____________cha6" localSheetId="32">#REF!</definedName>
    <definedName name="____________cha6">#REF!</definedName>
    <definedName name="____________crc1">[1]combined!$B$176:$H$232</definedName>
    <definedName name="____________crc2">[1]combined!$B$236:$H$301</definedName>
    <definedName name="____________crc3">[1]combined!$B$329:$H$387</definedName>
    <definedName name="____________GRP1">'[2]BS 590'!$B$313:$G$386</definedName>
    <definedName name="____________GRP2">'[2]BS 590'!$B$388:$G$427</definedName>
    <definedName name="____________GRP3" localSheetId="13">'[4]BS&amp;PLA'!#REF!</definedName>
    <definedName name="____________GRP3" localSheetId="42">'[4]BS&amp;PLA'!#REF!</definedName>
    <definedName name="____________GRP3" localSheetId="35">'[4]BS&amp;PLA'!#REF!</definedName>
    <definedName name="____________GRP3" localSheetId="44">'[4]BS&amp;PLA'!#REF!</definedName>
    <definedName name="____________GRP3" localSheetId="19">'[4]BS&amp;PLA'!#REF!</definedName>
    <definedName name="____________GRP3" localSheetId="41">'[4]BS&amp;PLA'!#REF!</definedName>
    <definedName name="____________GRP3" localSheetId="4">'[4]BS&amp;PLA'!#REF!</definedName>
    <definedName name="____________GRP3" localSheetId="17">'[4]BS&amp;PLA'!#REF!</definedName>
    <definedName name="____________GRP3" localSheetId="32">'[4]BS&amp;PLA'!#REF!</definedName>
    <definedName name="____________GRP3">'[4]BS&amp;PLA'!#REF!</definedName>
    <definedName name="____________GRP4" localSheetId="42">'[4]BS&amp;PLA'!#REF!</definedName>
    <definedName name="____________GRP4" localSheetId="35">'[4]BS&amp;PLA'!#REF!</definedName>
    <definedName name="____________GRP4" localSheetId="44">'[4]BS&amp;PLA'!#REF!</definedName>
    <definedName name="____________GRP4" localSheetId="19">'[4]BS&amp;PLA'!#REF!</definedName>
    <definedName name="____________GRP4" localSheetId="17">'[4]BS&amp;PLA'!#REF!</definedName>
    <definedName name="____________GRP4" localSheetId="32">'[4]BS&amp;PLA'!#REF!</definedName>
    <definedName name="____________GRP4">'[4]BS&amp;PLA'!#REF!</definedName>
    <definedName name="____________sch1">'[2]BS 590'!$B$125:$H$165</definedName>
    <definedName name="____________sch2">'[2]BS 590'!$B$166:$H$193</definedName>
    <definedName name="____________sch3">'[2]BS 590'!$B$194:$H$231</definedName>
    <definedName name="____________sch4">'[2]BS 590'!$B$233:$H$280</definedName>
    <definedName name="____________sch5">'[2]BS 590'!$B$281:$H$312</definedName>
    <definedName name="____________STK1" localSheetId="42">#REF!</definedName>
    <definedName name="____________STK1" localSheetId="35">#REF!</definedName>
    <definedName name="____________STK1" localSheetId="44">#REF!</definedName>
    <definedName name="____________STK1" localSheetId="19">#REF!</definedName>
    <definedName name="____________STK1" localSheetId="41">#REF!</definedName>
    <definedName name="____________STK1" localSheetId="17">#REF!</definedName>
    <definedName name="____________STK1" localSheetId="32">#REF!</definedName>
    <definedName name="____________STK1">#REF!</definedName>
    <definedName name="____________STK2" localSheetId="42">#REF!</definedName>
    <definedName name="____________STK2" localSheetId="35">#REF!</definedName>
    <definedName name="____________STK2" localSheetId="44">#REF!</definedName>
    <definedName name="____________STK2" localSheetId="41">#REF!</definedName>
    <definedName name="____________STK2" localSheetId="17">#REF!</definedName>
    <definedName name="____________STK2" localSheetId="32">#REF!</definedName>
    <definedName name="____________STK2">#REF!</definedName>
    <definedName name="____________STK3" localSheetId="42">#REF!</definedName>
    <definedName name="____________STK3" localSheetId="35">#REF!</definedName>
    <definedName name="____________STK3" localSheetId="44">#REF!</definedName>
    <definedName name="____________STK3" localSheetId="41">#REF!</definedName>
    <definedName name="____________STK3" localSheetId="17">#REF!</definedName>
    <definedName name="____________STK3" localSheetId="32">#REF!</definedName>
    <definedName name="____________STK3">#REF!</definedName>
    <definedName name="___________cha1" localSheetId="42">#REF!</definedName>
    <definedName name="___________cha1" localSheetId="35">#REF!</definedName>
    <definedName name="___________cha1" localSheetId="44">#REF!</definedName>
    <definedName name="___________cha1" localSheetId="41">#REF!</definedName>
    <definedName name="___________cha1" localSheetId="17">#REF!</definedName>
    <definedName name="___________cha1" localSheetId="32">#REF!</definedName>
    <definedName name="___________cha1">#REF!</definedName>
    <definedName name="___________cha2" localSheetId="42">#REF!</definedName>
    <definedName name="___________cha2" localSheetId="35">#REF!</definedName>
    <definedName name="___________cha2" localSheetId="44">#REF!</definedName>
    <definedName name="___________cha2" localSheetId="41">#REF!</definedName>
    <definedName name="___________cha2" localSheetId="17">#REF!</definedName>
    <definedName name="___________cha2" localSheetId="32">#REF!</definedName>
    <definedName name="___________cha2">#REF!</definedName>
    <definedName name="___________cha3" localSheetId="42">#REF!</definedName>
    <definedName name="___________cha3" localSheetId="35">#REF!</definedName>
    <definedName name="___________cha3" localSheetId="44">#REF!</definedName>
    <definedName name="___________cha3" localSheetId="41">#REF!</definedName>
    <definedName name="___________cha3" localSheetId="17">#REF!</definedName>
    <definedName name="___________cha3" localSheetId="32">#REF!</definedName>
    <definedName name="___________cha3">#REF!</definedName>
    <definedName name="___________cha4" localSheetId="42">#REF!</definedName>
    <definedName name="___________cha4" localSheetId="35">#REF!</definedName>
    <definedName name="___________cha4" localSheetId="44">#REF!</definedName>
    <definedName name="___________cha4" localSheetId="41">#REF!</definedName>
    <definedName name="___________cha4" localSheetId="17">#REF!</definedName>
    <definedName name="___________cha4" localSheetId="32">#REF!</definedName>
    <definedName name="___________cha4">#REF!</definedName>
    <definedName name="___________cha5" localSheetId="42">#REF!</definedName>
    <definedName name="___________cha5" localSheetId="35">#REF!</definedName>
    <definedName name="___________cha5" localSheetId="44">#REF!</definedName>
    <definedName name="___________cha5" localSheetId="41">#REF!</definedName>
    <definedName name="___________cha5" localSheetId="17">#REF!</definedName>
    <definedName name="___________cha5" localSheetId="32">#REF!</definedName>
    <definedName name="___________cha5">#REF!</definedName>
    <definedName name="___________cha6" localSheetId="42">#REF!</definedName>
    <definedName name="___________cha6" localSheetId="35">#REF!</definedName>
    <definedName name="___________cha6" localSheetId="44">#REF!</definedName>
    <definedName name="___________cha6" localSheetId="41">#REF!</definedName>
    <definedName name="___________cha6" localSheetId="17">#REF!</definedName>
    <definedName name="___________cha6" localSheetId="32">#REF!</definedName>
    <definedName name="___________cha6">#REF!</definedName>
    <definedName name="___________crc1">[1]combined!$B$176:$H$232</definedName>
    <definedName name="___________crc2">[1]combined!$B$236:$H$301</definedName>
    <definedName name="___________crc3">[1]combined!$B$329:$H$387</definedName>
    <definedName name="___________GRP1">'[2]BS 590'!$B$313:$G$386</definedName>
    <definedName name="___________GRP2">'[2]BS 590'!$B$388:$G$427</definedName>
    <definedName name="___________GRP3" localSheetId="13">'[4]BS&amp;PLA'!#REF!</definedName>
    <definedName name="___________GRP3" localSheetId="42">'[4]BS&amp;PLA'!#REF!</definedName>
    <definedName name="___________GRP3" localSheetId="35">'[4]BS&amp;PLA'!#REF!</definedName>
    <definedName name="___________GRP3" localSheetId="44">'[4]BS&amp;PLA'!#REF!</definedName>
    <definedName name="___________GRP3" localSheetId="19">'[4]BS&amp;PLA'!#REF!</definedName>
    <definedName name="___________GRP3" localSheetId="41">'[4]BS&amp;PLA'!#REF!</definedName>
    <definedName name="___________GRP3" localSheetId="4">'[4]BS&amp;PLA'!#REF!</definedName>
    <definedName name="___________GRP3" localSheetId="17">'[4]BS&amp;PLA'!#REF!</definedName>
    <definedName name="___________GRP3" localSheetId="32">'[4]BS&amp;PLA'!#REF!</definedName>
    <definedName name="___________GRP3">'[4]BS&amp;PLA'!#REF!</definedName>
    <definedName name="___________GRP4" localSheetId="42">'[4]BS&amp;PLA'!#REF!</definedName>
    <definedName name="___________GRP4" localSheetId="35">'[4]BS&amp;PLA'!#REF!</definedName>
    <definedName name="___________GRP4" localSheetId="44">'[4]BS&amp;PLA'!#REF!</definedName>
    <definedName name="___________GRP4" localSheetId="19">'[4]BS&amp;PLA'!#REF!</definedName>
    <definedName name="___________GRP4" localSheetId="17">'[4]BS&amp;PLA'!#REF!</definedName>
    <definedName name="___________GRP4" localSheetId="32">'[4]BS&amp;PLA'!#REF!</definedName>
    <definedName name="___________GRP4">'[4]BS&amp;PLA'!#REF!</definedName>
    <definedName name="___________sch1">'[2]BS 590'!$B$125:$H$165</definedName>
    <definedName name="___________sch2">'[2]BS 590'!$B$166:$H$193</definedName>
    <definedName name="___________sch3">'[2]BS 590'!$B$194:$H$231</definedName>
    <definedName name="___________sch4">'[2]BS 590'!$B$233:$H$280</definedName>
    <definedName name="___________sch5">'[2]BS 590'!$B$281:$H$312</definedName>
    <definedName name="___________STK1" localSheetId="42">#REF!</definedName>
    <definedName name="___________STK1" localSheetId="35">#REF!</definedName>
    <definedName name="___________STK1" localSheetId="44">#REF!</definedName>
    <definedName name="___________STK1" localSheetId="19">#REF!</definedName>
    <definedName name="___________STK1" localSheetId="41">#REF!</definedName>
    <definedName name="___________STK1" localSheetId="17">#REF!</definedName>
    <definedName name="___________STK1" localSheetId="32">#REF!</definedName>
    <definedName name="___________STK1">#REF!</definedName>
    <definedName name="___________STK2" localSheetId="42">#REF!</definedName>
    <definedName name="___________STK2" localSheetId="35">#REF!</definedName>
    <definedName name="___________STK2" localSheetId="44">#REF!</definedName>
    <definedName name="___________STK2" localSheetId="41">#REF!</definedName>
    <definedName name="___________STK2" localSheetId="17">#REF!</definedName>
    <definedName name="___________STK2" localSheetId="32">#REF!</definedName>
    <definedName name="___________STK2">#REF!</definedName>
    <definedName name="___________STK3" localSheetId="42">#REF!</definedName>
    <definedName name="___________STK3" localSheetId="35">#REF!</definedName>
    <definedName name="___________STK3" localSheetId="44">#REF!</definedName>
    <definedName name="___________STK3" localSheetId="41">#REF!</definedName>
    <definedName name="___________STK3" localSheetId="17">#REF!</definedName>
    <definedName name="___________STK3" localSheetId="32">#REF!</definedName>
    <definedName name="___________STK3">#REF!</definedName>
    <definedName name="__________cha1" localSheetId="42">#REF!</definedName>
    <definedName name="__________cha1" localSheetId="35">#REF!</definedName>
    <definedName name="__________cha1" localSheetId="44">#REF!</definedName>
    <definedName name="__________cha1" localSheetId="41">#REF!</definedName>
    <definedName name="__________cha1" localSheetId="17">#REF!</definedName>
    <definedName name="__________cha1" localSheetId="32">#REF!</definedName>
    <definedName name="__________cha1">#REF!</definedName>
    <definedName name="__________cha2" localSheetId="42">#REF!</definedName>
    <definedName name="__________cha2" localSheetId="35">#REF!</definedName>
    <definedName name="__________cha2" localSheetId="44">#REF!</definedName>
    <definedName name="__________cha2" localSheetId="41">#REF!</definedName>
    <definedName name="__________cha2" localSheetId="17">#REF!</definedName>
    <definedName name="__________cha2" localSheetId="32">#REF!</definedName>
    <definedName name="__________cha2">#REF!</definedName>
    <definedName name="__________cha3" localSheetId="42">#REF!</definedName>
    <definedName name="__________cha3" localSheetId="35">#REF!</definedName>
    <definedName name="__________cha3" localSheetId="44">#REF!</definedName>
    <definedName name="__________cha3" localSheetId="41">#REF!</definedName>
    <definedName name="__________cha3" localSheetId="17">#REF!</definedName>
    <definedName name="__________cha3" localSheetId="32">#REF!</definedName>
    <definedName name="__________cha3">#REF!</definedName>
    <definedName name="__________cha4" localSheetId="42">#REF!</definedName>
    <definedName name="__________cha4" localSheetId="35">#REF!</definedName>
    <definedName name="__________cha4" localSheetId="44">#REF!</definedName>
    <definedName name="__________cha4" localSheetId="41">#REF!</definedName>
    <definedName name="__________cha4" localSheetId="17">#REF!</definedName>
    <definedName name="__________cha4" localSheetId="32">#REF!</definedName>
    <definedName name="__________cha4">#REF!</definedName>
    <definedName name="__________cha5" localSheetId="42">#REF!</definedName>
    <definedName name="__________cha5" localSheetId="35">#REF!</definedName>
    <definedName name="__________cha5" localSheetId="44">#REF!</definedName>
    <definedName name="__________cha5" localSheetId="41">#REF!</definedName>
    <definedName name="__________cha5" localSheetId="17">#REF!</definedName>
    <definedName name="__________cha5" localSheetId="32">#REF!</definedName>
    <definedName name="__________cha5">#REF!</definedName>
    <definedName name="__________cha6" localSheetId="42">#REF!</definedName>
    <definedName name="__________cha6" localSheetId="35">#REF!</definedName>
    <definedName name="__________cha6" localSheetId="44">#REF!</definedName>
    <definedName name="__________cha6" localSheetId="41">#REF!</definedName>
    <definedName name="__________cha6" localSheetId="17">#REF!</definedName>
    <definedName name="__________cha6" localSheetId="32">#REF!</definedName>
    <definedName name="__________cha6">#REF!</definedName>
    <definedName name="__________crc1">[1]combined!$B$176:$H$232</definedName>
    <definedName name="__________crc2">[1]combined!$B$236:$H$301</definedName>
    <definedName name="__________crc3">[1]combined!$B$329:$H$387</definedName>
    <definedName name="__________GRP1">'[2]BS 590'!$B$313:$G$386</definedName>
    <definedName name="__________GRP2">'[2]BS 590'!$B$388:$G$427</definedName>
    <definedName name="__________GRP3" localSheetId="13">'[4]BS&amp;PLA'!#REF!</definedName>
    <definedName name="__________GRP3" localSheetId="42">'[4]BS&amp;PLA'!#REF!</definedName>
    <definedName name="__________GRP3" localSheetId="35">'[4]BS&amp;PLA'!#REF!</definedName>
    <definedName name="__________GRP3" localSheetId="44">'[4]BS&amp;PLA'!#REF!</definedName>
    <definedName name="__________GRP3" localSheetId="19">'[4]BS&amp;PLA'!#REF!</definedName>
    <definedName name="__________GRP3" localSheetId="41">'[4]BS&amp;PLA'!#REF!</definedName>
    <definedName name="__________GRP3" localSheetId="4">'[4]BS&amp;PLA'!#REF!</definedName>
    <definedName name="__________GRP3" localSheetId="17">'[4]BS&amp;PLA'!#REF!</definedName>
    <definedName name="__________GRP3" localSheetId="32">'[4]BS&amp;PLA'!#REF!</definedName>
    <definedName name="__________GRP3">'[4]BS&amp;PLA'!#REF!</definedName>
    <definedName name="__________GRP4" localSheetId="42">'[4]BS&amp;PLA'!#REF!</definedName>
    <definedName name="__________GRP4" localSheetId="35">'[4]BS&amp;PLA'!#REF!</definedName>
    <definedName name="__________GRP4" localSheetId="44">'[4]BS&amp;PLA'!#REF!</definedName>
    <definedName name="__________GRP4" localSheetId="19">'[4]BS&amp;PLA'!#REF!</definedName>
    <definedName name="__________GRP4" localSheetId="17">'[4]BS&amp;PLA'!#REF!</definedName>
    <definedName name="__________GRP4" localSheetId="32">'[4]BS&amp;PLA'!#REF!</definedName>
    <definedName name="__________GRP4">'[4]BS&amp;PLA'!#REF!</definedName>
    <definedName name="__________sch1">'[2]BS 590'!$B$125:$H$165</definedName>
    <definedName name="__________sch2">'[2]BS 590'!$B$166:$H$193</definedName>
    <definedName name="__________sch3">'[2]BS 590'!$B$194:$H$231</definedName>
    <definedName name="__________sch4">'[2]BS 590'!$B$233:$H$280</definedName>
    <definedName name="__________sch5">'[2]BS 590'!$B$281:$H$312</definedName>
    <definedName name="__________STK1" localSheetId="42">#REF!</definedName>
    <definedName name="__________STK1" localSheetId="35">#REF!</definedName>
    <definedName name="__________STK1" localSheetId="44">#REF!</definedName>
    <definedName name="__________STK1" localSheetId="19">#REF!</definedName>
    <definedName name="__________STK1" localSheetId="41">#REF!</definedName>
    <definedName name="__________STK1" localSheetId="17">#REF!</definedName>
    <definedName name="__________STK1" localSheetId="32">#REF!</definedName>
    <definedName name="__________STK1">#REF!</definedName>
    <definedName name="__________STK2" localSheetId="42">#REF!</definedName>
    <definedName name="__________STK2" localSheetId="35">#REF!</definedName>
    <definedName name="__________STK2" localSheetId="44">#REF!</definedName>
    <definedName name="__________STK2" localSheetId="41">#REF!</definedName>
    <definedName name="__________STK2" localSheetId="17">#REF!</definedName>
    <definedName name="__________STK2" localSheetId="32">#REF!</definedName>
    <definedName name="__________STK2">#REF!</definedName>
    <definedName name="__________STK3" localSheetId="42">#REF!</definedName>
    <definedName name="__________STK3" localSheetId="35">#REF!</definedName>
    <definedName name="__________STK3" localSheetId="44">#REF!</definedName>
    <definedName name="__________STK3" localSheetId="41">#REF!</definedName>
    <definedName name="__________STK3" localSheetId="17">#REF!</definedName>
    <definedName name="__________STK3" localSheetId="32">#REF!</definedName>
    <definedName name="__________STK3">#REF!</definedName>
    <definedName name="_________cha1" localSheetId="42">#REF!</definedName>
    <definedName name="_________cha1" localSheetId="35">#REF!</definedName>
    <definedName name="_________cha1" localSheetId="44">#REF!</definedName>
    <definedName name="_________cha1" localSheetId="41">#REF!</definedName>
    <definedName name="_________cha1" localSheetId="17">#REF!</definedName>
    <definedName name="_________cha1" localSheetId="32">#REF!</definedName>
    <definedName name="_________cha1">#REF!</definedName>
    <definedName name="_________cha2" localSheetId="42">#REF!</definedName>
    <definedName name="_________cha2" localSheetId="35">#REF!</definedName>
    <definedName name="_________cha2" localSheetId="44">#REF!</definedName>
    <definedName name="_________cha2" localSheetId="41">#REF!</definedName>
    <definedName name="_________cha2" localSheetId="17">#REF!</definedName>
    <definedName name="_________cha2" localSheetId="32">#REF!</definedName>
    <definedName name="_________cha2">#REF!</definedName>
    <definedName name="_________cha3" localSheetId="42">#REF!</definedName>
    <definedName name="_________cha3" localSheetId="35">#REF!</definedName>
    <definedName name="_________cha3" localSheetId="44">#REF!</definedName>
    <definedName name="_________cha3" localSheetId="41">#REF!</definedName>
    <definedName name="_________cha3" localSheetId="17">#REF!</definedName>
    <definedName name="_________cha3" localSheetId="32">#REF!</definedName>
    <definedName name="_________cha3">#REF!</definedName>
    <definedName name="_________cha4" localSheetId="42">#REF!</definedName>
    <definedName name="_________cha4" localSheetId="35">#REF!</definedName>
    <definedName name="_________cha4" localSheetId="44">#REF!</definedName>
    <definedName name="_________cha4" localSheetId="41">#REF!</definedName>
    <definedName name="_________cha4" localSheetId="17">#REF!</definedName>
    <definedName name="_________cha4" localSheetId="32">#REF!</definedName>
    <definedName name="_________cha4">#REF!</definedName>
    <definedName name="_________cha5" localSheetId="42">#REF!</definedName>
    <definedName name="_________cha5" localSheetId="35">#REF!</definedName>
    <definedName name="_________cha5" localSheetId="44">#REF!</definedName>
    <definedName name="_________cha5" localSheetId="41">#REF!</definedName>
    <definedName name="_________cha5" localSheetId="17">#REF!</definedName>
    <definedName name="_________cha5" localSheetId="32">#REF!</definedName>
    <definedName name="_________cha5">#REF!</definedName>
    <definedName name="_________cha6" localSheetId="42">#REF!</definedName>
    <definedName name="_________cha6" localSheetId="35">#REF!</definedName>
    <definedName name="_________cha6" localSheetId="44">#REF!</definedName>
    <definedName name="_________cha6" localSheetId="41">#REF!</definedName>
    <definedName name="_________cha6" localSheetId="17">#REF!</definedName>
    <definedName name="_________cha6" localSheetId="32">#REF!</definedName>
    <definedName name="_________cha6">#REF!</definedName>
    <definedName name="_________crc1">[1]combined!$B$176:$H$232</definedName>
    <definedName name="_________crc2">[1]combined!$B$236:$H$301</definedName>
    <definedName name="_________crc3">[1]combined!$B$329:$H$387</definedName>
    <definedName name="_________GRP1">'[2]BS 590'!$B$313:$G$386</definedName>
    <definedName name="_________GRP2">'[2]BS 590'!$B$388:$G$427</definedName>
    <definedName name="_________GRP3" localSheetId="13">'[4]BS&amp;PLA'!#REF!</definedName>
    <definedName name="_________GRP3" localSheetId="42">'[4]BS&amp;PLA'!#REF!</definedName>
    <definedName name="_________GRP3" localSheetId="35">'[4]BS&amp;PLA'!#REF!</definedName>
    <definedName name="_________GRP3" localSheetId="44">'[4]BS&amp;PLA'!#REF!</definedName>
    <definedName name="_________GRP3" localSheetId="19">'[4]BS&amp;PLA'!#REF!</definedName>
    <definedName name="_________GRP3" localSheetId="41">'[4]BS&amp;PLA'!#REF!</definedName>
    <definedName name="_________GRP3" localSheetId="4">'[4]BS&amp;PLA'!#REF!</definedName>
    <definedName name="_________GRP3" localSheetId="17">'[4]BS&amp;PLA'!#REF!</definedName>
    <definedName name="_________GRP3" localSheetId="32">'[4]BS&amp;PLA'!#REF!</definedName>
    <definedName name="_________GRP3">'[4]BS&amp;PLA'!#REF!</definedName>
    <definedName name="_________GRP4" localSheetId="42">'[4]BS&amp;PLA'!#REF!</definedName>
    <definedName name="_________GRP4" localSheetId="35">'[4]BS&amp;PLA'!#REF!</definedName>
    <definedName name="_________GRP4" localSheetId="44">'[4]BS&amp;PLA'!#REF!</definedName>
    <definedName name="_________GRP4" localSheetId="19">'[4]BS&amp;PLA'!#REF!</definedName>
    <definedName name="_________GRP4" localSheetId="17">'[4]BS&amp;PLA'!#REF!</definedName>
    <definedName name="_________GRP4" localSheetId="32">'[4]BS&amp;PLA'!#REF!</definedName>
    <definedName name="_________GRP4">'[4]BS&amp;PLA'!#REF!</definedName>
    <definedName name="_________sch1">'[2]BS 590'!$B$125:$H$165</definedName>
    <definedName name="_________sch2">'[2]BS 590'!$B$166:$H$193</definedName>
    <definedName name="_________sch3">'[2]BS 590'!$B$194:$H$231</definedName>
    <definedName name="_________sch4">'[2]BS 590'!$B$233:$H$280</definedName>
    <definedName name="_________sch5">'[2]BS 590'!$B$281:$H$312</definedName>
    <definedName name="_________STK1" localSheetId="42">#REF!</definedName>
    <definedName name="_________STK1" localSheetId="35">#REF!</definedName>
    <definedName name="_________STK1" localSheetId="44">#REF!</definedName>
    <definedName name="_________STK1" localSheetId="19">#REF!</definedName>
    <definedName name="_________STK1" localSheetId="41">#REF!</definedName>
    <definedName name="_________STK1" localSheetId="17">#REF!</definedName>
    <definedName name="_________STK1" localSheetId="32">#REF!</definedName>
    <definedName name="_________STK1">#REF!</definedName>
    <definedName name="_________STK2" localSheetId="42">#REF!</definedName>
    <definedName name="_________STK2" localSheetId="35">#REF!</definedName>
    <definedName name="_________STK2" localSheetId="44">#REF!</definedName>
    <definedName name="_________STK2" localSheetId="41">#REF!</definedName>
    <definedName name="_________STK2" localSheetId="17">#REF!</definedName>
    <definedName name="_________STK2" localSheetId="32">#REF!</definedName>
    <definedName name="_________STK2">#REF!</definedName>
    <definedName name="_________STK3" localSheetId="42">#REF!</definedName>
    <definedName name="_________STK3" localSheetId="35">#REF!</definedName>
    <definedName name="_________STK3" localSheetId="44">#REF!</definedName>
    <definedName name="_________STK3" localSheetId="41">#REF!</definedName>
    <definedName name="_________STK3" localSheetId="17">#REF!</definedName>
    <definedName name="_________STK3" localSheetId="32">#REF!</definedName>
    <definedName name="_________STK3">#REF!</definedName>
    <definedName name="________cha1" localSheetId="42">#REF!</definedName>
    <definedName name="________cha1" localSheetId="35">#REF!</definedName>
    <definedName name="________cha1" localSheetId="44">#REF!</definedName>
    <definedName name="________cha1" localSheetId="41">#REF!</definedName>
    <definedName name="________cha1" localSheetId="17">#REF!</definedName>
    <definedName name="________cha1" localSheetId="32">#REF!</definedName>
    <definedName name="________cha1">#REF!</definedName>
    <definedName name="________cha2" localSheetId="42">#REF!</definedName>
    <definedName name="________cha2" localSheetId="35">#REF!</definedName>
    <definedName name="________cha2" localSheetId="44">#REF!</definedName>
    <definedName name="________cha2" localSheetId="41">#REF!</definedName>
    <definedName name="________cha2" localSheetId="17">#REF!</definedName>
    <definedName name="________cha2" localSheetId="32">#REF!</definedName>
    <definedName name="________cha2">#REF!</definedName>
    <definedName name="________cha3" localSheetId="42">#REF!</definedName>
    <definedName name="________cha3" localSheetId="35">#REF!</definedName>
    <definedName name="________cha3" localSheetId="44">#REF!</definedName>
    <definedName name="________cha3" localSheetId="41">#REF!</definedName>
    <definedName name="________cha3" localSheetId="17">#REF!</definedName>
    <definedName name="________cha3" localSheetId="32">#REF!</definedName>
    <definedName name="________cha3">#REF!</definedName>
    <definedName name="________cha4" localSheetId="42">#REF!</definedName>
    <definedName name="________cha4" localSheetId="35">#REF!</definedName>
    <definedName name="________cha4" localSheetId="44">#REF!</definedName>
    <definedName name="________cha4" localSheetId="41">#REF!</definedName>
    <definedName name="________cha4" localSheetId="17">#REF!</definedName>
    <definedName name="________cha4" localSheetId="32">#REF!</definedName>
    <definedName name="________cha4">#REF!</definedName>
    <definedName name="________cha5" localSheetId="42">#REF!</definedName>
    <definedName name="________cha5" localSheetId="35">#REF!</definedName>
    <definedName name="________cha5" localSheetId="44">#REF!</definedName>
    <definedName name="________cha5" localSheetId="41">#REF!</definedName>
    <definedName name="________cha5" localSheetId="17">#REF!</definedName>
    <definedName name="________cha5" localSheetId="32">#REF!</definedName>
    <definedName name="________cha5">#REF!</definedName>
    <definedName name="________cha6" localSheetId="42">#REF!</definedName>
    <definedName name="________cha6" localSheetId="35">#REF!</definedName>
    <definedName name="________cha6" localSheetId="44">#REF!</definedName>
    <definedName name="________cha6" localSheetId="41">#REF!</definedName>
    <definedName name="________cha6" localSheetId="17">#REF!</definedName>
    <definedName name="________cha6" localSheetId="32">#REF!</definedName>
    <definedName name="________cha6">#REF!</definedName>
    <definedName name="________crc1">[1]combined!$B$176:$H$232</definedName>
    <definedName name="________crc2">[1]combined!$B$236:$H$301</definedName>
    <definedName name="________crc3">[1]combined!$B$329:$H$387</definedName>
    <definedName name="________GRP1">'[2]BS 590'!$B$313:$G$386</definedName>
    <definedName name="________GRP2" localSheetId="13">'[3]BS&amp;PLA'!#REF!</definedName>
    <definedName name="________GRP2" localSheetId="42">'[3]BS&amp;PLA'!#REF!</definedName>
    <definedName name="________GRP2" localSheetId="35">'[3]BS&amp;PLA'!#REF!</definedName>
    <definedName name="________GRP2" localSheetId="44">'[3]BS&amp;PLA'!#REF!</definedName>
    <definedName name="________GRP2" localSheetId="19">'[3]BS&amp;PLA'!#REF!</definedName>
    <definedName name="________GRP2" localSheetId="41">'[3]BS&amp;PLA'!#REF!</definedName>
    <definedName name="________GRP2" localSheetId="4">'[3]BS&amp;PLA'!#REF!</definedName>
    <definedName name="________GRP2" localSheetId="17">'[3]BS&amp;PLA'!#REF!</definedName>
    <definedName name="________GRP2" localSheetId="32">'[3]BS&amp;PLA'!#REF!</definedName>
    <definedName name="________GRP2">'[3]BS&amp;PLA'!#REF!</definedName>
    <definedName name="________GRP3" localSheetId="42">'[3]BS&amp;PLA'!#REF!</definedName>
    <definedName name="________GRP3" localSheetId="35">'[3]BS&amp;PLA'!#REF!</definedName>
    <definedName name="________GRP3" localSheetId="44">'[3]BS&amp;PLA'!#REF!</definedName>
    <definedName name="________GRP3" localSheetId="19">'[3]BS&amp;PLA'!#REF!</definedName>
    <definedName name="________GRP3" localSheetId="17">'[3]BS&amp;PLA'!#REF!</definedName>
    <definedName name="________GRP3" localSheetId="32">'[3]BS&amp;PLA'!#REF!</definedName>
    <definedName name="________GRP3">'[3]BS&amp;PLA'!#REF!</definedName>
    <definedName name="________GRP4" localSheetId="42">'[3]BS&amp;PLA'!#REF!</definedName>
    <definedName name="________GRP4" localSheetId="35">'[3]BS&amp;PLA'!#REF!</definedName>
    <definedName name="________GRP4" localSheetId="44">'[3]BS&amp;PLA'!#REF!</definedName>
    <definedName name="________GRP4" localSheetId="17">'[3]BS&amp;PLA'!#REF!</definedName>
    <definedName name="________GRP4" localSheetId="32">'[3]BS&amp;PLA'!#REF!</definedName>
    <definedName name="________GRP4">'[3]BS&amp;PLA'!#REF!</definedName>
    <definedName name="________sch1">'[2]BS 590'!$B$125:$H$165</definedName>
    <definedName name="________sch2">'[2]BS 590'!$B$166:$H$193</definedName>
    <definedName name="________sch3">'[2]BS 590'!$B$194:$H$231</definedName>
    <definedName name="________sch4">'[2]BS 590'!$B$233:$H$280</definedName>
    <definedName name="________sch5">'[2]BS 590'!$B$281:$H$312</definedName>
    <definedName name="________STK1" localSheetId="42">#REF!</definedName>
    <definedName name="________STK1" localSheetId="35">#REF!</definedName>
    <definedName name="________STK1" localSheetId="44">#REF!</definedName>
    <definedName name="________STK1" localSheetId="19">#REF!</definedName>
    <definedName name="________STK1" localSheetId="41">#REF!</definedName>
    <definedName name="________STK1" localSheetId="17">#REF!</definedName>
    <definedName name="________STK1" localSheetId="32">#REF!</definedName>
    <definedName name="________STK1">#REF!</definedName>
    <definedName name="________STK2" localSheetId="42">#REF!</definedName>
    <definedName name="________STK2" localSheetId="35">#REF!</definedName>
    <definedName name="________STK2" localSheetId="44">#REF!</definedName>
    <definedName name="________STK2" localSheetId="41">#REF!</definedName>
    <definedName name="________STK2" localSheetId="17">#REF!</definedName>
    <definedName name="________STK2" localSheetId="32">#REF!</definedName>
    <definedName name="________STK2">#REF!</definedName>
    <definedName name="________STK3" localSheetId="42">#REF!</definedName>
    <definedName name="________STK3" localSheetId="35">#REF!</definedName>
    <definedName name="________STK3" localSheetId="44">#REF!</definedName>
    <definedName name="________STK3" localSheetId="41">#REF!</definedName>
    <definedName name="________STK3" localSheetId="17">#REF!</definedName>
    <definedName name="________STK3" localSheetId="32">#REF!</definedName>
    <definedName name="________STK3">#REF!</definedName>
    <definedName name="_______cha1" localSheetId="42">#REF!</definedName>
    <definedName name="_______cha1" localSheetId="35">#REF!</definedName>
    <definedName name="_______cha1" localSheetId="44">#REF!</definedName>
    <definedName name="_______cha1" localSheetId="41">#REF!</definedName>
    <definedName name="_______cha1" localSheetId="17">#REF!</definedName>
    <definedName name="_______cha1" localSheetId="32">#REF!</definedName>
    <definedName name="_______cha1">#REF!</definedName>
    <definedName name="_______cha2" localSheetId="42">#REF!</definedName>
    <definedName name="_______cha2" localSheetId="35">#REF!</definedName>
    <definedName name="_______cha2" localSheetId="44">#REF!</definedName>
    <definedName name="_______cha2" localSheetId="41">#REF!</definedName>
    <definedName name="_______cha2" localSheetId="17">#REF!</definedName>
    <definedName name="_______cha2" localSheetId="32">#REF!</definedName>
    <definedName name="_______cha2">#REF!</definedName>
    <definedName name="_______cha3" localSheetId="42">#REF!</definedName>
    <definedName name="_______cha3" localSheetId="35">#REF!</definedName>
    <definedName name="_______cha3" localSheetId="44">#REF!</definedName>
    <definedName name="_______cha3" localSheetId="41">#REF!</definedName>
    <definedName name="_______cha3" localSheetId="17">#REF!</definedName>
    <definedName name="_______cha3" localSheetId="32">#REF!</definedName>
    <definedName name="_______cha3">#REF!</definedName>
    <definedName name="_______cha4" localSheetId="42">#REF!</definedName>
    <definedName name="_______cha4" localSheetId="35">#REF!</definedName>
    <definedName name="_______cha4" localSheetId="44">#REF!</definedName>
    <definedName name="_______cha4" localSheetId="41">#REF!</definedName>
    <definedName name="_______cha4" localSheetId="17">#REF!</definedName>
    <definedName name="_______cha4" localSheetId="32">#REF!</definedName>
    <definedName name="_______cha4">#REF!</definedName>
    <definedName name="_______cha5" localSheetId="42">#REF!</definedName>
    <definedName name="_______cha5" localSheetId="35">#REF!</definedName>
    <definedName name="_______cha5" localSheetId="44">#REF!</definedName>
    <definedName name="_______cha5" localSheetId="41">#REF!</definedName>
    <definedName name="_______cha5" localSheetId="17">#REF!</definedName>
    <definedName name="_______cha5" localSheetId="32">#REF!</definedName>
    <definedName name="_______cha5">#REF!</definedName>
    <definedName name="_______cha6" localSheetId="42">#REF!</definedName>
    <definedName name="_______cha6" localSheetId="35">#REF!</definedName>
    <definedName name="_______cha6" localSheetId="44">#REF!</definedName>
    <definedName name="_______cha6" localSheetId="41">#REF!</definedName>
    <definedName name="_______cha6" localSheetId="17">#REF!</definedName>
    <definedName name="_______cha6" localSheetId="32">#REF!</definedName>
    <definedName name="_______cha6">#REF!</definedName>
    <definedName name="_______crc1">[1]combined!$B$176:$H$232</definedName>
    <definedName name="_______crc2">[1]combined!$B$236:$H$301</definedName>
    <definedName name="_______crc3">[1]combined!$B$329:$H$387</definedName>
    <definedName name="_______GRP1">'[2]BS 590'!$B$313:$G$386</definedName>
    <definedName name="_______GRP2">'[2]BS 590'!$B$388:$G$427</definedName>
    <definedName name="_______GRP3" localSheetId="13">'[4]BS&amp;PLA'!#REF!</definedName>
    <definedName name="_______GRP3" localSheetId="42">'[4]BS&amp;PLA'!#REF!</definedName>
    <definedName name="_______GRP3" localSheetId="35">'[4]BS&amp;PLA'!#REF!</definedName>
    <definedName name="_______GRP3" localSheetId="44">'[4]BS&amp;PLA'!#REF!</definedName>
    <definedName name="_______GRP3" localSheetId="19">'[4]BS&amp;PLA'!#REF!</definedName>
    <definedName name="_______GRP3" localSheetId="41">'[4]BS&amp;PLA'!#REF!</definedName>
    <definedName name="_______GRP3" localSheetId="4">'[4]BS&amp;PLA'!#REF!</definedName>
    <definedName name="_______GRP3" localSheetId="17">'[4]BS&amp;PLA'!#REF!</definedName>
    <definedName name="_______GRP3" localSheetId="32">'[4]BS&amp;PLA'!#REF!</definedName>
    <definedName name="_______GRP3">'[4]BS&amp;PLA'!#REF!</definedName>
    <definedName name="_______GRP4" localSheetId="42">'[4]BS&amp;PLA'!#REF!</definedName>
    <definedName name="_______GRP4" localSheetId="35">'[4]BS&amp;PLA'!#REF!</definedName>
    <definedName name="_______GRP4" localSheetId="44">'[4]BS&amp;PLA'!#REF!</definedName>
    <definedName name="_______GRP4" localSheetId="19">'[4]BS&amp;PLA'!#REF!</definedName>
    <definedName name="_______GRP4" localSheetId="17">'[4]BS&amp;PLA'!#REF!</definedName>
    <definedName name="_______GRP4" localSheetId="32">'[4]BS&amp;PLA'!#REF!</definedName>
    <definedName name="_______GRP4">'[4]BS&amp;PLA'!#REF!</definedName>
    <definedName name="_______sch1">'[2]BS 590'!$B$125:$H$165</definedName>
    <definedName name="_______sch2">'[2]BS 590'!$B$166:$H$193</definedName>
    <definedName name="_______sch3">'[2]BS 590'!$B$194:$H$231</definedName>
    <definedName name="_______sch4">'[2]BS 590'!$B$233:$H$280</definedName>
    <definedName name="_______sch5">'[2]BS 590'!$B$281:$H$312</definedName>
    <definedName name="_______STK1" localSheetId="42">#REF!</definedName>
    <definedName name="_______STK1" localSheetId="35">#REF!</definedName>
    <definedName name="_______STK1" localSheetId="44">#REF!</definedName>
    <definedName name="_______STK1" localSheetId="19">#REF!</definedName>
    <definedName name="_______STK1" localSheetId="41">#REF!</definedName>
    <definedName name="_______STK1" localSheetId="17">#REF!</definedName>
    <definedName name="_______STK1" localSheetId="32">#REF!</definedName>
    <definedName name="_______STK1">#REF!</definedName>
    <definedName name="_______STK2" localSheetId="42">#REF!</definedName>
    <definedName name="_______STK2" localSheetId="35">#REF!</definedName>
    <definedName name="_______STK2" localSheetId="44">#REF!</definedName>
    <definedName name="_______STK2" localSheetId="41">#REF!</definedName>
    <definedName name="_______STK2" localSheetId="17">#REF!</definedName>
    <definedName name="_______STK2" localSheetId="32">#REF!</definedName>
    <definedName name="_______STK2">#REF!</definedName>
    <definedName name="_______STK3" localSheetId="42">#REF!</definedName>
    <definedName name="_______STK3" localSheetId="35">#REF!</definedName>
    <definedName name="_______STK3" localSheetId="44">#REF!</definedName>
    <definedName name="_______STK3" localSheetId="41">#REF!</definedName>
    <definedName name="_______STK3" localSheetId="17">#REF!</definedName>
    <definedName name="_______STK3" localSheetId="32">#REF!</definedName>
    <definedName name="_______STK3">#REF!</definedName>
    <definedName name="______cha1" localSheetId="42">#REF!</definedName>
    <definedName name="______cha1" localSheetId="35">#REF!</definedName>
    <definedName name="______cha1" localSheetId="44">#REF!</definedName>
    <definedName name="______cha1" localSheetId="41">#REF!</definedName>
    <definedName name="______cha1" localSheetId="17">#REF!</definedName>
    <definedName name="______cha1" localSheetId="32">#REF!</definedName>
    <definedName name="______cha1">#REF!</definedName>
    <definedName name="______cha2" localSheetId="42">#REF!</definedName>
    <definedName name="______cha2" localSheetId="35">#REF!</definedName>
    <definedName name="______cha2" localSheetId="44">#REF!</definedName>
    <definedName name="______cha2" localSheetId="41">#REF!</definedName>
    <definedName name="______cha2" localSheetId="17">#REF!</definedName>
    <definedName name="______cha2" localSheetId="32">#REF!</definedName>
    <definedName name="______cha2">#REF!</definedName>
    <definedName name="______cha3" localSheetId="42">#REF!</definedName>
    <definedName name="______cha3" localSheetId="35">#REF!</definedName>
    <definedName name="______cha3" localSheetId="44">#REF!</definedName>
    <definedName name="______cha3" localSheetId="41">#REF!</definedName>
    <definedName name="______cha3" localSheetId="17">#REF!</definedName>
    <definedName name="______cha3" localSheetId="32">#REF!</definedName>
    <definedName name="______cha3">#REF!</definedName>
    <definedName name="______cha4" localSheetId="42">#REF!</definedName>
    <definedName name="______cha4" localSheetId="35">#REF!</definedName>
    <definedName name="______cha4" localSheetId="44">#REF!</definedName>
    <definedName name="______cha4" localSheetId="41">#REF!</definedName>
    <definedName name="______cha4" localSheetId="17">#REF!</definedName>
    <definedName name="______cha4" localSheetId="32">#REF!</definedName>
    <definedName name="______cha4">#REF!</definedName>
    <definedName name="______cha5" localSheetId="42">#REF!</definedName>
    <definedName name="______cha5" localSheetId="35">#REF!</definedName>
    <definedName name="______cha5" localSheetId="44">#REF!</definedName>
    <definedName name="______cha5" localSheetId="41">#REF!</definedName>
    <definedName name="______cha5" localSheetId="17">#REF!</definedName>
    <definedName name="______cha5" localSheetId="32">#REF!</definedName>
    <definedName name="______cha5">#REF!</definedName>
    <definedName name="______cha6" localSheetId="42">#REF!</definedName>
    <definedName name="______cha6" localSheetId="35">#REF!</definedName>
    <definedName name="______cha6" localSheetId="44">#REF!</definedName>
    <definedName name="______cha6" localSheetId="41">#REF!</definedName>
    <definedName name="______cha6" localSheetId="17">#REF!</definedName>
    <definedName name="______cha6" localSheetId="32">#REF!</definedName>
    <definedName name="______cha6">#REF!</definedName>
    <definedName name="______crc1">[1]combined!$B$176:$H$232</definedName>
    <definedName name="______crc2">[1]combined!$B$236:$H$301</definedName>
    <definedName name="______crc3">[1]combined!$B$329:$H$387</definedName>
    <definedName name="______GRP1">'[2]BS 590'!$B$313:$G$386</definedName>
    <definedName name="______GRP2">'[2]BS 590'!$B$388:$G$427</definedName>
    <definedName name="______GRP3" localSheetId="13">'[4]BS&amp;PLA'!#REF!</definedName>
    <definedName name="______GRP3" localSheetId="42">'[4]BS&amp;PLA'!#REF!</definedName>
    <definedName name="______GRP3" localSheetId="35">'[4]BS&amp;PLA'!#REF!</definedName>
    <definedName name="______GRP3" localSheetId="44">'[4]BS&amp;PLA'!#REF!</definedName>
    <definedName name="______GRP3" localSheetId="19">'[4]BS&amp;PLA'!#REF!</definedName>
    <definedName name="______GRP3" localSheetId="41">'[4]BS&amp;PLA'!#REF!</definedName>
    <definedName name="______GRP3" localSheetId="4">'[4]BS&amp;PLA'!#REF!</definedName>
    <definedName name="______GRP3" localSheetId="17">'[4]BS&amp;PLA'!#REF!</definedName>
    <definedName name="______GRP3" localSheetId="32">'[4]BS&amp;PLA'!#REF!</definedName>
    <definedName name="______GRP3">'[4]BS&amp;PLA'!#REF!</definedName>
    <definedName name="______GRP4" localSheetId="42">'[4]BS&amp;PLA'!#REF!</definedName>
    <definedName name="______GRP4" localSheetId="35">'[4]BS&amp;PLA'!#REF!</definedName>
    <definedName name="______GRP4" localSheetId="44">'[4]BS&amp;PLA'!#REF!</definedName>
    <definedName name="______GRP4" localSheetId="19">'[4]BS&amp;PLA'!#REF!</definedName>
    <definedName name="______GRP4" localSheetId="17">'[4]BS&amp;PLA'!#REF!</definedName>
    <definedName name="______GRP4" localSheetId="32">'[4]BS&amp;PLA'!#REF!</definedName>
    <definedName name="______GRP4">'[4]BS&amp;PLA'!#REF!</definedName>
    <definedName name="______PG3" localSheetId="42">[5]DEPIT979!#REF!</definedName>
    <definedName name="______PG3" localSheetId="35">[5]DEPIT979!#REF!</definedName>
    <definedName name="______PG3" localSheetId="44">[5]DEPIT979!#REF!</definedName>
    <definedName name="______PG3" localSheetId="17">[5]DEPIT979!#REF!</definedName>
    <definedName name="______PG3" localSheetId="32">[5]DEPIT979!#REF!</definedName>
    <definedName name="______PG3">[5]DEPIT979!#REF!</definedName>
    <definedName name="______sch1">'[2]BS 590'!$B$125:$H$165</definedName>
    <definedName name="______sch2">'[2]BS 590'!$B$166:$H$193</definedName>
    <definedName name="______sch3">'[2]BS 590'!$B$194:$H$231</definedName>
    <definedName name="______sch4">'[2]BS 590'!$B$233:$H$280</definedName>
    <definedName name="______sch5">'[2]BS 590'!$B$281:$H$312</definedName>
    <definedName name="______STK1" localSheetId="42">#REF!</definedName>
    <definedName name="______STK1" localSheetId="35">#REF!</definedName>
    <definedName name="______STK1" localSheetId="44">#REF!</definedName>
    <definedName name="______STK1" localSheetId="19">#REF!</definedName>
    <definedName name="______STK1" localSheetId="41">#REF!</definedName>
    <definedName name="______STK1" localSheetId="17">#REF!</definedName>
    <definedName name="______STK1" localSheetId="32">#REF!</definedName>
    <definedName name="______STK1">#REF!</definedName>
    <definedName name="______STK2" localSheetId="42">#REF!</definedName>
    <definedName name="______STK2" localSheetId="35">#REF!</definedName>
    <definedName name="______STK2" localSheetId="44">#REF!</definedName>
    <definedName name="______STK2" localSheetId="41">#REF!</definedName>
    <definedName name="______STK2" localSheetId="17">#REF!</definedName>
    <definedName name="______STK2" localSheetId="32">#REF!</definedName>
    <definedName name="______STK2">#REF!</definedName>
    <definedName name="______STK3" localSheetId="42">#REF!</definedName>
    <definedName name="______STK3" localSheetId="35">#REF!</definedName>
    <definedName name="______STK3" localSheetId="44">#REF!</definedName>
    <definedName name="______STK3" localSheetId="41">#REF!</definedName>
    <definedName name="______STK3" localSheetId="17">#REF!</definedName>
    <definedName name="______STK3" localSheetId="32">#REF!</definedName>
    <definedName name="______STK3">#REF!</definedName>
    <definedName name="_____cha1" localSheetId="42">#REF!</definedName>
    <definedName name="_____cha1" localSheetId="35">#REF!</definedName>
    <definedName name="_____cha1" localSheetId="44">#REF!</definedName>
    <definedName name="_____cha1" localSheetId="41">#REF!</definedName>
    <definedName name="_____cha1" localSheetId="17">#REF!</definedName>
    <definedName name="_____cha1" localSheetId="32">#REF!</definedName>
    <definedName name="_____cha1">#REF!</definedName>
    <definedName name="_____cha2" localSheetId="42">#REF!</definedName>
    <definedName name="_____cha2" localSheetId="35">#REF!</definedName>
    <definedName name="_____cha2" localSheetId="44">#REF!</definedName>
    <definedName name="_____cha2" localSheetId="41">#REF!</definedName>
    <definedName name="_____cha2" localSheetId="17">#REF!</definedName>
    <definedName name="_____cha2" localSheetId="32">#REF!</definedName>
    <definedName name="_____cha2">#REF!</definedName>
    <definedName name="_____cha3" localSheetId="42">#REF!</definedName>
    <definedName name="_____cha3" localSheetId="35">#REF!</definedName>
    <definedName name="_____cha3" localSheetId="44">#REF!</definedName>
    <definedName name="_____cha3" localSheetId="41">#REF!</definedName>
    <definedName name="_____cha3" localSheetId="17">#REF!</definedName>
    <definedName name="_____cha3" localSheetId="32">#REF!</definedName>
    <definedName name="_____cha3">#REF!</definedName>
    <definedName name="_____cha4" localSheetId="42">#REF!</definedName>
    <definedName name="_____cha4" localSheetId="35">#REF!</definedName>
    <definedName name="_____cha4" localSheetId="44">#REF!</definedName>
    <definedName name="_____cha4" localSheetId="41">#REF!</definedName>
    <definedName name="_____cha4" localSheetId="17">#REF!</definedName>
    <definedName name="_____cha4" localSheetId="32">#REF!</definedName>
    <definedName name="_____cha4">#REF!</definedName>
    <definedName name="_____cha5" localSheetId="42">#REF!</definedName>
    <definedName name="_____cha5" localSheetId="35">#REF!</definedName>
    <definedName name="_____cha5" localSheetId="44">#REF!</definedName>
    <definedName name="_____cha5" localSheetId="41">#REF!</definedName>
    <definedName name="_____cha5" localSheetId="17">#REF!</definedName>
    <definedName name="_____cha5" localSheetId="32">#REF!</definedName>
    <definedName name="_____cha5">#REF!</definedName>
    <definedName name="_____cha6" localSheetId="42">#REF!</definedName>
    <definedName name="_____cha6" localSheetId="35">#REF!</definedName>
    <definedName name="_____cha6" localSheetId="44">#REF!</definedName>
    <definedName name="_____cha6" localSheetId="41">#REF!</definedName>
    <definedName name="_____cha6" localSheetId="17">#REF!</definedName>
    <definedName name="_____cha6" localSheetId="32">#REF!</definedName>
    <definedName name="_____cha6">#REF!</definedName>
    <definedName name="_____crc1">[1]combined!$B$176:$H$232</definedName>
    <definedName name="_____crc2">[1]combined!$B$236:$H$301</definedName>
    <definedName name="_____crc3">[1]combined!$B$329:$H$387</definedName>
    <definedName name="_____DAT1" localSheetId="42">#REF!</definedName>
    <definedName name="_____DAT1" localSheetId="35">#REF!</definedName>
    <definedName name="_____DAT1" localSheetId="44">#REF!</definedName>
    <definedName name="_____DAT1" localSheetId="19">#REF!</definedName>
    <definedName name="_____DAT1" localSheetId="41">#REF!</definedName>
    <definedName name="_____DAT1" localSheetId="17">#REF!</definedName>
    <definedName name="_____DAT1" localSheetId="32">#REF!</definedName>
    <definedName name="_____DAT1">#REF!</definedName>
    <definedName name="_____DAT10" localSheetId="42">#REF!</definedName>
    <definedName name="_____DAT10" localSheetId="35">#REF!</definedName>
    <definedName name="_____DAT10" localSheetId="44">#REF!</definedName>
    <definedName name="_____DAT10" localSheetId="41">#REF!</definedName>
    <definedName name="_____DAT10" localSheetId="17">#REF!</definedName>
    <definedName name="_____DAT10" localSheetId="32">#REF!</definedName>
    <definedName name="_____DAT10">#REF!</definedName>
    <definedName name="_____DAT11" localSheetId="42">#REF!</definedName>
    <definedName name="_____DAT11" localSheetId="35">#REF!</definedName>
    <definedName name="_____DAT11" localSheetId="44">#REF!</definedName>
    <definedName name="_____DAT11" localSheetId="41">#REF!</definedName>
    <definedName name="_____DAT11" localSheetId="17">#REF!</definedName>
    <definedName name="_____DAT11" localSheetId="32">#REF!</definedName>
    <definedName name="_____DAT11">#REF!</definedName>
    <definedName name="_____DAT12" localSheetId="42">#REF!</definedName>
    <definedName name="_____DAT12" localSheetId="35">#REF!</definedName>
    <definedName name="_____DAT12" localSheetId="44">#REF!</definedName>
    <definedName name="_____DAT12" localSheetId="41">#REF!</definedName>
    <definedName name="_____DAT12" localSheetId="17">#REF!</definedName>
    <definedName name="_____DAT12" localSheetId="32">#REF!</definedName>
    <definedName name="_____DAT12">#REF!</definedName>
    <definedName name="_____DAT13" localSheetId="42">#REF!</definedName>
    <definedName name="_____DAT13" localSheetId="35">#REF!</definedName>
    <definedName name="_____DAT13" localSheetId="44">#REF!</definedName>
    <definedName name="_____DAT13" localSheetId="41">#REF!</definedName>
    <definedName name="_____DAT13" localSheetId="17">#REF!</definedName>
    <definedName name="_____DAT13" localSheetId="32">#REF!</definedName>
    <definedName name="_____DAT13">#REF!</definedName>
    <definedName name="_____DAT2" localSheetId="42">#REF!</definedName>
    <definedName name="_____DAT2" localSheetId="35">#REF!</definedName>
    <definedName name="_____DAT2" localSheetId="44">#REF!</definedName>
    <definedName name="_____DAT2" localSheetId="41">#REF!</definedName>
    <definedName name="_____DAT2" localSheetId="17">#REF!</definedName>
    <definedName name="_____DAT2" localSheetId="32">#REF!</definedName>
    <definedName name="_____DAT2">#REF!</definedName>
    <definedName name="_____DAT3" localSheetId="42">#REF!</definedName>
    <definedName name="_____DAT3" localSheetId="35">#REF!</definedName>
    <definedName name="_____DAT3" localSheetId="44">#REF!</definedName>
    <definedName name="_____DAT3" localSheetId="41">#REF!</definedName>
    <definedName name="_____DAT3" localSheetId="17">#REF!</definedName>
    <definedName name="_____DAT3" localSheetId="32">#REF!</definedName>
    <definedName name="_____DAT3">#REF!</definedName>
    <definedName name="_____DAT4" localSheetId="42">#REF!</definedName>
    <definedName name="_____DAT4" localSheetId="35">#REF!</definedName>
    <definedName name="_____DAT4" localSheetId="44">#REF!</definedName>
    <definedName name="_____DAT4" localSheetId="41">#REF!</definedName>
    <definedName name="_____DAT4" localSheetId="17">#REF!</definedName>
    <definedName name="_____DAT4" localSheetId="32">#REF!</definedName>
    <definedName name="_____DAT4">#REF!</definedName>
    <definedName name="_____DAT5" localSheetId="42">#REF!</definedName>
    <definedName name="_____DAT5" localSheetId="35">#REF!</definedName>
    <definedName name="_____DAT5" localSheetId="44">#REF!</definedName>
    <definedName name="_____DAT5" localSheetId="41">#REF!</definedName>
    <definedName name="_____DAT5" localSheetId="17">#REF!</definedName>
    <definedName name="_____DAT5" localSheetId="32">#REF!</definedName>
    <definedName name="_____DAT5">#REF!</definedName>
    <definedName name="_____DAT6" localSheetId="42">#REF!</definedName>
    <definedName name="_____DAT6" localSheetId="35">#REF!</definedName>
    <definedName name="_____DAT6" localSheetId="44">#REF!</definedName>
    <definedName name="_____DAT6" localSheetId="41">#REF!</definedName>
    <definedName name="_____DAT6" localSheetId="17">#REF!</definedName>
    <definedName name="_____DAT6" localSheetId="32">#REF!</definedName>
    <definedName name="_____DAT6">#REF!</definedName>
    <definedName name="_____DAT7" localSheetId="42">#REF!</definedName>
    <definedName name="_____DAT7" localSheetId="35">#REF!</definedName>
    <definedName name="_____DAT7" localSheetId="44">#REF!</definedName>
    <definedName name="_____DAT7" localSheetId="41">#REF!</definedName>
    <definedName name="_____DAT7" localSheetId="17">#REF!</definedName>
    <definedName name="_____DAT7" localSheetId="32">#REF!</definedName>
    <definedName name="_____DAT7">#REF!</definedName>
    <definedName name="_____DAT8" localSheetId="42">#REF!</definedName>
    <definedName name="_____DAT8" localSheetId="35">#REF!</definedName>
    <definedName name="_____DAT8" localSheetId="44">#REF!</definedName>
    <definedName name="_____DAT8" localSheetId="41">#REF!</definedName>
    <definedName name="_____DAT8" localSheetId="17">#REF!</definedName>
    <definedName name="_____DAT8" localSheetId="32">#REF!</definedName>
    <definedName name="_____DAT8">#REF!</definedName>
    <definedName name="_____DAT9" localSheetId="42">#REF!</definedName>
    <definedName name="_____DAT9" localSheetId="35">#REF!</definedName>
    <definedName name="_____DAT9" localSheetId="44">#REF!</definedName>
    <definedName name="_____DAT9" localSheetId="41">#REF!</definedName>
    <definedName name="_____DAT9" localSheetId="17">#REF!</definedName>
    <definedName name="_____DAT9" localSheetId="32">#REF!</definedName>
    <definedName name="_____DAT9">#REF!</definedName>
    <definedName name="_____GRP1">'[2]BS 590'!$B$313:$G$386</definedName>
    <definedName name="_____GRP2">'[2]BS 590'!$B$388:$G$427</definedName>
    <definedName name="_____GRP3" localSheetId="13">'[4]BS&amp;PLA'!#REF!</definedName>
    <definedName name="_____GRP3" localSheetId="42">'[4]BS&amp;PLA'!#REF!</definedName>
    <definedName name="_____GRP3" localSheetId="35">'[4]BS&amp;PLA'!#REF!</definedName>
    <definedName name="_____GRP3" localSheetId="44">'[4]BS&amp;PLA'!#REF!</definedName>
    <definedName name="_____GRP3" localSheetId="19">'[4]BS&amp;PLA'!#REF!</definedName>
    <definedName name="_____GRP3" localSheetId="41">'[4]BS&amp;PLA'!#REF!</definedName>
    <definedName name="_____GRP3" localSheetId="4">'[4]BS&amp;PLA'!#REF!</definedName>
    <definedName name="_____GRP3" localSheetId="17">'[4]BS&amp;PLA'!#REF!</definedName>
    <definedName name="_____GRP3" localSheetId="32">'[4]BS&amp;PLA'!#REF!</definedName>
    <definedName name="_____GRP3">'[4]BS&amp;PLA'!#REF!</definedName>
    <definedName name="_____GRP4" localSheetId="42">'[4]BS&amp;PLA'!#REF!</definedName>
    <definedName name="_____GRP4" localSheetId="35">'[4]BS&amp;PLA'!#REF!</definedName>
    <definedName name="_____GRP4" localSheetId="44">'[4]BS&amp;PLA'!#REF!</definedName>
    <definedName name="_____GRP4" localSheetId="19">'[4]BS&amp;PLA'!#REF!</definedName>
    <definedName name="_____GRP4" localSheetId="17">'[4]BS&amp;PLA'!#REF!</definedName>
    <definedName name="_____GRP4" localSheetId="32">'[4]BS&amp;PLA'!#REF!</definedName>
    <definedName name="_____GRP4">'[4]BS&amp;PLA'!#REF!</definedName>
    <definedName name="_____PG3" localSheetId="42">[5]DEPIT979!#REF!</definedName>
    <definedName name="_____PG3" localSheetId="35">[5]DEPIT979!#REF!</definedName>
    <definedName name="_____PG3" localSheetId="44">[5]DEPIT979!#REF!</definedName>
    <definedName name="_____PG3" localSheetId="17">[5]DEPIT979!#REF!</definedName>
    <definedName name="_____PG3" localSheetId="32">[5]DEPIT979!#REF!</definedName>
    <definedName name="_____PG3">[5]DEPIT979!#REF!</definedName>
    <definedName name="_____sch1">'[2]BS 590'!$B$125:$H$165</definedName>
    <definedName name="_____sch2">'[2]BS 590'!$B$166:$H$193</definedName>
    <definedName name="_____sch3">'[2]BS 590'!$B$194:$H$231</definedName>
    <definedName name="_____sch4">'[2]BS 590'!$B$233:$H$280</definedName>
    <definedName name="_____sch5">'[2]BS 590'!$B$281:$H$312</definedName>
    <definedName name="_____STK1" localSheetId="42">#REF!</definedName>
    <definedName name="_____STK1" localSheetId="35">#REF!</definedName>
    <definedName name="_____STK1" localSheetId="44">#REF!</definedName>
    <definedName name="_____STK1" localSheetId="19">#REF!</definedName>
    <definedName name="_____STK1" localSheetId="41">#REF!</definedName>
    <definedName name="_____STK1" localSheetId="17">#REF!</definedName>
    <definedName name="_____STK1" localSheetId="32">#REF!</definedName>
    <definedName name="_____STK1">#REF!</definedName>
    <definedName name="_____STK2" localSheetId="42">#REF!</definedName>
    <definedName name="_____STK2" localSheetId="35">#REF!</definedName>
    <definedName name="_____STK2" localSheetId="44">#REF!</definedName>
    <definedName name="_____STK2" localSheetId="41">#REF!</definedName>
    <definedName name="_____STK2" localSheetId="17">#REF!</definedName>
    <definedName name="_____STK2" localSheetId="32">#REF!</definedName>
    <definedName name="_____STK2">#REF!</definedName>
    <definedName name="_____STK3" localSheetId="42">#REF!</definedName>
    <definedName name="_____STK3" localSheetId="35">#REF!</definedName>
    <definedName name="_____STK3" localSheetId="44">#REF!</definedName>
    <definedName name="_____STK3" localSheetId="41">#REF!</definedName>
    <definedName name="_____STK3" localSheetId="17">#REF!</definedName>
    <definedName name="_____STK3" localSheetId="32">#REF!</definedName>
    <definedName name="_____STK3">#REF!</definedName>
    <definedName name="____cha1" localSheetId="42">#REF!</definedName>
    <definedName name="____cha1" localSheetId="35">#REF!</definedName>
    <definedName name="____cha1" localSheetId="44">#REF!</definedName>
    <definedName name="____cha1" localSheetId="41">#REF!</definedName>
    <definedName name="____cha1" localSheetId="17">#REF!</definedName>
    <definedName name="____cha1" localSheetId="32">#REF!</definedName>
    <definedName name="____cha1">#REF!</definedName>
    <definedName name="____cha2" localSheetId="42">#REF!</definedName>
    <definedName name="____cha2" localSheetId="35">#REF!</definedName>
    <definedName name="____cha2" localSheetId="44">#REF!</definedName>
    <definedName name="____cha2" localSheetId="41">#REF!</definedName>
    <definedName name="____cha2" localSheetId="17">#REF!</definedName>
    <definedName name="____cha2" localSheetId="32">#REF!</definedName>
    <definedName name="____cha2">#REF!</definedName>
    <definedName name="____cha3" localSheetId="42">#REF!</definedName>
    <definedName name="____cha3" localSheetId="35">#REF!</definedName>
    <definedName name="____cha3" localSheetId="44">#REF!</definedName>
    <definedName name="____cha3" localSheetId="41">#REF!</definedName>
    <definedName name="____cha3" localSheetId="17">#REF!</definedName>
    <definedName name="____cha3" localSheetId="32">#REF!</definedName>
    <definedName name="____cha3">#REF!</definedName>
    <definedName name="____cha4" localSheetId="42">#REF!</definedName>
    <definedName name="____cha4" localSheetId="35">#REF!</definedName>
    <definedName name="____cha4" localSheetId="44">#REF!</definedName>
    <definedName name="____cha4" localSheetId="41">#REF!</definedName>
    <definedName name="____cha4" localSheetId="17">#REF!</definedName>
    <definedName name="____cha4" localSheetId="32">#REF!</definedName>
    <definedName name="____cha4">#REF!</definedName>
    <definedName name="____cha5" localSheetId="42">#REF!</definedName>
    <definedName name="____cha5" localSheetId="35">#REF!</definedName>
    <definedName name="____cha5" localSheetId="44">#REF!</definedName>
    <definedName name="____cha5" localSheetId="41">#REF!</definedName>
    <definedName name="____cha5" localSheetId="17">#REF!</definedName>
    <definedName name="____cha5" localSheetId="32">#REF!</definedName>
    <definedName name="____cha5">#REF!</definedName>
    <definedName name="____cha6" localSheetId="42">#REF!</definedName>
    <definedName name="____cha6" localSheetId="35">#REF!</definedName>
    <definedName name="____cha6" localSheetId="44">#REF!</definedName>
    <definedName name="____cha6" localSheetId="41">#REF!</definedName>
    <definedName name="____cha6" localSheetId="17">#REF!</definedName>
    <definedName name="____cha6" localSheetId="32">#REF!</definedName>
    <definedName name="____cha6">#REF!</definedName>
    <definedName name="____crc1">[1]combined!$B$176:$H$232</definedName>
    <definedName name="____crc2">[1]combined!$B$236:$H$301</definedName>
    <definedName name="____crc3">[1]combined!$B$329:$H$387</definedName>
    <definedName name="____DAT1" localSheetId="42">#REF!</definedName>
    <definedName name="____DAT1" localSheetId="35">#REF!</definedName>
    <definedName name="____DAT1" localSheetId="44">#REF!</definedName>
    <definedName name="____DAT1" localSheetId="19">#REF!</definedName>
    <definedName name="____DAT1" localSheetId="41">#REF!</definedName>
    <definedName name="____DAT1" localSheetId="17">#REF!</definedName>
    <definedName name="____DAT1" localSheetId="32">#REF!</definedName>
    <definedName name="____DAT1">#REF!</definedName>
    <definedName name="____DAT10" localSheetId="42">#REF!</definedName>
    <definedName name="____DAT10" localSheetId="35">#REF!</definedName>
    <definedName name="____DAT10" localSheetId="44">#REF!</definedName>
    <definedName name="____DAT10" localSheetId="41">#REF!</definedName>
    <definedName name="____DAT10" localSheetId="17">#REF!</definedName>
    <definedName name="____DAT10" localSheetId="32">#REF!</definedName>
    <definedName name="____DAT10">#REF!</definedName>
    <definedName name="____DAT11" localSheetId="42">#REF!</definedName>
    <definedName name="____DAT11" localSheetId="35">#REF!</definedName>
    <definedName name="____DAT11" localSheetId="44">#REF!</definedName>
    <definedName name="____DAT11" localSheetId="41">#REF!</definedName>
    <definedName name="____DAT11" localSheetId="17">#REF!</definedName>
    <definedName name="____DAT11" localSheetId="32">#REF!</definedName>
    <definedName name="____DAT11">#REF!</definedName>
    <definedName name="____DAT12" localSheetId="42">#REF!</definedName>
    <definedName name="____DAT12" localSheetId="35">#REF!</definedName>
    <definedName name="____DAT12" localSheetId="44">#REF!</definedName>
    <definedName name="____DAT12" localSheetId="41">#REF!</definedName>
    <definedName name="____DAT12" localSheetId="17">#REF!</definedName>
    <definedName name="____DAT12" localSheetId="32">#REF!</definedName>
    <definedName name="____DAT12">#REF!</definedName>
    <definedName name="____DAT13" localSheetId="42">#REF!</definedName>
    <definedName name="____DAT13" localSheetId="35">#REF!</definedName>
    <definedName name="____DAT13" localSheetId="44">#REF!</definedName>
    <definedName name="____DAT13" localSheetId="41">#REF!</definedName>
    <definedName name="____DAT13" localSheetId="17">#REF!</definedName>
    <definedName name="____DAT13" localSheetId="32">#REF!</definedName>
    <definedName name="____DAT13">#REF!</definedName>
    <definedName name="____DAT2" localSheetId="42">#REF!</definedName>
    <definedName name="____DAT2" localSheetId="35">#REF!</definedName>
    <definedName name="____DAT2" localSheetId="44">#REF!</definedName>
    <definedName name="____DAT2" localSheetId="41">#REF!</definedName>
    <definedName name="____DAT2" localSheetId="17">#REF!</definedName>
    <definedName name="____DAT2" localSheetId="32">#REF!</definedName>
    <definedName name="____DAT2">#REF!</definedName>
    <definedName name="____DAT3" localSheetId="42">#REF!</definedName>
    <definedName name="____DAT3" localSheetId="35">#REF!</definedName>
    <definedName name="____DAT3" localSheetId="44">#REF!</definedName>
    <definedName name="____DAT3" localSheetId="41">#REF!</definedName>
    <definedName name="____DAT3" localSheetId="17">#REF!</definedName>
    <definedName name="____DAT3" localSheetId="32">#REF!</definedName>
    <definedName name="____DAT3">#REF!</definedName>
    <definedName name="____DAT4" localSheetId="42">#REF!</definedName>
    <definedName name="____DAT4" localSheetId="35">#REF!</definedName>
    <definedName name="____DAT4" localSheetId="44">#REF!</definedName>
    <definedName name="____DAT4" localSheetId="41">#REF!</definedName>
    <definedName name="____DAT4" localSheetId="17">#REF!</definedName>
    <definedName name="____DAT4" localSheetId="32">#REF!</definedName>
    <definedName name="____DAT4">#REF!</definedName>
    <definedName name="____DAT5" localSheetId="42">#REF!</definedName>
    <definedName name="____DAT5" localSheetId="35">#REF!</definedName>
    <definedName name="____DAT5" localSheetId="44">#REF!</definedName>
    <definedName name="____DAT5" localSheetId="41">#REF!</definedName>
    <definedName name="____DAT5" localSheetId="17">#REF!</definedName>
    <definedName name="____DAT5" localSheetId="32">#REF!</definedName>
    <definedName name="____DAT5">#REF!</definedName>
    <definedName name="____DAT6" localSheetId="42">#REF!</definedName>
    <definedName name="____DAT6" localSheetId="35">#REF!</definedName>
    <definedName name="____DAT6" localSheetId="44">#REF!</definedName>
    <definedName name="____DAT6" localSheetId="41">#REF!</definedName>
    <definedName name="____DAT6" localSheetId="17">#REF!</definedName>
    <definedName name="____DAT6" localSheetId="32">#REF!</definedName>
    <definedName name="____DAT6">#REF!</definedName>
    <definedName name="____DAT7" localSheetId="42">#REF!</definedName>
    <definedName name="____DAT7" localSheetId="35">#REF!</definedName>
    <definedName name="____DAT7" localSheetId="44">#REF!</definedName>
    <definedName name="____DAT7" localSheetId="41">#REF!</definedName>
    <definedName name="____DAT7" localSheetId="17">#REF!</definedName>
    <definedName name="____DAT7" localSheetId="32">#REF!</definedName>
    <definedName name="____DAT7">#REF!</definedName>
    <definedName name="____DAT8" localSheetId="42">#REF!</definedName>
    <definedName name="____DAT8" localSheetId="35">#REF!</definedName>
    <definedName name="____DAT8" localSheetId="44">#REF!</definedName>
    <definedName name="____DAT8" localSheetId="41">#REF!</definedName>
    <definedName name="____DAT8" localSheetId="17">#REF!</definedName>
    <definedName name="____DAT8" localSheetId="32">#REF!</definedName>
    <definedName name="____DAT8">#REF!</definedName>
    <definedName name="____DAT9" localSheetId="42">#REF!</definedName>
    <definedName name="____DAT9" localSheetId="35">#REF!</definedName>
    <definedName name="____DAT9" localSheetId="44">#REF!</definedName>
    <definedName name="____DAT9" localSheetId="41">#REF!</definedName>
    <definedName name="____DAT9" localSheetId="17">#REF!</definedName>
    <definedName name="____DAT9" localSheetId="32">#REF!</definedName>
    <definedName name="____DAT9">#REF!</definedName>
    <definedName name="____GRP1">'[2]BS 590'!$B$313:$G$386</definedName>
    <definedName name="____GRP2">'[2]BS 590'!$B$388:$G$427</definedName>
    <definedName name="____GRP3" localSheetId="13">'[4]BS&amp;PLA'!#REF!</definedName>
    <definedName name="____GRP3" localSheetId="42">'[4]BS&amp;PLA'!#REF!</definedName>
    <definedName name="____GRP3" localSheetId="35">'[4]BS&amp;PLA'!#REF!</definedName>
    <definedName name="____GRP3" localSheetId="44">'[4]BS&amp;PLA'!#REF!</definedName>
    <definedName name="____GRP3" localSheetId="19">'[4]BS&amp;PLA'!#REF!</definedName>
    <definedName name="____GRP3" localSheetId="41">'[4]BS&amp;PLA'!#REF!</definedName>
    <definedName name="____GRP3" localSheetId="4">'[4]BS&amp;PLA'!#REF!</definedName>
    <definedName name="____GRP3" localSheetId="17">'[4]BS&amp;PLA'!#REF!</definedName>
    <definedName name="____GRP3" localSheetId="32">'[4]BS&amp;PLA'!#REF!</definedName>
    <definedName name="____GRP3">'[4]BS&amp;PLA'!#REF!</definedName>
    <definedName name="____GRP4" localSheetId="42">'[4]BS&amp;PLA'!#REF!</definedName>
    <definedName name="____GRP4" localSheetId="35">'[4]BS&amp;PLA'!#REF!</definedName>
    <definedName name="____GRP4" localSheetId="44">'[4]BS&amp;PLA'!#REF!</definedName>
    <definedName name="____GRP4" localSheetId="19">'[4]BS&amp;PLA'!#REF!</definedName>
    <definedName name="____GRP4" localSheetId="17">'[4]BS&amp;PLA'!#REF!</definedName>
    <definedName name="____GRP4" localSheetId="32">'[4]BS&amp;PLA'!#REF!</definedName>
    <definedName name="____GRP4">'[4]BS&amp;PLA'!#REF!</definedName>
    <definedName name="____sch1">'[2]BS 590'!$B$125:$H$165</definedName>
    <definedName name="____sch2">'[2]BS 590'!$B$166:$H$193</definedName>
    <definedName name="____sch3">'[2]BS 590'!$B$194:$H$231</definedName>
    <definedName name="____sch4">'[2]BS 590'!$B$233:$H$280</definedName>
    <definedName name="____sch5">'[2]BS 590'!$B$281:$H$312</definedName>
    <definedName name="____STK1" localSheetId="42">#REF!</definedName>
    <definedName name="____STK1" localSheetId="35">#REF!</definedName>
    <definedName name="____STK1" localSheetId="44">#REF!</definedName>
    <definedName name="____STK1" localSheetId="19">#REF!</definedName>
    <definedName name="____STK1" localSheetId="41">#REF!</definedName>
    <definedName name="____STK1" localSheetId="17">#REF!</definedName>
    <definedName name="____STK1" localSheetId="32">#REF!</definedName>
    <definedName name="____STK1">#REF!</definedName>
    <definedName name="____STK2" localSheetId="42">#REF!</definedName>
    <definedName name="____STK2" localSheetId="35">#REF!</definedName>
    <definedName name="____STK2" localSheetId="44">#REF!</definedName>
    <definedName name="____STK2" localSheetId="41">#REF!</definedName>
    <definedName name="____STK2" localSheetId="17">#REF!</definedName>
    <definedName name="____STK2" localSheetId="32">#REF!</definedName>
    <definedName name="____STK2">#REF!</definedName>
    <definedName name="____STK3" localSheetId="42">#REF!</definedName>
    <definedName name="____STK3" localSheetId="35">#REF!</definedName>
    <definedName name="____STK3" localSheetId="44">#REF!</definedName>
    <definedName name="____STK3" localSheetId="41">#REF!</definedName>
    <definedName name="____STK3" localSheetId="17">#REF!</definedName>
    <definedName name="____STK3" localSheetId="32">#REF!</definedName>
    <definedName name="____STK3">#REF!</definedName>
    <definedName name="___cha1" localSheetId="42">#REF!</definedName>
    <definedName name="___cha1" localSheetId="35">#REF!</definedName>
    <definedName name="___cha1" localSheetId="44">#REF!</definedName>
    <definedName name="___cha1" localSheetId="19">#REF!</definedName>
    <definedName name="___cha1" localSheetId="41">#REF!</definedName>
    <definedName name="___cha1" localSheetId="17">#REF!</definedName>
    <definedName name="___cha1" localSheetId="32">#REF!</definedName>
    <definedName name="___cha1">#REF!</definedName>
    <definedName name="___cha2" localSheetId="42">#REF!</definedName>
    <definedName name="___cha2" localSheetId="35">#REF!</definedName>
    <definedName name="___cha2" localSheetId="44">#REF!</definedName>
    <definedName name="___cha2" localSheetId="19">#REF!</definedName>
    <definedName name="___cha2" localSheetId="41">#REF!</definedName>
    <definedName name="___cha2" localSheetId="17">#REF!</definedName>
    <definedName name="___cha2" localSheetId="32">#REF!</definedName>
    <definedName name="___cha2">#REF!</definedName>
    <definedName name="___cha3" localSheetId="42">#REF!</definedName>
    <definedName name="___cha3" localSheetId="35">#REF!</definedName>
    <definedName name="___cha3" localSheetId="44">#REF!</definedName>
    <definedName name="___cha3" localSheetId="19">#REF!</definedName>
    <definedName name="___cha3" localSheetId="41">#REF!</definedName>
    <definedName name="___cha3" localSheetId="17">#REF!</definedName>
    <definedName name="___cha3" localSheetId="32">#REF!</definedName>
    <definedName name="___cha3">#REF!</definedName>
    <definedName name="___cha4" localSheetId="42">#REF!</definedName>
    <definedName name="___cha4" localSheetId="35">#REF!</definedName>
    <definedName name="___cha4" localSheetId="44">#REF!</definedName>
    <definedName name="___cha4" localSheetId="19">#REF!</definedName>
    <definedName name="___cha4" localSheetId="41">#REF!</definedName>
    <definedName name="___cha4" localSheetId="17">#REF!</definedName>
    <definedName name="___cha4" localSheetId="32">#REF!</definedName>
    <definedName name="___cha4">#REF!</definedName>
    <definedName name="___cha5" localSheetId="42">#REF!</definedName>
    <definedName name="___cha5" localSheetId="35">#REF!</definedName>
    <definedName name="___cha5" localSheetId="44">#REF!</definedName>
    <definedName name="___cha5" localSheetId="19">#REF!</definedName>
    <definedName name="___cha5" localSheetId="41">#REF!</definedName>
    <definedName name="___cha5" localSheetId="17">#REF!</definedName>
    <definedName name="___cha5" localSheetId="32">#REF!</definedName>
    <definedName name="___cha5">#REF!</definedName>
    <definedName name="___cha6" localSheetId="42">#REF!</definedName>
    <definedName name="___cha6" localSheetId="35">#REF!</definedName>
    <definedName name="___cha6" localSheetId="44">#REF!</definedName>
    <definedName name="___cha6" localSheetId="19">#REF!</definedName>
    <definedName name="___cha6" localSheetId="41">#REF!</definedName>
    <definedName name="___cha6" localSheetId="17">#REF!</definedName>
    <definedName name="___cha6" localSheetId="32">#REF!</definedName>
    <definedName name="___cha6">#REF!</definedName>
    <definedName name="___crc1">[1]combined!$B$176:$H$232</definedName>
    <definedName name="___crc2">[1]combined!$B$236:$H$301</definedName>
    <definedName name="___crc3">[1]combined!$B$329:$H$387</definedName>
    <definedName name="___DAT1" localSheetId="42">#REF!</definedName>
    <definedName name="___DAT1" localSheetId="35">#REF!</definedName>
    <definedName name="___DAT1" localSheetId="44">#REF!</definedName>
    <definedName name="___DAT1" localSheetId="19">#REF!</definedName>
    <definedName name="___DAT1" localSheetId="41">#REF!</definedName>
    <definedName name="___DAT1" localSheetId="17">#REF!</definedName>
    <definedName name="___DAT1" localSheetId="32">#REF!</definedName>
    <definedName name="___DAT1">#REF!</definedName>
    <definedName name="___DAT10" localSheetId="42">#REF!</definedName>
    <definedName name="___DAT10" localSheetId="35">#REF!</definedName>
    <definedName name="___DAT10" localSheetId="44">#REF!</definedName>
    <definedName name="___DAT10" localSheetId="41">#REF!</definedName>
    <definedName name="___DAT10" localSheetId="17">#REF!</definedName>
    <definedName name="___DAT10" localSheetId="32">#REF!</definedName>
    <definedName name="___DAT10">#REF!</definedName>
    <definedName name="___DAT11" localSheetId="42">#REF!</definedName>
    <definedName name="___DAT11" localSheetId="35">#REF!</definedName>
    <definedName name="___DAT11" localSheetId="44">#REF!</definedName>
    <definedName name="___DAT11" localSheetId="41">#REF!</definedName>
    <definedName name="___DAT11" localSheetId="17">#REF!</definedName>
    <definedName name="___DAT11" localSheetId="32">#REF!</definedName>
    <definedName name="___DAT11">#REF!</definedName>
    <definedName name="___DAT12" localSheetId="42">#REF!</definedName>
    <definedName name="___DAT12" localSheetId="35">#REF!</definedName>
    <definedName name="___DAT12" localSheetId="44">#REF!</definedName>
    <definedName name="___DAT12" localSheetId="41">#REF!</definedName>
    <definedName name="___DAT12" localSheetId="17">#REF!</definedName>
    <definedName name="___DAT12" localSheetId="32">#REF!</definedName>
    <definedName name="___DAT12">#REF!</definedName>
    <definedName name="___DAT13" localSheetId="42">#REF!</definedName>
    <definedName name="___DAT13" localSheetId="35">#REF!</definedName>
    <definedName name="___DAT13" localSheetId="44">#REF!</definedName>
    <definedName name="___DAT13" localSheetId="41">#REF!</definedName>
    <definedName name="___DAT13" localSheetId="17">#REF!</definedName>
    <definedName name="___DAT13" localSheetId="32">#REF!</definedName>
    <definedName name="___DAT13">#REF!</definedName>
    <definedName name="___DAT2" localSheetId="42">#REF!</definedName>
    <definedName name="___DAT2" localSheetId="35">#REF!</definedName>
    <definedName name="___DAT2" localSheetId="44">#REF!</definedName>
    <definedName name="___DAT2" localSheetId="41">#REF!</definedName>
    <definedName name="___DAT2" localSheetId="17">#REF!</definedName>
    <definedName name="___DAT2" localSheetId="32">#REF!</definedName>
    <definedName name="___DAT2">#REF!</definedName>
    <definedName name="___DAT3" localSheetId="42">#REF!</definedName>
    <definedName name="___DAT3" localSheetId="35">#REF!</definedName>
    <definedName name="___DAT3" localSheetId="44">#REF!</definedName>
    <definedName name="___DAT3" localSheetId="41">#REF!</definedName>
    <definedName name="___DAT3" localSheetId="17">#REF!</definedName>
    <definedName name="___DAT3" localSheetId="32">#REF!</definedName>
    <definedName name="___DAT3">#REF!</definedName>
    <definedName name="___DAT4" localSheetId="42">#REF!</definedName>
    <definedName name="___DAT4" localSheetId="35">#REF!</definedName>
    <definedName name="___DAT4" localSheetId="44">#REF!</definedName>
    <definedName name="___DAT4" localSheetId="41">#REF!</definedName>
    <definedName name="___DAT4" localSheetId="17">#REF!</definedName>
    <definedName name="___DAT4" localSheetId="32">#REF!</definedName>
    <definedName name="___DAT4">#REF!</definedName>
    <definedName name="___DAT5" localSheetId="42">#REF!</definedName>
    <definedName name="___DAT5" localSheetId="35">#REF!</definedName>
    <definedName name="___DAT5" localSheetId="44">#REF!</definedName>
    <definedName name="___DAT5" localSheetId="41">#REF!</definedName>
    <definedName name="___DAT5" localSheetId="17">#REF!</definedName>
    <definedName name="___DAT5" localSheetId="32">#REF!</definedName>
    <definedName name="___DAT5">#REF!</definedName>
    <definedName name="___DAT6" localSheetId="42">#REF!</definedName>
    <definedName name="___DAT6" localSheetId="35">#REF!</definedName>
    <definedName name="___DAT6" localSheetId="44">#REF!</definedName>
    <definedName name="___DAT6" localSheetId="41">#REF!</definedName>
    <definedName name="___DAT6" localSheetId="17">#REF!</definedName>
    <definedName name="___DAT6" localSheetId="32">#REF!</definedName>
    <definedName name="___DAT6">#REF!</definedName>
    <definedName name="___DAT7" localSheetId="42">#REF!</definedName>
    <definedName name="___DAT7" localSheetId="35">#REF!</definedName>
    <definedName name="___DAT7" localSheetId="44">#REF!</definedName>
    <definedName name="___DAT7" localSheetId="41">#REF!</definedName>
    <definedName name="___DAT7" localSheetId="17">#REF!</definedName>
    <definedName name="___DAT7" localSheetId="32">#REF!</definedName>
    <definedName name="___DAT7">#REF!</definedName>
    <definedName name="___DAT8" localSheetId="42">#REF!</definedName>
    <definedName name="___DAT8" localSheetId="35">#REF!</definedName>
    <definedName name="___DAT8" localSheetId="44">#REF!</definedName>
    <definedName name="___DAT8" localSheetId="41">#REF!</definedName>
    <definedName name="___DAT8" localSheetId="17">#REF!</definedName>
    <definedName name="___DAT8" localSheetId="32">#REF!</definedName>
    <definedName name="___DAT8">#REF!</definedName>
    <definedName name="___DAT9" localSheetId="42">#REF!</definedName>
    <definedName name="___DAT9" localSheetId="35">#REF!</definedName>
    <definedName name="___DAT9" localSheetId="44">#REF!</definedName>
    <definedName name="___DAT9" localSheetId="41">#REF!</definedName>
    <definedName name="___DAT9" localSheetId="17">#REF!</definedName>
    <definedName name="___DAT9" localSheetId="32">#REF!</definedName>
    <definedName name="___DAT9">#REF!</definedName>
    <definedName name="___GRP1">'[2]BS 590'!$B$313:$G$386</definedName>
    <definedName name="___GRP2">'[2]BS 590'!$B$388:$G$427</definedName>
    <definedName name="___GRP3" localSheetId="42">'[4]BS&amp;PLA'!#REF!</definedName>
    <definedName name="___GRP3" localSheetId="35">'[4]BS&amp;PLA'!#REF!</definedName>
    <definedName name="___GRP3" localSheetId="44">'[4]BS&amp;PLA'!#REF!</definedName>
    <definedName name="___GRP3" localSheetId="19">'[4]BS&amp;PLA'!#REF!</definedName>
    <definedName name="___GRP3" localSheetId="41">'[4]BS&amp;PLA'!#REF!</definedName>
    <definedName name="___GRP3" localSheetId="17">'[4]BS&amp;PLA'!#REF!</definedName>
    <definedName name="___GRP3" localSheetId="32">'[4]BS&amp;PLA'!#REF!</definedName>
    <definedName name="___GRP3">'[4]BS&amp;PLA'!#REF!</definedName>
    <definedName name="___GRP4" localSheetId="42">'[4]BS&amp;PLA'!#REF!</definedName>
    <definedName name="___GRP4" localSheetId="35">'[4]BS&amp;PLA'!#REF!</definedName>
    <definedName name="___GRP4" localSheetId="44">'[4]BS&amp;PLA'!#REF!</definedName>
    <definedName name="___GRP4" localSheetId="19">'[4]BS&amp;PLA'!#REF!</definedName>
    <definedName name="___GRP4" localSheetId="17">'[4]BS&amp;PLA'!#REF!</definedName>
    <definedName name="___GRP4" localSheetId="32">'[4]BS&amp;PLA'!#REF!</definedName>
    <definedName name="___GRP4">'[4]BS&amp;PLA'!#REF!</definedName>
    <definedName name="___PG3" localSheetId="42">[5]DEPIT979!#REF!</definedName>
    <definedName name="___PG3" localSheetId="35">[5]DEPIT979!#REF!</definedName>
    <definedName name="___PG3" localSheetId="44">[5]DEPIT979!#REF!</definedName>
    <definedName name="___PG3" localSheetId="17">[5]DEPIT979!#REF!</definedName>
    <definedName name="___PG3" localSheetId="32">[5]DEPIT979!#REF!</definedName>
    <definedName name="___PG3">[5]DEPIT979!#REF!</definedName>
    <definedName name="___sch1">'[2]BS 590'!$B$125:$H$165</definedName>
    <definedName name="___sch2">'[2]BS 590'!$B$166:$H$193</definedName>
    <definedName name="___sch3">'[2]BS 590'!$B$194:$H$231</definedName>
    <definedName name="___sch4">'[2]BS 590'!$B$233:$H$280</definedName>
    <definedName name="___sch5">'[2]BS 590'!$B$281:$H$312</definedName>
    <definedName name="___STK1" localSheetId="42">#REF!</definedName>
    <definedName name="___STK1" localSheetId="35">#REF!</definedName>
    <definedName name="___STK1" localSheetId="44">#REF!</definedName>
    <definedName name="___STK1" localSheetId="19">#REF!</definedName>
    <definedName name="___STK1" localSheetId="41">#REF!</definedName>
    <definedName name="___STK1" localSheetId="17">#REF!</definedName>
    <definedName name="___STK1" localSheetId="32">#REF!</definedName>
    <definedName name="___STK1">#REF!</definedName>
    <definedName name="___STK2" localSheetId="42">#REF!</definedName>
    <definedName name="___STK2" localSheetId="35">#REF!</definedName>
    <definedName name="___STK2" localSheetId="44">#REF!</definedName>
    <definedName name="___STK2" localSheetId="19">#REF!</definedName>
    <definedName name="___STK2" localSheetId="41">#REF!</definedName>
    <definedName name="___STK2" localSheetId="17">#REF!</definedName>
    <definedName name="___STK2" localSheetId="32">#REF!</definedName>
    <definedName name="___STK2">#REF!</definedName>
    <definedName name="___STK3" localSheetId="42">#REF!</definedName>
    <definedName name="___STK3" localSheetId="35">#REF!</definedName>
    <definedName name="___STK3" localSheetId="44">#REF!</definedName>
    <definedName name="___STK3" localSheetId="19">#REF!</definedName>
    <definedName name="___STK3" localSheetId="41">#REF!</definedName>
    <definedName name="___STK3" localSheetId="17">#REF!</definedName>
    <definedName name="___STK3" localSheetId="32">#REF!</definedName>
    <definedName name="___STK3">#REF!</definedName>
    <definedName name="__123Graph_A" localSheetId="17" hidden="1">'[6]TRIAL BALANCE'!#REF!</definedName>
    <definedName name="__123Graph_A" hidden="1">'[6]TRIAL BALANCE'!#REF!</definedName>
    <definedName name="__123Graph_B" localSheetId="17" hidden="1">'[6]TRIAL BALANCE'!#REF!</definedName>
    <definedName name="__123Graph_B" hidden="1">'[6]TRIAL BALANCE'!#REF!</definedName>
    <definedName name="__123Graph_D" hidden="1">'[7]Anx-M'!$B$671:$B$671</definedName>
    <definedName name="__123Graph_X" localSheetId="13" hidden="1">'[6]TRIAL BALANCE'!#REF!</definedName>
    <definedName name="__123Graph_X" localSheetId="4" hidden="1">'[6]TRIAL BALANCE'!#REF!</definedName>
    <definedName name="__123Graph_X" localSheetId="17" hidden="1">'[6]TRIAL BALANCE'!#REF!</definedName>
    <definedName name="__123Graph_X" hidden="1">'[6]TRIAL BALANCE'!#REF!</definedName>
    <definedName name="__1RANGE_1" localSheetId="13">#REF!</definedName>
    <definedName name="__1RANGE_1" localSheetId="4">#REF!</definedName>
    <definedName name="__1RANGE_1" localSheetId="17">#REF!</definedName>
    <definedName name="__1RANGE_1">#REF!</definedName>
    <definedName name="__cha1" localSheetId="42">#REF!</definedName>
    <definedName name="__cha1" localSheetId="35">#REF!</definedName>
    <definedName name="__cha1" localSheetId="44">#REF!</definedName>
    <definedName name="__cha1" localSheetId="19">#REF!</definedName>
    <definedName name="__cha1" localSheetId="41">#REF!</definedName>
    <definedName name="__cha1" localSheetId="17">#REF!</definedName>
    <definedName name="__cha1" localSheetId="32">#REF!</definedName>
    <definedName name="__cha1">#REF!</definedName>
    <definedName name="__cha2" localSheetId="42">#REF!</definedName>
    <definedName name="__cha2" localSheetId="35">#REF!</definedName>
    <definedName name="__cha2" localSheetId="44">#REF!</definedName>
    <definedName name="__cha2" localSheetId="19">#REF!</definedName>
    <definedName name="__cha2" localSheetId="41">#REF!</definedName>
    <definedName name="__cha2" localSheetId="17">#REF!</definedName>
    <definedName name="__cha2" localSheetId="32">#REF!</definedName>
    <definedName name="__cha2">#REF!</definedName>
    <definedName name="__cha3" localSheetId="42">#REF!</definedName>
    <definedName name="__cha3" localSheetId="35">#REF!</definedName>
    <definedName name="__cha3" localSheetId="44">#REF!</definedName>
    <definedName name="__cha3" localSheetId="19">#REF!</definedName>
    <definedName name="__cha3" localSheetId="41">#REF!</definedName>
    <definedName name="__cha3" localSheetId="17">#REF!</definedName>
    <definedName name="__cha3" localSheetId="32">#REF!</definedName>
    <definedName name="__cha3">#REF!</definedName>
    <definedName name="__cha4" localSheetId="42">#REF!</definedName>
    <definedName name="__cha4" localSheetId="35">#REF!</definedName>
    <definedName name="__cha4" localSheetId="44">#REF!</definedName>
    <definedName name="__cha4" localSheetId="19">#REF!</definedName>
    <definedName name="__cha4" localSheetId="41">#REF!</definedName>
    <definedName name="__cha4" localSheetId="17">#REF!</definedName>
    <definedName name="__cha4" localSheetId="32">#REF!</definedName>
    <definedName name="__cha4">#REF!</definedName>
    <definedName name="__cha5" localSheetId="42">#REF!</definedName>
    <definedName name="__cha5" localSheetId="35">#REF!</definedName>
    <definedName name="__cha5" localSheetId="44">#REF!</definedName>
    <definedName name="__cha5" localSheetId="19">#REF!</definedName>
    <definedName name="__cha5" localSheetId="41">#REF!</definedName>
    <definedName name="__cha5" localSheetId="17">#REF!</definedName>
    <definedName name="__cha5" localSheetId="32">#REF!</definedName>
    <definedName name="__cha5">#REF!</definedName>
    <definedName name="__cha6" localSheetId="42">#REF!</definedName>
    <definedName name="__cha6" localSheetId="35">#REF!</definedName>
    <definedName name="__cha6" localSheetId="44">#REF!</definedName>
    <definedName name="__cha6" localSheetId="19">#REF!</definedName>
    <definedName name="__cha6" localSheetId="41">#REF!</definedName>
    <definedName name="__cha6" localSheetId="17">#REF!</definedName>
    <definedName name="__cha6" localSheetId="32">#REF!</definedName>
    <definedName name="__cha6">#REF!</definedName>
    <definedName name="__col1" localSheetId="17">#REF!</definedName>
    <definedName name="__col1">#REF!</definedName>
    <definedName name="__col10" localSheetId="17">#REF!</definedName>
    <definedName name="__col10">#REF!</definedName>
    <definedName name="__col11" localSheetId="17">#REF!</definedName>
    <definedName name="__col11">#REF!</definedName>
    <definedName name="__col12" localSheetId="17">#REF!</definedName>
    <definedName name="__col12">#REF!</definedName>
    <definedName name="__col13" localSheetId="17">#REF!</definedName>
    <definedName name="__col13">#REF!</definedName>
    <definedName name="__col2" localSheetId="17">#REF!</definedName>
    <definedName name="__col2">#REF!</definedName>
    <definedName name="__col3" localSheetId="17">#REF!</definedName>
    <definedName name="__col3">#REF!</definedName>
    <definedName name="__col4" localSheetId="17">#REF!</definedName>
    <definedName name="__col4">#REF!</definedName>
    <definedName name="__col5" localSheetId="17">#REF!</definedName>
    <definedName name="__col5">#REF!</definedName>
    <definedName name="__col6" localSheetId="17">#REF!</definedName>
    <definedName name="__col6">#REF!</definedName>
    <definedName name="__col7" localSheetId="17">#REF!</definedName>
    <definedName name="__col7">#REF!</definedName>
    <definedName name="__col8" localSheetId="17">#REF!</definedName>
    <definedName name="__col8">#REF!</definedName>
    <definedName name="__col9" localSheetId="17">#REF!</definedName>
    <definedName name="__col9">#REF!</definedName>
    <definedName name="__crc1">[1]combined!$B$176:$H$232</definedName>
    <definedName name="__crc2">[1]combined!$B$236:$H$301</definedName>
    <definedName name="__crc3">[1]combined!$B$329:$H$387</definedName>
    <definedName name="__DAT1" localSheetId="42">#REF!</definedName>
    <definedName name="__DAT1" localSheetId="35">#REF!</definedName>
    <definedName name="__DAT1" localSheetId="44">#REF!</definedName>
    <definedName name="__DAT1" localSheetId="19">#REF!</definedName>
    <definedName name="__DAT1" localSheetId="41">#REF!</definedName>
    <definedName name="__DAT1" localSheetId="17">#REF!</definedName>
    <definedName name="__DAT1" localSheetId="32">#REF!</definedName>
    <definedName name="__DAT1">#REF!</definedName>
    <definedName name="__DAT10" localSheetId="42">#REF!</definedName>
    <definedName name="__DAT10" localSheetId="35">#REF!</definedName>
    <definedName name="__DAT10" localSheetId="44">#REF!</definedName>
    <definedName name="__DAT10" localSheetId="41">#REF!</definedName>
    <definedName name="__DAT10" localSheetId="17">#REF!</definedName>
    <definedName name="__DAT10" localSheetId="32">#REF!</definedName>
    <definedName name="__DAT10">#REF!</definedName>
    <definedName name="__DAT11" localSheetId="42">#REF!</definedName>
    <definedName name="__DAT11" localSheetId="35">#REF!</definedName>
    <definedName name="__DAT11" localSheetId="44">#REF!</definedName>
    <definedName name="__DAT11" localSheetId="41">#REF!</definedName>
    <definedName name="__DAT11" localSheetId="17">#REF!</definedName>
    <definedName name="__DAT11" localSheetId="32">#REF!</definedName>
    <definedName name="__DAT11">#REF!</definedName>
    <definedName name="__DAT12" localSheetId="42">#REF!</definedName>
    <definedName name="__DAT12" localSheetId="35">#REF!</definedName>
    <definedName name="__DAT12" localSheetId="44">#REF!</definedName>
    <definedName name="__DAT12" localSheetId="41">#REF!</definedName>
    <definedName name="__DAT12" localSheetId="17">#REF!</definedName>
    <definedName name="__DAT12" localSheetId="32">#REF!</definedName>
    <definedName name="__DAT12">#REF!</definedName>
    <definedName name="__DAT13" localSheetId="42">#REF!</definedName>
    <definedName name="__DAT13" localSheetId="35">#REF!</definedName>
    <definedName name="__DAT13" localSheetId="44">#REF!</definedName>
    <definedName name="__DAT13" localSheetId="41">#REF!</definedName>
    <definedName name="__DAT13" localSheetId="17">#REF!</definedName>
    <definedName name="__DAT13" localSheetId="32">#REF!</definedName>
    <definedName name="__DAT13">#REF!</definedName>
    <definedName name="__DAT2" localSheetId="42">#REF!</definedName>
    <definedName name="__DAT2" localSheetId="35">#REF!</definedName>
    <definedName name="__DAT2" localSheetId="44">#REF!</definedName>
    <definedName name="__DAT2" localSheetId="41">#REF!</definedName>
    <definedName name="__DAT2" localSheetId="17">#REF!</definedName>
    <definedName name="__DAT2" localSheetId="32">#REF!</definedName>
    <definedName name="__DAT2">#REF!</definedName>
    <definedName name="__DAT3" localSheetId="42">#REF!</definedName>
    <definedName name="__DAT3" localSheetId="35">#REF!</definedName>
    <definedName name="__DAT3" localSheetId="44">#REF!</definedName>
    <definedName name="__DAT3" localSheetId="41">#REF!</definedName>
    <definedName name="__DAT3" localSheetId="17">#REF!</definedName>
    <definedName name="__DAT3" localSheetId="32">#REF!</definedName>
    <definedName name="__DAT3">#REF!</definedName>
    <definedName name="__DAT4" localSheetId="42">#REF!</definedName>
    <definedName name="__DAT4" localSheetId="35">#REF!</definedName>
    <definedName name="__DAT4" localSheetId="44">#REF!</definedName>
    <definedName name="__DAT4" localSheetId="41">#REF!</definedName>
    <definedName name="__DAT4" localSheetId="17">#REF!</definedName>
    <definedName name="__DAT4" localSheetId="32">#REF!</definedName>
    <definedName name="__DAT4">#REF!</definedName>
    <definedName name="__DAT5" localSheetId="42">#REF!</definedName>
    <definedName name="__DAT5" localSheetId="35">#REF!</definedName>
    <definedName name="__DAT5" localSheetId="44">#REF!</definedName>
    <definedName name="__DAT5" localSheetId="41">#REF!</definedName>
    <definedName name="__DAT5" localSheetId="17">#REF!</definedName>
    <definedName name="__DAT5" localSheetId="32">#REF!</definedName>
    <definedName name="__DAT5">#REF!</definedName>
    <definedName name="__DAT6" localSheetId="42">#REF!</definedName>
    <definedName name="__DAT6" localSheetId="35">#REF!</definedName>
    <definedName name="__DAT6" localSheetId="44">#REF!</definedName>
    <definedName name="__DAT6" localSheetId="41">#REF!</definedName>
    <definedName name="__DAT6" localSheetId="17">#REF!</definedName>
    <definedName name="__DAT6" localSheetId="32">#REF!</definedName>
    <definedName name="__DAT6">#REF!</definedName>
    <definedName name="__DAT7" localSheetId="42">#REF!</definedName>
    <definedName name="__DAT7" localSheetId="35">#REF!</definedName>
    <definedName name="__DAT7" localSheetId="44">#REF!</definedName>
    <definedName name="__DAT7" localSheetId="41">#REF!</definedName>
    <definedName name="__DAT7" localSheetId="17">#REF!</definedName>
    <definedName name="__DAT7" localSheetId="32">#REF!</definedName>
    <definedName name="__DAT7">#REF!</definedName>
    <definedName name="__DAT8" localSheetId="42">#REF!</definedName>
    <definedName name="__DAT8" localSheetId="35">#REF!</definedName>
    <definedName name="__DAT8" localSheetId="44">#REF!</definedName>
    <definedName name="__DAT8" localSheetId="41">#REF!</definedName>
    <definedName name="__DAT8" localSheetId="17">#REF!</definedName>
    <definedName name="__DAT8" localSheetId="32">#REF!</definedName>
    <definedName name="__DAT8">#REF!</definedName>
    <definedName name="__DAT9" localSheetId="42">#REF!</definedName>
    <definedName name="__DAT9" localSheetId="35">#REF!</definedName>
    <definedName name="__DAT9" localSheetId="44">#REF!</definedName>
    <definedName name="__DAT9" localSheetId="41">#REF!</definedName>
    <definedName name="__DAT9" localSheetId="17">#REF!</definedName>
    <definedName name="__DAT9" localSheetId="32">#REF!</definedName>
    <definedName name="__DAT9">#REF!</definedName>
    <definedName name="__GRP1">'[2]BS 590'!$B$313:$G$386</definedName>
    <definedName name="__GRP2">'[2]BS 590'!$B$388:$G$427</definedName>
    <definedName name="__GRP3" localSheetId="42">'[4]BS&amp;PLA'!#REF!</definedName>
    <definedName name="__GRP3" localSheetId="35">'[4]BS&amp;PLA'!#REF!</definedName>
    <definedName name="__GRP3" localSheetId="44">'[4]BS&amp;PLA'!#REF!</definedName>
    <definedName name="__GRP3" localSheetId="19">'[4]BS&amp;PLA'!#REF!</definedName>
    <definedName name="__GRP3" localSheetId="41">'[4]BS&amp;PLA'!#REF!</definedName>
    <definedName name="__GRP3" localSheetId="17">'[4]BS&amp;PLA'!#REF!</definedName>
    <definedName name="__GRP3" localSheetId="32">'[4]BS&amp;PLA'!#REF!</definedName>
    <definedName name="__GRP3">'[4]BS&amp;PLA'!#REF!</definedName>
    <definedName name="__GRP4" localSheetId="42">'[4]BS&amp;PLA'!#REF!</definedName>
    <definedName name="__GRP4" localSheetId="35">'[4]BS&amp;PLA'!#REF!</definedName>
    <definedName name="__GRP4" localSheetId="44">'[4]BS&amp;PLA'!#REF!</definedName>
    <definedName name="__GRP4" localSheetId="19">'[4]BS&amp;PLA'!#REF!</definedName>
    <definedName name="__GRP4" localSheetId="17">'[4]BS&amp;PLA'!#REF!</definedName>
    <definedName name="__GRP4" localSheetId="32">'[4]BS&amp;PLA'!#REF!</definedName>
    <definedName name="__GRP4">'[4]BS&amp;PLA'!#REF!</definedName>
    <definedName name="__MAR9091" localSheetId="17">'[8]TRIAL BALANCE'!#REF!</definedName>
    <definedName name="__MAR9091">'[8]TRIAL BALANCE'!#REF!</definedName>
    <definedName name="__PG3" localSheetId="42">[5]DEPIT979!#REF!</definedName>
    <definedName name="__PG3" localSheetId="35">[5]DEPIT979!#REF!</definedName>
    <definedName name="__PG3" localSheetId="44">[5]DEPIT979!#REF!</definedName>
    <definedName name="__PG3" localSheetId="17">[5]DEPIT979!#REF!</definedName>
    <definedName name="__PG3" localSheetId="32">[5]DEPIT979!#REF!</definedName>
    <definedName name="__PG3">[5]DEPIT979!#REF!</definedName>
    <definedName name="__sch1">'[2]BS 590'!$B$125:$H$165</definedName>
    <definedName name="__sch2">'[2]BS 590'!$B$166:$H$193</definedName>
    <definedName name="__sch3">'[2]BS 590'!$B$194:$H$231</definedName>
    <definedName name="__sch4">'[2]BS 590'!$B$233:$H$280</definedName>
    <definedName name="__sch5">'[2]BS 590'!$B$281:$H$312</definedName>
    <definedName name="__STK1" localSheetId="42">#REF!</definedName>
    <definedName name="__STK1" localSheetId="35">#REF!</definedName>
    <definedName name="__STK1" localSheetId="44">#REF!</definedName>
    <definedName name="__STK1" localSheetId="19">#REF!</definedName>
    <definedName name="__STK1" localSheetId="41">#REF!</definedName>
    <definedName name="__STK1" localSheetId="17">#REF!</definedName>
    <definedName name="__STK1" localSheetId="32">#REF!</definedName>
    <definedName name="__STK1">#REF!</definedName>
    <definedName name="__STK2" localSheetId="42">#REF!</definedName>
    <definedName name="__STK2" localSheetId="35">#REF!</definedName>
    <definedName name="__STK2" localSheetId="44">#REF!</definedName>
    <definedName name="__STK2" localSheetId="19">#REF!</definedName>
    <definedName name="__STK2" localSheetId="41">#REF!</definedName>
    <definedName name="__STK2" localSheetId="17">#REF!</definedName>
    <definedName name="__STK2" localSheetId="32">#REF!</definedName>
    <definedName name="__STK2">#REF!</definedName>
    <definedName name="__STK3" localSheetId="42">#REF!</definedName>
    <definedName name="__STK3" localSheetId="35">#REF!</definedName>
    <definedName name="__STK3" localSheetId="44">#REF!</definedName>
    <definedName name="__STK3" localSheetId="19">#REF!</definedName>
    <definedName name="__STK3" localSheetId="41">#REF!</definedName>
    <definedName name="__STK3" localSheetId="17">#REF!</definedName>
    <definedName name="__STK3" localSheetId="32">#REF!</definedName>
    <definedName name="__STK3">#REF!</definedName>
    <definedName name="_01_UNIT1" localSheetId="17">#REF!</definedName>
    <definedName name="_01_UNIT1">#REF!</definedName>
    <definedName name="_01_UNIT2" localSheetId="17">#REF!</definedName>
    <definedName name="_01_UNIT2">#REF!</definedName>
    <definedName name="_01A__GP___DP" localSheetId="17">#REF!</definedName>
    <definedName name="_01A__GP___DP">#REF!</definedName>
    <definedName name="_01B__DEP_TX_BK" localSheetId="17">#REF!</definedName>
    <definedName name="_01B__DEP_TX_BK">#REF!</definedName>
    <definedName name="_02A__INTEREST" localSheetId="17">#REF!</definedName>
    <definedName name="_02A__INTEREST">#REF!</definedName>
    <definedName name="_03_115JA_2A_B" localSheetId="17">#REF!</definedName>
    <definedName name="_03_115JA_2A_B">#REF!</definedName>
    <definedName name="_03_SUM_1AX" localSheetId="17">#REF!</definedName>
    <definedName name="_03_SUM_1AX">#REF!</definedName>
    <definedName name="_03_SUM_1BX" localSheetId="17">#REF!</definedName>
    <definedName name="_03_SUM_1BX">#REF!</definedName>
    <definedName name="_04_80HHC_1A" localSheetId="17">#REF!</definedName>
    <definedName name="_04_80HHC_1A">#REF!</definedName>
    <definedName name="_04_80HHC_IIA" localSheetId="17">#REF!</definedName>
    <definedName name="_04_80HHC_IIA">#REF!</definedName>
    <definedName name="_06__INTERUNIT" localSheetId="17">#REF!</definedName>
    <definedName name="_06__INTERUNIT">#REF!</definedName>
    <definedName name="_07__80IA" localSheetId="17">#REF!</definedName>
    <definedName name="_07__80IA">#REF!</definedName>
    <definedName name="_08__80I" localSheetId="17">#REF!</definedName>
    <definedName name="_08__80I">#REF!</definedName>
    <definedName name="_09_TAX_SUMMARY" localSheetId="17">#REF!</definedName>
    <definedName name="_09_TAX_SUMMARY">#REF!</definedName>
    <definedName name="_1" localSheetId="17">#REF!</definedName>
    <definedName name="_1">#REF!</definedName>
    <definedName name="_14A" localSheetId="17">[9]HONOTES!#REF!</definedName>
    <definedName name="_14A">[9]HONOTES!#REF!</definedName>
    <definedName name="_1RANGE_1" localSheetId="13">#REF!</definedName>
    <definedName name="_1RANGE_1" localSheetId="4">#REF!</definedName>
    <definedName name="_1RANGE_1" localSheetId="17">#REF!</definedName>
    <definedName name="_1RANGE_1">#REF!</definedName>
    <definedName name="_2" localSheetId="4">[9]HONOTES!#REF!</definedName>
    <definedName name="_2" localSheetId="17">[9]HONOTES!#REF!</definedName>
    <definedName name="_2">[9]HONOTES!#REF!</definedName>
    <definedName name="_6" localSheetId="17">[9]HONOTES!#REF!</definedName>
    <definedName name="_6">[9]HONOTES!#REF!</definedName>
    <definedName name="_a_" localSheetId="13">#REF!</definedName>
    <definedName name="_a_" localSheetId="4">#REF!</definedName>
    <definedName name="_a_" localSheetId="17">#REF!</definedName>
    <definedName name="_a_">#REF!</definedName>
    <definedName name="_AUG13" localSheetId="42">[10]depreciation!#REF!</definedName>
    <definedName name="_AUG13" localSheetId="35">[10]depreciation!#REF!</definedName>
    <definedName name="_AUG13" localSheetId="44">[10]depreciation!#REF!</definedName>
    <definedName name="_AUG13" localSheetId="17">[10]depreciation!#REF!</definedName>
    <definedName name="_AUG13" localSheetId="32">[10]depreciation!#REF!</definedName>
    <definedName name="_AUG13">[10]depreciation!#REF!</definedName>
    <definedName name="_BSE500">[11]Sheet1!$B$1:$B$500</definedName>
    <definedName name="_cha1" localSheetId="42">#REF!</definedName>
    <definedName name="_cha1" localSheetId="35">#REF!</definedName>
    <definedName name="_cha1" localSheetId="44">#REF!</definedName>
    <definedName name="_cha1" localSheetId="19">#REF!</definedName>
    <definedName name="_cha1" localSheetId="41">#REF!</definedName>
    <definedName name="_cha1" localSheetId="17">#REF!</definedName>
    <definedName name="_cha1" localSheetId="32">#REF!</definedName>
    <definedName name="_cha1">#REF!</definedName>
    <definedName name="_cha2" localSheetId="42">#REF!</definedName>
    <definedName name="_cha2" localSheetId="35">#REF!</definedName>
    <definedName name="_cha2" localSheetId="44">#REF!</definedName>
    <definedName name="_cha2" localSheetId="19">#REF!</definedName>
    <definedName name="_cha2" localSheetId="41">#REF!</definedName>
    <definedName name="_cha2" localSheetId="17">#REF!</definedName>
    <definedName name="_cha2" localSheetId="32">#REF!</definedName>
    <definedName name="_cha2">#REF!</definedName>
    <definedName name="_cha3" localSheetId="42">#REF!</definedName>
    <definedName name="_cha3" localSheetId="35">#REF!</definedName>
    <definedName name="_cha3" localSheetId="44">#REF!</definedName>
    <definedName name="_cha3" localSheetId="19">#REF!</definedName>
    <definedName name="_cha3" localSheetId="41">#REF!</definedName>
    <definedName name="_cha3" localSheetId="17">#REF!</definedName>
    <definedName name="_cha3" localSheetId="32">#REF!</definedName>
    <definedName name="_cha3">#REF!</definedName>
    <definedName name="_cha4" localSheetId="42">#REF!</definedName>
    <definedName name="_cha4" localSheetId="35">#REF!</definedName>
    <definedName name="_cha4" localSheetId="44">#REF!</definedName>
    <definedName name="_cha4" localSheetId="19">#REF!</definedName>
    <definedName name="_cha4" localSheetId="41">#REF!</definedName>
    <definedName name="_cha4" localSheetId="17">#REF!</definedName>
    <definedName name="_cha4" localSheetId="32">#REF!</definedName>
    <definedName name="_cha4">#REF!</definedName>
    <definedName name="_cha5" localSheetId="42">#REF!</definedName>
    <definedName name="_cha5" localSheetId="35">#REF!</definedName>
    <definedName name="_cha5" localSheetId="44">#REF!</definedName>
    <definedName name="_cha5" localSheetId="19">#REF!</definedName>
    <definedName name="_cha5" localSheetId="41">#REF!</definedName>
    <definedName name="_cha5" localSheetId="17">#REF!</definedName>
    <definedName name="_cha5" localSheetId="32">#REF!</definedName>
    <definedName name="_cha5">#REF!</definedName>
    <definedName name="_cha6" localSheetId="42">#REF!</definedName>
    <definedName name="_cha6" localSheetId="35">#REF!</definedName>
    <definedName name="_cha6" localSheetId="44">#REF!</definedName>
    <definedName name="_cha6" localSheetId="19">#REF!</definedName>
    <definedName name="_cha6" localSheetId="41">#REF!</definedName>
    <definedName name="_cha6" localSheetId="17">#REF!</definedName>
    <definedName name="_cha6" localSheetId="32">#REF!</definedName>
    <definedName name="_cha6">#REF!</definedName>
    <definedName name="_col1" localSheetId="17">#REF!</definedName>
    <definedName name="_col1">#REF!</definedName>
    <definedName name="_col10" localSheetId="17">#REF!</definedName>
    <definedName name="_col10">#REF!</definedName>
    <definedName name="_col11" localSheetId="17">#REF!</definedName>
    <definedName name="_col11">#REF!</definedName>
    <definedName name="_col12" localSheetId="17">#REF!</definedName>
    <definedName name="_col12">#REF!</definedName>
    <definedName name="_col13" localSheetId="17">#REF!</definedName>
    <definedName name="_col13">#REF!</definedName>
    <definedName name="_col2" localSheetId="17">#REF!</definedName>
    <definedName name="_col2">#REF!</definedName>
    <definedName name="_col3" localSheetId="17">#REF!</definedName>
    <definedName name="_col3">#REF!</definedName>
    <definedName name="_col4" localSheetId="17">#REF!</definedName>
    <definedName name="_col4">#REF!</definedName>
    <definedName name="_col5" localSheetId="17">#REF!</definedName>
    <definedName name="_col5">#REF!</definedName>
    <definedName name="_col6" localSheetId="17">#REF!</definedName>
    <definedName name="_col6">#REF!</definedName>
    <definedName name="_col7" localSheetId="17">#REF!</definedName>
    <definedName name="_col7">#REF!</definedName>
    <definedName name="_col8" localSheetId="17">#REF!</definedName>
    <definedName name="_col8">#REF!</definedName>
    <definedName name="_col9" localSheetId="17">#REF!</definedName>
    <definedName name="_col9">#REF!</definedName>
    <definedName name="_crc1">[1]combined!$B$176:$H$232</definedName>
    <definedName name="_crc2">[1]combined!$B$236:$H$301</definedName>
    <definedName name="_crc3">[1]combined!$B$329:$H$387</definedName>
    <definedName name="_DAT1" localSheetId="42">#REF!</definedName>
    <definedName name="_DAT1" localSheetId="35">#REF!</definedName>
    <definedName name="_DAT1" localSheetId="44">#REF!</definedName>
    <definedName name="_DAT1" localSheetId="19">#REF!</definedName>
    <definedName name="_DAT1" localSheetId="41">#REF!</definedName>
    <definedName name="_DAT1" localSheetId="17">#REF!</definedName>
    <definedName name="_DAT1" localSheetId="32">#REF!</definedName>
    <definedName name="_DAT1">#REF!</definedName>
    <definedName name="_DAT10" localSheetId="42">#REF!</definedName>
    <definedName name="_DAT10" localSheetId="35">#REF!</definedName>
    <definedName name="_DAT10" localSheetId="44">#REF!</definedName>
    <definedName name="_DAT10" localSheetId="19">#REF!</definedName>
    <definedName name="_DAT10" localSheetId="41">#REF!</definedName>
    <definedName name="_DAT10" localSheetId="17">#REF!</definedName>
    <definedName name="_DAT10" localSheetId="32">#REF!</definedName>
    <definedName name="_DAT10">#REF!</definedName>
    <definedName name="_DAT11" localSheetId="42">#REF!</definedName>
    <definedName name="_DAT11" localSheetId="35">#REF!</definedName>
    <definedName name="_DAT11" localSheetId="44">#REF!</definedName>
    <definedName name="_DAT11" localSheetId="19">#REF!</definedName>
    <definedName name="_DAT11" localSheetId="41">#REF!</definedName>
    <definedName name="_DAT11" localSheetId="17">#REF!</definedName>
    <definedName name="_DAT11" localSheetId="32">#REF!</definedName>
    <definedName name="_DAT11">#REF!</definedName>
    <definedName name="_DAT12" localSheetId="42">#REF!</definedName>
    <definedName name="_DAT12" localSheetId="35">#REF!</definedName>
    <definedName name="_DAT12" localSheetId="44">#REF!</definedName>
    <definedName name="_DAT12" localSheetId="19">#REF!</definedName>
    <definedName name="_DAT12" localSheetId="41">#REF!</definedName>
    <definedName name="_DAT12" localSheetId="17">#REF!</definedName>
    <definedName name="_DAT12" localSheetId="32">#REF!</definedName>
    <definedName name="_DAT12">#REF!</definedName>
    <definedName name="_DAT13" localSheetId="42">#REF!</definedName>
    <definedName name="_DAT13" localSheetId="35">#REF!</definedName>
    <definedName name="_DAT13" localSheetId="44">#REF!</definedName>
    <definedName name="_DAT13" localSheetId="19">#REF!</definedName>
    <definedName name="_DAT13" localSheetId="41">#REF!</definedName>
    <definedName name="_DAT13" localSheetId="17">#REF!</definedName>
    <definedName name="_DAT13" localSheetId="32">#REF!</definedName>
    <definedName name="_DAT13">#REF!</definedName>
    <definedName name="_DAT2" localSheetId="42">#REF!</definedName>
    <definedName name="_DAT2" localSheetId="35">#REF!</definedName>
    <definedName name="_DAT2" localSheetId="44">#REF!</definedName>
    <definedName name="_DAT2" localSheetId="19">#REF!</definedName>
    <definedName name="_DAT2" localSheetId="41">#REF!</definedName>
    <definedName name="_DAT2" localSheetId="17">#REF!</definedName>
    <definedName name="_DAT2" localSheetId="32">#REF!</definedName>
    <definedName name="_DAT2">#REF!</definedName>
    <definedName name="_DAT3" localSheetId="42">#REF!</definedName>
    <definedName name="_DAT3" localSheetId="35">#REF!</definedName>
    <definedName name="_DAT3" localSheetId="44">#REF!</definedName>
    <definedName name="_DAT3" localSheetId="19">#REF!</definedName>
    <definedName name="_DAT3" localSheetId="41">#REF!</definedName>
    <definedName name="_DAT3" localSheetId="17">#REF!</definedName>
    <definedName name="_DAT3" localSheetId="32">#REF!</definedName>
    <definedName name="_DAT3">#REF!</definedName>
    <definedName name="_DAT4" localSheetId="42">#REF!</definedName>
    <definedName name="_DAT4" localSheetId="35">#REF!</definedName>
    <definedName name="_DAT4" localSheetId="44">#REF!</definedName>
    <definedName name="_DAT4" localSheetId="19">#REF!</definedName>
    <definedName name="_DAT4" localSheetId="41">#REF!</definedName>
    <definedName name="_DAT4" localSheetId="17">#REF!</definedName>
    <definedName name="_DAT4" localSheetId="32">#REF!</definedName>
    <definedName name="_DAT4">#REF!</definedName>
    <definedName name="_DAT5" localSheetId="42">#REF!</definedName>
    <definedName name="_DAT5" localSheetId="35">#REF!</definedName>
    <definedName name="_DAT5" localSheetId="44">#REF!</definedName>
    <definedName name="_DAT5" localSheetId="19">#REF!</definedName>
    <definedName name="_DAT5" localSheetId="41">#REF!</definedName>
    <definedName name="_DAT5" localSheetId="17">#REF!</definedName>
    <definedName name="_DAT5" localSheetId="32">#REF!</definedName>
    <definedName name="_DAT5">#REF!</definedName>
    <definedName name="_DAT6" localSheetId="42">#REF!</definedName>
    <definedName name="_DAT6" localSheetId="35">#REF!</definedName>
    <definedName name="_DAT6" localSheetId="44">#REF!</definedName>
    <definedName name="_DAT6" localSheetId="19">#REF!</definedName>
    <definedName name="_DAT6" localSheetId="41">#REF!</definedName>
    <definedName name="_DAT6" localSheetId="17">#REF!</definedName>
    <definedName name="_DAT6" localSheetId="32">#REF!</definedName>
    <definedName name="_DAT6">#REF!</definedName>
    <definedName name="_DAT7" localSheetId="42">#REF!</definedName>
    <definedName name="_DAT7" localSheetId="35">#REF!</definedName>
    <definedName name="_DAT7" localSheetId="44">#REF!</definedName>
    <definedName name="_DAT7" localSheetId="19">#REF!</definedName>
    <definedName name="_DAT7" localSheetId="41">#REF!</definedName>
    <definedName name="_DAT7" localSheetId="17">#REF!</definedName>
    <definedName name="_DAT7" localSheetId="32">#REF!</definedName>
    <definedName name="_DAT7">#REF!</definedName>
    <definedName name="_DAT8" localSheetId="42">#REF!</definedName>
    <definedName name="_DAT8" localSheetId="35">#REF!</definedName>
    <definedName name="_DAT8" localSheetId="44">#REF!</definedName>
    <definedName name="_DAT8" localSheetId="19">#REF!</definedName>
    <definedName name="_DAT8" localSheetId="41">#REF!</definedName>
    <definedName name="_DAT8" localSheetId="17">#REF!</definedName>
    <definedName name="_DAT8" localSheetId="32">#REF!</definedName>
    <definedName name="_DAT8">#REF!</definedName>
    <definedName name="_DAT9" localSheetId="42">#REF!</definedName>
    <definedName name="_DAT9" localSheetId="35">#REF!</definedName>
    <definedName name="_DAT9" localSheetId="44">#REF!</definedName>
    <definedName name="_DAT9" localSheetId="19">#REF!</definedName>
    <definedName name="_DAT9" localSheetId="41">#REF!</definedName>
    <definedName name="_DAT9" localSheetId="17">#REF!</definedName>
    <definedName name="_DAT9" localSheetId="32">#REF!</definedName>
    <definedName name="_DAT9">#REF!</definedName>
    <definedName name="_Fill" localSheetId="42" hidden="1">#REF!</definedName>
    <definedName name="_Fill" localSheetId="35" hidden="1">#REF!</definedName>
    <definedName name="_Fill" localSheetId="44" hidden="1">#REF!</definedName>
    <definedName name="_Fill" localSheetId="19" hidden="1">#REF!</definedName>
    <definedName name="_Fill" localSheetId="41" hidden="1">#REF!</definedName>
    <definedName name="_Fill" localSheetId="17" hidden="1">#REF!</definedName>
    <definedName name="_Fill" localSheetId="32" hidden="1">#REF!</definedName>
    <definedName name="_Fill" hidden="1">#REF!</definedName>
    <definedName name="_xlnm._FilterDatabase" localSheetId="20" hidden="1">'Creditors Aging'!$B$3:$P$1579</definedName>
    <definedName name="_xlnm._FilterDatabase" localSheetId="35" hidden="1">'Debtor''s Ageing'!$J$6:$N$508</definedName>
    <definedName name="_xlnm._FilterDatabase" localSheetId="22" hidden="1">HDE2023_2024_BUY_SELL!$B$2:$H$407</definedName>
    <definedName name="_xlnm._FilterDatabase" localSheetId="39" hidden="1">'Shareholders List'!$A$3:$G$425</definedName>
    <definedName name="_xlnm._FilterDatabase" localSheetId="21" hidden="1">Sheet3!$G$1:$I$79</definedName>
    <definedName name="_xlnm._FilterDatabase" localSheetId="34" hidden="1">'TB 100424'!$A$11:$C$386</definedName>
    <definedName name="_xlnm._FilterDatabase" localSheetId="29" hidden="1">'TB 110524'!$A$11:$G$382</definedName>
    <definedName name="_xlnm._FilterDatabase" localSheetId="27" hidden="1">'TB Final'!$B$3:$Q$574</definedName>
    <definedName name="_GRP1">'[2]BS 590'!$B$313:$G$386</definedName>
    <definedName name="_GRP2">'[2]BS 590'!$B$388:$G$427</definedName>
    <definedName name="_GRP3" localSheetId="42">'[4]BS&amp;PLA'!#REF!</definedName>
    <definedName name="_GRP3" localSheetId="35">'[4]BS&amp;PLA'!#REF!</definedName>
    <definedName name="_GRP3" localSheetId="44">'[4]BS&amp;PLA'!#REF!</definedName>
    <definedName name="_GRP3" localSheetId="19">'[4]BS&amp;PLA'!#REF!</definedName>
    <definedName name="_GRP3" localSheetId="41">'[4]BS&amp;PLA'!#REF!</definedName>
    <definedName name="_GRP3" localSheetId="17">'[4]BS&amp;PLA'!#REF!</definedName>
    <definedName name="_GRP3" localSheetId="32">'[4]BS&amp;PLA'!#REF!</definedName>
    <definedName name="_GRP3">'[4]BS&amp;PLA'!#REF!</definedName>
    <definedName name="_GRP4" localSheetId="42">'[4]BS&amp;PLA'!#REF!</definedName>
    <definedName name="_GRP4" localSheetId="35">'[4]BS&amp;PLA'!#REF!</definedName>
    <definedName name="_GRP4" localSheetId="44">'[4]BS&amp;PLA'!#REF!</definedName>
    <definedName name="_GRP4" localSheetId="19">'[4]BS&amp;PLA'!#REF!</definedName>
    <definedName name="_GRP4" localSheetId="17">'[4]BS&amp;PLA'!#REF!</definedName>
    <definedName name="_GRP4" localSheetId="32">'[4]BS&amp;PLA'!#REF!</definedName>
    <definedName name="_GRP4">'[4]BS&amp;PLA'!#REF!</definedName>
    <definedName name="_Inv1" localSheetId="13">#REF!</definedName>
    <definedName name="_Inv1" localSheetId="19">#REF!</definedName>
    <definedName name="_Inv1" localSheetId="4">#REF!</definedName>
    <definedName name="_Inv1" localSheetId="17">#REF!</definedName>
    <definedName name="_Inv1">#REF!</definedName>
    <definedName name="_Inv2" localSheetId="13">#REF!</definedName>
    <definedName name="_Inv2" localSheetId="19">#REF!</definedName>
    <definedName name="_Inv2" localSheetId="4">#REF!</definedName>
    <definedName name="_Inv2" localSheetId="17">#REF!</definedName>
    <definedName name="_Inv2">#REF!</definedName>
    <definedName name="_Key1" localSheetId="42" hidden="1">#REF!</definedName>
    <definedName name="_Key1" localSheetId="35" hidden="1">#REF!</definedName>
    <definedName name="_Key1" localSheetId="44" hidden="1">#REF!</definedName>
    <definedName name="_Key1" localSheetId="19" hidden="1">#REF!</definedName>
    <definedName name="_Key1" localSheetId="41" hidden="1">#REF!</definedName>
    <definedName name="_Key1" localSheetId="17" hidden="1">#REF!</definedName>
    <definedName name="_Key1" localSheetId="32" hidden="1">#REF!</definedName>
    <definedName name="_Key1" hidden="1">#REF!</definedName>
    <definedName name="_Key2" localSheetId="42" hidden="1">[12]ASSET_ADD!#REF!</definedName>
    <definedName name="_Key2" localSheetId="35" hidden="1">[12]ASSET_ADD!#REF!</definedName>
    <definedName name="_Key2" localSheetId="44" hidden="1">[12]ASSET_ADD!#REF!</definedName>
    <definedName name="_Key2" localSheetId="19" hidden="1">[13]ASSET_ADD!#REF!</definedName>
    <definedName name="_Key2" localSheetId="41" hidden="1">[14]ASSET_ADD!#REF!</definedName>
    <definedName name="_Key2" localSheetId="17" hidden="1">[15]ASSET_ADD!#REF!</definedName>
    <definedName name="_Key2" localSheetId="32" hidden="1">[12]ASSET_ADD!#REF!</definedName>
    <definedName name="_Key2" hidden="1">[15]ASSET_ADD!#REF!</definedName>
    <definedName name="_MAR9091" localSheetId="17">'[16]TRIAL BALANCE'!#REF!</definedName>
    <definedName name="_MAR9091">'[16]TRIAL BALANCE'!#REF!</definedName>
    <definedName name="_Mar90911" localSheetId="17">'[8]TRIAL BALANCE'!#REF!</definedName>
    <definedName name="_Mar90911">'[8]TRIAL BALANCE'!#REF!</definedName>
    <definedName name="_Order1" hidden="1">255</definedName>
    <definedName name="_Order2" hidden="1">255</definedName>
    <definedName name="_Parse_Out" localSheetId="13" hidden="1">#REF!</definedName>
    <definedName name="_Parse_Out" localSheetId="4" hidden="1">#REF!</definedName>
    <definedName name="_Parse_Out" localSheetId="17" hidden="1">#REF!</definedName>
    <definedName name="_Parse_Out" hidden="1">#REF!</definedName>
    <definedName name="_PG3" localSheetId="42">[5]DEPIT979!#REF!</definedName>
    <definedName name="_PG3" localSheetId="35">[5]DEPIT979!#REF!</definedName>
    <definedName name="_PG3" localSheetId="44">[5]DEPIT979!#REF!</definedName>
    <definedName name="_PG3" localSheetId="19">[5]DEPIT979!#REF!</definedName>
    <definedName name="_PG3" localSheetId="17">[5]DEPIT979!#REF!</definedName>
    <definedName name="_PG3" localSheetId="32">[5]DEPIT979!#REF!</definedName>
    <definedName name="_PG3">[5]DEPIT979!#REF!</definedName>
    <definedName name="_sch1">'[2]BS 590'!$B$125:$H$165</definedName>
    <definedName name="_sch2">'[2]BS 590'!$B$166:$H$193</definedName>
    <definedName name="_sch3">'[2]BS 590'!$B$194:$H$231</definedName>
    <definedName name="_sch4">'[2]BS 590'!$B$233:$H$280</definedName>
    <definedName name="_sch5">'[2]BS 590'!$B$281:$H$312</definedName>
    <definedName name="_SCH6" localSheetId="13">#REF!</definedName>
    <definedName name="_SCH6" localSheetId="4">#REF!</definedName>
    <definedName name="_SCH6" localSheetId="17">#REF!</definedName>
    <definedName name="_SCH6">#REF!</definedName>
    <definedName name="_Sort" localSheetId="42" hidden="1">#REF!</definedName>
    <definedName name="_Sort" localSheetId="35" hidden="1">#REF!</definedName>
    <definedName name="_Sort" localSheetId="44" hidden="1">#REF!</definedName>
    <definedName name="_Sort" localSheetId="19" hidden="1">#REF!</definedName>
    <definedName name="_Sort" localSheetId="41" hidden="1">#REF!</definedName>
    <definedName name="_Sort" localSheetId="17" hidden="1">#REF!</definedName>
    <definedName name="_Sort" localSheetId="32" hidden="1">#REF!</definedName>
    <definedName name="_Sort" hidden="1">#REF!</definedName>
    <definedName name="_STK1" localSheetId="42">#REF!</definedName>
    <definedName name="_STK1" localSheetId="35">#REF!</definedName>
    <definedName name="_STK1" localSheetId="44">#REF!</definedName>
    <definedName name="_STK1" localSheetId="19">#REF!</definedName>
    <definedName name="_STK1" localSheetId="41">#REF!</definedName>
    <definedName name="_STK1" localSheetId="17">#REF!</definedName>
    <definedName name="_STK1" localSheetId="32">#REF!</definedName>
    <definedName name="_STK1">#REF!</definedName>
    <definedName name="_STK2" localSheetId="42">#REF!</definedName>
    <definedName name="_STK2" localSheetId="35">#REF!</definedName>
    <definedName name="_STK2" localSheetId="44">#REF!</definedName>
    <definedName name="_STK2" localSheetId="19">#REF!</definedName>
    <definedName name="_STK2" localSheetId="41">#REF!</definedName>
    <definedName name="_STK2" localSheetId="17">#REF!</definedName>
    <definedName name="_STK2" localSheetId="32">#REF!</definedName>
    <definedName name="_STK2">#REF!</definedName>
    <definedName name="_STK3" localSheetId="42">#REF!</definedName>
    <definedName name="_STK3" localSheetId="35">#REF!</definedName>
    <definedName name="_STK3" localSheetId="44">#REF!</definedName>
    <definedName name="_STK3" localSheetId="19">#REF!</definedName>
    <definedName name="_STK3" localSheetId="41">#REF!</definedName>
    <definedName name="_STK3" localSheetId="17">#REF!</definedName>
    <definedName name="_STK3" localSheetId="32">#REF!</definedName>
    <definedName name="_STK3">#REF!</definedName>
    <definedName name="_WA0005" localSheetId="17">'[17]TB WORLI'!#REF!</definedName>
    <definedName name="_WA0005">'[17]TB WORLI'!#REF!</definedName>
    <definedName name="_WA0015" localSheetId="17">'[17]TB WORLI'!#REF!</definedName>
    <definedName name="_WA0015">'[17]TB WORLI'!#REF!</definedName>
    <definedName name="_WA00212" localSheetId="17">'[17]TB WORLI'!#REF!</definedName>
    <definedName name="_WA00212">'[17]TB WORLI'!#REF!</definedName>
    <definedName name="_WA00223" localSheetId="17">'[17]TB WORLI'!#REF!</definedName>
    <definedName name="_WA00223">'[17]TB WORLI'!#REF!</definedName>
    <definedName name="_WA00231" localSheetId="17">'[17]TB WORLI'!#REF!</definedName>
    <definedName name="_WA00231">'[17]TB WORLI'!#REF!</definedName>
    <definedName name="_WA00237" localSheetId="17">'[17]TB WORLI'!#REF!</definedName>
    <definedName name="_WA00237">'[17]TB WORLI'!#REF!</definedName>
    <definedName name="_WA0026" localSheetId="17">'[17]TB WORLI'!#REF!</definedName>
    <definedName name="_WA0026">'[17]TB WORLI'!#REF!</definedName>
    <definedName name="_WA00273" localSheetId="17">'[17]TB WORLI'!#REF!</definedName>
    <definedName name="_WA00273">'[17]TB WORLI'!#REF!</definedName>
    <definedName name="_WA00288" localSheetId="17">'[17]TB WORLI'!#REF!</definedName>
    <definedName name="_WA00288">'[17]TB WORLI'!#REF!</definedName>
    <definedName name="_WA00291" localSheetId="17">'[17]TB WORLI'!#REF!</definedName>
    <definedName name="_WA00291">'[17]TB WORLI'!#REF!</definedName>
    <definedName name="_WA00294" localSheetId="17">'[17]TB WORLI'!#REF!</definedName>
    <definedName name="_WA00294">'[17]TB WORLI'!#REF!</definedName>
    <definedName name="_WA00295" localSheetId="17">'[17]TB WORLI'!#REF!</definedName>
    <definedName name="_WA00295">'[17]TB WORLI'!#REF!</definedName>
    <definedName name="_WA00298" localSheetId="17">'[17]TB WORLI'!#REF!</definedName>
    <definedName name="_WA00298">'[17]TB WORLI'!#REF!</definedName>
    <definedName name="_WA00301" localSheetId="17">'[17]TB WORLI'!#REF!</definedName>
    <definedName name="_WA00301">'[17]TB WORLI'!#REF!</definedName>
    <definedName name="_WA00302" localSheetId="17">'[17]TB WORLI'!#REF!</definedName>
    <definedName name="_WA00302">'[17]TB WORLI'!#REF!</definedName>
    <definedName name="_WA00306" localSheetId="17">'[17]TB WORLI'!#REF!</definedName>
    <definedName name="_WA00306">'[17]TB WORLI'!#REF!</definedName>
    <definedName name="_WA00307" localSheetId="17">'[17]TB WORLI'!#REF!</definedName>
    <definedName name="_WA00307">'[17]TB WORLI'!#REF!</definedName>
    <definedName name="_WA00308" localSheetId="17">'[17]TB WORLI'!#REF!</definedName>
    <definedName name="_WA00308">'[17]TB WORLI'!#REF!</definedName>
    <definedName name="_WA00310" localSheetId="17">'[17]TB WORLI'!#REF!</definedName>
    <definedName name="_WA00310">'[17]TB WORLI'!#REF!</definedName>
    <definedName name="_WA00318" localSheetId="17">'[17]TB WORLI'!#REF!</definedName>
    <definedName name="_WA00318">'[17]TB WORLI'!#REF!</definedName>
    <definedName name="_WA00321" localSheetId="17">'[17]TB WORLI'!#REF!</definedName>
    <definedName name="_WA00321">'[17]TB WORLI'!#REF!</definedName>
    <definedName name="_WA00324" localSheetId="17">'[17]TB WORLI'!#REF!</definedName>
    <definedName name="_WA00324">'[17]TB WORLI'!#REF!</definedName>
    <definedName name="_WA00325" localSheetId="17">'[17]TB WORLI'!#REF!</definedName>
    <definedName name="_WA00325">'[17]TB WORLI'!#REF!</definedName>
    <definedName name="_WA00326" localSheetId="17">'[17]TB WORLI'!#REF!</definedName>
    <definedName name="_WA00326">'[17]TB WORLI'!#REF!</definedName>
    <definedName name="_WA00327" localSheetId="17">'[17]TB WORLI'!#REF!</definedName>
    <definedName name="_WA00327">'[17]TB WORLI'!#REF!</definedName>
    <definedName name="_WA00328" localSheetId="17">'[17]TB WORLI'!#REF!</definedName>
    <definedName name="_WA00328">'[17]TB WORLI'!#REF!</definedName>
    <definedName name="_WA00329" localSheetId="17">'[17]TB WORLI'!#REF!</definedName>
    <definedName name="_WA00329">'[17]TB WORLI'!#REF!</definedName>
    <definedName name="_WA00330" localSheetId="17">'[17]TB WORLI'!#REF!</definedName>
    <definedName name="_WA00330">'[17]TB WORLI'!#REF!</definedName>
    <definedName name="_WA00332" localSheetId="17">'[17]TB WORLI'!#REF!</definedName>
    <definedName name="_WA00332">'[17]TB WORLI'!#REF!</definedName>
    <definedName name="_WA00337" localSheetId="17">'[17]TB WORLI'!#REF!</definedName>
    <definedName name="_WA00337">'[17]TB WORLI'!#REF!</definedName>
    <definedName name="_WA00338" localSheetId="17">'[17]TB WORLI'!#REF!</definedName>
    <definedName name="_WA00338">'[17]TB WORLI'!#REF!</definedName>
    <definedName name="_WA00361" localSheetId="17">'[17]TB WORLI'!#REF!</definedName>
    <definedName name="_WA00361">'[17]TB WORLI'!#REF!</definedName>
    <definedName name="_WA00362" localSheetId="17">'[17]TB WORLI'!#REF!</definedName>
    <definedName name="_WA00362">'[17]TB WORLI'!#REF!</definedName>
    <definedName name="_WA00367" localSheetId="17">'[17]TB WORLI'!#REF!</definedName>
    <definedName name="_WA00367">'[17]TB WORLI'!#REF!</definedName>
    <definedName name="_WA00368" localSheetId="17">'[17]TB WORLI'!#REF!</definedName>
    <definedName name="_WA00368">'[17]TB WORLI'!#REF!</definedName>
    <definedName name="_WA00369" localSheetId="17">'[17]TB WORLI'!#REF!</definedName>
    <definedName name="_WA00369">'[17]TB WORLI'!#REF!</definedName>
    <definedName name="_WA00370" localSheetId="17">'[17]TB WORLI'!#REF!</definedName>
    <definedName name="_WA00370">'[17]TB WORLI'!#REF!</definedName>
    <definedName name="_WA00372" localSheetId="17">'[17]TB WORLI'!#REF!</definedName>
    <definedName name="_WA00372">'[17]TB WORLI'!#REF!</definedName>
    <definedName name="_WA00373" localSheetId="17">'[17]TB WORLI'!#REF!</definedName>
    <definedName name="_WA00373">'[17]TB WORLI'!#REF!</definedName>
    <definedName name="_WA00374" localSheetId="17">'[17]TB WORLI'!#REF!</definedName>
    <definedName name="_WA00374">'[17]TB WORLI'!#REF!</definedName>
    <definedName name="_WA00375" localSheetId="17">'[17]TB WORLI'!#REF!</definedName>
    <definedName name="_WA00375">'[17]TB WORLI'!#REF!</definedName>
    <definedName name="_WA00376" localSheetId="17">'[17]TB WORLI'!#REF!</definedName>
    <definedName name="_WA00376">'[17]TB WORLI'!#REF!</definedName>
    <definedName name="_WA00377" localSheetId="17">'[17]TB WORLI'!#REF!</definedName>
    <definedName name="_WA00377">'[17]TB WORLI'!#REF!</definedName>
    <definedName name="_WA00378" localSheetId="17">'[17]TB WORLI'!#REF!</definedName>
    <definedName name="_WA00378">'[17]TB WORLI'!#REF!</definedName>
    <definedName name="_WA00379" localSheetId="17">'[17]TB WORLI'!#REF!</definedName>
    <definedName name="_WA00379">'[17]TB WORLI'!#REF!</definedName>
    <definedName name="_WA0038" localSheetId="17">'[17]TB WORLI'!#REF!</definedName>
    <definedName name="_WA0038">'[17]TB WORLI'!#REF!</definedName>
    <definedName name="_WA00380" localSheetId="17">'[17]TB WORLI'!#REF!</definedName>
    <definedName name="_WA00380">'[17]TB WORLI'!#REF!</definedName>
    <definedName name="_WA00381" localSheetId="17">'[17]TB WORLI'!#REF!</definedName>
    <definedName name="_WA00381">'[17]TB WORLI'!#REF!</definedName>
    <definedName name="_WA00382" localSheetId="17">'[17]TB WORLI'!#REF!</definedName>
    <definedName name="_WA00382">'[17]TB WORLI'!#REF!</definedName>
    <definedName name="_WA00386" localSheetId="17">'[17]TB WORLI'!#REF!</definedName>
    <definedName name="_WA00386">'[17]TB WORLI'!#REF!</definedName>
    <definedName name="_WA00387" localSheetId="17">'[17]TB WORLI'!#REF!</definedName>
    <definedName name="_WA00387">'[17]TB WORLI'!#REF!</definedName>
    <definedName name="_WA00388" localSheetId="17">'[17]TB WORLI'!#REF!</definedName>
    <definedName name="_WA00388">'[17]TB WORLI'!#REF!</definedName>
    <definedName name="_WA00389" localSheetId="17">'[17]TB WORLI'!#REF!</definedName>
    <definedName name="_WA00389">'[17]TB WORLI'!#REF!</definedName>
    <definedName name="_WA00390" localSheetId="17">'[17]TB WORLI'!#REF!</definedName>
    <definedName name="_WA00390">'[17]TB WORLI'!#REF!</definedName>
    <definedName name="_WA00392" localSheetId="17">'[17]TB WORLI'!#REF!</definedName>
    <definedName name="_WA00392">'[17]TB WORLI'!#REF!</definedName>
    <definedName name="_WA00397" localSheetId="17">'[17]TB WORLI'!#REF!</definedName>
    <definedName name="_WA00397">'[17]TB WORLI'!#REF!</definedName>
    <definedName name="_WA00400" localSheetId="17">'[17]TB WORLI'!#REF!</definedName>
    <definedName name="_WA00400">'[17]TB WORLI'!#REF!</definedName>
    <definedName name="_WA00402" localSheetId="17">'[17]TB WORLI'!#REF!</definedName>
    <definedName name="_WA00402">'[17]TB WORLI'!#REF!</definedName>
    <definedName name="_WA00420" localSheetId="17">'[17]TB WORLI'!#REF!</definedName>
    <definedName name="_WA00420">'[17]TB WORLI'!#REF!</definedName>
    <definedName name="_WA00434" localSheetId="17">'[17]TB WORLI'!#REF!</definedName>
    <definedName name="_WA00434">'[17]TB WORLI'!#REF!</definedName>
    <definedName name="_WA00435" localSheetId="17">'[17]TB WORLI'!#REF!</definedName>
    <definedName name="_WA00435">'[17]TB WORLI'!#REF!</definedName>
    <definedName name="_WA00436" localSheetId="17">'[17]TB WORLI'!#REF!</definedName>
    <definedName name="_WA00436">'[17]TB WORLI'!#REF!</definedName>
    <definedName name="_WA00437" localSheetId="17">'[17]TB WORLI'!#REF!</definedName>
    <definedName name="_WA00437">'[17]TB WORLI'!#REF!</definedName>
    <definedName name="_WA00439" localSheetId="17">'[17]TB WORLI'!#REF!</definedName>
    <definedName name="_WA00439">'[17]TB WORLI'!#REF!</definedName>
    <definedName name="_WA00440" localSheetId="17">'[17]TB WORLI'!#REF!</definedName>
    <definedName name="_WA00440">'[17]TB WORLI'!#REF!</definedName>
    <definedName name="_WA00441" localSheetId="17">'[17]TB WORLI'!#REF!</definedName>
    <definedName name="_WA00441">'[17]TB WORLI'!#REF!</definedName>
    <definedName name="_WA00442" localSheetId="17">'[17]TB WORLI'!#REF!</definedName>
    <definedName name="_WA00442">'[17]TB WORLI'!#REF!</definedName>
    <definedName name="_WA00444" localSheetId="17">'[17]TB WORLI'!#REF!</definedName>
    <definedName name="_WA00444">'[17]TB WORLI'!#REF!</definedName>
    <definedName name="_WA00445" localSheetId="17">'[17]TB WORLI'!#REF!</definedName>
    <definedName name="_WA00445">'[17]TB WORLI'!#REF!</definedName>
    <definedName name="_WA00446" localSheetId="17">'[17]TB WORLI'!#REF!</definedName>
    <definedName name="_WA00446">'[17]TB WORLI'!#REF!</definedName>
    <definedName name="_WA00447" localSheetId="17">'[17]TB WORLI'!#REF!</definedName>
    <definedName name="_WA00447">'[17]TB WORLI'!#REF!</definedName>
    <definedName name="_WA00452" localSheetId="17">'[17]TB WORLI'!#REF!</definedName>
    <definedName name="_WA00452">'[17]TB WORLI'!#REF!</definedName>
    <definedName name="_WA00454" localSheetId="17">'[17]TB WORLI'!#REF!</definedName>
    <definedName name="_WA00454">'[17]TB WORLI'!#REF!</definedName>
    <definedName name="_WA0049" localSheetId="17">'[17]TB WORLI'!#REF!</definedName>
    <definedName name="_WA0049">'[17]TB WORLI'!#REF!</definedName>
    <definedName name="_WA0065" localSheetId="17">'[17]TB WORLI'!#REF!</definedName>
    <definedName name="_WA0065">'[17]TB WORLI'!#REF!</definedName>
    <definedName name="_WA0131" localSheetId="17">'[17]TB WORLI'!#REF!</definedName>
    <definedName name="_WA0131">'[17]TB WORLI'!#REF!</definedName>
    <definedName name="_WA0142" localSheetId="17">'[17]TB WORLI'!#REF!</definedName>
    <definedName name="_WA0142">'[17]TB WORLI'!#REF!</definedName>
    <definedName name="_WDR_" localSheetId="13">#REF!</definedName>
    <definedName name="_WDR_" localSheetId="19">#REF!</definedName>
    <definedName name="_WDR_" localSheetId="17">#REF!</definedName>
    <definedName name="_WDR_">#REF!</definedName>
    <definedName name="_WE00250" localSheetId="13">'[17]TB WORLI'!#REF!</definedName>
    <definedName name="_WE00250" localSheetId="19">'[17]TB WORLI'!#REF!</definedName>
    <definedName name="_WE00250" localSheetId="17">'[17]TB WORLI'!#REF!</definedName>
    <definedName name="_WE00250">'[17]TB WORLI'!#REF!</definedName>
    <definedName name="_WE00251" localSheetId="13">'[17]TB WORLI'!#REF!</definedName>
    <definedName name="_WE00251" localSheetId="19">'[17]TB WORLI'!#REF!</definedName>
    <definedName name="_WE00251" localSheetId="17">'[17]TB WORLI'!#REF!</definedName>
    <definedName name="_WE00251">'[17]TB WORLI'!#REF!</definedName>
    <definedName name="_WE00281" localSheetId="17">'[17]TB WORLI'!#REF!</definedName>
    <definedName name="_WE00281">'[17]TB WORLI'!#REF!</definedName>
    <definedName name="_WE00289" localSheetId="17">'[17]TB WORLI'!#REF!</definedName>
    <definedName name="_WE00289">'[17]TB WORLI'!#REF!</definedName>
    <definedName name="_WE0159" localSheetId="17">'[17]TB WORLI'!#REF!</definedName>
    <definedName name="_WE0159">'[17]TB WORLI'!#REF!</definedName>
    <definedName name="_WE0160" localSheetId="17">'[17]TB WORLI'!#REF!</definedName>
    <definedName name="_WE0160">'[17]TB WORLI'!#REF!</definedName>
    <definedName name="_WE0211" localSheetId="17">'[17]TB WORLI'!#REF!</definedName>
    <definedName name="_WE0211">'[17]TB WORLI'!#REF!</definedName>
    <definedName name="_WE0219" localSheetId="17">'[17]TB WORLI'!#REF!</definedName>
    <definedName name="_WE0219">'[17]TB WORLI'!#REF!</definedName>
    <definedName name="_WE0225" localSheetId="17">'[17]TB WORLI'!#REF!</definedName>
    <definedName name="_WE0225">'[17]TB WORLI'!#REF!</definedName>
    <definedName name="_WE0232" localSheetId="17">'[17]TB WORLI'!#REF!</definedName>
    <definedName name="_WE0232">'[17]TB WORLI'!#REF!</definedName>
    <definedName name="_WE0243" localSheetId="17">'[17]TB WORLI'!#REF!</definedName>
    <definedName name="_WE0243">'[17]TB WORLI'!#REF!</definedName>
    <definedName name="_WI00296" localSheetId="17">'[17]TB WORLI'!#REF!</definedName>
    <definedName name="_WI00296">'[17]TB WORLI'!#REF!</definedName>
    <definedName name="_WI00298" localSheetId="17">'[17]TB WORLI'!#REF!</definedName>
    <definedName name="_WI00298">'[17]TB WORLI'!#REF!</definedName>
    <definedName name="_WI00319" localSheetId="17">'[17]TB WORLI'!#REF!</definedName>
    <definedName name="_WI00319">'[17]TB WORLI'!#REF!</definedName>
    <definedName name="_WI00320" localSheetId="17">'[17]TB WORLI'!#REF!</definedName>
    <definedName name="_WI00320">'[17]TB WORLI'!#REF!</definedName>
    <definedName name="_WI00321" localSheetId="17">'[17]TB WORLI'!#REF!</definedName>
    <definedName name="_WI00321">'[17]TB WORLI'!#REF!</definedName>
    <definedName name="_WI0256" localSheetId="17">'[17]TB WORLI'!#REF!</definedName>
    <definedName name="_WI0256">'[17]TB WORLI'!#REF!</definedName>
    <definedName name="_WI0286" localSheetId="17">'[17]TB WORLI'!#REF!</definedName>
    <definedName name="_WI0286">'[17]TB WORLI'!#REF!</definedName>
    <definedName name="_WL00382" localSheetId="17">'[17]TB WORLI'!#REF!</definedName>
    <definedName name="_WL00382">'[17]TB WORLI'!#REF!</definedName>
    <definedName name="_WL00623" localSheetId="17">'[17]TB WORLI'!#REF!</definedName>
    <definedName name="_WL00623">'[17]TB WORLI'!#REF!</definedName>
    <definedName name="_WL00655" localSheetId="17">'[17]TB WORLI'!#REF!</definedName>
    <definedName name="_WL00655">'[17]TB WORLI'!#REF!</definedName>
    <definedName name="_WL00664" localSheetId="17">'[17]TB WORLI'!#REF!</definedName>
    <definedName name="_WL00664">'[17]TB WORLI'!#REF!</definedName>
    <definedName name="_WL0333" localSheetId="17">'[17]TB WORLI'!#REF!</definedName>
    <definedName name="_WL0333">'[17]TB WORLI'!#REF!</definedName>
    <definedName name="_WL0342" localSheetId="17">'[17]TB WORLI'!#REF!</definedName>
    <definedName name="_WL0342">'[17]TB WORLI'!#REF!</definedName>
    <definedName name="_WL0355" localSheetId="17">'[17]TB WORLI'!#REF!</definedName>
    <definedName name="_WL0355">'[17]TB WORLI'!#REF!</definedName>
    <definedName name="A" localSheetId="42">#REF!</definedName>
    <definedName name="A" localSheetId="35">#REF!</definedName>
    <definedName name="A" localSheetId="44">#REF!</definedName>
    <definedName name="a" localSheetId="19">#REF!</definedName>
    <definedName name="A" localSheetId="41">#REF!</definedName>
    <definedName name="A" localSheetId="17">#REF!</definedName>
    <definedName name="A" localSheetId="32">#REF!</definedName>
    <definedName name="A">#REF!</definedName>
    <definedName name="A0002_">'[18]TB APJ'!$B$233</definedName>
    <definedName name="A0005_">'[18]TB APJ'!$B$7</definedName>
    <definedName name="A0007_">'[18]TB APJ'!$B$8</definedName>
    <definedName name="A0008_">'[18]TB APJ'!$B$9</definedName>
    <definedName name="A00167_" localSheetId="13">'[18]TB APJ'!#REF!</definedName>
    <definedName name="A00167_" localSheetId="4">'[18]TB APJ'!#REF!</definedName>
    <definedName name="A00167_" localSheetId="17">'[18]TB APJ'!#REF!</definedName>
    <definedName name="A00167_">'[18]TB APJ'!#REF!</definedName>
    <definedName name="A00168_" localSheetId="13">'[18]TB APJ'!#REF!</definedName>
    <definedName name="A00168_" localSheetId="4">'[18]TB APJ'!#REF!</definedName>
    <definedName name="A00168_" localSheetId="17">'[18]TB APJ'!#REF!</definedName>
    <definedName name="A00168_">'[18]TB APJ'!#REF!</definedName>
    <definedName name="A00169_">[19]tb!$B$8</definedName>
    <definedName name="A00183_" localSheetId="13">'[18]TB APJ'!#REF!</definedName>
    <definedName name="A00183_" localSheetId="4">'[18]TB APJ'!#REF!</definedName>
    <definedName name="A00183_" localSheetId="17">'[18]TB APJ'!#REF!</definedName>
    <definedName name="A00183_">'[18]TB APJ'!#REF!</definedName>
    <definedName name="A0019_">'[18]TB APJ'!$B$10</definedName>
    <definedName name="A00191_">'[18]TB APJ'!$B$246</definedName>
    <definedName name="A00195_" localSheetId="13">'[18]TB APJ'!#REF!</definedName>
    <definedName name="A00195_" localSheetId="4">'[18]TB APJ'!#REF!</definedName>
    <definedName name="A00195_" localSheetId="17">'[18]TB APJ'!#REF!</definedName>
    <definedName name="A00195_">'[18]TB APJ'!#REF!</definedName>
    <definedName name="A00203_" localSheetId="13">'[18]TB APJ'!#REF!</definedName>
    <definedName name="A00203_" localSheetId="4">'[18]TB APJ'!#REF!</definedName>
    <definedName name="A00203_" localSheetId="17">'[18]TB APJ'!#REF!</definedName>
    <definedName name="A00203_">'[18]TB APJ'!#REF!</definedName>
    <definedName name="A00207_" localSheetId="13">'[18]TB APJ'!#REF!</definedName>
    <definedName name="A00207_" localSheetId="4">'[18]TB APJ'!#REF!</definedName>
    <definedName name="A00207_" localSheetId="17">'[18]TB APJ'!#REF!</definedName>
    <definedName name="A00207_">'[18]TB APJ'!#REF!</definedName>
    <definedName name="A00211_" localSheetId="13">'[18]TB APJ'!#REF!</definedName>
    <definedName name="A00211_" localSheetId="4">'[18]TB APJ'!#REF!</definedName>
    <definedName name="A00211_" localSheetId="17">'[18]TB APJ'!#REF!</definedName>
    <definedName name="A00211_">'[18]TB APJ'!#REF!</definedName>
    <definedName name="A00212_">'[18]TB APJ'!$B$247</definedName>
    <definedName name="A00214_" localSheetId="13">'[18]TB APJ'!#REF!</definedName>
    <definedName name="A00214_" localSheetId="4">'[18]TB APJ'!#REF!</definedName>
    <definedName name="A00214_" localSheetId="17">'[18]TB APJ'!#REF!</definedName>
    <definedName name="A00214_">'[18]TB APJ'!#REF!</definedName>
    <definedName name="A00215_" localSheetId="13">'[17]TB APJ'!#REF!</definedName>
    <definedName name="A00215_" localSheetId="4">'[17]TB APJ'!#REF!</definedName>
    <definedName name="A00215_" localSheetId="17">'[17]TB APJ'!#REF!</definedName>
    <definedName name="A00215_">'[17]TB APJ'!#REF!</definedName>
    <definedName name="A00223_">[19]tb!$B$10</definedName>
    <definedName name="A00225_">'[18]TB APJ'!$B$11</definedName>
    <definedName name="A00226_">'[18]TB APJ'!$B$248</definedName>
    <definedName name="A00242_">'[18]TB APJ'!$B$12</definedName>
    <definedName name="A00247_" localSheetId="13">'[18]TB APJ'!#REF!</definedName>
    <definedName name="A00247_" localSheetId="4">'[18]TB APJ'!#REF!</definedName>
    <definedName name="A00247_" localSheetId="17">'[18]TB APJ'!#REF!</definedName>
    <definedName name="A00247_">'[18]TB APJ'!#REF!</definedName>
    <definedName name="A00252_">'[18]TB APJ'!$B$330</definedName>
    <definedName name="A00256_">'[18]TB APJ'!$B$249</definedName>
    <definedName name="A00257_">'[18]TB APJ'!$B$306</definedName>
    <definedName name="A00258_" localSheetId="13">'[18]TB APJ'!#REF!</definedName>
    <definedName name="A00258_" localSheetId="4">'[18]TB APJ'!#REF!</definedName>
    <definedName name="A00258_" localSheetId="17">'[18]TB APJ'!#REF!</definedName>
    <definedName name="A00258_">'[18]TB APJ'!#REF!</definedName>
    <definedName name="A0026_">'[18]TB APJ'!$B$13</definedName>
    <definedName name="A00260_" localSheetId="13">'[17]TB APJ'!#REF!</definedName>
    <definedName name="A00260_" localSheetId="4">'[17]TB APJ'!#REF!</definedName>
    <definedName name="A00260_" localSheetId="17">'[17]TB APJ'!#REF!</definedName>
    <definedName name="A00260_">'[17]TB APJ'!#REF!</definedName>
    <definedName name="A00261_" localSheetId="13">'[17]TB APJ'!#REF!</definedName>
    <definedName name="A00261_" localSheetId="4">'[17]TB APJ'!#REF!</definedName>
    <definedName name="A00261_" localSheetId="17">'[17]TB APJ'!#REF!</definedName>
    <definedName name="A00261_">'[17]TB APJ'!#REF!</definedName>
    <definedName name="A00264_" localSheetId="13">'[17]TB APJ'!#REF!</definedName>
    <definedName name="A00264_" localSheetId="4">'[17]TB APJ'!#REF!</definedName>
    <definedName name="A00264_" localSheetId="17">'[17]TB APJ'!#REF!</definedName>
    <definedName name="A00264_">'[17]TB APJ'!#REF!</definedName>
    <definedName name="A00266_" localSheetId="13">'[18]TB APJ'!#REF!</definedName>
    <definedName name="A00266_" localSheetId="4">'[18]TB APJ'!#REF!</definedName>
    <definedName name="A00266_" localSheetId="17">'[18]TB APJ'!#REF!</definedName>
    <definedName name="A00266_">'[18]TB APJ'!#REF!</definedName>
    <definedName name="A00268_" localSheetId="17">'[18]TB APJ'!#REF!</definedName>
    <definedName name="A00268_">'[18]TB APJ'!#REF!</definedName>
    <definedName name="A00270_">'[18]TB APJ'!$B$331</definedName>
    <definedName name="A00271_">[19]tb!$B$16</definedName>
    <definedName name="A00273_">'[18]TB APJ'!$B$16</definedName>
    <definedName name="A00274_">'[18]TB APJ'!$B$17</definedName>
    <definedName name="A0028_">'[18]TB APJ'!$B$332</definedName>
    <definedName name="A00280_" localSheetId="13">'[18]TB APJ'!#REF!</definedName>
    <definedName name="A00280_" localSheetId="4">'[18]TB APJ'!#REF!</definedName>
    <definedName name="A00280_" localSheetId="17">'[18]TB APJ'!#REF!</definedName>
    <definedName name="A00280_">'[18]TB APJ'!#REF!</definedName>
    <definedName name="A00281_" localSheetId="13">'[18]TB APJ'!#REF!</definedName>
    <definedName name="A00281_" localSheetId="4">'[18]TB APJ'!#REF!</definedName>
    <definedName name="A00281_" localSheetId="17">'[18]TB APJ'!#REF!</definedName>
    <definedName name="A00281_">'[18]TB APJ'!#REF!</definedName>
    <definedName name="A00283_" localSheetId="13">'[18]TB APJ'!#REF!</definedName>
    <definedName name="A00283_" localSheetId="4">'[18]TB APJ'!#REF!</definedName>
    <definedName name="A00283_" localSheetId="17">'[18]TB APJ'!#REF!</definedName>
    <definedName name="A00283_">'[18]TB APJ'!#REF!</definedName>
    <definedName name="A00290_" localSheetId="13">'[18]TB APJ'!#REF!</definedName>
    <definedName name="A00290_" localSheetId="4">'[18]TB APJ'!#REF!</definedName>
    <definedName name="A00290_" localSheetId="17">'[18]TB APJ'!#REF!</definedName>
    <definedName name="A00290_">'[18]TB APJ'!#REF!</definedName>
    <definedName name="A00291_">'[18]TB APJ'!$B$250</definedName>
    <definedName name="A00293_">'[18]TB APJ'!$B$333</definedName>
    <definedName name="A00294_" localSheetId="13">'[18]TB APJ'!#REF!</definedName>
    <definedName name="A00294_" localSheetId="4">'[18]TB APJ'!#REF!</definedName>
    <definedName name="A00294_" localSheetId="17">'[18]TB APJ'!#REF!</definedName>
    <definedName name="A00294_">'[18]TB APJ'!#REF!</definedName>
    <definedName name="A00295_" localSheetId="13">'[18]TB APJ'!#REF!</definedName>
    <definedName name="A00295_" localSheetId="4">'[18]TB APJ'!#REF!</definedName>
    <definedName name="A00295_" localSheetId="17">'[18]TB APJ'!#REF!</definedName>
    <definedName name="A00295_">'[18]TB APJ'!#REF!</definedName>
    <definedName name="A00296_" localSheetId="13">'[18]TB APJ'!#REF!</definedName>
    <definedName name="A00296_" localSheetId="4">'[18]TB APJ'!#REF!</definedName>
    <definedName name="A00296_" localSheetId="17">'[18]TB APJ'!#REF!</definedName>
    <definedName name="A00296_">'[18]TB APJ'!#REF!</definedName>
    <definedName name="A00297_" localSheetId="13">'[18]TB APJ'!#REF!</definedName>
    <definedName name="A00297_" localSheetId="4">'[18]TB APJ'!#REF!</definedName>
    <definedName name="A00297_" localSheetId="17">'[18]TB APJ'!#REF!</definedName>
    <definedName name="A00297_">'[18]TB APJ'!#REF!</definedName>
    <definedName name="A00300_" localSheetId="17">'[17]TB APJ'!#REF!</definedName>
    <definedName name="A00300_">'[17]TB APJ'!#REF!</definedName>
    <definedName name="A00301_" localSheetId="17">'[18]TB APJ'!#REF!</definedName>
    <definedName name="A00301_">'[18]TB APJ'!#REF!</definedName>
    <definedName name="A00302_" localSheetId="17">'[18]TB APJ'!#REF!</definedName>
    <definedName name="A00302_">'[18]TB APJ'!#REF!</definedName>
    <definedName name="A00303_">[19]tb!$B$25</definedName>
    <definedName name="A00305_" localSheetId="13">'[18]TB APJ'!#REF!</definedName>
    <definedName name="A00305_" localSheetId="4">'[18]TB APJ'!#REF!</definedName>
    <definedName name="A00305_" localSheetId="17">'[18]TB APJ'!#REF!</definedName>
    <definedName name="A00305_">'[18]TB APJ'!#REF!</definedName>
    <definedName name="A00306_" localSheetId="13">'[17]TB WORLI'!#REF!</definedName>
    <definedName name="A00306_" localSheetId="4">'[17]TB WORLI'!#REF!</definedName>
    <definedName name="A00306_" localSheetId="17">'[17]TB WORLI'!#REF!</definedName>
    <definedName name="A00306_">'[17]TB WORLI'!#REF!</definedName>
    <definedName name="A00314_" localSheetId="13">'[18]TB APJ'!#REF!</definedName>
    <definedName name="A00314_" localSheetId="4">'[18]TB APJ'!#REF!</definedName>
    <definedName name="A00314_" localSheetId="17">'[18]TB APJ'!#REF!</definedName>
    <definedName name="A00314_">'[18]TB APJ'!#REF!</definedName>
    <definedName name="A00315_" localSheetId="13">'[18]TB APJ'!#REF!</definedName>
    <definedName name="A00315_" localSheetId="4">'[18]TB APJ'!#REF!</definedName>
    <definedName name="A00315_" localSheetId="17">'[18]TB APJ'!#REF!</definedName>
    <definedName name="A00315_">'[18]TB APJ'!#REF!</definedName>
    <definedName name="A00317_" localSheetId="17">'[18]TB APJ'!#REF!</definedName>
    <definedName name="A00317_">'[18]TB APJ'!#REF!</definedName>
    <definedName name="A00318_" localSheetId="17">'[18]TB APJ'!#REF!</definedName>
    <definedName name="A00318_">'[18]TB APJ'!#REF!</definedName>
    <definedName name="A00319_">'[18]TB APJ'!$B$307</definedName>
    <definedName name="A00320_">'[18]TB APJ'!$B$335</definedName>
    <definedName name="A00321_" localSheetId="13">'[18]TB APJ'!#REF!</definedName>
    <definedName name="A00321_" localSheetId="4">'[18]TB APJ'!#REF!</definedName>
    <definedName name="A00321_" localSheetId="17">'[18]TB APJ'!#REF!</definedName>
    <definedName name="A00321_">'[18]TB APJ'!#REF!</definedName>
    <definedName name="A00322_">'[18]TB APJ'!$B$336</definedName>
    <definedName name="A00323_" localSheetId="13">'[17]TB APJ'!#REF!</definedName>
    <definedName name="A00323_" localSheetId="4">'[17]TB APJ'!#REF!</definedName>
    <definedName name="A00323_" localSheetId="17">'[17]TB APJ'!#REF!</definedName>
    <definedName name="A00323_">'[17]TB APJ'!#REF!</definedName>
    <definedName name="A00324_" localSheetId="13">'[18]TB APJ'!#REF!</definedName>
    <definedName name="A00324_" localSheetId="4">'[18]TB APJ'!#REF!</definedName>
    <definedName name="A00324_" localSheetId="17">'[18]TB APJ'!#REF!</definedName>
    <definedName name="A00324_">'[18]TB APJ'!#REF!</definedName>
    <definedName name="A00325_" localSheetId="13">'[18]TB APJ'!#REF!</definedName>
    <definedName name="A00325_" localSheetId="4">'[18]TB APJ'!#REF!</definedName>
    <definedName name="A00325_" localSheetId="17">'[18]TB APJ'!#REF!</definedName>
    <definedName name="A00325_">'[18]TB APJ'!#REF!</definedName>
    <definedName name="A00326_">'[18]TB APJ'!$B$337</definedName>
    <definedName name="A00327_">'[18]TB APJ'!$B$338</definedName>
    <definedName name="A00330_" localSheetId="13">'[18]TB APJ'!#REF!</definedName>
    <definedName name="A00330_" localSheetId="4">'[18]TB APJ'!#REF!</definedName>
    <definedName name="A00330_" localSheetId="17">'[18]TB APJ'!#REF!</definedName>
    <definedName name="A00330_">'[18]TB APJ'!#REF!</definedName>
    <definedName name="A00331_">'[18]TB APJ'!$B$308</definedName>
    <definedName name="A00333_" localSheetId="13">'[18]TB APJ'!#REF!</definedName>
    <definedName name="A00333_" localSheetId="4">'[18]TB APJ'!#REF!</definedName>
    <definedName name="A00333_" localSheetId="17">'[18]TB APJ'!#REF!</definedName>
    <definedName name="A00333_">'[18]TB APJ'!#REF!</definedName>
    <definedName name="A00334_" localSheetId="13">'[18]TB APJ'!#REF!</definedName>
    <definedName name="A00334_" localSheetId="4">'[18]TB APJ'!#REF!</definedName>
    <definedName name="A00334_" localSheetId="17">'[18]TB APJ'!#REF!</definedName>
    <definedName name="A00334_">'[18]TB APJ'!#REF!</definedName>
    <definedName name="A00335_" localSheetId="13">'[18]TB APJ'!#REF!</definedName>
    <definedName name="A00335_" localSheetId="4">'[18]TB APJ'!#REF!</definedName>
    <definedName name="A00335_" localSheetId="17">'[18]TB APJ'!#REF!</definedName>
    <definedName name="A00335_">'[18]TB APJ'!#REF!</definedName>
    <definedName name="A00338_" localSheetId="13">'[18]TB APJ'!#REF!</definedName>
    <definedName name="A00338_" localSheetId="4">'[18]TB APJ'!#REF!</definedName>
    <definedName name="A00338_" localSheetId="17">'[18]TB APJ'!#REF!</definedName>
    <definedName name="A00338_">'[18]TB APJ'!#REF!</definedName>
    <definedName name="A00340_" localSheetId="17">'[18]TB APJ'!#REF!</definedName>
    <definedName name="A00340_">'[18]TB APJ'!#REF!</definedName>
    <definedName name="A00341_" localSheetId="17">'[18]TB APJ'!#REF!</definedName>
    <definedName name="A00341_">'[18]TB APJ'!#REF!</definedName>
    <definedName name="A00342_">'[18]TB APJ'!$B$339</definedName>
    <definedName name="A00344_" localSheetId="13">'[18]TB APJ'!#REF!</definedName>
    <definedName name="A00344_" localSheetId="4">'[18]TB APJ'!#REF!</definedName>
    <definedName name="A00344_" localSheetId="17">'[18]TB APJ'!#REF!</definedName>
    <definedName name="A00344_">'[18]TB APJ'!#REF!</definedName>
    <definedName name="A00345_" localSheetId="13">'[18]TB APJ'!#REF!</definedName>
    <definedName name="A00345_" localSheetId="4">'[18]TB APJ'!#REF!</definedName>
    <definedName name="A00345_" localSheetId="17">'[18]TB APJ'!#REF!</definedName>
    <definedName name="A00345_">'[18]TB APJ'!#REF!</definedName>
    <definedName name="A00346_" localSheetId="13">'[18]TB APJ'!#REF!</definedName>
    <definedName name="A00346_" localSheetId="4">'[18]TB APJ'!#REF!</definedName>
    <definedName name="A00346_" localSheetId="17">'[18]TB APJ'!#REF!</definedName>
    <definedName name="A00346_">'[18]TB APJ'!#REF!</definedName>
    <definedName name="A00348_" localSheetId="13">'[18]TB APJ'!#REF!</definedName>
    <definedName name="A00348_" localSheetId="4">'[18]TB APJ'!#REF!</definedName>
    <definedName name="A00348_" localSheetId="17">'[18]TB APJ'!#REF!</definedName>
    <definedName name="A00348_">'[18]TB APJ'!#REF!</definedName>
    <definedName name="A00349_" localSheetId="17">'[18]TB APJ'!#REF!</definedName>
    <definedName name="A00349_">'[18]TB APJ'!#REF!</definedName>
    <definedName name="A00350_">'[18]TB APJ'!$B$340</definedName>
    <definedName name="A00351_" localSheetId="13">'[18]TB APJ'!#REF!</definedName>
    <definedName name="A00351_" localSheetId="4">'[18]TB APJ'!#REF!</definedName>
    <definedName name="A00351_" localSheetId="17">'[18]TB APJ'!#REF!</definedName>
    <definedName name="A00351_">'[18]TB APJ'!#REF!</definedName>
    <definedName name="A00352_">'[18]TB APJ'!$B$20</definedName>
    <definedName name="A00353_" localSheetId="13">'[18]TB APJ'!#REF!</definedName>
    <definedName name="A00353_" localSheetId="4">'[18]TB APJ'!#REF!</definedName>
    <definedName name="A00353_" localSheetId="17">'[18]TB APJ'!#REF!</definedName>
    <definedName name="A00353_">'[18]TB APJ'!#REF!</definedName>
    <definedName name="A00354_">'[18]TB APJ'!$B$341</definedName>
    <definedName name="A00355_">'[18]TB APJ'!$B$342</definedName>
    <definedName name="A00357_">'[18]TB APJ'!$B$343</definedName>
    <definedName name="A00358_">'[18]TB APJ'!$B$344</definedName>
    <definedName name="A00359_">'[18]TB APJ'!$B$254</definedName>
    <definedName name="A00362_" localSheetId="13">'[18]TB APJ'!#REF!</definedName>
    <definedName name="A00362_" localSheetId="4">'[18]TB APJ'!#REF!</definedName>
    <definedName name="A00362_" localSheetId="17">'[18]TB APJ'!#REF!</definedName>
    <definedName name="A00362_">'[18]TB APJ'!#REF!</definedName>
    <definedName name="A00366_" localSheetId="13">'[18]TB APJ'!#REF!</definedName>
    <definedName name="A00366_" localSheetId="4">'[18]TB APJ'!#REF!</definedName>
    <definedName name="A00366_" localSheetId="17">'[18]TB APJ'!#REF!</definedName>
    <definedName name="A00366_">'[18]TB APJ'!#REF!</definedName>
    <definedName name="A00367_">'[18]TB APJ'!$B$21</definedName>
    <definedName name="A00368_">'[18]TB APJ'!$B$22</definedName>
    <definedName name="A00369_" localSheetId="13">'[18]TB APJ'!#REF!</definedName>
    <definedName name="A00369_" localSheetId="4">'[18]TB APJ'!#REF!</definedName>
    <definedName name="A00369_" localSheetId="17">'[18]TB APJ'!#REF!</definedName>
    <definedName name="A00369_">'[18]TB APJ'!#REF!</definedName>
    <definedName name="A00370_">'[18]TB APJ'!$B$23</definedName>
    <definedName name="A00372_">'[18]TB APJ'!$B$235</definedName>
    <definedName name="A00376_" localSheetId="13">'[18]TB APJ'!#REF!</definedName>
    <definedName name="A00376_" localSheetId="4">'[18]TB APJ'!#REF!</definedName>
    <definedName name="A00376_" localSheetId="17">'[18]TB APJ'!#REF!</definedName>
    <definedName name="A00376_">'[18]TB APJ'!#REF!</definedName>
    <definedName name="A00379_" localSheetId="13">'[18]TB APJ'!#REF!</definedName>
    <definedName name="A00379_" localSheetId="4">'[18]TB APJ'!#REF!</definedName>
    <definedName name="A00379_" localSheetId="17">'[18]TB APJ'!#REF!</definedName>
    <definedName name="A00379_">'[18]TB APJ'!#REF!</definedName>
    <definedName name="A00381_" localSheetId="13">'[18]TB APJ'!#REF!</definedName>
    <definedName name="A00381_" localSheetId="4">'[18]TB APJ'!#REF!</definedName>
    <definedName name="A00381_" localSheetId="17">'[18]TB APJ'!#REF!</definedName>
    <definedName name="A00381_">'[18]TB APJ'!#REF!</definedName>
    <definedName name="A00383_" localSheetId="13">'[18]TB APJ'!#REF!</definedName>
    <definedName name="A00383_" localSheetId="4">'[18]TB APJ'!#REF!</definedName>
    <definedName name="A00383_" localSheetId="17">'[18]TB APJ'!#REF!</definedName>
    <definedName name="A00383_">'[18]TB APJ'!#REF!</definedName>
    <definedName name="A00386_" localSheetId="17">'[18]TB APJ'!#REF!</definedName>
    <definedName name="A00386_">'[18]TB APJ'!#REF!</definedName>
    <definedName name="A00387_" localSheetId="17">'[18]TB APJ'!#REF!</definedName>
    <definedName name="A00387_">'[18]TB APJ'!#REF!</definedName>
    <definedName name="A00388_" localSheetId="17">'[18]TB APJ'!#REF!</definedName>
    <definedName name="A00388_">'[18]TB APJ'!#REF!</definedName>
    <definedName name="A00389_" localSheetId="17">'[18]TB APJ'!#REF!</definedName>
    <definedName name="A00389_">'[18]TB APJ'!#REF!</definedName>
    <definedName name="A00391_" localSheetId="17">'[18]TB APJ'!#REF!</definedName>
    <definedName name="A00391_">'[18]TB APJ'!#REF!</definedName>
    <definedName name="A00392_" localSheetId="17">'[18]TB APJ'!#REF!</definedName>
    <definedName name="A00392_">'[18]TB APJ'!#REF!</definedName>
    <definedName name="A00393_" localSheetId="17">'[18]TB APJ'!#REF!</definedName>
    <definedName name="A00393_">'[18]TB APJ'!#REF!</definedName>
    <definedName name="A00394_" localSheetId="17">'[18]TB APJ'!#REF!</definedName>
    <definedName name="A00394_">'[18]TB APJ'!#REF!</definedName>
    <definedName name="A00395_" localSheetId="17">'[18]TB APJ'!#REF!</definedName>
    <definedName name="A00395_">'[18]TB APJ'!#REF!</definedName>
    <definedName name="A00396_" localSheetId="17">'[18]TB APJ'!#REF!</definedName>
    <definedName name="A00396_">'[18]TB APJ'!#REF!</definedName>
    <definedName name="A00397_">'[18]TB APJ'!$B$351</definedName>
    <definedName name="A00398_" localSheetId="13">'[18]TB APJ'!#REF!</definedName>
    <definedName name="A00398_" localSheetId="4">'[18]TB APJ'!#REF!</definedName>
    <definedName name="A00398_" localSheetId="17">'[18]TB APJ'!#REF!</definedName>
    <definedName name="A00398_">'[18]TB APJ'!#REF!</definedName>
    <definedName name="A0040_" localSheetId="13">'[18]TB APJ'!#REF!</definedName>
    <definedName name="A0040_" localSheetId="4">'[18]TB APJ'!#REF!</definedName>
    <definedName name="A0040_" localSheetId="17">'[18]TB APJ'!#REF!</definedName>
    <definedName name="A0040_">'[18]TB APJ'!#REF!</definedName>
    <definedName name="A00400_" localSheetId="13">'[18]TB APJ'!#REF!</definedName>
    <definedName name="A00400_" localSheetId="4">'[18]TB APJ'!#REF!</definedName>
    <definedName name="A00400_" localSheetId="17">'[18]TB APJ'!#REF!</definedName>
    <definedName name="A00400_">'[18]TB APJ'!#REF!</definedName>
    <definedName name="A00402_">'[18]TB APJ'!$B$309</definedName>
    <definedName name="A00403_">'[18]TB APJ'!$B$25</definedName>
    <definedName name="A00404_" localSheetId="13">'[18]TB APJ'!#REF!</definedName>
    <definedName name="A00404_" localSheetId="4">'[18]TB APJ'!#REF!</definedName>
    <definedName name="A00404_" localSheetId="17">'[18]TB APJ'!#REF!</definedName>
    <definedName name="A00404_">'[18]TB APJ'!#REF!</definedName>
    <definedName name="A00405_">'[18]TB APJ'!$B$26</definedName>
    <definedName name="A00407_" localSheetId="13">'[18]TB APJ'!#REF!</definedName>
    <definedName name="A00407_" localSheetId="4">'[18]TB APJ'!#REF!</definedName>
    <definedName name="A00407_" localSheetId="17">'[18]TB APJ'!#REF!</definedName>
    <definedName name="A00407_">'[18]TB APJ'!#REF!</definedName>
    <definedName name="A00409_">'[18]TB APJ'!$B$256</definedName>
    <definedName name="A00410_" localSheetId="13">'[18]TB APJ'!#REF!</definedName>
    <definedName name="A00410_" localSheetId="4">'[18]TB APJ'!#REF!</definedName>
    <definedName name="A00410_" localSheetId="17">'[18]TB APJ'!#REF!</definedName>
    <definedName name="A00410_">'[18]TB APJ'!#REF!</definedName>
    <definedName name="A00411_" localSheetId="13">'[18]TB APJ'!#REF!</definedName>
    <definedName name="A00411_" localSheetId="4">'[18]TB APJ'!#REF!</definedName>
    <definedName name="A00411_" localSheetId="17">'[18]TB APJ'!#REF!</definedName>
    <definedName name="A00411_">'[18]TB APJ'!#REF!</definedName>
    <definedName name="A00412_" localSheetId="13">'[18]TB APJ'!#REF!</definedName>
    <definedName name="A00412_" localSheetId="4">'[18]TB APJ'!#REF!</definedName>
    <definedName name="A00412_" localSheetId="17">'[18]TB APJ'!#REF!</definedName>
    <definedName name="A00412_">'[18]TB APJ'!#REF!</definedName>
    <definedName name="A00413_" localSheetId="13">'[18]TB APJ'!#REF!</definedName>
    <definedName name="A00413_" localSheetId="4">'[18]TB APJ'!#REF!</definedName>
    <definedName name="A00413_" localSheetId="17">'[18]TB APJ'!#REF!</definedName>
    <definedName name="A00413_">'[18]TB APJ'!#REF!</definedName>
    <definedName name="A00416_" localSheetId="17">'[18]TB APJ'!#REF!</definedName>
    <definedName name="A00416_">'[18]TB APJ'!#REF!</definedName>
    <definedName name="A00420_" localSheetId="17">'[18]TB APJ'!#REF!</definedName>
    <definedName name="A00420_">'[18]TB APJ'!#REF!</definedName>
    <definedName name="A00421_" localSheetId="17">'[18]TB APJ'!#REF!</definedName>
    <definedName name="A00421_">'[18]TB APJ'!#REF!</definedName>
    <definedName name="A00422_" localSheetId="17">'[18]TB APJ'!#REF!</definedName>
    <definedName name="A00422_">'[18]TB APJ'!#REF!</definedName>
    <definedName name="A00423_">'[18]TB APJ'!$B$27</definedName>
    <definedName name="A00424_">'[18]TB APJ'!$B$28</definedName>
    <definedName name="A00425_" localSheetId="13">'[18]TB APJ'!#REF!</definedName>
    <definedName name="A00425_" localSheetId="4">'[18]TB APJ'!#REF!</definedName>
    <definedName name="A00425_" localSheetId="17">'[18]TB APJ'!#REF!</definedName>
    <definedName name="A00425_">'[18]TB APJ'!#REF!</definedName>
    <definedName name="A00426_">'[18]TB APJ'!$B$353</definedName>
    <definedName name="A00427_">'[18]TB APJ'!$B$258</definedName>
    <definedName name="A00430_">'[18]TB APJ'!$B$29</definedName>
    <definedName name="A00433_" localSheetId="13">'[18]TB APJ'!#REF!</definedName>
    <definedName name="A00433_" localSheetId="4">'[18]TB APJ'!#REF!</definedName>
    <definedName name="A00433_" localSheetId="17">'[18]TB APJ'!#REF!</definedName>
    <definedName name="A00433_">'[18]TB APJ'!#REF!</definedName>
    <definedName name="A00434_">'[18]TB APJ'!$B$260</definedName>
    <definedName name="A00435_" localSheetId="13">'[18]TB APJ'!#REF!</definedName>
    <definedName name="A00435_" localSheetId="4">'[18]TB APJ'!#REF!</definedName>
    <definedName name="A00435_" localSheetId="17">'[18]TB APJ'!#REF!</definedName>
    <definedName name="A00435_">'[18]TB APJ'!#REF!</definedName>
    <definedName name="A00436_" localSheetId="13">'[18]TB APJ'!#REF!</definedName>
    <definedName name="A00436_" localSheetId="4">'[18]TB APJ'!#REF!</definedName>
    <definedName name="A00436_" localSheetId="17">'[18]TB APJ'!#REF!</definedName>
    <definedName name="A00436_">'[18]TB APJ'!#REF!</definedName>
    <definedName name="A00437_" localSheetId="13">'[18]TB APJ'!#REF!</definedName>
    <definedName name="A00437_" localSheetId="4">'[18]TB APJ'!#REF!</definedName>
    <definedName name="A00437_" localSheetId="17">'[18]TB APJ'!#REF!</definedName>
    <definedName name="A00437_">'[18]TB APJ'!#REF!</definedName>
    <definedName name="A0044_" localSheetId="13">'[18]TB APJ'!#REF!</definedName>
    <definedName name="A0044_" localSheetId="4">'[18]TB APJ'!#REF!</definedName>
    <definedName name="A0044_" localSheetId="17">'[18]TB APJ'!#REF!</definedName>
    <definedName name="A0044_">'[18]TB APJ'!#REF!</definedName>
    <definedName name="A00441_" localSheetId="17">'[18]TB APJ'!#REF!</definedName>
    <definedName name="A00441_">'[18]TB APJ'!#REF!</definedName>
    <definedName name="A00442_">'[18]TB APJ'!$B$354</definedName>
    <definedName name="A00443_">'[18]TB APJ'!$B$261</definedName>
    <definedName name="A00444_" localSheetId="13">'[18]TB APJ'!#REF!</definedName>
    <definedName name="A00444_" localSheetId="4">'[18]TB APJ'!#REF!</definedName>
    <definedName name="A00444_" localSheetId="17">'[18]TB APJ'!#REF!</definedName>
    <definedName name="A00444_">'[18]TB APJ'!#REF!</definedName>
    <definedName name="A00445_">'[18]TB APJ'!$B$355</definedName>
    <definedName name="A00446_">'[18]TB APJ'!$B$31</definedName>
    <definedName name="A00448_" localSheetId="13">'[18]TB APJ'!#REF!</definedName>
    <definedName name="A00448_" localSheetId="4">'[18]TB APJ'!#REF!</definedName>
    <definedName name="A00448_" localSheetId="17">'[18]TB APJ'!#REF!</definedName>
    <definedName name="A00448_">'[18]TB APJ'!#REF!</definedName>
    <definedName name="A0045_">[19]tb!$B$92</definedName>
    <definedName name="A00453_">'[18]TB APJ'!$B$32</definedName>
    <definedName name="A00457_">'[18]TB APJ'!$B$34</definedName>
    <definedName name="A0048_" localSheetId="13">'[18]TB APJ'!#REF!</definedName>
    <definedName name="A0048_" localSheetId="4">'[18]TB APJ'!#REF!</definedName>
    <definedName name="A0048_" localSheetId="17">'[18]TB APJ'!#REF!</definedName>
    <definedName name="A0048_">'[18]TB APJ'!#REF!</definedName>
    <definedName name="A0049_" localSheetId="13">'[17]TB WORLI'!#REF!</definedName>
    <definedName name="A0049_" localSheetId="4">'[17]TB WORLI'!#REF!</definedName>
    <definedName name="A0049_" localSheetId="17">'[17]TB WORLI'!#REF!</definedName>
    <definedName name="A0049_">'[17]TB WORLI'!#REF!</definedName>
    <definedName name="A0050_">'[18]TB APJ'!$B$36</definedName>
    <definedName name="A0052_" localSheetId="13">'[18]TB APJ'!#REF!</definedName>
    <definedName name="A0052_" localSheetId="4">'[18]TB APJ'!#REF!</definedName>
    <definedName name="A0052_" localSheetId="17">'[18]TB APJ'!#REF!</definedName>
    <definedName name="A0052_">'[18]TB APJ'!#REF!</definedName>
    <definedName name="A0053_">'[18]TB APJ'!$B$37</definedName>
    <definedName name="A0057_">'[18]TB APJ'!$B$38</definedName>
    <definedName name="A0060_">'[18]TB APJ'!$B$39</definedName>
    <definedName name="A0061_" localSheetId="13">'[18]TB APJ'!#REF!</definedName>
    <definedName name="A0061_" localSheetId="4">'[18]TB APJ'!#REF!</definedName>
    <definedName name="A0061_" localSheetId="17">'[18]TB APJ'!#REF!</definedName>
    <definedName name="A0061_">'[18]TB APJ'!#REF!</definedName>
    <definedName name="A0062_">'[18]TB APJ'!$B$40</definedName>
    <definedName name="A0064_">[19]tb!$B$101</definedName>
    <definedName name="A0065_">'[18]TB APJ'!$B$357</definedName>
    <definedName name="A0066_">'[18]TB APJ'!$B$41</definedName>
    <definedName name="A0067_">'[18]TB APJ'!$B$42</definedName>
    <definedName name="A0069_" localSheetId="13">'[17]TB APJ'!#REF!</definedName>
    <definedName name="A0069_" localSheetId="4">'[17]TB APJ'!#REF!</definedName>
    <definedName name="A0069_" localSheetId="17">'[17]TB APJ'!#REF!</definedName>
    <definedName name="A0069_">'[17]TB APJ'!#REF!</definedName>
    <definedName name="A0070_">'[18]TB APJ'!$B$43</definedName>
    <definedName name="A0071_">'[18]TB APJ'!$B$44</definedName>
    <definedName name="A0072_">'[18]TB APJ'!$B$45</definedName>
    <definedName name="A0074_">'[18]TB APJ'!$B$46</definedName>
    <definedName name="A0075_">'[18]TB APJ'!$B$425</definedName>
    <definedName name="A0078_" localSheetId="13">'[18]TB APJ'!#REF!</definedName>
    <definedName name="A0078_" localSheetId="4">'[18]TB APJ'!#REF!</definedName>
    <definedName name="A0078_" localSheetId="17">'[18]TB APJ'!#REF!</definedName>
    <definedName name="A0078_">'[18]TB APJ'!#REF!</definedName>
    <definedName name="A0080_">'[18]TB APJ'!$B$47</definedName>
    <definedName name="A0081_">'[18]TB APJ'!$B$48</definedName>
    <definedName name="A0082_" localSheetId="13">'[18]TB APJ'!#REF!</definedName>
    <definedName name="A0082_" localSheetId="4">'[18]TB APJ'!#REF!</definedName>
    <definedName name="A0082_" localSheetId="17">'[18]TB APJ'!#REF!</definedName>
    <definedName name="A0082_">'[18]TB APJ'!#REF!</definedName>
    <definedName name="A0084_">'[18]TB APJ'!$B$49</definedName>
    <definedName name="A0085_">'[18]TB APJ'!$B$241</definedName>
    <definedName name="A0087_">'[18]TB APJ'!$B$359</definedName>
    <definedName name="A0088_">'[18]TB APJ'!$B$50</definedName>
    <definedName name="A0096_" localSheetId="13">'[18]TB APJ'!#REF!</definedName>
    <definedName name="A0096_" localSheetId="4">'[18]TB APJ'!#REF!</definedName>
    <definedName name="A0096_" localSheetId="17">'[18]TB APJ'!#REF!</definedName>
    <definedName name="A0096_">'[18]TB APJ'!#REF!</definedName>
    <definedName name="A0100_">'[18]TB APJ'!$B$51</definedName>
    <definedName name="A0101_" localSheetId="13">'[18]TB APJ'!#REF!</definedName>
    <definedName name="A0101_" localSheetId="4">'[18]TB APJ'!#REF!</definedName>
    <definedName name="A0101_" localSheetId="17">'[18]TB APJ'!#REF!</definedName>
    <definedName name="A0101_">'[18]TB APJ'!#REF!</definedName>
    <definedName name="A0103_">'[18]TB APJ'!$B$268</definedName>
    <definedName name="A0114_">'[18]TB APJ'!$B$52</definedName>
    <definedName name="A0115_">'[18]TB APJ'!$B$53</definedName>
    <definedName name="A0116_">'[18]TB APJ'!$B$269</definedName>
    <definedName name="A0118_">'[18]TB APJ'!$B$54</definedName>
    <definedName name="A0119_">'[18]TB APJ'!$B$55</definedName>
    <definedName name="A0126_" localSheetId="13">'[18]TB APJ'!#REF!</definedName>
    <definedName name="A0126_" localSheetId="4">'[18]TB APJ'!#REF!</definedName>
    <definedName name="A0126_" localSheetId="17">'[18]TB APJ'!#REF!</definedName>
    <definedName name="A0126_">'[18]TB APJ'!#REF!</definedName>
    <definedName name="A0127_" localSheetId="13">'[18]TB APJ'!#REF!</definedName>
    <definedName name="A0127_" localSheetId="4">'[18]TB APJ'!#REF!</definedName>
    <definedName name="A0127_" localSheetId="17">'[18]TB APJ'!#REF!</definedName>
    <definedName name="A0127_">'[18]TB APJ'!#REF!</definedName>
    <definedName name="A0129_" localSheetId="13">'[18]TB APJ'!#REF!</definedName>
    <definedName name="A0129_" localSheetId="4">'[18]TB APJ'!#REF!</definedName>
    <definedName name="A0129_" localSheetId="17">'[18]TB APJ'!#REF!</definedName>
    <definedName name="A0129_">'[18]TB APJ'!#REF!</definedName>
    <definedName name="A0141_">'[18]TB APJ'!$B$56</definedName>
    <definedName name="A0142_">'[18]TB APJ'!$B$57</definedName>
    <definedName name="A0146_" localSheetId="13">'[17]TB APJ'!#REF!</definedName>
    <definedName name="A0146_" localSheetId="4">'[17]TB APJ'!#REF!</definedName>
    <definedName name="A0146_" localSheetId="17">'[17]TB APJ'!#REF!</definedName>
    <definedName name="A0146_">'[17]TB APJ'!#REF!</definedName>
    <definedName name="A0154_">'[18]TB APJ'!$B$58</definedName>
    <definedName name="A0155_" localSheetId="13">'[18]TB APJ'!#REF!</definedName>
    <definedName name="A0155_" localSheetId="4">'[18]TB APJ'!#REF!</definedName>
    <definedName name="A0155_" localSheetId="17">'[18]TB APJ'!#REF!</definedName>
    <definedName name="A0155_">'[18]TB APJ'!#REF!</definedName>
    <definedName name="A10002_">'[18]TB APJ'!$B$59</definedName>
    <definedName name="A10007_">'[18]TB APJ'!$B$312</definedName>
    <definedName name="A10019_">'[17]TB APJ'!$B$48</definedName>
    <definedName name="A10037_" localSheetId="13">'[17]TB APJ'!#REF!</definedName>
    <definedName name="A10037_" localSheetId="4">'[17]TB APJ'!#REF!</definedName>
    <definedName name="A10037_" localSheetId="17">'[17]TB APJ'!#REF!</definedName>
    <definedName name="A10037_">'[17]TB APJ'!#REF!</definedName>
    <definedName name="A10041_" localSheetId="13">'[17]TB APJ'!#REF!</definedName>
    <definedName name="A10041_" localSheetId="4">'[17]TB APJ'!#REF!</definedName>
    <definedName name="A10041_" localSheetId="17">'[17]TB APJ'!#REF!</definedName>
    <definedName name="A10041_">'[17]TB APJ'!#REF!</definedName>
    <definedName name="A10066_" localSheetId="13">'[17]TB APJ'!#REF!</definedName>
    <definedName name="A10066_" localSheetId="4">'[17]TB APJ'!#REF!</definedName>
    <definedName name="A10066_" localSheetId="17">'[17]TB APJ'!#REF!</definedName>
    <definedName name="A10066_">'[17]TB APJ'!#REF!</definedName>
    <definedName name="A10069_" localSheetId="13">'[17]TB APJ'!#REF!</definedName>
    <definedName name="A10069_" localSheetId="4">'[17]TB APJ'!#REF!</definedName>
    <definedName name="A10069_" localSheetId="17">'[17]TB APJ'!#REF!</definedName>
    <definedName name="A10069_">'[17]TB APJ'!#REF!</definedName>
    <definedName name="A10087_" localSheetId="17">'[17]TB APJ'!#REF!</definedName>
    <definedName name="A10087_">'[17]TB APJ'!#REF!</definedName>
    <definedName name="A10104_">'[18]TB APJ'!$B$315</definedName>
    <definedName name="A10106_" localSheetId="13">'[17]TB APJ'!#REF!</definedName>
    <definedName name="A10106_" localSheetId="4">'[17]TB APJ'!#REF!</definedName>
    <definedName name="A10106_" localSheetId="17">'[17]TB APJ'!#REF!</definedName>
    <definedName name="A10106_">'[17]TB APJ'!#REF!</definedName>
    <definedName name="A10112_">'[18]TB APJ'!$B$60</definedName>
    <definedName name="A10117_">'[18]TB APJ'!$B$61</definedName>
    <definedName name="A10119_">'[18]TB APJ'!$B$426</definedName>
    <definedName name="A10122_">'[18]TB APJ'!$B$63</definedName>
    <definedName name="A10123_">'[18]TB APJ'!$B$64</definedName>
    <definedName name="A10124_">'[18]TB APJ'!$B$65</definedName>
    <definedName name="AA" localSheetId="13">#REF!</definedName>
    <definedName name="AA" localSheetId="19">#REF!</definedName>
    <definedName name="AA" localSheetId="17">#REF!</definedName>
    <definedName name="AA">#REF!</definedName>
    <definedName name="AA0005_" localSheetId="13">'[17]TB WORLI'!#REF!</definedName>
    <definedName name="AA0005_" localSheetId="19">'[17]TB WORLI'!#REF!</definedName>
    <definedName name="AA0005_" localSheetId="17">'[17]TB WORLI'!#REF!</definedName>
    <definedName name="AA0005_">'[17]TB WORLI'!#REF!</definedName>
    <definedName name="AA0015_" localSheetId="13">'[17]TB WORLI'!#REF!</definedName>
    <definedName name="AA0015_" localSheetId="19">'[17]TB WORLI'!#REF!</definedName>
    <definedName name="AA0015_" localSheetId="17">'[17]TB WORLI'!#REF!</definedName>
    <definedName name="AA0015_">'[17]TB WORLI'!#REF!</definedName>
    <definedName name="AA00212_" localSheetId="13">'[17]TB WORLI'!#REF!</definedName>
    <definedName name="AA00212_" localSheetId="19">'[17]TB WORLI'!#REF!</definedName>
    <definedName name="AA00212_" localSheetId="17">'[17]TB WORLI'!#REF!</definedName>
    <definedName name="AA00212_">'[17]TB WORLI'!#REF!</definedName>
    <definedName name="AA00223_" localSheetId="13">'[17]TB WORLI'!#REF!</definedName>
    <definedName name="AA00223_" localSheetId="19">'[17]TB WORLI'!#REF!</definedName>
    <definedName name="AA00223_" localSheetId="17">'[17]TB WORLI'!#REF!</definedName>
    <definedName name="AA00223_">'[17]TB WORLI'!#REF!</definedName>
    <definedName name="AA00231_" localSheetId="17">'[17]TB WORLI'!#REF!</definedName>
    <definedName name="AA00231_">'[17]TB WORLI'!#REF!</definedName>
    <definedName name="AA00237_" localSheetId="17">'[17]TB WORLI'!#REF!</definedName>
    <definedName name="AA00237_">'[17]TB WORLI'!#REF!</definedName>
    <definedName name="AA0026_" localSheetId="17">'[17]TB WORLI'!#REF!</definedName>
    <definedName name="AA0026_">'[17]TB WORLI'!#REF!</definedName>
    <definedName name="AA00273_" localSheetId="17">'[17]TB WORLI'!#REF!</definedName>
    <definedName name="AA00273_">'[17]TB WORLI'!#REF!</definedName>
    <definedName name="AA00288_" localSheetId="17">'[17]TB WORLI'!#REF!</definedName>
    <definedName name="AA00288_">'[17]TB WORLI'!#REF!</definedName>
    <definedName name="AA00291_" localSheetId="17">'[17]TB WORLI'!#REF!</definedName>
    <definedName name="AA00291_">'[17]TB WORLI'!#REF!</definedName>
    <definedName name="AA00294_" localSheetId="17">'[17]TB WORLI'!#REF!</definedName>
    <definedName name="AA00294_">'[17]TB WORLI'!#REF!</definedName>
    <definedName name="AA00295_" localSheetId="17">'[17]TB WORLI'!#REF!</definedName>
    <definedName name="AA00295_">'[17]TB WORLI'!#REF!</definedName>
    <definedName name="AA00298_" localSheetId="17">'[17]TB WORLI'!#REF!</definedName>
    <definedName name="AA00298_">'[17]TB WORLI'!#REF!</definedName>
    <definedName name="AA00301_" localSheetId="17">'[17]TB WORLI'!#REF!</definedName>
    <definedName name="AA00301_">'[17]TB WORLI'!#REF!</definedName>
    <definedName name="AA00302_" localSheetId="17">'[17]TB WORLI'!#REF!</definedName>
    <definedName name="AA00302_">'[17]TB WORLI'!#REF!</definedName>
    <definedName name="AA00306_" localSheetId="17">'[17]TB WORLI'!#REF!</definedName>
    <definedName name="AA00306_">'[17]TB WORLI'!#REF!</definedName>
    <definedName name="AA00307_" localSheetId="17">'[17]TB WORLI'!#REF!</definedName>
    <definedName name="AA00307_">'[17]TB WORLI'!#REF!</definedName>
    <definedName name="AA00308_" localSheetId="17">'[17]TB WORLI'!#REF!</definedName>
    <definedName name="AA00308_">'[17]TB WORLI'!#REF!</definedName>
    <definedName name="AA00310_" localSheetId="17">'[17]TB WORLI'!#REF!</definedName>
    <definedName name="AA00310_">'[17]TB WORLI'!#REF!</definedName>
    <definedName name="AA00318_" localSheetId="17">'[17]TB WORLI'!#REF!</definedName>
    <definedName name="AA00318_">'[17]TB WORLI'!#REF!</definedName>
    <definedName name="AA00321_" localSheetId="17">'[17]TB WORLI'!#REF!</definedName>
    <definedName name="AA00321_">'[17]TB WORLI'!#REF!</definedName>
    <definedName name="AA00324_" localSheetId="17">'[17]TB WORLI'!#REF!</definedName>
    <definedName name="AA00324_">'[17]TB WORLI'!#REF!</definedName>
    <definedName name="AA00325_" localSheetId="17">'[17]TB WORLI'!#REF!</definedName>
    <definedName name="AA00325_">'[17]TB WORLI'!#REF!</definedName>
    <definedName name="AA00326_" localSheetId="17">'[17]TB WORLI'!#REF!</definedName>
    <definedName name="AA00326_">'[17]TB WORLI'!#REF!</definedName>
    <definedName name="AA00327_" localSheetId="17">'[17]TB WORLI'!#REF!</definedName>
    <definedName name="AA00327_">'[17]TB WORLI'!#REF!</definedName>
    <definedName name="AA00328_" localSheetId="17">'[17]TB WORLI'!#REF!</definedName>
    <definedName name="AA00328_">'[17]TB WORLI'!#REF!</definedName>
    <definedName name="AA00329_" localSheetId="17">'[17]TB WORLI'!#REF!</definedName>
    <definedName name="AA00329_">'[17]TB WORLI'!#REF!</definedName>
    <definedName name="AA00330_" localSheetId="17">'[17]TB WORLI'!#REF!</definedName>
    <definedName name="AA00330_">'[17]TB WORLI'!#REF!</definedName>
    <definedName name="AA00332_" localSheetId="17">'[17]TB WORLI'!#REF!</definedName>
    <definedName name="AA00332_">'[17]TB WORLI'!#REF!</definedName>
    <definedName name="AA00337_" localSheetId="17">'[17]TB WORLI'!#REF!</definedName>
    <definedName name="AA00337_">'[17]TB WORLI'!#REF!</definedName>
    <definedName name="AA00338_" localSheetId="17">'[17]TB WORLI'!#REF!</definedName>
    <definedName name="AA00338_">'[17]TB WORLI'!#REF!</definedName>
    <definedName name="AA00361_" localSheetId="17">'[17]TB WORLI'!#REF!</definedName>
    <definedName name="AA00361_">'[17]TB WORLI'!#REF!</definedName>
    <definedName name="AA00362_" localSheetId="17">'[17]TB WORLI'!#REF!</definedName>
    <definedName name="AA00362_">'[17]TB WORLI'!#REF!</definedName>
    <definedName name="AA00367_" localSheetId="17">'[17]TB WORLI'!#REF!</definedName>
    <definedName name="AA00367_">'[17]TB WORLI'!#REF!</definedName>
    <definedName name="AA00368_" localSheetId="17">'[17]TB WORLI'!#REF!</definedName>
    <definedName name="AA00368_">'[17]TB WORLI'!#REF!</definedName>
    <definedName name="AA00369_" localSheetId="17">'[17]TB WORLI'!#REF!</definedName>
    <definedName name="AA00369_">'[17]TB WORLI'!#REF!</definedName>
    <definedName name="AA00370_" localSheetId="17">'[17]TB WORLI'!#REF!</definedName>
    <definedName name="AA00370_">'[17]TB WORLI'!#REF!</definedName>
    <definedName name="AA00372_" localSheetId="17">'[17]TB WORLI'!#REF!</definedName>
    <definedName name="AA00372_">'[17]TB WORLI'!#REF!</definedName>
    <definedName name="AA00373_" localSheetId="17">'[17]TB WORLI'!#REF!</definedName>
    <definedName name="AA00373_">'[17]TB WORLI'!#REF!</definedName>
    <definedName name="AA00374_" localSheetId="17">'[17]TB WORLI'!#REF!</definedName>
    <definedName name="AA00374_">'[17]TB WORLI'!#REF!</definedName>
    <definedName name="AA00375_" localSheetId="17">'[17]TB WORLI'!#REF!</definedName>
    <definedName name="AA00375_">'[17]TB WORLI'!#REF!</definedName>
    <definedName name="AA00376_" localSheetId="17">'[17]TB WORLI'!#REF!</definedName>
    <definedName name="AA00376_">'[17]TB WORLI'!#REF!</definedName>
    <definedName name="AA00377_" localSheetId="17">'[17]TB WORLI'!#REF!</definedName>
    <definedName name="AA00377_">'[17]TB WORLI'!#REF!</definedName>
    <definedName name="AA00378_" localSheetId="17">'[17]TB WORLI'!#REF!</definedName>
    <definedName name="AA00378_">'[17]TB WORLI'!#REF!</definedName>
    <definedName name="AA00379_" localSheetId="17">'[17]TB WORLI'!#REF!</definedName>
    <definedName name="AA00379_">'[17]TB WORLI'!#REF!</definedName>
    <definedName name="AA0038_" localSheetId="17">'[17]TB WORLI'!#REF!</definedName>
    <definedName name="AA0038_">'[17]TB WORLI'!#REF!</definedName>
    <definedName name="AA00380_" localSheetId="17">'[17]TB WORLI'!#REF!</definedName>
    <definedName name="AA00380_">'[17]TB WORLI'!#REF!</definedName>
    <definedName name="AA00381_" localSheetId="17">'[17]TB WORLI'!#REF!</definedName>
    <definedName name="AA00381_">'[17]TB WORLI'!#REF!</definedName>
    <definedName name="AA00382_" localSheetId="17">'[17]TB WORLI'!#REF!</definedName>
    <definedName name="AA00382_">'[17]TB WORLI'!#REF!</definedName>
    <definedName name="AA00386_" localSheetId="17">'[17]TB WORLI'!#REF!</definedName>
    <definedName name="AA00386_">'[17]TB WORLI'!#REF!</definedName>
    <definedName name="AA00387_" localSheetId="17">'[17]TB WORLI'!#REF!</definedName>
    <definedName name="AA00387_">'[17]TB WORLI'!#REF!</definedName>
    <definedName name="AA00388_" localSheetId="17">'[17]TB WORLI'!#REF!</definedName>
    <definedName name="AA00388_">'[17]TB WORLI'!#REF!</definedName>
    <definedName name="AA00389_" localSheetId="17">'[17]TB WORLI'!#REF!</definedName>
    <definedName name="AA00389_">'[17]TB WORLI'!#REF!</definedName>
    <definedName name="AA00390_" localSheetId="17">'[17]TB WORLI'!#REF!</definedName>
    <definedName name="AA00390_">'[17]TB WORLI'!#REF!</definedName>
    <definedName name="AA00392_" localSheetId="17">'[17]TB WORLI'!#REF!</definedName>
    <definedName name="AA00392_">'[17]TB WORLI'!#REF!</definedName>
    <definedName name="AA00397_" localSheetId="17">'[17]TB WORLI'!#REF!</definedName>
    <definedName name="AA00397_">'[17]TB WORLI'!#REF!</definedName>
    <definedName name="AA00400_" localSheetId="17">'[17]TB WORLI'!#REF!</definedName>
    <definedName name="AA00400_">'[17]TB WORLI'!#REF!</definedName>
    <definedName name="AA00402_" localSheetId="17">'[17]TB WORLI'!#REF!</definedName>
    <definedName name="AA00402_">'[17]TB WORLI'!#REF!</definedName>
    <definedName name="AA00420_" localSheetId="17">'[17]TB WORLI'!#REF!</definedName>
    <definedName name="AA00420_">'[17]TB WORLI'!#REF!</definedName>
    <definedName name="AA00434_" localSheetId="17">'[17]TB WORLI'!#REF!</definedName>
    <definedName name="AA00434_">'[17]TB WORLI'!#REF!</definedName>
    <definedName name="AA00435_" localSheetId="17">'[17]TB WORLI'!#REF!</definedName>
    <definedName name="AA00435_">'[17]TB WORLI'!#REF!</definedName>
    <definedName name="AA00436_" localSheetId="17">'[17]TB WORLI'!#REF!</definedName>
    <definedName name="AA00436_">'[17]TB WORLI'!#REF!</definedName>
    <definedName name="AA00437_" localSheetId="17">'[17]TB WORLI'!#REF!</definedName>
    <definedName name="AA00437_">'[17]TB WORLI'!#REF!</definedName>
    <definedName name="AA00439_" localSheetId="17">'[17]TB WORLI'!#REF!</definedName>
    <definedName name="AA00439_">'[17]TB WORLI'!#REF!</definedName>
    <definedName name="AA00440_" localSheetId="17">'[17]TB WORLI'!#REF!</definedName>
    <definedName name="AA00440_">'[17]TB WORLI'!#REF!</definedName>
    <definedName name="AA00441_" localSheetId="17">'[17]TB WORLI'!#REF!</definedName>
    <definedName name="AA00441_">'[17]TB WORLI'!#REF!</definedName>
    <definedName name="AA00442_" localSheetId="17">'[17]TB WORLI'!#REF!</definedName>
    <definedName name="AA00442_">'[17]TB WORLI'!#REF!</definedName>
    <definedName name="AA00444_" localSheetId="17">'[17]TB WORLI'!#REF!</definedName>
    <definedName name="AA00444_">'[17]TB WORLI'!#REF!</definedName>
    <definedName name="AA00445_" localSheetId="17">'[17]TB WORLI'!#REF!</definedName>
    <definedName name="AA00445_">'[17]TB WORLI'!#REF!</definedName>
    <definedName name="AA00446_" localSheetId="17">'[17]TB WORLI'!#REF!</definedName>
    <definedName name="AA00446_">'[17]TB WORLI'!#REF!</definedName>
    <definedName name="AA00447_" localSheetId="17">'[17]TB WORLI'!#REF!</definedName>
    <definedName name="AA00447_">'[17]TB WORLI'!#REF!</definedName>
    <definedName name="AA00452_" localSheetId="17">'[17]TB WORLI'!#REF!</definedName>
    <definedName name="AA00452_">'[17]TB WORLI'!#REF!</definedName>
    <definedName name="AA00454_" localSheetId="17">'[17]TB WORLI'!#REF!</definedName>
    <definedName name="AA00454_">'[17]TB WORLI'!#REF!</definedName>
    <definedName name="AA0049_" localSheetId="17">'[17]TB WORLI'!#REF!</definedName>
    <definedName name="AA0049_">'[17]TB WORLI'!#REF!</definedName>
    <definedName name="AA0065_" localSheetId="17">'[17]TB WORLI'!#REF!</definedName>
    <definedName name="AA0065_">'[17]TB WORLI'!#REF!</definedName>
    <definedName name="AA0131_" localSheetId="17">'[17]TB WORLI'!#REF!</definedName>
    <definedName name="AA0131_">'[17]TB WORLI'!#REF!</definedName>
    <definedName name="AA0142_" localSheetId="17">'[17]TB WORLI'!#REF!</definedName>
    <definedName name="AA0142_">'[17]TB WORLI'!#REF!</definedName>
    <definedName name="AAA" localSheetId="42">#REF!</definedName>
    <definedName name="AAA" localSheetId="35">#REF!</definedName>
    <definedName name="AAA" localSheetId="44">#REF!</definedName>
    <definedName name="AAA" localSheetId="19">#REF!</definedName>
    <definedName name="AAA" localSheetId="41">#REF!</definedName>
    <definedName name="AAA" localSheetId="17">#REF!</definedName>
    <definedName name="AAA" localSheetId="32">#REF!</definedName>
    <definedName name="AAA">#REF!</definedName>
    <definedName name="AAAAAAA" localSheetId="42">#REF!</definedName>
    <definedName name="AAAAAAA" localSheetId="35">#REF!</definedName>
    <definedName name="AAAAAAA" localSheetId="44">#REF!</definedName>
    <definedName name="AAAAAAA" localSheetId="41">#REF!</definedName>
    <definedName name="AAAAAAA" localSheetId="17">#REF!</definedName>
    <definedName name="AAAAAAA" localSheetId="32">#REF!</definedName>
    <definedName name="AAAAAAA">#REF!</definedName>
    <definedName name="abc" localSheetId="13">#REF!</definedName>
    <definedName name="abc" localSheetId="42">#REF!</definedName>
    <definedName name="abc" localSheetId="35">#REF!</definedName>
    <definedName name="abc" localSheetId="44">#REF!</definedName>
    <definedName name="ABC" localSheetId="19">'[3]BS&amp;PLA'!#REF!</definedName>
    <definedName name="abc" localSheetId="41">#REF!</definedName>
    <definedName name="abc" localSheetId="17">#REF!</definedName>
    <definedName name="abc" localSheetId="32">#REF!</definedName>
    <definedName name="abc">#REF!</definedName>
    <definedName name="abnl"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CTUAL" localSheetId="13">#REF!</definedName>
    <definedName name="ACTUAL" localSheetId="4">#REF!</definedName>
    <definedName name="ACTUAL" localSheetId="17">#REF!</definedName>
    <definedName name="ACTUAL">#REF!</definedName>
    <definedName name="Actual_vs." localSheetId="13">#REF!</definedName>
    <definedName name="Actual_vs." localSheetId="4">#REF!</definedName>
    <definedName name="Actual_vs." localSheetId="17">#REF!</definedName>
    <definedName name="Actual_vs.">#REF!</definedName>
    <definedName name="AE00250_" localSheetId="13">'[17]TB WORLI'!#REF!</definedName>
    <definedName name="AE00250_" localSheetId="4">'[17]TB WORLI'!#REF!</definedName>
    <definedName name="AE00250_" localSheetId="17">'[17]TB WORLI'!#REF!</definedName>
    <definedName name="AE00250_">'[17]TB WORLI'!#REF!</definedName>
    <definedName name="AE00251_" localSheetId="13">'[17]TB WORLI'!#REF!</definedName>
    <definedName name="AE00251_" localSheetId="4">'[17]TB WORLI'!#REF!</definedName>
    <definedName name="AE00251_" localSheetId="17">'[17]TB WORLI'!#REF!</definedName>
    <definedName name="AE00251_">'[17]TB WORLI'!#REF!</definedName>
    <definedName name="AE00281_" localSheetId="13">'[17]TB WORLI'!#REF!</definedName>
    <definedName name="AE00281_" localSheetId="4">'[17]TB WORLI'!#REF!</definedName>
    <definedName name="AE00281_" localSheetId="17">'[17]TB WORLI'!#REF!</definedName>
    <definedName name="AE00281_">'[17]TB WORLI'!#REF!</definedName>
    <definedName name="AE00289_" localSheetId="13">'[17]TB WORLI'!#REF!</definedName>
    <definedName name="AE00289_" localSheetId="4">'[17]TB WORLI'!#REF!</definedName>
    <definedName name="AE00289_" localSheetId="17">'[17]TB WORLI'!#REF!</definedName>
    <definedName name="AE00289_">'[17]TB WORLI'!#REF!</definedName>
    <definedName name="AE0159_" localSheetId="17">'[17]TB WORLI'!#REF!</definedName>
    <definedName name="AE0159_">'[17]TB WORLI'!#REF!</definedName>
    <definedName name="AE0160_" localSheetId="17">'[17]TB WORLI'!#REF!</definedName>
    <definedName name="AE0160_">'[17]TB WORLI'!#REF!</definedName>
    <definedName name="AE0211_" localSheetId="17">'[17]TB WORLI'!#REF!</definedName>
    <definedName name="AE0211_">'[17]TB WORLI'!#REF!</definedName>
    <definedName name="AE0219_" localSheetId="17">'[17]TB WORLI'!#REF!</definedName>
    <definedName name="AE0219_">'[17]TB WORLI'!#REF!</definedName>
    <definedName name="AE0225_" localSheetId="17">'[17]TB WORLI'!#REF!</definedName>
    <definedName name="AE0225_">'[17]TB WORLI'!#REF!</definedName>
    <definedName name="AE0232_" localSheetId="17">'[17]TB WORLI'!#REF!</definedName>
    <definedName name="AE0232_">'[17]TB WORLI'!#REF!</definedName>
    <definedName name="AE0243_" localSheetId="17">'[17]TB WORLI'!#REF!</definedName>
    <definedName name="AE0243_">'[17]TB WORLI'!#REF!</definedName>
    <definedName name="AH" localSheetId="42">#REF!</definedName>
    <definedName name="AH" localSheetId="35">#REF!</definedName>
    <definedName name="AH" localSheetId="44">#REF!</definedName>
    <definedName name="AH" localSheetId="19">#REF!</definedName>
    <definedName name="AH" localSheetId="41">#REF!</definedName>
    <definedName name="AH" localSheetId="17">#REF!</definedName>
    <definedName name="AH" localSheetId="32">#REF!</definedName>
    <definedName name="AH">#REF!</definedName>
    <definedName name="AI00296_" localSheetId="19">'[17]TB WORLI'!#REF!</definedName>
    <definedName name="AI00296_" localSheetId="17">'[17]TB WORLI'!#REF!</definedName>
    <definedName name="AI00296_">'[17]TB WORLI'!#REF!</definedName>
    <definedName name="AI00298_" localSheetId="19">'[17]TB WORLI'!#REF!</definedName>
    <definedName name="AI00298_" localSheetId="17">'[17]TB WORLI'!#REF!</definedName>
    <definedName name="AI00298_">'[17]TB WORLI'!#REF!</definedName>
    <definedName name="AI00319_" localSheetId="19">'[17]TB WORLI'!#REF!</definedName>
    <definedName name="AI00319_" localSheetId="17">'[17]TB WORLI'!#REF!</definedName>
    <definedName name="AI00319_">'[17]TB WORLI'!#REF!</definedName>
    <definedName name="AI00320_" localSheetId="19">'[17]TB WORLI'!#REF!</definedName>
    <definedName name="AI00320_" localSheetId="17">'[17]TB WORLI'!#REF!</definedName>
    <definedName name="AI00320_">'[17]TB WORLI'!#REF!</definedName>
    <definedName name="AI00321_" localSheetId="17">'[17]TB WORLI'!#REF!</definedName>
    <definedName name="AI00321_">'[17]TB WORLI'!#REF!</definedName>
    <definedName name="AI0256_" localSheetId="17">'[17]TB WORLI'!#REF!</definedName>
    <definedName name="AI0256_">'[17]TB WORLI'!#REF!</definedName>
    <definedName name="AI0286_" localSheetId="17">'[17]TB WORLI'!#REF!</definedName>
    <definedName name="AI0286_">'[17]TB WORLI'!#REF!</definedName>
    <definedName name="AJ" localSheetId="42">#REF!</definedName>
    <definedName name="AJ" localSheetId="35">#REF!</definedName>
    <definedName name="AJ" localSheetId="44">#REF!</definedName>
    <definedName name="AJ" localSheetId="19">#REF!</definedName>
    <definedName name="AJ" localSheetId="41">#REF!</definedName>
    <definedName name="AJ" localSheetId="17">#REF!</definedName>
    <definedName name="AJ" localSheetId="32">#REF!</definedName>
    <definedName name="AJ">#REF!</definedName>
    <definedName name="AL00382_" localSheetId="19">'[17]TB WORLI'!#REF!</definedName>
    <definedName name="AL00382_" localSheetId="17">'[17]TB WORLI'!#REF!</definedName>
    <definedName name="AL00382_">'[17]TB WORLI'!#REF!</definedName>
    <definedName name="AL00623_" localSheetId="19">'[17]TB WORLI'!#REF!</definedName>
    <definedName name="AL00623_" localSheetId="17">'[17]TB WORLI'!#REF!</definedName>
    <definedName name="AL00623_">'[17]TB WORLI'!#REF!</definedName>
    <definedName name="AL00655_" localSheetId="19">'[17]TB WORLI'!#REF!</definedName>
    <definedName name="AL00655_" localSheetId="17">'[17]TB WORLI'!#REF!</definedName>
    <definedName name="AL00655_">'[17]TB WORLI'!#REF!</definedName>
    <definedName name="AL00664_" localSheetId="19">'[17]TB WORLI'!#REF!</definedName>
    <definedName name="AL00664_" localSheetId="17">'[17]TB WORLI'!#REF!</definedName>
    <definedName name="AL00664_">'[17]TB WORLI'!#REF!</definedName>
    <definedName name="AL0333_" localSheetId="17">'[17]TB WORLI'!#REF!</definedName>
    <definedName name="AL0333_">'[17]TB WORLI'!#REF!</definedName>
    <definedName name="AL0342_" localSheetId="17">'[17]TB WORLI'!#REF!</definedName>
    <definedName name="AL0342_">'[17]TB WORLI'!#REF!</definedName>
    <definedName name="AL0355_" localSheetId="17">'[17]TB WORLI'!#REF!</definedName>
    <definedName name="AL0355_">'[17]TB WORLI'!#REF!</definedName>
    <definedName name="anan" localSheetId="13">#N/A</definedName>
    <definedName name="anan" localSheetId="42">IF('Advance to Supplier'!Loan_Amount*'Advance to Supplier'!Interest_Rate*'Advance to Supplier'!Loan_Years*'Advance to Supplier'!Loan_Start&gt;0,1,0)</definedName>
    <definedName name="anan" localSheetId="35">IF('Debtor''s Ageing'!Loan_Amount*'Debtor''s Ageing'!Interest_Rate*'Debtor''s Ageing'!Loan_Years*'Debtor''s Ageing'!Loan_Start&gt;0,1,0)</definedName>
    <definedName name="anan" localSheetId="44">IF('Debtor''s Ageing31.03.24'!Loan_Amount*'Debtor''s Ageing31.03.24'!Interest_Rate*'Debtor''s Ageing31.03.24'!Loan_Years*'Debtor''s Ageing31.03.24'!Loan_Start&gt;0,1,0)</definedName>
    <definedName name="anan" localSheetId="19">#N/A</definedName>
    <definedName name="anan" localSheetId="41">IF('Loans to staff'!Loan_Amount*'Loans to staff'!Interest_Rate*'Loans to staff'!Loan_Years*'Loans to staff'!Loan_Start&gt;0,1,0)</definedName>
    <definedName name="anan" localSheetId="32">IF('Related Parties'!Loan_Amount*'Related Parties'!Interest_Rate*'Related Parties'!Loan_Years*'Related Parties'!Loan_Start&gt;0,1,0)</definedName>
    <definedName name="anan">#N/A</definedName>
    <definedName name="ANANT" localSheetId="13">#REF!</definedName>
    <definedName name="ANANT" localSheetId="19">#REF!</definedName>
    <definedName name="ANANT" localSheetId="17">#REF!</definedName>
    <definedName name="ANANT">#REF!</definedName>
    <definedName name="ANDAMAN_AND_NICOBAR_ISLANDS" localSheetId="42">#REF!</definedName>
    <definedName name="ANDAMAN_AND_NICOBAR_ISLANDS" localSheetId="35">#REF!</definedName>
    <definedName name="ANDAMAN_AND_NICOBAR_ISLANDS" localSheetId="44">#REF!</definedName>
    <definedName name="ANDAMAN_AND_NICOBAR_ISLANDS" localSheetId="19">#REF!</definedName>
    <definedName name="ANDAMAN_AND_NICOBAR_ISLANDS" localSheetId="41">#REF!</definedName>
    <definedName name="ANDAMAN_AND_NICOBAR_ISLANDS" localSheetId="17">#REF!</definedName>
    <definedName name="ANDAMAN_AND_NICOBAR_ISLANDS" localSheetId="32">#REF!</definedName>
    <definedName name="ANDAMAN_AND_NICOBAR_ISLANDS">#REF!</definedName>
    <definedName name="Annexure" localSheetId="17">#REF!</definedName>
    <definedName name="Annexure">#REF!</definedName>
    <definedName name="annexureChallanSrno" localSheetId="42">'[20]Annexure-I'!$A$11:$A$105</definedName>
    <definedName name="annexureChallanSrno" localSheetId="35">'[20]Annexure-I'!$A$11:$A$105</definedName>
    <definedName name="annexureChallanSrno" localSheetId="44">'[20]Annexure-I'!$A$11:$A$105</definedName>
    <definedName name="annexureChallanSrno" localSheetId="41">'[21]Annexure-I'!$A$11:$A$105</definedName>
    <definedName name="annexureChallanSrno" localSheetId="32">'[20]Annexure-I'!$A$11:$A$105</definedName>
    <definedName name="annexureChallanSrno">'[22]Annexure-I'!$A$11:$A$105</definedName>
    <definedName name="annexureTDS" localSheetId="42">'[20]Annexure-I'!$R$11:$R$105</definedName>
    <definedName name="annexureTDS" localSheetId="35">'[20]Annexure-I'!$R$11:$R$105</definedName>
    <definedName name="annexureTDS" localSheetId="44">'[20]Annexure-I'!$R$11:$R$105</definedName>
    <definedName name="annexureTDS" localSheetId="41">'[21]Annexure-I'!$R$11:$R$105</definedName>
    <definedName name="annexureTDS" localSheetId="32">'[20]Annexure-I'!$R$11:$R$105</definedName>
    <definedName name="annexureTDS">'[22]Annexure-I'!$R$11:$R$105</definedName>
    <definedName name="annexureTotalDeposit" localSheetId="42">'[20]Annexure-I'!$W$11:$W$105</definedName>
    <definedName name="annexureTotalDeposit" localSheetId="35">'[20]Annexure-I'!$W$11:$W$105</definedName>
    <definedName name="annexureTotalDeposit" localSheetId="44">'[20]Annexure-I'!$W$11:$W$105</definedName>
    <definedName name="annexureTotalDeposit" localSheetId="41">'[21]Annexure-I'!$W$11:$W$105</definedName>
    <definedName name="annexureTotalDeposit" localSheetId="32">'[20]Annexure-I'!$W$11:$W$105</definedName>
    <definedName name="annexureTotalDeposit">'[22]Annexure-I'!$W$11:$W$105</definedName>
    <definedName name="AnnualLowerEarningsLimit">3484</definedName>
    <definedName name="AnnualPrimaryThreshold">4628</definedName>
    <definedName name="AnnualSecondaryThreshold">4615</definedName>
    <definedName name="AnnualUpperEarningsLimit">30940</definedName>
    <definedName name="anscount" hidden="1">1</definedName>
    <definedName name="AR" localSheetId="42">#REF!</definedName>
    <definedName name="AR" localSheetId="35">#REF!</definedName>
    <definedName name="AR" localSheetId="44">#REF!</definedName>
    <definedName name="AR" localSheetId="19">#REF!</definedName>
    <definedName name="AR" localSheetId="41">#REF!</definedName>
    <definedName name="AR" localSheetId="17">#REF!</definedName>
    <definedName name="AR" localSheetId="32">#REF!</definedName>
    <definedName name="AR">#REF!</definedName>
    <definedName name="archana">[23]Summary!$A$65:$A$66</definedName>
    <definedName name="architect" localSheetId="42">#REF!</definedName>
    <definedName name="architect" localSheetId="35">#REF!</definedName>
    <definedName name="architect" localSheetId="44">#REF!</definedName>
    <definedName name="architect" localSheetId="19">#REF!</definedName>
    <definedName name="architect" localSheetId="41">#REF!</definedName>
    <definedName name="architect" localSheetId="17">#REF!</definedName>
    <definedName name="architect" localSheetId="32">#REF!</definedName>
    <definedName name="architect">#REF!</definedName>
    <definedName name="as" localSheetId="42">#REF!</definedName>
    <definedName name="as" localSheetId="35">#REF!</definedName>
    <definedName name="as" localSheetId="44">#REF!</definedName>
    <definedName name="as" localSheetId="19">#REF!</definedName>
    <definedName name="as" localSheetId="41">#REF!</definedName>
    <definedName name="as" localSheetId="17">#REF!</definedName>
    <definedName name="as" localSheetId="32">#REF!</definedName>
    <definedName name="as">#REF!</definedName>
    <definedName name="AS2DocOpenMode" hidden="1">"AS2DocumentEdit"</definedName>
    <definedName name="ashish" localSheetId="42">#REF!</definedName>
    <definedName name="ashish" localSheetId="35">#REF!</definedName>
    <definedName name="ashish" localSheetId="44">#REF!</definedName>
    <definedName name="ashish" localSheetId="19">#REF!</definedName>
    <definedName name="ashish" localSheetId="41">#REF!</definedName>
    <definedName name="ashish" localSheetId="17">#REF!</definedName>
    <definedName name="ashish" localSheetId="32">#REF!</definedName>
    <definedName name="ashish">#REF!</definedName>
    <definedName name="ASIA_PLASTIC_in_KUSD" localSheetId="17">#REF!</definedName>
    <definedName name="ASIA_PLASTIC_in_KUSD">#REF!</definedName>
    <definedName name="ASS" localSheetId="42">#REF!</definedName>
    <definedName name="ASS" localSheetId="35">#REF!</definedName>
    <definedName name="ASS" localSheetId="44">#REF!</definedName>
    <definedName name="ASS" localSheetId="19">#REF!</definedName>
    <definedName name="ASS" localSheetId="41">#REF!</definedName>
    <definedName name="ASS" localSheetId="17">#REF!</definedName>
    <definedName name="ASS" localSheetId="32">#REF!</definedName>
    <definedName name="ASS">#REF!</definedName>
    <definedName name="assetfull_4" localSheetId="42">#REF!</definedName>
    <definedName name="assetfull_4" localSheetId="35">#REF!</definedName>
    <definedName name="assetfull_4" localSheetId="44">#REF!</definedName>
    <definedName name="assetfull_4" localSheetId="19">#REF!</definedName>
    <definedName name="assetfull_4" localSheetId="41">#REF!</definedName>
    <definedName name="assetfull_4" localSheetId="17">#REF!</definedName>
    <definedName name="assetfull_4" localSheetId="32">#REF!</definedName>
    <definedName name="assetfull_4">#REF!</definedName>
    <definedName name="assetfull_5" localSheetId="42">#REF!</definedName>
    <definedName name="assetfull_5" localSheetId="35">#REF!</definedName>
    <definedName name="assetfull_5" localSheetId="44">#REF!</definedName>
    <definedName name="assetfull_5" localSheetId="19">#REF!</definedName>
    <definedName name="assetfull_5" localSheetId="41">#REF!</definedName>
    <definedName name="assetfull_5" localSheetId="17">#REF!</definedName>
    <definedName name="assetfull_5" localSheetId="32">#REF!</definedName>
    <definedName name="assetfull_5">#REF!</definedName>
    <definedName name="assetfull_6" localSheetId="42">#REF!</definedName>
    <definedName name="assetfull_6" localSheetId="35">#REF!</definedName>
    <definedName name="assetfull_6" localSheetId="44">#REF!</definedName>
    <definedName name="assetfull_6" localSheetId="19">#REF!</definedName>
    <definedName name="assetfull_6" localSheetId="41">#REF!</definedName>
    <definedName name="assetfull_6" localSheetId="17">#REF!</definedName>
    <definedName name="assetfull_6" localSheetId="32">#REF!</definedName>
    <definedName name="assetfull_6">#REF!</definedName>
    <definedName name="assetfull_7" localSheetId="42">#REF!</definedName>
    <definedName name="assetfull_7" localSheetId="35">#REF!</definedName>
    <definedName name="assetfull_7" localSheetId="44">#REF!</definedName>
    <definedName name="assetfull_7" localSheetId="19">#REF!</definedName>
    <definedName name="assetfull_7" localSheetId="41">#REF!</definedName>
    <definedName name="assetfull_7" localSheetId="17">#REF!</definedName>
    <definedName name="assetfull_7" localSheetId="32">#REF!</definedName>
    <definedName name="assetfull_7">#REF!</definedName>
    <definedName name="assetfull_8" localSheetId="42">#REF!</definedName>
    <definedName name="assetfull_8" localSheetId="35">#REF!</definedName>
    <definedName name="assetfull_8" localSheetId="44">#REF!</definedName>
    <definedName name="assetfull_8" localSheetId="19">#REF!</definedName>
    <definedName name="assetfull_8" localSheetId="41">#REF!</definedName>
    <definedName name="assetfull_8" localSheetId="17">#REF!</definedName>
    <definedName name="assetfull_8" localSheetId="32">#REF!</definedName>
    <definedName name="assetfull_8">#REF!</definedName>
    <definedName name="ASSETS1_4" localSheetId="42">#REF!</definedName>
    <definedName name="ASSETS1_4" localSheetId="35">#REF!</definedName>
    <definedName name="ASSETS1_4" localSheetId="44">#REF!</definedName>
    <definedName name="ASSETS1_4" localSheetId="19">#REF!</definedName>
    <definedName name="ASSETS1_4" localSheetId="41">#REF!</definedName>
    <definedName name="ASSETS1_4" localSheetId="17">#REF!</definedName>
    <definedName name="ASSETS1_4" localSheetId="32">#REF!</definedName>
    <definedName name="ASSETS1_4">#REF!</definedName>
    <definedName name="ASSETS1_5" localSheetId="42">#REF!</definedName>
    <definedName name="ASSETS1_5" localSheetId="35">#REF!</definedName>
    <definedName name="ASSETS1_5" localSheetId="44">#REF!</definedName>
    <definedName name="ASSETS1_5" localSheetId="19">#REF!</definedName>
    <definedName name="ASSETS1_5" localSheetId="41">#REF!</definedName>
    <definedName name="ASSETS1_5" localSheetId="17">#REF!</definedName>
    <definedName name="ASSETS1_5" localSheetId="32">#REF!</definedName>
    <definedName name="ASSETS1_5">#REF!</definedName>
    <definedName name="ASSETS1_6" localSheetId="42">#REF!</definedName>
    <definedName name="ASSETS1_6" localSheetId="35">#REF!</definedName>
    <definedName name="ASSETS1_6" localSheetId="44">#REF!</definedName>
    <definedName name="ASSETS1_6" localSheetId="19">#REF!</definedName>
    <definedName name="ASSETS1_6" localSheetId="41">#REF!</definedName>
    <definedName name="ASSETS1_6" localSheetId="17">#REF!</definedName>
    <definedName name="ASSETS1_6" localSheetId="32">#REF!</definedName>
    <definedName name="ASSETS1_6">#REF!</definedName>
    <definedName name="ASSETS1_7" localSheetId="42">#REF!</definedName>
    <definedName name="ASSETS1_7" localSheetId="35">#REF!</definedName>
    <definedName name="ASSETS1_7" localSheetId="44">#REF!</definedName>
    <definedName name="ASSETS1_7" localSheetId="19">#REF!</definedName>
    <definedName name="ASSETS1_7" localSheetId="41">#REF!</definedName>
    <definedName name="ASSETS1_7" localSheetId="17">#REF!</definedName>
    <definedName name="ASSETS1_7" localSheetId="32">#REF!</definedName>
    <definedName name="ASSETS1_7">#REF!</definedName>
    <definedName name="ASSETS1_8" localSheetId="42">#REF!</definedName>
    <definedName name="ASSETS1_8" localSheetId="35">#REF!</definedName>
    <definedName name="ASSETS1_8" localSheetId="44">#REF!</definedName>
    <definedName name="ASSETS1_8" localSheetId="19">#REF!</definedName>
    <definedName name="ASSETS1_8" localSheetId="41">#REF!</definedName>
    <definedName name="ASSETS1_8" localSheetId="17">#REF!</definedName>
    <definedName name="ASSETS1_8" localSheetId="32">#REF!</definedName>
    <definedName name="ASSETS1_8">#REF!</definedName>
    <definedName name="AssetType">[11]Sheet1!$C$1:$C$5</definedName>
    <definedName name="ASST2_4" localSheetId="42">#REF!</definedName>
    <definedName name="ASST2_4" localSheetId="35">#REF!</definedName>
    <definedName name="ASST2_4" localSheetId="44">#REF!</definedName>
    <definedName name="ASST2_4" localSheetId="19">#REF!</definedName>
    <definedName name="ASST2_4" localSheetId="41">#REF!</definedName>
    <definedName name="ASST2_4" localSheetId="17">#REF!</definedName>
    <definedName name="ASST2_4" localSheetId="32">#REF!</definedName>
    <definedName name="ASST2_4">#REF!</definedName>
    <definedName name="ASST2_5" localSheetId="42">#REF!</definedName>
    <definedName name="ASST2_5" localSheetId="35">#REF!</definedName>
    <definedName name="ASST2_5" localSheetId="44">#REF!</definedName>
    <definedName name="ASST2_5" localSheetId="19">#REF!</definedName>
    <definedName name="ASST2_5" localSheetId="41">#REF!</definedName>
    <definedName name="ASST2_5" localSheetId="17">#REF!</definedName>
    <definedName name="ASST2_5" localSheetId="32">#REF!</definedName>
    <definedName name="ASST2_5">#REF!</definedName>
    <definedName name="ASST2_6" localSheetId="42">#REF!</definedName>
    <definedName name="ASST2_6" localSheetId="35">#REF!</definedName>
    <definedName name="ASST2_6" localSheetId="44">#REF!</definedName>
    <definedName name="ASST2_6" localSheetId="19">#REF!</definedName>
    <definedName name="ASST2_6" localSheetId="41">#REF!</definedName>
    <definedName name="ASST2_6" localSheetId="17">#REF!</definedName>
    <definedName name="ASST2_6" localSheetId="32">#REF!</definedName>
    <definedName name="ASST2_6">#REF!</definedName>
    <definedName name="ASST2_7" localSheetId="42">#REF!</definedName>
    <definedName name="ASST2_7" localSheetId="35">#REF!</definedName>
    <definedName name="ASST2_7" localSheetId="44">#REF!</definedName>
    <definedName name="ASST2_7" localSheetId="19">#REF!</definedName>
    <definedName name="ASST2_7" localSheetId="41">#REF!</definedName>
    <definedName name="ASST2_7" localSheetId="17">#REF!</definedName>
    <definedName name="ASST2_7" localSheetId="32">#REF!</definedName>
    <definedName name="ASST2_7">#REF!</definedName>
    <definedName name="ASST2_8" localSheetId="42">#REF!</definedName>
    <definedName name="ASST2_8" localSheetId="35">#REF!</definedName>
    <definedName name="ASST2_8" localSheetId="44">#REF!</definedName>
    <definedName name="ASST2_8" localSheetId="19">#REF!</definedName>
    <definedName name="ASST2_8" localSheetId="41">#REF!</definedName>
    <definedName name="ASST2_8" localSheetId="17">#REF!</definedName>
    <definedName name="ASST2_8" localSheetId="32">#REF!</definedName>
    <definedName name="ASST2_8">#REF!</definedName>
    <definedName name="AsstYr">[24]Masters!$C$34</definedName>
    <definedName name="AudName">[25]Masters!$C$13</definedName>
    <definedName name="Avg." localSheetId="13">#REF!</definedName>
    <definedName name="Avg." localSheetId="19">#REF!</definedName>
    <definedName name="Avg." localSheetId="17">#REF!</definedName>
    <definedName name="Avg.">#REF!</definedName>
    <definedName name="axedoc" localSheetId="13">#REF!</definedName>
    <definedName name="axedoc" localSheetId="19">#REF!</definedName>
    <definedName name="axedoc" localSheetId="17">#REF!</definedName>
    <definedName name="axedoc">#REF!</definedName>
    <definedName name="AY" localSheetId="42">#REF!</definedName>
    <definedName name="AY" localSheetId="35">#REF!</definedName>
    <definedName name="AY" localSheetId="44">#REF!</definedName>
    <definedName name="AY" localSheetId="19">#REF!</definedName>
    <definedName name="AY" localSheetId="41">#REF!</definedName>
    <definedName name="AY" localSheetId="17">#REF!</definedName>
    <definedName name="AY" localSheetId="32">#REF!</definedName>
    <definedName name="AY">#REF!</definedName>
    <definedName name="b" localSheetId="42">#REF!</definedName>
    <definedName name="b" localSheetId="35">#REF!</definedName>
    <definedName name="b" localSheetId="44">#REF!</definedName>
    <definedName name="b" localSheetId="19">#REF!</definedName>
    <definedName name="b" localSheetId="41">#REF!</definedName>
    <definedName name="b" localSheetId="17">#REF!</definedName>
    <definedName name="b" localSheetId="32">#REF!</definedName>
    <definedName name="b">#REF!</definedName>
    <definedName name="BA0007_">'[18]TB WORLI'!$B$5</definedName>
    <definedName name="BA0008_">'[18]TB WORLI'!$B$6</definedName>
    <definedName name="BA00169_">'[18]TB WORLI'!$B$8</definedName>
    <definedName name="BA00212_">'[17]TB WORLI'!$B$136</definedName>
    <definedName name="BA00223_">'[18]TB WORLI'!$B$10</definedName>
    <definedName name="BA00238_">'[18]TB WORLI'!$B$13</definedName>
    <definedName name="BA00270_">'[17]TB WORLI'!$B$8</definedName>
    <definedName name="BA00271_">'[18]TB WORLI'!$B$16</definedName>
    <definedName name="BA00298_">'[17]TB WORLI'!$B$139</definedName>
    <definedName name="BA00301_">'[18]TB WORLI'!$B$23</definedName>
    <definedName name="BA00302_">'[18]TB WORLI'!$B$24</definedName>
    <definedName name="BA00303_">'[18]TB WORLI'!$B$25</definedName>
    <definedName name="BA00304_">'[18]TB WORLI'!$B$26</definedName>
    <definedName name="BA00319_">'[18]TB WORLI'!$B$32</definedName>
    <definedName name="BA00338_">'[18]TB WORLI'!$B$45</definedName>
    <definedName name="BA00339_">'[18]TB WORLI'!$B$46</definedName>
    <definedName name="BA00358_">'[18]TB WORLI'!$B$47</definedName>
    <definedName name="BA00362_">'[18]TB WORLI'!$B$49</definedName>
    <definedName name="BA00371_">'[18]TB WORLI'!$B$54</definedName>
    <definedName name="BA00405_">'[17]TB WORLI'!$B$18</definedName>
    <definedName name="BA00433_">'[18]TB WORLI'!$B$78</definedName>
    <definedName name="BA00434_">'[18]TB WORLI'!$B$79</definedName>
    <definedName name="BA00437_">'[18]TB WORLI'!$B$82</definedName>
    <definedName name="BA00441_">'[18]TB WORLI'!$B$85</definedName>
    <definedName name="BA00442_">'[18]TB WORLI'!$B$86</definedName>
    <definedName name="BA00449_">'[18]TB WORLI'!$B$91</definedName>
    <definedName name="BA0045_">'[18]TB WORLI'!$B$92</definedName>
    <definedName name="BA00450_">'[17]TB WORLI'!$B$22</definedName>
    <definedName name="BA00453_">'[17]TB WORLI'!$B$23</definedName>
    <definedName name="BA0049_">'[18]TB WORLI'!$B$97</definedName>
    <definedName name="BA0051_">'[18]TB WORLI'!$B$98</definedName>
    <definedName name="BA0062_">'[18]TB WORLI'!$B$100</definedName>
    <definedName name="BA0064_">'[18]TB WORLI'!$B$101</definedName>
    <definedName name="BA0072_">'[18]TB WORLI'!$B$103</definedName>
    <definedName name="BA0141_">'[18]TB WORLI'!$B$105</definedName>
    <definedName name="bal">'[2]BS 590'!$B$1:$H$65</definedName>
    <definedName name="balancesheet">[26]working!$A$378:$C$532</definedName>
    <definedName name="BalTest_Abbreviated.balance.sheet.foot.totals">[27]AbbBS!$E$31,[27]AbbBS!$E$40</definedName>
    <definedName name="BalTest_Abbreviated.balance.sheet.foot.totals.Comparatives" localSheetId="42">[28]AbbBS!$H$31,[28]AbbBS!$H$40</definedName>
    <definedName name="BalTest_Abbreviated.balance.sheet.foot.totals.Comparatives" localSheetId="35">[28]AbbBS!$H$31,[28]AbbBS!$H$40</definedName>
    <definedName name="BalTest_Abbreviated.balance.sheet.foot.totals.Comparatives" localSheetId="44">[28]AbbBS!$H$31,[28]AbbBS!$H$40</definedName>
    <definedName name="BalTest_Abbreviated.balance.sheet.foot.totals.Comparatives" localSheetId="41">[29]AbbBS!$H$31,[29]AbbBS!$H$40</definedName>
    <definedName name="BalTest_Abbreviated.balance.sheet.foot.totals.Comparatives" localSheetId="32">[28]AbbBS!$H$31,[28]AbbBS!$H$40</definedName>
    <definedName name="BalTest_Abbreviated.balance.sheet.foot.totals.Comparatives">[30]AbbBS!$H$31,[30]AbbBS!$H$40</definedName>
    <definedName name="BalTest_Balance.sheet.foot.totals" localSheetId="42">[28]BS!$E$31,[28]BS!$E$40</definedName>
    <definedName name="BalTest_Balance.sheet.foot.totals" localSheetId="35">[28]BS!$E$31,[28]BS!$E$40</definedName>
    <definedName name="BalTest_Balance.sheet.foot.totals" localSheetId="44">[28]BS!$E$31,[28]BS!$E$40</definedName>
    <definedName name="BalTest_Balance.sheet.foot.totals" localSheetId="41">[29]BS!$E$31,[29]BS!$E$40</definedName>
    <definedName name="BalTest_Balance.sheet.foot.totals" localSheetId="32">[28]BS!$E$31,[28]BS!$E$40</definedName>
    <definedName name="BalTest_Balance.sheet.foot.totals">[30]BS!$E$31,[30]BS!$E$40</definedName>
    <definedName name="BalTest_Balance.sheet.foot.totals.Comparatives" localSheetId="42">[28]BS!$H$31,[28]BS!$H$40</definedName>
    <definedName name="BalTest_Balance.sheet.foot.totals.Comparatives" localSheetId="35">[28]BS!$H$31,[28]BS!$H$40</definedName>
    <definedName name="BalTest_Balance.sheet.foot.totals.Comparatives" localSheetId="44">[28]BS!$H$31,[28]BS!$H$40</definedName>
    <definedName name="BalTest_Balance.sheet.foot.totals.Comparatives" localSheetId="41">[29]BS!$H$31,[29]BS!$H$40</definedName>
    <definedName name="BalTest_Balance.sheet.foot.totals.Comparatives" localSheetId="32">[28]BS!$H$31,[28]BS!$H$40</definedName>
    <definedName name="BalTest_Balance.sheet.foot.totals.Comparatives">[30]BS!$H$31,[30]BS!$H$40</definedName>
    <definedName name="BalTest_Capital.redemption.reserve.brought.forward.IfVisible" localSheetId="42">[28]Notes!$I$277,[28]Notes!$G$274</definedName>
    <definedName name="BalTest_Capital.redemption.reserve.brought.forward.IfVisible" localSheetId="35">[28]Notes!$I$277,[28]Notes!$G$274</definedName>
    <definedName name="BalTest_Capital.redemption.reserve.brought.forward.IfVisible" localSheetId="44">[28]Notes!$I$277,[28]Notes!$G$274</definedName>
    <definedName name="BalTest_Capital.redemption.reserve.brought.forward.IfVisible" localSheetId="41">[29]Notes!$I$277,[29]Notes!$G$274</definedName>
    <definedName name="BalTest_Capital.redemption.reserve.brought.forward.IfVisible" localSheetId="32">[28]Notes!$I$277,[28]Notes!$G$274</definedName>
    <definedName name="BalTest_Capital.redemption.reserve.brought.forward.IfVisible">[30]Notes!$I$277,[30]Notes!$G$274</definedName>
    <definedName name="BalTest_Cash.flow.foot.totals" localSheetId="42">[28]CF!$E$40,[28]CF!$E$46</definedName>
    <definedName name="BalTest_Cash.flow.foot.totals" localSheetId="35">[28]CF!$E$40,[28]CF!$E$46</definedName>
    <definedName name="BalTest_Cash.flow.foot.totals" localSheetId="44">[28]CF!$E$40,[28]CF!$E$46</definedName>
    <definedName name="BalTest_Cash.flow.foot.totals" localSheetId="41">[29]CF!$E$40,[29]CF!$E$46</definedName>
    <definedName name="BalTest_Cash.flow.foot.totals" localSheetId="32">[28]CF!$E$40,[28]CF!$E$46</definedName>
    <definedName name="BalTest_Cash.flow.foot.totals">[30]CF!$E$40,[30]CF!$E$46</definedName>
    <definedName name="BalTest_Cash.flow.foot.totals.Comparatives" localSheetId="42">[28]CF!$G$40,[28]CF!$G$46</definedName>
    <definedName name="BalTest_Cash.flow.foot.totals.Comparatives" localSheetId="35">[28]CF!$G$40,[28]CF!$G$46</definedName>
    <definedName name="BalTest_Cash.flow.foot.totals.Comparatives" localSheetId="44">[28]CF!$G$40,[28]CF!$G$46</definedName>
    <definedName name="BalTest_Cash.flow.foot.totals.Comparatives" localSheetId="41">[29]CF!$G$40,[29]CF!$G$46</definedName>
    <definedName name="BalTest_Cash.flow.foot.totals.Comparatives" localSheetId="32">[28]CF!$G$40,[28]CF!$G$46</definedName>
    <definedName name="BalTest_Cash.flow.foot.totals.Comparatives">[30]CF!$G$40,[30]CF!$G$46</definedName>
    <definedName name="BalTest_Deferred.tax.brought.forward.IfVisible" localSheetId="42">[28]Notes!$G$226,[28]Notes!$I$229</definedName>
    <definedName name="BalTest_Deferred.tax.brought.forward.IfVisible" localSheetId="35">[28]Notes!$G$226,[28]Notes!$I$229</definedName>
    <definedName name="BalTest_Deferred.tax.brought.forward.IfVisible" localSheetId="44">[28]Notes!$G$226,[28]Notes!$I$229</definedName>
    <definedName name="BalTest_Deferred.tax.brought.forward.IfVisible" localSheetId="41">[29]Notes!$G$226,[29]Notes!$I$229</definedName>
    <definedName name="BalTest_Deferred.tax.brought.forward.IfVisible" localSheetId="32">[28]Notes!$G$226,[28]Notes!$I$229</definedName>
    <definedName name="BalTest_Deferred.tax.brought.forward.IfVisible">[30]Notes!$G$226,[30]Notes!$I$229</definedName>
    <definedName name="BalTest_Fixed.assets.brought.forward.IfVisible" localSheetId="42">[28]Workings!$H$47,[28]Workings!$H$67</definedName>
    <definedName name="BalTest_Fixed.assets.brought.forward.IfVisible" localSheetId="35">[28]Workings!$H$47,[28]Workings!$H$67</definedName>
    <definedName name="BalTest_Fixed.assets.brought.forward.IfVisible" localSheetId="44">[28]Workings!$H$47,[28]Workings!$H$67</definedName>
    <definedName name="BalTest_Fixed.assets.brought.forward.IfVisible" localSheetId="41">[29]Workings!$H$47,[29]Workings!$H$67</definedName>
    <definedName name="BalTest_Fixed.assets.brought.forward.IfVisible" localSheetId="32">[28]Workings!$H$47,[28]Workings!$H$67</definedName>
    <definedName name="BalTest_Fixed.assets.brought.forward.IfVisible">[30]Workings!$H$47,[30]Workings!$H$67</definedName>
    <definedName name="BalTest_Intangible.fixed.assets.brought.forward.IfVisible" localSheetId="42">[28]Workings!$F$21,[28]Workings!$F$23</definedName>
    <definedName name="BalTest_Intangible.fixed.assets.brought.forward.IfVisible" localSheetId="35">[28]Workings!$F$21,[28]Workings!$F$23</definedName>
    <definedName name="BalTest_Intangible.fixed.assets.brought.forward.IfVisible" localSheetId="44">[28]Workings!$F$21,[28]Workings!$F$23</definedName>
    <definedName name="BalTest_Intangible.fixed.assets.brought.forward.IfVisible" localSheetId="41">[29]Workings!$F$21,[29]Workings!$F$23</definedName>
    <definedName name="BalTest_Intangible.fixed.assets.brought.forward.IfVisible" localSheetId="32">[28]Workings!$F$21,[28]Workings!$F$23</definedName>
    <definedName name="BalTest_Intangible.fixed.assets.brought.forward.IfVisible">[30]Workings!$F$21,[30]Workings!$F$23</definedName>
    <definedName name="BalTest_Investments.brought.forward.IfVisible" localSheetId="42">[28]Workings!$H$78,[28]Workings!$H$95</definedName>
    <definedName name="BalTest_Investments.brought.forward.IfVisible" localSheetId="35">[28]Workings!$H$78,[28]Workings!$H$95</definedName>
    <definedName name="BalTest_Investments.brought.forward.IfVisible" localSheetId="44">[28]Workings!$H$78,[28]Workings!$H$95</definedName>
    <definedName name="BalTest_Investments.brought.forward.IfVisible" localSheetId="41">[29]Workings!$H$78,[29]Workings!$H$95</definedName>
    <definedName name="BalTest_Investments.brought.forward.IfVisible" localSheetId="32">[28]Workings!$H$78,[28]Workings!$H$95</definedName>
    <definedName name="BalTest_Investments.brought.forward.IfVisible">[30]Workings!$H$78,[30]Workings!$H$95</definedName>
    <definedName name="BalTest_PL.compared.with.DetailPL" localSheetId="42">[28]PL!$G$32,[28]DetailPL1!$C$26</definedName>
    <definedName name="BalTest_PL.compared.with.DetailPL" localSheetId="35">[28]PL!$G$32,[28]DetailPL1!$C$26</definedName>
    <definedName name="BalTest_PL.compared.with.DetailPL" localSheetId="44">[28]PL!$G$32,[28]DetailPL1!$C$26</definedName>
    <definedName name="BalTest_PL.compared.with.DetailPL" localSheetId="41">[29]PL!$G$32,[29]DetailPL1!$C$26</definedName>
    <definedName name="BalTest_PL.compared.with.DetailPL" localSheetId="32">[28]PL!$G$32,[28]DetailPL1!$C$26</definedName>
    <definedName name="BalTest_PL.compared.with.DetailPL">[30]PL!$G$32,[30]DetailPL1!$C$26</definedName>
    <definedName name="BalTest_PL.compared.with.DetailPL.Comparatives" localSheetId="42">[28]PL!$I$32,[28]DetailPL1!$E$26</definedName>
    <definedName name="BalTest_PL.compared.with.DetailPL.Comparatives" localSheetId="35">[28]PL!$I$32,[28]DetailPL1!$E$26</definedName>
    <definedName name="BalTest_PL.compared.with.DetailPL.Comparatives" localSheetId="44">[28]PL!$I$32,[28]DetailPL1!$E$26</definedName>
    <definedName name="BalTest_PL.compared.with.DetailPL.Comparatives" localSheetId="41">[29]PL!$I$32,[29]DetailPL1!$E$26</definedName>
    <definedName name="BalTest_PL.compared.with.DetailPL.Comparatives" localSheetId="32">[28]PL!$I$32,[28]DetailPL1!$E$26</definedName>
    <definedName name="BalTest_PL.compared.with.DetailPL.Comparatives">[30]PL!$I$32,[30]DetailPL1!$E$26</definedName>
    <definedName name="BalTest_Profit.and.loss.account.brought.forward.IfVisible" localSheetId="42">[28]Notes!$I$288,[28]Notes!$G$283</definedName>
    <definedName name="BalTest_Profit.and.loss.account.brought.forward.IfVisible" localSheetId="35">[28]Notes!$I$288,[28]Notes!$G$283</definedName>
    <definedName name="BalTest_Profit.and.loss.account.brought.forward.IfVisible" localSheetId="44">[28]Notes!$I$288,[28]Notes!$G$283</definedName>
    <definedName name="BalTest_Profit.and.loss.account.brought.forward.IfVisible" localSheetId="41">[29]Notes!$I$288,[29]Notes!$G$283</definedName>
    <definedName name="BalTest_Profit.and.loss.account.brought.forward.IfVisible" localSheetId="32">[28]Notes!$I$288,[28]Notes!$G$283</definedName>
    <definedName name="BalTest_Profit.and.loss.account.brought.forward.IfVisible">[30]Notes!$I$288,[30]Notes!$G$283</definedName>
    <definedName name="BalTest_Revaluation.reserve.brought.forward.IfVisible" localSheetId="42">[28]Notes!$I$268,[28]Notes!$G$265</definedName>
    <definedName name="BalTest_Revaluation.reserve.brought.forward.IfVisible" localSheetId="35">[28]Notes!$I$268,[28]Notes!$G$265</definedName>
    <definedName name="BalTest_Revaluation.reserve.brought.forward.IfVisible" localSheetId="44">[28]Notes!$I$268,[28]Notes!$G$265</definedName>
    <definedName name="BalTest_Revaluation.reserve.brought.forward.IfVisible" localSheetId="41">[29]Notes!$I$268,[29]Notes!$G$265</definedName>
    <definedName name="BalTest_Revaluation.reserve.brought.forward.IfVisible" localSheetId="32">[28]Notes!$I$268,[28]Notes!$G$265</definedName>
    <definedName name="BalTest_Revaluation.reserve.brought.forward.IfVisible">[30]Notes!$I$268,[30]Notes!$G$265</definedName>
    <definedName name="BalTest_Share.capital.brought.forward.IfVisible" localSheetId="13">[27]Notes!#REF!,[27]Notes!#REF!</definedName>
    <definedName name="BalTest_Share.capital.brought.forward.IfVisible" localSheetId="42">[27]Notes!#REF!,[27]Notes!#REF!</definedName>
    <definedName name="BalTest_Share.capital.brought.forward.IfVisible" localSheetId="35">[27]Notes!#REF!,[27]Notes!#REF!</definedName>
    <definedName name="BalTest_Share.capital.brought.forward.IfVisible" localSheetId="44">[27]Notes!#REF!,[27]Notes!#REF!</definedName>
    <definedName name="BalTest_Share.capital.brought.forward.IfVisible" localSheetId="19">[27]Notes!#REF!,[27]Notes!#REF!</definedName>
    <definedName name="BalTest_Share.capital.brought.forward.IfVisible" localSheetId="41">[27]Notes!#REF!,[27]Notes!#REF!</definedName>
    <definedName name="BalTest_Share.capital.brought.forward.IfVisible" localSheetId="4">[27]Notes!#REF!,[27]Notes!#REF!</definedName>
    <definedName name="BalTest_Share.capital.brought.forward.IfVisible" localSheetId="17">[27]Notes!#REF!,[27]Notes!#REF!</definedName>
    <definedName name="BalTest_Share.capital.brought.forward.IfVisible" localSheetId="32">[27]Notes!#REF!,[27]Notes!#REF!</definedName>
    <definedName name="BalTest_Share.capital.brought.forward.IfVisible">[27]Notes!#REF!,[27]Notes!#REF!</definedName>
    <definedName name="BalTest_Share.premium.brought.forward.IfVisible" localSheetId="42">[28]Notes!$I$259,[28]Notes!$G$255</definedName>
    <definedName name="BalTest_Share.premium.brought.forward.IfVisible" localSheetId="35">[28]Notes!$I$259,[28]Notes!$G$255</definedName>
    <definedName name="BalTest_Share.premium.brought.forward.IfVisible" localSheetId="44">[28]Notes!$I$259,[28]Notes!$G$255</definedName>
    <definedName name="BalTest_Share.premium.brought.forward.IfVisible" localSheetId="41">[29]Notes!$I$259,[29]Notes!$G$255</definedName>
    <definedName name="BalTest_Share.premium.brought.forward.IfVisible" localSheetId="32">[28]Notes!$I$259,[28]Notes!$G$255</definedName>
    <definedName name="BalTest_Share.premium.brought.forward.IfVisible">[30]Notes!$I$259,[30]Notes!$G$255</definedName>
    <definedName name="BasicRate">0.22</definedName>
    <definedName name="BasicRateThreshold">1920</definedName>
    <definedName name="Basis" localSheetId="13">#REF!</definedName>
    <definedName name="Basis" localSheetId="4">#REF!</definedName>
    <definedName name="Basis" localSheetId="17">#REF!</definedName>
    <definedName name="Basis">#REF!</definedName>
    <definedName name="BBB" localSheetId="42">#REF!</definedName>
    <definedName name="BBB" localSheetId="35">#REF!</definedName>
    <definedName name="BBB" localSheetId="44">#REF!</definedName>
    <definedName name="BBB" localSheetId="19">#REF!</definedName>
    <definedName name="BBB" localSheetId="41">#REF!</definedName>
    <definedName name="BBB" localSheetId="17">#REF!</definedName>
    <definedName name="BBB" localSheetId="32">#REF!</definedName>
    <definedName name="BBB">#REF!</definedName>
    <definedName name="bbbbbb" localSheetId="42">#REF!</definedName>
    <definedName name="bbbbbb" localSheetId="35">#REF!</definedName>
    <definedName name="bbbbbb" localSheetId="44">#REF!</definedName>
    <definedName name="bbbbbb" localSheetId="19">#REF!</definedName>
    <definedName name="bbbbbb" localSheetId="41">#REF!</definedName>
    <definedName name="bbbbbb" localSheetId="17">#REF!</definedName>
    <definedName name="bbbbbb" localSheetId="32">#REF!</definedName>
    <definedName name="bbbbbb">#REF!</definedName>
    <definedName name="BE00281_">'[18]TB WORLI'!$B$109</definedName>
    <definedName name="BE00289_">'[18]TB WORLI'!$B$110</definedName>
    <definedName name="BE00306_">'[18]TB WORLI'!$B$111</definedName>
    <definedName name="BE0160_">'[18]TB WORLI'!$B$113</definedName>
    <definedName name="BE0161_">'[18]TB WORLI'!$B$114</definedName>
    <definedName name="BE0211_">'[18]TB WORLI'!$B$115</definedName>
    <definedName name="BE0219_">'[18]TB WORLI'!$B$116</definedName>
    <definedName name="BE0225_">'[17]TB WORLI'!$B$151</definedName>
    <definedName name="BE0235_">'[17]TB WORLI'!$B$33</definedName>
    <definedName name="BE0243_">'[18]TB WORLI'!$B$119</definedName>
    <definedName name="BEP_4" localSheetId="42">#REF!</definedName>
    <definedName name="BEP_4" localSheetId="35">#REF!</definedName>
    <definedName name="BEP_4" localSheetId="44">#REF!</definedName>
    <definedName name="BEP_4" localSheetId="19">#REF!</definedName>
    <definedName name="BEP_4" localSheetId="41">#REF!</definedName>
    <definedName name="BEP_4" localSheetId="17">#REF!</definedName>
    <definedName name="BEP_4" localSheetId="32">#REF!</definedName>
    <definedName name="BEP_4">#REF!</definedName>
    <definedName name="BEP_5" localSheetId="42">#REF!</definedName>
    <definedName name="BEP_5" localSheetId="35">#REF!</definedName>
    <definedName name="BEP_5" localSheetId="44">#REF!</definedName>
    <definedName name="BEP_5" localSheetId="19">#REF!</definedName>
    <definedName name="BEP_5" localSheetId="41">#REF!</definedName>
    <definedName name="BEP_5" localSheetId="17">#REF!</definedName>
    <definedName name="BEP_5" localSheetId="32">#REF!</definedName>
    <definedName name="BEP_5">#REF!</definedName>
    <definedName name="BEP_6" localSheetId="42">#REF!</definedName>
    <definedName name="BEP_6" localSheetId="35">#REF!</definedName>
    <definedName name="BEP_6" localSheetId="44">#REF!</definedName>
    <definedName name="BEP_6" localSheetId="19">#REF!</definedName>
    <definedName name="BEP_6" localSheetId="41">#REF!</definedName>
    <definedName name="BEP_6" localSheetId="17">#REF!</definedName>
    <definedName name="BEP_6" localSheetId="32">#REF!</definedName>
    <definedName name="BEP_6">#REF!</definedName>
    <definedName name="BEP_7" localSheetId="42">#REF!</definedName>
    <definedName name="BEP_7" localSheetId="35">#REF!</definedName>
    <definedName name="BEP_7" localSheetId="44">#REF!</definedName>
    <definedName name="BEP_7" localSheetId="19">#REF!</definedName>
    <definedName name="BEP_7" localSheetId="41">#REF!</definedName>
    <definedName name="BEP_7" localSheetId="17">#REF!</definedName>
    <definedName name="BEP_7" localSheetId="32">#REF!</definedName>
    <definedName name="BEP_7">#REF!</definedName>
    <definedName name="BEP_8" localSheetId="42">#REF!</definedName>
    <definedName name="BEP_8" localSheetId="35">#REF!</definedName>
    <definedName name="BEP_8" localSheetId="44">#REF!</definedName>
    <definedName name="BEP_8" localSheetId="19">#REF!</definedName>
    <definedName name="BEP_8" localSheetId="41">#REF!</definedName>
    <definedName name="BEP_8" localSheetId="17">#REF!</definedName>
    <definedName name="BEP_8" localSheetId="32">#REF!</definedName>
    <definedName name="BEP_8">#REF!</definedName>
    <definedName name="Bharat_diam.Brou_99" localSheetId="17">#REF!</definedName>
    <definedName name="Bharat_diam.Brou_99">#REF!</definedName>
    <definedName name="Bhavik" localSheetId="42">#REF!</definedName>
    <definedName name="Bhavik" localSheetId="35">#REF!</definedName>
    <definedName name="Bhavik" localSheetId="44">#REF!</definedName>
    <definedName name="Bhavik" localSheetId="19">#REF!</definedName>
    <definedName name="Bhavik" localSheetId="41">#REF!</definedName>
    <definedName name="Bhavik" localSheetId="17">#REF!</definedName>
    <definedName name="Bhavik" localSheetId="32">#REF!</definedName>
    <definedName name="Bhavik">#REF!</definedName>
    <definedName name="BI00296_">'[18]TB WORLI'!$B$120</definedName>
    <definedName name="BI00298_">'[18]TB WORLI'!$B$121</definedName>
    <definedName name="BI00319_">'[18]TB WORLI'!$B$122</definedName>
    <definedName name="BI00320_">'[18]TB WORLI'!$B$123</definedName>
    <definedName name="BI00321_">'[18]TB WORLI'!$B$124</definedName>
    <definedName name="BI00326_">'[18]TB WORLI'!$B$125</definedName>
    <definedName name="BI00335_">'[18]TB WORLI'!$B$126</definedName>
    <definedName name="BI0260_">'[18]TB WORLI'!$B$128</definedName>
    <definedName name="BI0261_">'[18]TB WORLI'!$B$129</definedName>
    <definedName name="BI0286_">'[18]TB WORLI'!$B$130</definedName>
    <definedName name="BL00380_">'[18]TB WORLI'!$B$131</definedName>
    <definedName name="BL00386_">'[18]TB WORLI'!$B$133</definedName>
    <definedName name="BL00649_">'[18]TB WORLI'!$B$135</definedName>
    <definedName name="BL00664_">'[18]TB WORLI'!$B$137</definedName>
    <definedName name="BL00678_">'[18]TB WORLI'!$B$138</definedName>
    <definedName name="BL00702_">'[17]TB WORLI'!$B$43</definedName>
    <definedName name="BL0302_">'[18]TB WORLI'!$B$139</definedName>
    <definedName name="BL0322_">'[18]TB WORLI'!$B$140</definedName>
    <definedName name="BL0333_">'[18]TB WORLI'!$B$141</definedName>
    <definedName name="BL0342_">'[17]TB WORLI'!$B$155</definedName>
    <definedName name="BP1_An">[31]BP1!$I$7:$I$46</definedName>
    <definedName name="BP1_Clrd">[32]BP1!$E$7:$E$46</definedName>
    <definedName name="BP1_Gr" localSheetId="42">[33]BP1!$F$7:$F$46</definedName>
    <definedName name="BP1_Gr" localSheetId="35">[33]BP1!$F$7:$F$46</definedName>
    <definedName name="BP1_Gr" localSheetId="44">[33]BP1!$F$7:$F$46</definedName>
    <definedName name="BP1_Gr" localSheetId="41">[34]BP1!$F$7:$F$46</definedName>
    <definedName name="BP1_Gr" localSheetId="32">[33]BP1!$F$7:$F$46</definedName>
    <definedName name="BP1_Gr">[35]BP1!$F$7:$F$46</definedName>
    <definedName name="BP1_Gross">[31]BP1!$F$47</definedName>
    <definedName name="BP1_Net">[31]BP1!$H$7:$H$46</definedName>
    <definedName name="BP1_VAT">[31]BP1!$G$47</definedName>
    <definedName name="BP10_An">[31]BP10!$I$7:$I$46</definedName>
    <definedName name="BP10_Clrd" localSheetId="42">[33]BP10!$E$7:$E$46</definedName>
    <definedName name="BP10_Clrd" localSheetId="35">[33]BP10!$E$7:$E$46</definedName>
    <definedName name="BP10_Clrd" localSheetId="44">[33]BP10!$E$7:$E$46</definedName>
    <definedName name="BP10_Clrd" localSheetId="41">[34]BP10!$E$7:$E$46</definedName>
    <definedName name="BP10_Clrd" localSheetId="32">[33]BP10!$E$7:$E$46</definedName>
    <definedName name="BP10_Clrd">[35]BP10!$E$7:$E$46</definedName>
    <definedName name="BP10_Gr" localSheetId="42">[33]BP10!$F$7:$F$46</definedName>
    <definedName name="BP10_Gr" localSheetId="35">[33]BP10!$F$7:$F$46</definedName>
    <definedName name="BP10_Gr" localSheetId="44">[33]BP10!$F$7:$F$46</definedName>
    <definedName name="BP10_Gr" localSheetId="41">[34]BP10!$F$7:$F$46</definedName>
    <definedName name="BP10_Gr" localSheetId="32">[33]BP10!$F$7:$F$46</definedName>
    <definedName name="BP10_Gr">[35]BP10!$F$7:$F$46</definedName>
    <definedName name="BP10_Gross">[31]BP10!$F$47</definedName>
    <definedName name="BP10_Net">[31]BP10!$H$7:$H$46</definedName>
    <definedName name="BP10_VAT">[31]BP10!$G$47</definedName>
    <definedName name="BP11_An">[31]BP11!$I$7:$I$46</definedName>
    <definedName name="BP11_Clrd" localSheetId="42">[33]BP11!$E$7:$E$46</definedName>
    <definedName name="BP11_Clrd" localSheetId="35">[33]BP11!$E$7:$E$46</definedName>
    <definedName name="BP11_Clrd" localSheetId="44">[33]BP11!$E$7:$E$46</definedName>
    <definedName name="BP11_Clrd" localSheetId="41">[34]BP11!$E$7:$E$46</definedName>
    <definedName name="BP11_Clrd" localSheetId="32">[33]BP11!$E$7:$E$46</definedName>
    <definedName name="BP11_Clrd">[35]BP11!$E$7:$E$46</definedName>
    <definedName name="BP11_Gr" localSheetId="42">[33]BP11!$F$7:$F$46</definedName>
    <definedName name="BP11_Gr" localSheetId="35">[33]BP11!$F$7:$F$46</definedName>
    <definedName name="BP11_Gr" localSheetId="44">[33]BP11!$F$7:$F$46</definedName>
    <definedName name="BP11_Gr" localSheetId="41">[34]BP11!$F$7:$F$46</definedName>
    <definedName name="BP11_Gr" localSheetId="32">[33]BP11!$F$7:$F$46</definedName>
    <definedName name="BP11_Gr">[35]BP11!$F$7:$F$46</definedName>
    <definedName name="BP11_Gross">[31]BP11!$F$47</definedName>
    <definedName name="BP11_Net">[31]BP11!$H$7:$H$46</definedName>
    <definedName name="BP11_VAT">[31]BP11!$G$47</definedName>
    <definedName name="BP12_An">[31]BP12!$I$7:$I$46</definedName>
    <definedName name="BP12_Clrd" localSheetId="42">[33]BP12!$E$7:$E$46</definedName>
    <definedName name="BP12_Clrd" localSheetId="35">[33]BP12!$E$7:$E$46</definedName>
    <definedName name="BP12_Clrd" localSheetId="44">[33]BP12!$E$7:$E$46</definedName>
    <definedName name="BP12_Clrd" localSheetId="41">[34]BP12!$E$7:$E$46</definedName>
    <definedName name="BP12_Clrd" localSheetId="32">[33]BP12!$E$7:$E$46</definedName>
    <definedName name="BP12_Clrd">[35]BP12!$E$7:$E$46</definedName>
    <definedName name="BP12_Gr" localSheetId="42">[33]BP12!$F$7:$F$46</definedName>
    <definedName name="BP12_Gr" localSheetId="35">[33]BP12!$F$7:$F$46</definedName>
    <definedName name="BP12_Gr" localSheetId="44">[33]BP12!$F$7:$F$46</definedName>
    <definedName name="BP12_Gr" localSheetId="41">[34]BP12!$F$7:$F$46</definedName>
    <definedName name="BP12_Gr" localSheetId="32">[33]BP12!$F$7:$F$46</definedName>
    <definedName name="BP12_Gr">[35]BP12!$F$7:$F$46</definedName>
    <definedName name="BP12_Gross">[31]BP12!$F$47</definedName>
    <definedName name="BP12_Net">[31]BP12!$H$7:$H$46</definedName>
    <definedName name="BP12_VAT">[31]BP12!$G$47</definedName>
    <definedName name="BP2_An">[31]BP2!$I$7:$I$46</definedName>
    <definedName name="BP2_Clrd" localSheetId="42">[33]BP2!$E$7:$E$46</definedName>
    <definedName name="BP2_Clrd" localSheetId="35">[33]BP2!$E$7:$E$46</definedName>
    <definedName name="BP2_Clrd" localSheetId="44">[33]BP2!$E$7:$E$46</definedName>
    <definedName name="BP2_Clrd" localSheetId="41">[34]BP2!$E$7:$E$46</definedName>
    <definedName name="BP2_Clrd" localSheetId="32">[33]BP2!$E$7:$E$46</definedName>
    <definedName name="BP2_Clrd">[35]BP2!$E$7:$E$46</definedName>
    <definedName name="BP2_Gr" localSheetId="42">[33]BP2!$F$7:$F$46</definedName>
    <definedName name="BP2_Gr" localSheetId="35">[33]BP2!$F$7:$F$46</definedName>
    <definedName name="BP2_Gr" localSheetId="44">[33]BP2!$F$7:$F$46</definedName>
    <definedName name="BP2_Gr" localSheetId="41">[34]BP2!$F$7:$F$46</definedName>
    <definedName name="BP2_Gr" localSheetId="32">[33]BP2!$F$7:$F$46</definedName>
    <definedName name="BP2_Gr">[35]BP2!$F$7:$F$46</definedName>
    <definedName name="BP2_Gross">[31]BP2!$F$47</definedName>
    <definedName name="BP2_Net">[31]BP2!$H$7:$H$46</definedName>
    <definedName name="BP2_VAT">[31]BP2!$G$47</definedName>
    <definedName name="BP3_An">[31]BP3!$I$7:$I$46</definedName>
    <definedName name="BP3_Clrd" localSheetId="42">[33]BP3!$E$7:$E$46</definedName>
    <definedName name="BP3_Clrd" localSheetId="35">[33]BP3!$E$7:$E$46</definedName>
    <definedName name="BP3_Clrd" localSheetId="44">[33]BP3!$E$7:$E$46</definedName>
    <definedName name="BP3_Clrd" localSheetId="41">[34]BP3!$E$7:$E$46</definedName>
    <definedName name="BP3_Clrd" localSheetId="32">[33]BP3!$E$7:$E$46</definedName>
    <definedName name="BP3_Clrd">[35]BP3!$E$7:$E$46</definedName>
    <definedName name="BP3_Gr" localSheetId="42">[33]BP3!$F$7:$F$46</definedName>
    <definedName name="BP3_Gr" localSheetId="35">[33]BP3!$F$7:$F$46</definedName>
    <definedName name="BP3_Gr" localSheetId="44">[33]BP3!$F$7:$F$46</definedName>
    <definedName name="BP3_Gr" localSheetId="41">[34]BP3!$F$7:$F$46</definedName>
    <definedName name="BP3_Gr" localSheetId="32">[33]BP3!$F$7:$F$46</definedName>
    <definedName name="BP3_Gr">[35]BP3!$F$7:$F$46</definedName>
    <definedName name="BP3_Gross">[31]BP3!$F$47</definedName>
    <definedName name="BP3_Net">[31]BP3!$H$7:$H$46</definedName>
    <definedName name="BP3_VAT">[31]BP3!$G$47</definedName>
    <definedName name="BP4_An">[31]BP4!$I$7:$I$46</definedName>
    <definedName name="BP4_Clrd" localSheetId="42">[33]BP4!$E$7:$E$46</definedName>
    <definedName name="BP4_Clrd" localSheetId="35">[33]BP4!$E$7:$E$46</definedName>
    <definedName name="BP4_Clrd" localSheetId="44">[33]BP4!$E$7:$E$46</definedName>
    <definedName name="BP4_Clrd" localSheetId="41">[34]BP4!$E$7:$E$46</definedName>
    <definedName name="BP4_Clrd" localSheetId="32">[33]BP4!$E$7:$E$46</definedName>
    <definedName name="BP4_Clrd">[35]BP4!$E$7:$E$46</definedName>
    <definedName name="BP4_Gr" localSheetId="42">[33]BP4!$F$7:$F$46</definedName>
    <definedName name="BP4_Gr" localSheetId="35">[33]BP4!$F$7:$F$46</definedName>
    <definedName name="BP4_Gr" localSheetId="44">[33]BP4!$F$7:$F$46</definedName>
    <definedName name="BP4_Gr" localSheetId="41">[34]BP4!$F$7:$F$46</definedName>
    <definedName name="BP4_Gr" localSheetId="32">[33]BP4!$F$7:$F$46</definedName>
    <definedName name="BP4_Gr">[35]BP4!$F$7:$F$46</definedName>
    <definedName name="BP4_Gross">[31]BP4!$F$47</definedName>
    <definedName name="BP4_Net">[31]BP4!$H$7:$H$46</definedName>
    <definedName name="BP4_VAT">[31]BP4!$G$47</definedName>
    <definedName name="BP5_An">[31]BP5!$I$7:$I$46</definedName>
    <definedName name="BP5_Clrd" localSheetId="42">[33]BP5!$E$7:$E$46</definedName>
    <definedName name="BP5_Clrd" localSheetId="35">[33]BP5!$E$7:$E$46</definedName>
    <definedName name="BP5_Clrd" localSheetId="44">[33]BP5!$E$7:$E$46</definedName>
    <definedName name="BP5_Clrd" localSheetId="41">[34]BP5!$E$7:$E$46</definedName>
    <definedName name="BP5_Clrd" localSheetId="32">[33]BP5!$E$7:$E$46</definedName>
    <definedName name="BP5_Clrd">[35]BP5!$E$7:$E$46</definedName>
    <definedName name="BP5_Gr" localSheetId="42">[33]BP5!$F$7:$F$46</definedName>
    <definedName name="BP5_Gr" localSheetId="35">[33]BP5!$F$7:$F$46</definedName>
    <definedName name="BP5_Gr" localSheetId="44">[33]BP5!$F$7:$F$46</definedName>
    <definedName name="BP5_Gr" localSheetId="41">[34]BP5!$F$7:$F$46</definedName>
    <definedName name="BP5_Gr" localSheetId="32">[33]BP5!$F$7:$F$46</definedName>
    <definedName name="BP5_Gr">[35]BP5!$F$7:$F$46</definedName>
    <definedName name="BP5_Gross">[31]BP5!$F$47</definedName>
    <definedName name="BP5_Net">[31]BP5!$H$7:$H$46</definedName>
    <definedName name="BP5_VAT">[31]BP5!$G$47</definedName>
    <definedName name="BP6_An">[31]BP6!$I$7:$I$46</definedName>
    <definedName name="BP6_Clrd" localSheetId="42">[33]BP6!$E$7:$E$46</definedName>
    <definedName name="BP6_Clrd" localSheetId="35">[33]BP6!$E$7:$E$46</definedName>
    <definedName name="BP6_Clrd" localSheetId="44">[33]BP6!$E$7:$E$46</definedName>
    <definedName name="BP6_Clrd" localSheetId="41">[34]BP6!$E$7:$E$46</definedName>
    <definedName name="BP6_Clrd" localSheetId="32">[33]BP6!$E$7:$E$46</definedName>
    <definedName name="BP6_Clrd">[35]BP6!$E$7:$E$46</definedName>
    <definedName name="BP6_Gr" localSheetId="42">[33]BP6!$F$7:$F$46</definedName>
    <definedName name="BP6_Gr" localSheetId="35">[33]BP6!$F$7:$F$46</definedName>
    <definedName name="BP6_Gr" localSheetId="44">[33]BP6!$F$7:$F$46</definedName>
    <definedName name="BP6_Gr" localSheetId="41">[34]BP6!$F$7:$F$46</definedName>
    <definedName name="BP6_Gr" localSheetId="32">[33]BP6!$F$7:$F$46</definedName>
    <definedName name="BP6_Gr">[35]BP6!$F$7:$F$46</definedName>
    <definedName name="BP6_Gross">[31]BP6!$F$47</definedName>
    <definedName name="BP6_Net">[31]BP6!$H$7:$H$46</definedName>
    <definedName name="BP6_VAT">[31]BP6!$G$47</definedName>
    <definedName name="BP7_An">[31]BP7!$I$7:$I$46</definedName>
    <definedName name="BP7_Clrd" localSheetId="42">[33]BP7!$E$7:$E$46</definedName>
    <definedName name="BP7_Clrd" localSheetId="35">[33]BP7!$E$7:$E$46</definedName>
    <definedName name="BP7_Clrd" localSheetId="44">[33]BP7!$E$7:$E$46</definedName>
    <definedName name="BP7_Clrd" localSheetId="41">[34]BP7!$E$7:$E$46</definedName>
    <definedName name="BP7_Clrd" localSheetId="32">[33]BP7!$E$7:$E$46</definedName>
    <definedName name="BP7_Clrd">[35]BP7!$E$7:$E$46</definedName>
    <definedName name="BP7_Gr" localSheetId="42">[33]BP7!$F$7:$F$46</definedName>
    <definedName name="BP7_Gr" localSheetId="35">[33]BP7!$F$7:$F$46</definedName>
    <definedName name="BP7_Gr" localSheetId="44">[33]BP7!$F$7:$F$46</definedName>
    <definedName name="BP7_Gr" localSheetId="41">[34]BP7!$F$7:$F$46</definedName>
    <definedName name="BP7_Gr" localSheetId="32">[33]BP7!$F$7:$F$46</definedName>
    <definedName name="BP7_Gr">[35]BP7!$F$7:$F$46</definedName>
    <definedName name="BP7_Gross">[31]BP7!$F$47</definedName>
    <definedName name="BP7_Net">[31]BP7!$H$7:$H$46</definedName>
    <definedName name="BP7_VAT">[31]BP7!$G$47</definedName>
    <definedName name="BP8_An">[31]BP8!$I$7:$I$46</definedName>
    <definedName name="BP8_Clrd" localSheetId="42">[33]BP8!$E$7:$E$46</definedName>
    <definedName name="BP8_Clrd" localSheetId="35">[33]BP8!$E$7:$E$46</definedName>
    <definedName name="BP8_Clrd" localSheetId="44">[33]BP8!$E$7:$E$46</definedName>
    <definedName name="BP8_Clrd" localSheetId="41">[34]BP8!$E$7:$E$46</definedName>
    <definedName name="BP8_Clrd" localSheetId="32">[33]BP8!$E$7:$E$46</definedName>
    <definedName name="BP8_Clrd">[35]BP8!$E$7:$E$46</definedName>
    <definedName name="BP8_Gr" localSheetId="42">[33]BP8!$F$7:$F$46</definedName>
    <definedName name="BP8_Gr" localSheetId="35">[33]BP8!$F$7:$F$46</definedName>
    <definedName name="BP8_Gr" localSheetId="44">[33]BP8!$F$7:$F$46</definedName>
    <definedName name="BP8_Gr" localSheetId="41">[34]BP8!$F$7:$F$46</definedName>
    <definedName name="BP8_Gr" localSheetId="32">[33]BP8!$F$7:$F$46</definedName>
    <definedName name="BP8_Gr">[35]BP8!$F$7:$F$46</definedName>
    <definedName name="BP8_Gross">[31]BP8!$F$47</definedName>
    <definedName name="BP8_Net">[31]BP8!$H$7:$H$46</definedName>
    <definedName name="BP8_VAT">[31]BP8!$G$47</definedName>
    <definedName name="BP9_An">[31]BP9!$I$7:$I$46</definedName>
    <definedName name="BP9_Clrd" localSheetId="42">[33]BP9!$E$7:$E$46</definedName>
    <definedName name="BP9_Clrd" localSheetId="35">[33]BP9!$E$7:$E$46</definedName>
    <definedName name="BP9_Clrd" localSheetId="44">[33]BP9!$E$7:$E$46</definedName>
    <definedName name="BP9_Clrd" localSheetId="41">[34]BP9!$E$7:$E$46</definedName>
    <definedName name="BP9_Clrd" localSheetId="32">[33]BP9!$E$7:$E$46</definedName>
    <definedName name="BP9_Clrd">[35]BP9!$E$7:$E$46</definedName>
    <definedName name="BP9_Gr" localSheetId="42">[33]BP9!$F$7:$F$46</definedName>
    <definedName name="BP9_Gr" localSheetId="35">[33]BP9!$F$7:$F$46</definedName>
    <definedName name="BP9_Gr" localSheetId="44">[33]BP9!$F$7:$F$46</definedName>
    <definedName name="BP9_Gr" localSheetId="41">[34]BP9!$F$7:$F$46</definedName>
    <definedName name="BP9_Gr" localSheetId="32">[33]BP9!$F$7:$F$46</definedName>
    <definedName name="BP9_Gr">[35]BP9!$F$7:$F$46</definedName>
    <definedName name="BP9_Gross">[31]BP9!$F$47</definedName>
    <definedName name="BP9_Net">[31]BP9!$H$7:$H$46</definedName>
    <definedName name="BP9_VAT">[31]BP9!$G$47</definedName>
    <definedName name="BR1_An">[31]BR1!$I$7:$I$46</definedName>
    <definedName name="BR1_Clrd" localSheetId="42">[33]BR1!$E$7:$E$46</definedName>
    <definedName name="BR1_Clrd" localSheetId="35">[33]BR1!$E$7:$E$46</definedName>
    <definedName name="BR1_Clrd" localSheetId="44">[33]BR1!$E$7:$E$46</definedName>
    <definedName name="BR1_Clrd" localSheetId="41">[34]BR1!$E$7:$E$46</definedName>
    <definedName name="BR1_Clrd" localSheetId="32">[33]BR1!$E$7:$E$46</definedName>
    <definedName name="BR1_Clrd">[35]BR1!$E$7:$E$46</definedName>
    <definedName name="BR1_Gr" localSheetId="42">[33]BR1!$F$7:$F$46</definedName>
    <definedName name="BR1_Gr" localSheetId="35">[33]BR1!$F$7:$F$46</definedName>
    <definedName name="BR1_Gr" localSheetId="44">[33]BR1!$F$7:$F$46</definedName>
    <definedName name="BR1_Gr" localSheetId="41">[34]BR1!$F$7:$F$46</definedName>
    <definedName name="BR1_Gr" localSheetId="32">[33]BR1!$F$7:$F$46</definedName>
    <definedName name="BR1_Gr">[35]BR1!$F$7:$F$46</definedName>
    <definedName name="BR1_Gross">[31]BR1!$F$47</definedName>
    <definedName name="BR1_Month">[31]BR1!$C$3</definedName>
    <definedName name="BR1_Net">[31]BR1!$H$7:$H$46</definedName>
    <definedName name="BR1_VAT">[31]BR1!$G$47</definedName>
    <definedName name="BR10_An">[31]BR10!$I$7:$I$46</definedName>
    <definedName name="BR10_Clrd" localSheetId="42">[33]BR10!$E$7:$E$46</definedName>
    <definedName name="BR10_Clrd" localSheetId="35">[33]BR10!$E$7:$E$46</definedName>
    <definedName name="BR10_Clrd" localSheetId="44">[33]BR10!$E$7:$E$46</definedName>
    <definedName name="BR10_Clrd" localSheetId="41">[34]BR10!$E$7:$E$46</definedName>
    <definedName name="BR10_Clrd" localSheetId="32">[33]BR10!$E$7:$E$46</definedName>
    <definedName name="BR10_Clrd">[35]BR10!$E$7:$E$46</definedName>
    <definedName name="BR10_Gr" localSheetId="42">[33]BR10!$F$7:$F$46</definedName>
    <definedName name="BR10_Gr" localSheetId="35">[33]BR10!$F$7:$F$46</definedName>
    <definedName name="BR10_Gr" localSheetId="44">[33]BR10!$F$7:$F$46</definedName>
    <definedName name="BR10_Gr" localSheetId="41">[34]BR10!$F$7:$F$46</definedName>
    <definedName name="BR10_Gr" localSheetId="32">[33]BR10!$F$7:$F$46</definedName>
    <definedName name="BR10_Gr">[35]BR10!$F$7:$F$46</definedName>
    <definedName name="BR10_Gross">[31]BR10!$F$47</definedName>
    <definedName name="BR10_Month">[31]BR10!$C$3</definedName>
    <definedName name="BR10_Net">[31]BR10!$H$7:$H$46</definedName>
    <definedName name="BR10_VAT">[31]BR10!$G$47</definedName>
    <definedName name="BR11_An">[31]BR11!$I$7:$I$46</definedName>
    <definedName name="BR11_Clrd" localSheetId="42">[33]BR11!$E$7:$E$46</definedName>
    <definedName name="BR11_Clrd" localSheetId="35">[33]BR11!$E$7:$E$46</definedName>
    <definedName name="BR11_Clrd" localSheetId="44">[33]BR11!$E$7:$E$46</definedName>
    <definedName name="BR11_Clrd" localSheetId="41">[34]BR11!$E$7:$E$46</definedName>
    <definedName name="BR11_Clrd" localSheetId="32">[33]BR11!$E$7:$E$46</definedName>
    <definedName name="BR11_Clrd">[35]BR11!$E$7:$E$46</definedName>
    <definedName name="BR11_Gr" localSheetId="42">[33]BR11!$F$7:$F$46</definedName>
    <definedName name="BR11_Gr" localSheetId="35">[33]BR11!$F$7:$F$46</definedName>
    <definedName name="BR11_Gr" localSheetId="44">[33]BR11!$F$7:$F$46</definedName>
    <definedName name="BR11_Gr" localSheetId="41">[34]BR11!$F$7:$F$46</definedName>
    <definedName name="BR11_Gr" localSheetId="32">[33]BR11!$F$7:$F$46</definedName>
    <definedName name="BR11_Gr">[35]BR11!$F$7:$F$46</definedName>
    <definedName name="BR11_Gross">[31]BR11!$F$47</definedName>
    <definedName name="BR11_Month">[31]BR11!$C$3</definedName>
    <definedName name="BR11_Net">[31]BR11!$H$7:$H$46</definedName>
    <definedName name="BR11_VAT">[31]BR11!$G$47</definedName>
    <definedName name="BR12_An">[31]BR12!$I$7:$I$46</definedName>
    <definedName name="BR12_Clrd" localSheetId="42">[33]BR12!$E$7:$E$46</definedName>
    <definedName name="BR12_Clrd" localSheetId="35">[33]BR12!$E$7:$E$46</definedName>
    <definedName name="BR12_Clrd" localSheetId="44">[33]BR12!$E$7:$E$46</definedName>
    <definedName name="BR12_Clrd" localSheetId="41">[34]BR12!$E$7:$E$46</definedName>
    <definedName name="BR12_Clrd" localSheetId="32">[33]BR12!$E$7:$E$46</definedName>
    <definedName name="BR12_Clrd">[35]BR12!$E$7:$E$46</definedName>
    <definedName name="BR12_Gr" localSheetId="42">[33]BR12!$F$7:$F$46</definedName>
    <definedName name="BR12_Gr" localSheetId="35">[33]BR12!$F$7:$F$46</definedName>
    <definedName name="BR12_Gr" localSheetId="44">[33]BR12!$F$7:$F$46</definedName>
    <definedName name="BR12_Gr" localSheetId="41">[34]BR12!$F$7:$F$46</definedName>
    <definedName name="BR12_Gr" localSheetId="32">[33]BR12!$F$7:$F$46</definedName>
    <definedName name="BR12_Gr">[35]BR12!$F$7:$F$46</definedName>
    <definedName name="BR12_Gross">[31]BR12!$F$47</definedName>
    <definedName name="BR12_Month">[31]BR12!$C$3</definedName>
    <definedName name="BR12_Net">[31]BR12!$H$7:$H$46</definedName>
    <definedName name="BR12_VAT">[31]BR12!$G$47</definedName>
    <definedName name="BR2_An">[31]BR2!$I$7:$I$46</definedName>
    <definedName name="BR2_Clrd" localSheetId="42">[33]BR2!$E$7:$E$46</definedName>
    <definedName name="BR2_Clrd" localSheetId="35">[33]BR2!$E$7:$E$46</definedName>
    <definedName name="BR2_Clrd" localSheetId="44">[33]BR2!$E$7:$E$46</definedName>
    <definedName name="BR2_Clrd" localSheetId="41">[34]BR2!$E$7:$E$46</definedName>
    <definedName name="BR2_Clrd" localSheetId="32">[33]BR2!$E$7:$E$46</definedName>
    <definedName name="BR2_Clrd">[35]BR2!$E$7:$E$46</definedName>
    <definedName name="BR2_Gr" localSheetId="42">[33]BR2!$F$7:$F$46</definedName>
    <definedName name="BR2_Gr" localSheetId="35">[33]BR2!$F$7:$F$46</definedName>
    <definedName name="BR2_Gr" localSheetId="44">[33]BR2!$F$7:$F$46</definedName>
    <definedName name="BR2_Gr" localSheetId="41">[34]BR2!$F$7:$F$46</definedName>
    <definedName name="BR2_Gr" localSheetId="32">[33]BR2!$F$7:$F$46</definedName>
    <definedName name="BR2_Gr">[35]BR2!$F$7:$F$46</definedName>
    <definedName name="BR2_Gross">[31]BR2!$F$47</definedName>
    <definedName name="BR2_Month">[31]BR2!$C$3</definedName>
    <definedName name="BR2_Net">[31]BR2!$H$7:$H$46</definedName>
    <definedName name="BR2_VAT">[31]BR2!$G$47</definedName>
    <definedName name="BR3_An">[31]BR3!$I$7:$I$46</definedName>
    <definedName name="BR3_Clrd" localSheetId="42">[33]BR3!$E$7:$E$46</definedName>
    <definedName name="BR3_Clrd" localSheetId="35">[33]BR3!$E$7:$E$46</definedName>
    <definedName name="BR3_Clrd" localSheetId="44">[33]BR3!$E$7:$E$46</definedName>
    <definedName name="BR3_Clrd" localSheetId="41">[34]BR3!$E$7:$E$46</definedName>
    <definedName name="BR3_Clrd" localSheetId="32">[33]BR3!$E$7:$E$46</definedName>
    <definedName name="BR3_Clrd">[35]BR3!$E$7:$E$46</definedName>
    <definedName name="BR3_Gr" localSheetId="42">[33]BR3!$F$7:$F$46</definedName>
    <definedName name="BR3_Gr" localSheetId="35">[33]BR3!$F$7:$F$46</definedName>
    <definedName name="BR3_Gr" localSheetId="44">[33]BR3!$F$7:$F$46</definedName>
    <definedName name="BR3_Gr" localSheetId="41">[34]BR3!$F$7:$F$46</definedName>
    <definedName name="BR3_Gr" localSheetId="32">[33]BR3!$F$7:$F$46</definedName>
    <definedName name="BR3_Gr">[35]BR3!$F$7:$F$46</definedName>
    <definedName name="BR3_Gross">[31]BR3!$F$47</definedName>
    <definedName name="BR3_Month">[31]BR3!$C$3</definedName>
    <definedName name="BR3_Net">[31]BR3!$H$7:$H$46</definedName>
    <definedName name="BR3_VAT">[31]BR3!$G$47</definedName>
    <definedName name="BR4_An">[31]BR4!$I$7:$I$46</definedName>
    <definedName name="BR4_Clrd" localSheetId="42">[33]BR4!$E$7:$E$46</definedName>
    <definedName name="BR4_Clrd" localSheetId="35">[33]BR4!$E$7:$E$46</definedName>
    <definedName name="BR4_Clrd" localSheetId="44">[33]BR4!$E$7:$E$46</definedName>
    <definedName name="BR4_Clrd" localSheetId="41">[34]BR4!$E$7:$E$46</definedName>
    <definedName name="BR4_Clrd" localSheetId="32">[33]BR4!$E$7:$E$46</definedName>
    <definedName name="BR4_Clrd">[35]BR4!$E$7:$E$46</definedName>
    <definedName name="BR4_Gr" localSheetId="42">[33]BR4!$F$7:$F$46</definedName>
    <definedName name="BR4_Gr" localSheetId="35">[33]BR4!$F$7:$F$46</definedName>
    <definedName name="BR4_Gr" localSheetId="44">[33]BR4!$F$7:$F$46</definedName>
    <definedName name="BR4_Gr" localSheetId="41">[34]BR4!$F$7:$F$46</definedName>
    <definedName name="BR4_Gr" localSheetId="32">[33]BR4!$F$7:$F$46</definedName>
    <definedName name="BR4_Gr">[35]BR4!$F$7:$F$46</definedName>
    <definedName name="BR4_Gross">[31]BR4!$F$47</definedName>
    <definedName name="BR4_Month">[31]BR4!$C$3</definedName>
    <definedName name="BR4_Net">[31]BR4!$H$7:$H$46</definedName>
    <definedName name="BR4_VAT">[31]BR4!$G$47</definedName>
    <definedName name="BR5_An">[31]BR5!$I$7:$I$46</definedName>
    <definedName name="BR5_Clrd" localSheetId="42">[33]BR5!$E$7:$E$46</definedName>
    <definedName name="BR5_Clrd" localSheetId="35">[33]BR5!$E$7:$E$46</definedName>
    <definedName name="BR5_Clrd" localSheetId="44">[33]BR5!$E$7:$E$46</definedName>
    <definedName name="BR5_Clrd" localSheetId="41">[34]BR5!$E$7:$E$46</definedName>
    <definedName name="BR5_Clrd" localSheetId="32">[33]BR5!$E$7:$E$46</definedName>
    <definedName name="BR5_Clrd">[35]BR5!$E$7:$E$46</definedName>
    <definedName name="BR5_Gr" localSheetId="42">[33]BR5!$F$7:$F$46</definedName>
    <definedName name="BR5_Gr" localSheetId="35">[33]BR5!$F$7:$F$46</definedName>
    <definedName name="BR5_Gr" localSheetId="44">[33]BR5!$F$7:$F$46</definedName>
    <definedName name="BR5_Gr" localSheetId="41">[34]BR5!$F$7:$F$46</definedName>
    <definedName name="BR5_Gr" localSheetId="32">[33]BR5!$F$7:$F$46</definedName>
    <definedName name="BR5_Gr">[35]BR5!$F$7:$F$46</definedName>
    <definedName name="BR5_Gross">[31]BR5!$F$47</definedName>
    <definedName name="BR5_Month">[31]BR5!$C$3</definedName>
    <definedName name="BR5_Net">[31]BR5!$H$7:$H$46</definedName>
    <definedName name="BR5_VAT">[31]BR5!$G$47</definedName>
    <definedName name="BR6_An">[31]BR6!$I$7:$I$46</definedName>
    <definedName name="BR6_Clrd" localSheetId="42">[33]BR6!$E$7:$E$46</definedName>
    <definedName name="BR6_Clrd" localSheetId="35">[33]BR6!$E$7:$E$46</definedName>
    <definedName name="BR6_Clrd" localSheetId="44">[33]BR6!$E$7:$E$46</definedName>
    <definedName name="BR6_Clrd" localSheetId="41">[34]BR6!$E$7:$E$46</definedName>
    <definedName name="BR6_Clrd" localSheetId="32">[33]BR6!$E$7:$E$46</definedName>
    <definedName name="BR6_Clrd">[35]BR6!$E$7:$E$46</definedName>
    <definedName name="BR6_Gr" localSheetId="42">[33]BR6!$F$7:$F$46</definedName>
    <definedName name="BR6_Gr" localSheetId="35">[33]BR6!$F$7:$F$46</definedName>
    <definedName name="BR6_Gr" localSheetId="44">[33]BR6!$F$7:$F$46</definedName>
    <definedName name="BR6_Gr" localSheetId="41">[34]BR6!$F$7:$F$46</definedName>
    <definedName name="BR6_Gr" localSheetId="32">[33]BR6!$F$7:$F$46</definedName>
    <definedName name="BR6_Gr">[35]BR6!$F$7:$F$46</definedName>
    <definedName name="BR6_Gross">[31]BR6!$F$47</definedName>
    <definedName name="BR6_Month">[31]BR6!$C$3</definedName>
    <definedName name="BR6_Net">[31]BR6!$H$7:$H$46</definedName>
    <definedName name="BR6_VAT">[31]BR6!$G$47</definedName>
    <definedName name="BR7_An">[31]BR7!$I$7:$I$46</definedName>
    <definedName name="BR7_Clrd" localSheetId="42">[33]BR7!$E$7:$E$46</definedName>
    <definedName name="BR7_Clrd" localSheetId="35">[33]BR7!$E$7:$E$46</definedName>
    <definedName name="BR7_Clrd" localSheetId="44">[33]BR7!$E$7:$E$46</definedName>
    <definedName name="BR7_Clrd" localSheetId="41">[34]BR7!$E$7:$E$46</definedName>
    <definedName name="BR7_Clrd" localSheetId="32">[33]BR7!$E$7:$E$46</definedName>
    <definedName name="BR7_Clrd">[35]BR7!$E$7:$E$46</definedName>
    <definedName name="BR7_Gr" localSheetId="42">[33]BR7!$F$7:$F$46</definedName>
    <definedName name="BR7_Gr" localSheetId="35">[33]BR7!$F$7:$F$46</definedName>
    <definedName name="BR7_Gr" localSheetId="44">[33]BR7!$F$7:$F$46</definedName>
    <definedName name="BR7_Gr" localSheetId="41">[34]BR7!$F$7:$F$46</definedName>
    <definedName name="BR7_Gr" localSheetId="32">[33]BR7!$F$7:$F$46</definedName>
    <definedName name="BR7_Gr">[35]BR7!$F$7:$F$46</definedName>
    <definedName name="BR7_Gross">[31]BR7!$F$47</definedName>
    <definedName name="BR7_Month">[31]BR7!$C$3</definedName>
    <definedName name="BR7_Net">[31]BR7!$H$7:$H$46</definedName>
    <definedName name="BR7_VAT">[31]BR7!$G$47</definedName>
    <definedName name="BR8_An">[31]BR8!$I$7:$I$46</definedName>
    <definedName name="BR8_Clrd" localSheetId="42">[33]BR8!$E$7:$E$46</definedName>
    <definedName name="BR8_Clrd" localSheetId="35">[33]BR8!$E$7:$E$46</definedName>
    <definedName name="BR8_Clrd" localSheetId="44">[33]BR8!$E$7:$E$46</definedName>
    <definedName name="BR8_Clrd" localSheetId="41">[34]BR8!$E$7:$E$46</definedName>
    <definedName name="BR8_Clrd" localSheetId="32">[33]BR8!$E$7:$E$46</definedName>
    <definedName name="BR8_Clrd">[35]BR8!$E$7:$E$46</definedName>
    <definedName name="BR8_Gr" localSheetId="42">[33]BR8!$F$7:$F$46</definedName>
    <definedName name="BR8_Gr" localSheetId="35">[33]BR8!$F$7:$F$46</definedName>
    <definedName name="BR8_Gr" localSheetId="44">[33]BR8!$F$7:$F$46</definedName>
    <definedName name="BR8_Gr" localSheetId="41">[34]BR8!$F$7:$F$46</definedName>
    <definedName name="BR8_Gr" localSheetId="32">[33]BR8!$F$7:$F$46</definedName>
    <definedName name="BR8_Gr">[35]BR8!$F$7:$F$46</definedName>
    <definedName name="BR8_Gross">[31]BR8!$F$47</definedName>
    <definedName name="BR8_Month">[31]BR8!$C$3</definedName>
    <definedName name="BR8_Net">[31]BR8!$H$7:$H$46</definedName>
    <definedName name="BR8_VAT">[31]BR8!$G$47</definedName>
    <definedName name="BR9_An">[31]BR9!$I$7:$I$46</definedName>
    <definedName name="BR9_Clrd" localSheetId="42">[33]BR9!$E$7:$E$46</definedName>
    <definedName name="BR9_Clrd" localSheetId="35">[33]BR9!$E$7:$E$46</definedName>
    <definedName name="BR9_Clrd" localSheetId="44">[33]BR9!$E$7:$E$46</definedName>
    <definedName name="BR9_Clrd" localSheetId="41">[34]BR9!$E$7:$E$46</definedName>
    <definedName name="BR9_Clrd" localSheetId="32">[33]BR9!$E$7:$E$46</definedName>
    <definedName name="BR9_Clrd">[35]BR9!$E$7:$E$46</definedName>
    <definedName name="BR9_Gr" localSheetId="42">[33]BR9!$F$7:$F$46</definedName>
    <definedName name="BR9_Gr" localSheetId="35">[33]BR9!$F$7:$F$46</definedName>
    <definedName name="BR9_Gr" localSheetId="44">[33]BR9!$F$7:$F$46</definedName>
    <definedName name="BR9_Gr" localSheetId="41">[34]BR9!$F$7:$F$46</definedName>
    <definedName name="BR9_Gr" localSheetId="32">[33]BR9!$F$7:$F$46</definedName>
    <definedName name="BR9_Gr">[35]BR9!$F$7:$F$46</definedName>
    <definedName name="BR9_Gross">[31]BR9!$F$47</definedName>
    <definedName name="BR9_Month">[31]BR9!$C$3</definedName>
    <definedName name="BR9_Net">[31]BR9!$H$7:$H$46</definedName>
    <definedName name="BR9_VAT">[31]BR9!$G$47</definedName>
    <definedName name="BSDateLF">[25]Masters!$C$27</definedName>
    <definedName name="BSDateSF">[24]Masters!$C$28</definedName>
    <definedName name="BSSignDate">[25]Masters!$C$35</definedName>
    <definedName name="BU">'[36]Report Setup Sheet'!$B$50</definedName>
    <definedName name="BUDGET" localSheetId="13">#REF!</definedName>
    <definedName name="BUDGET" localSheetId="19">#REF!</definedName>
    <definedName name="BUDGET" localSheetId="17">#REF!</definedName>
    <definedName name="BUDGET">#REF!</definedName>
    <definedName name="CA">[25]Masters!$C$19</definedName>
    <definedName name="cash_bank_bal_99" localSheetId="13">#REF!</definedName>
    <definedName name="cash_bank_bal_99" localSheetId="19">#REF!</definedName>
    <definedName name="cash_bank_bal_99" localSheetId="17">#REF!</definedName>
    <definedName name="cash_bank_bal_99">#REF!</definedName>
    <definedName name="cbi_facility_99" localSheetId="13">#REF!</definedName>
    <definedName name="cbi_facility_99" localSheetId="19">#REF!</definedName>
    <definedName name="cbi_facility_99" localSheetId="17">#REF!</definedName>
    <definedName name="cbi_facility_99">#REF!</definedName>
    <definedName name="cbs">[1]combined!$B$2:$H$82</definedName>
    <definedName name="cc" localSheetId="13" hidden="1">{#N/A,#N/A,TRUE,"Sheet1"}</definedName>
    <definedName name="cc" localSheetId="19" hidden="1">{#N/A,#N/A,TRUE,"Sheet1"}</definedName>
    <definedName name="cc" localSheetId="41" hidden="1">{#N/A,#N/A,TRUE,"Sheet1"}</definedName>
    <definedName name="cc" localSheetId="4" hidden="1">{#N/A,#N/A,TRUE,"Sheet1"}</definedName>
    <definedName name="cc" localSheetId="17" hidden="1">{#N/A,#N/A,TRUE,"Sheet1"}</definedName>
    <definedName name="cc" hidden="1">{#N/A,#N/A,TRUE,"Sheet1"}</definedName>
    <definedName name="CCC" localSheetId="42">#REF!</definedName>
    <definedName name="CCC" localSheetId="35">#REF!</definedName>
    <definedName name="CCC" localSheetId="44">#REF!</definedName>
    <definedName name="CCC" localSheetId="19">#REF!</definedName>
    <definedName name="CCC" localSheetId="41">#REF!</definedName>
    <definedName name="CCC" localSheetId="17">#REF!</definedName>
    <definedName name="CCC" localSheetId="32">#REF!</definedName>
    <definedName name="CCC">#REF!</definedName>
    <definedName name="CCSA" localSheetId="42">[37]Volumes!#REF!</definedName>
    <definedName name="CCSA" localSheetId="35">[37]Volumes!#REF!</definedName>
    <definedName name="CCSA" localSheetId="44">[37]Volumes!#REF!</definedName>
    <definedName name="CCSA" localSheetId="19">[37]Volumes!#REF!</definedName>
    <definedName name="CCSA" localSheetId="41">[37]Volumes!#REF!</definedName>
    <definedName name="CCSA" localSheetId="17">[37]Volumes!#REF!</definedName>
    <definedName name="CCSA" localSheetId="32">[37]Volumes!#REF!</definedName>
    <definedName name="CCSA">[37]Volumes!#REF!</definedName>
    <definedName name="challan" localSheetId="42">#REF!</definedName>
    <definedName name="challan" localSheetId="35">#REF!</definedName>
    <definedName name="challan" localSheetId="44">#REF!</definedName>
    <definedName name="challan" localSheetId="19">#REF!</definedName>
    <definedName name="challan" localSheetId="41">#REF!</definedName>
    <definedName name="challan" localSheetId="17">#REF!</definedName>
    <definedName name="challan" localSheetId="32">#REF!</definedName>
    <definedName name="challan">#REF!</definedName>
    <definedName name="ChallanDatabase" localSheetId="19">[38]Challan!$A$7:$S$58</definedName>
    <definedName name="ChallanDatabase">[39]Challan!$A$7:$S$15</definedName>
    <definedName name="ChallanDatabaseTotal" localSheetId="42">[20]Challan!$A$7:$U$23</definedName>
    <definedName name="ChallanDatabaseTotal" localSheetId="35">[20]Challan!$A$7:$U$23</definedName>
    <definedName name="ChallanDatabaseTotal" localSheetId="44">[20]Challan!$A$7:$U$23</definedName>
    <definedName name="ChallanDatabaseTotal" localSheetId="41">[21]Challan!$A$7:$U$23</definedName>
    <definedName name="ChallanDatabaseTotal" localSheetId="32">[20]Challan!$A$7:$U$23</definedName>
    <definedName name="ChallanDatabaseTotal">[22]Challan!$A$7:$U$23</definedName>
    <definedName name="ChallanSrnoList" localSheetId="42">[20]Challan!$A$7:$A$22</definedName>
    <definedName name="ChallanSrnoList" localSheetId="35">[20]Challan!$A$7:$A$22</definedName>
    <definedName name="ChallanSrnoList" localSheetId="44">[20]Challan!$A$7:$A$22</definedName>
    <definedName name="ChallanSrnoList" localSheetId="41">[21]Challan!$A$7:$A$22</definedName>
    <definedName name="ChallanSrnoList" localSheetId="32">[20]Challan!$A$7:$A$22</definedName>
    <definedName name="ChallanSrnoList">[22]Challan!$A$7:$A$22</definedName>
    <definedName name="checkpoints" localSheetId="42">#REF!</definedName>
    <definedName name="checkpoints" localSheetId="35">#REF!</definedName>
    <definedName name="checkpoints" localSheetId="44">#REF!</definedName>
    <definedName name="checkpoints" localSheetId="19">#REF!</definedName>
    <definedName name="checkpoints" localSheetId="41">#REF!</definedName>
    <definedName name="checkpoints" localSheetId="17">#REF!</definedName>
    <definedName name="checkpoints" localSheetId="32">#REF!</definedName>
    <definedName name="checkpoints">#REF!</definedName>
    <definedName name="CHINA_PLASTIC_in_KUSD" localSheetId="17">#REF!</definedName>
    <definedName name="CHINA_PLASTIC_in_KUSD">#REF!</definedName>
    <definedName name="cl_stk_rough_99" localSheetId="17">#REF!</definedName>
    <definedName name="cl_stk_rough_99">#REF!</definedName>
    <definedName name="CoAdd">[24]Masters!$C$4</definedName>
    <definedName name="CoAddCont">[25]Masters!$C$5</definedName>
    <definedName name="COI" localSheetId="42">#REF!</definedName>
    <definedName name="COI" localSheetId="35">#REF!</definedName>
    <definedName name="COI" localSheetId="44">#REF!</definedName>
    <definedName name="COI" localSheetId="19">#REF!</definedName>
    <definedName name="COI" localSheetId="41">#REF!</definedName>
    <definedName name="COI" localSheetId="17">#REF!</definedName>
    <definedName name="COI" localSheetId="32">#REF!</definedName>
    <definedName name="COI">#REF!</definedName>
    <definedName name="COMMTDS" localSheetId="42">#REF!</definedName>
    <definedName name="COMMTDS" localSheetId="35">#REF!</definedName>
    <definedName name="COMMTDS" localSheetId="44">#REF!</definedName>
    <definedName name="COMMTDS" localSheetId="19">#REF!</definedName>
    <definedName name="COMMTDS" localSheetId="41">#REF!</definedName>
    <definedName name="COMMTDS" localSheetId="17">#REF!</definedName>
    <definedName name="COMMTDS" localSheetId="32">#REF!</definedName>
    <definedName name="COMMTDS">#REF!</definedName>
    <definedName name="COMP" localSheetId="42">#REF!</definedName>
    <definedName name="COMP" localSheetId="35">#REF!</definedName>
    <definedName name="COMP" localSheetId="44">#REF!</definedName>
    <definedName name="COMP" localSheetId="19">#REF!</definedName>
    <definedName name="COMP" localSheetId="41">#REF!</definedName>
    <definedName name="COMP" localSheetId="17">#REF!</definedName>
    <definedName name="COMP" localSheetId="32">#REF!</definedName>
    <definedName name="COMP">#REF!</definedName>
    <definedName name="CompanyName">'[31]Company information'!$D$5</definedName>
    <definedName name="Comparative_Period" localSheetId="42" hidden="1">[28]Settings!$C$58</definedName>
    <definedName name="Comparative_Period" localSheetId="35" hidden="1">[28]Settings!$C$58</definedName>
    <definedName name="Comparative_Period" localSheetId="44" hidden="1">[28]Settings!$C$58</definedName>
    <definedName name="Comparative_Period" localSheetId="41" hidden="1">[29]Settings!$C$58</definedName>
    <definedName name="Comparative_Period" localSheetId="32" hidden="1">[28]Settings!$C$58</definedName>
    <definedName name="Comparative_Period" hidden="1">[30]Settings!$C$58</definedName>
    <definedName name="COMPDATE">#N/A</definedName>
    <definedName name="Computer" localSheetId="42">#REF!</definedName>
    <definedName name="Computer" localSheetId="35">#REF!</definedName>
    <definedName name="Computer" localSheetId="44">#REF!</definedName>
    <definedName name="Computer" localSheetId="19">#REF!</definedName>
    <definedName name="Computer" localSheetId="41">#REF!</definedName>
    <definedName name="Computer" localSheetId="17">#REF!</definedName>
    <definedName name="Computer" localSheetId="32">#REF!</definedName>
    <definedName name="Computer">#REF!</definedName>
    <definedName name="CoName">[24]Masters!$C$3</definedName>
    <definedName name="conersion" localSheetId="13">#N/A</definedName>
    <definedName name="conersion" localSheetId="42">IF('Advance to Supplier'!Loan_Amount*'Advance to Supplier'!Interest_Rate*'Advance to Supplier'!Loan_Years*'Advance to Supplier'!Loan_Start&gt;0,1,0)</definedName>
    <definedName name="conersion" localSheetId="35">IF('Debtor''s Ageing'!Loan_Amount*'Debtor''s Ageing'!Interest_Rate*'Debtor''s Ageing'!Loan_Years*'Debtor''s Ageing'!Loan_Start&gt;0,1,0)</definedName>
    <definedName name="conersion" localSheetId="44">IF('Debtor''s Ageing31.03.24'!Loan_Amount*'Debtor''s Ageing31.03.24'!Interest_Rate*'Debtor''s Ageing31.03.24'!Loan_Years*'Debtor''s Ageing31.03.24'!Loan_Start&gt;0,1,0)</definedName>
    <definedName name="conersion" localSheetId="19">#N/A</definedName>
    <definedName name="conersion" localSheetId="41">IF('Loans to staff'!Loan_Amount*'Loans to staff'!Interest_Rate*'Loans to staff'!Loan_Years*'Loans to staff'!Loan_Start&gt;0,1,0)</definedName>
    <definedName name="conersion" localSheetId="32">IF('Related Parties'!Loan_Amount*'Related Parties'!Interest_Rate*'Related Parties'!Loan_Years*'Related Parties'!Loan_Start&gt;0,1,0)</definedName>
    <definedName name="conersion">#N/A</definedName>
    <definedName name="Consolidation" localSheetId="13">#REF!</definedName>
    <definedName name="Consolidation" localSheetId="19">#REF!</definedName>
    <definedName name="Consolidation" localSheetId="17">#REF!</definedName>
    <definedName name="Consolidation">#REF!</definedName>
    <definedName name="contractor" localSheetId="42">#REF!</definedName>
    <definedName name="contractor" localSheetId="35">#REF!</definedName>
    <definedName name="contractor" localSheetId="44">#REF!</definedName>
    <definedName name="contractor" localSheetId="19">#REF!</definedName>
    <definedName name="contractor" localSheetId="41">#REF!</definedName>
    <definedName name="contractor" localSheetId="17">#REF!</definedName>
    <definedName name="contractor" localSheetId="32">#REF!</definedName>
    <definedName name="contractor">#REF!</definedName>
    <definedName name="contractors" localSheetId="42">#REF!</definedName>
    <definedName name="contractors" localSheetId="35">#REF!</definedName>
    <definedName name="contractors" localSheetId="44">#REF!</definedName>
    <definedName name="contractors" localSheetId="19">#REF!</definedName>
    <definedName name="contractors" localSheetId="41">#REF!</definedName>
    <definedName name="contractors" localSheetId="17">#REF!</definedName>
    <definedName name="contractors" localSheetId="32">#REF!</definedName>
    <definedName name="contractors">#REF!</definedName>
    <definedName name="conv" localSheetId="13">#N/A</definedName>
    <definedName name="conv" localSheetId="42">IF('Advance to Supplier'!Loan_Amount*'Advance to Supplier'!Interest_Rate*'Advance to Supplier'!Loan_Years*'Advance to Supplier'!Loan_Start&gt;0,1,0)</definedName>
    <definedName name="conv" localSheetId="35">IF('Debtor''s Ageing'!Loan_Amount*'Debtor''s Ageing'!Interest_Rate*'Debtor''s Ageing'!Loan_Years*'Debtor''s Ageing'!Loan_Start&gt;0,1,0)</definedName>
    <definedName name="conv" localSheetId="44">IF('Debtor''s Ageing31.03.24'!Loan_Amount*'Debtor''s Ageing31.03.24'!Interest_Rate*'Debtor''s Ageing31.03.24'!Loan_Years*'Debtor''s Ageing31.03.24'!Loan_Start&gt;0,1,0)</definedName>
    <definedName name="conv" localSheetId="19">#N/A</definedName>
    <definedName name="conv" localSheetId="41">IF('Loans to staff'!Loan_Amount*'Loans to staff'!Interest_Rate*'Loans to staff'!Loan_Years*'Loans to staff'!Loan_Start&gt;0,1,0)</definedName>
    <definedName name="conv" localSheetId="32">IF('Related Parties'!Loan_Amount*'Related Parties'!Interest_Rate*'Related Parties'!Loan_Years*'Related Parties'!Loan_Start&gt;0,1,0)</definedName>
    <definedName name="conv">#N/A</definedName>
    <definedName name="COST" localSheetId="13">#REF!</definedName>
    <definedName name="COST" localSheetId="19">#REF!</definedName>
    <definedName name="COST" localSheetId="17">#REF!</definedName>
    <definedName name="COST">#REF!</definedName>
    <definedName name="cost_calcn" localSheetId="19">#REF!</definedName>
    <definedName name="cost_calcn" localSheetId="17">#REF!</definedName>
    <definedName name="cost_calcn">#REF!</definedName>
    <definedName name="CoStatus">[24]Masters!$C$7</definedName>
    <definedName name="cpandl">[1]combined!$B$87:$N$153</definedName>
    <definedName name="Creditors_99" localSheetId="13">#REF!</definedName>
    <definedName name="Creditors_99" localSheetId="4">#REF!</definedName>
    <definedName name="Creditors_99" localSheetId="17">#REF!</definedName>
    <definedName name="Creditors_99">#REF!</definedName>
    <definedName name="Creditors_labour_99" localSheetId="13">#REF!</definedName>
    <definedName name="Creditors_labour_99" localSheetId="4">#REF!</definedName>
    <definedName name="Creditors_labour_99" localSheetId="17">#REF!</definedName>
    <definedName name="Creditors_labour_99">#REF!</definedName>
    <definedName name="CSA" localSheetId="42">[37]Volumes!#REF!</definedName>
    <definedName name="CSA" localSheetId="35">[37]Volumes!#REF!</definedName>
    <definedName name="CSA" localSheetId="44">[37]Volumes!#REF!</definedName>
    <definedName name="CSA" localSheetId="19">[37]Volumes!#REF!</definedName>
    <definedName name="CSA" localSheetId="41">[37]Volumes!#REF!</definedName>
    <definedName name="CSA" localSheetId="17">[37]Volumes!#REF!</definedName>
    <definedName name="CSA" localSheetId="32">[37]Volumes!#REF!</definedName>
    <definedName name="CSA">[37]Volumes!#REF!</definedName>
    <definedName name="CURRDATE">#N/A</definedName>
    <definedName name="CURRDAY">#N/A</definedName>
    <definedName name="Current_Period" localSheetId="42" hidden="1">[28]Settings!$C$57</definedName>
    <definedName name="Current_Period" localSheetId="35" hidden="1">[28]Settings!$C$57</definedName>
    <definedName name="Current_Period" localSheetId="44" hidden="1">[28]Settings!$C$57</definedName>
    <definedName name="Current_Period" localSheetId="41" hidden="1">[29]Settings!$C$57</definedName>
    <definedName name="Current_Period" localSheetId="32" hidden="1">[28]Settings!$C$57</definedName>
    <definedName name="Current_Period" hidden="1">[30]Settings!$C$57</definedName>
    <definedName name="CURRSHORT">#N/A</definedName>
    <definedName name="curru">[40]Calc!$H$173</definedName>
    <definedName name="d" localSheetId="42">#REF!</definedName>
    <definedName name="d" localSheetId="35">#REF!</definedName>
    <definedName name="d" localSheetId="44">#REF!</definedName>
    <definedName name="d" localSheetId="19">#REF!</definedName>
    <definedName name="d" localSheetId="41">#REF!</definedName>
    <definedName name="d" localSheetId="17">#REF!</definedName>
    <definedName name="d" localSheetId="32">#REF!</definedName>
    <definedName name="d">#REF!</definedName>
    <definedName name="DATA1" localSheetId="17">#REF!</definedName>
    <definedName name="DATA1">#REF!</definedName>
    <definedName name="DATA2" localSheetId="17">#REF!</definedName>
    <definedName name="DATA2">#REF!</definedName>
    <definedName name="DATA3" localSheetId="17">#REF!</definedName>
    <definedName name="DATA3">#REF!</definedName>
    <definedName name="DATA4" localSheetId="17">#REF!</definedName>
    <definedName name="DATA4">#REF!</definedName>
    <definedName name="DATA5" localSheetId="17">#REF!</definedName>
    <definedName name="DATA5">#REF!</definedName>
    <definedName name="DATA6" localSheetId="17">#REF!</definedName>
    <definedName name="DATA6">#REF!</definedName>
    <definedName name="DATA7" localSheetId="17">#REF!</definedName>
    <definedName name="DATA7">#REF!</definedName>
    <definedName name="DATA8" localSheetId="17">#REF!</definedName>
    <definedName name="DATA8">#REF!</definedName>
    <definedName name="DATA9" localSheetId="17">#REF!</definedName>
    <definedName name="DATA9">#REF!</definedName>
    <definedName name="_xlnm.Database" localSheetId="17">#REF!</definedName>
    <definedName name="_xlnm.Database">#REF!</definedName>
    <definedName name="dd"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4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4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19" hidden="1">{#N/A,#N/A,TRUE,"Sheet1"}</definedName>
    <definedName name="dd"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BT" localSheetId="42">#REF!</definedName>
    <definedName name="DEBT" localSheetId="35">#REF!</definedName>
    <definedName name="DEBT" localSheetId="44">#REF!</definedName>
    <definedName name="DEBT" localSheetId="19">#REF!</definedName>
    <definedName name="DEBT" localSheetId="41">#REF!</definedName>
    <definedName name="DEBT" localSheetId="17">#REF!</definedName>
    <definedName name="DEBT" localSheetId="32">#REF!</definedName>
    <definedName name="DEBT">#REF!</definedName>
    <definedName name="DEBTOR" localSheetId="42">#REF!</definedName>
    <definedName name="DEBTOR" localSheetId="35">#REF!</definedName>
    <definedName name="DEBTOR" localSheetId="44">#REF!</definedName>
    <definedName name="DEBTOR" localSheetId="19">#REF!</definedName>
    <definedName name="DEBTOR" localSheetId="41">#REF!</definedName>
    <definedName name="DEBTOR" localSheetId="17">#REF!</definedName>
    <definedName name="DEBTOR" localSheetId="32">#REF!</definedName>
    <definedName name="DEBTOR">#REF!</definedName>
    <definedName name="DECO" localSheetId="42">#REF!</definedName>
    <definedName name="DECO" localSheetId="35">#REF!</definedName>
    <definedName name="DECO" localSheetId="44">#REF!</definedName>
    <definedName name="DECO" localSheetId="19">#REF!</definedName>
    <definedName name="DECO" localSheetId="41">#REF!</definedName>
    <definedName name="DECO" localSheetId="17">#REF!</definedName>
    <definedName name="DECO" localSheetId="32">#REF!</definedName>
    <definedName name="DECO">#REF!</definedName>
    <definedName name="deep">'[41]TB APJ'!$B$85</definedName>
    <definedName name="Dep" localSheetId="1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1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4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17"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42">#REF!</definedName>
    <definedName name="DEP." localSheetId="35">#REF!</definedName>
    <definedName name="DEP." localSheetId="44">#REF!</definedName>
    <definedName name="DEP." localSheetId="19">#REF!</definedName>
    <definedName name="DEP." localSheetId="41">#REF!</definedName>
    <definedName name="DEP." localSheetId="17">#REF!</definedName>
    <definedName name="DEP." localSheetId="32">#REF!</definedName>
    <definedName name="DEP.">#REF!</definedName>
    <definedName name="DEP_CAL2" localSheetId="42">[10]depreciation!#REF!</definedName>
    <definedName name="DEP_CAL2" localSheetId="35">[10]depreciation!#REF!</definedName>
    <definedName name="DEP_CAL2" localSheetId="44">[10]depreciation!#REF!</definedName>
    <definedName name="DEP_CAL2" localSheetId="19">[10]depreciation!#REF!</definedName>
    <definedName name="DEP_CAL2" localSheetId="41">[10]depreciation!#REF!</definedName>
    <definedName name="DEP_CAL2" localSheetId="17">[10]depreciation!#REF!</definedName>
    <definedName name="DEP_CAL2" localSheetId="32">[10]depreciation!#REF!</definedName>
    <definedName name="DEP_CAL2">[10]depreciation!#REF!</definedName>
    <definedName name="DEP_WORK1" localSheetId="42">#REF!</definedName>
    <definedName name="DEP_WORK1" localSheetId="35">#REF!</definedName>
    <definedName name="DEP_WORK1" localSheetId="44">#REF!</definedName>
    <definedName name="DEP_WORK1" localSheetId="19">#REF!</definedName>
    <definedName name="DEP_WORK1" localSheetId="41">#REF!</definedName>
    <definedName name="DEP_WORK1" localSheetId="17">#REF!</definedName>
    <definedName name="DEP_WORK1" localSheetId="32">#REF!</definedName>
    <definedName name="DEP_WORK1">#REF!</definedName>
    <definedName name="DEPRECIATION" localSheetId="17">#REF!</definedName>
    <definedName name="DEPRECIATION">#REF!</definedName>
    <definedName name="designation" localSheetId="42">#REF!</definedName>
    <definedName name="designation" localSheetId="35">#REF!</definedName>
    <definedName name="designation" localSheetId="44">#REF!</definedName>
    <definedName name="designation" localSheetId="19">#REF!</definedName>
    <definedName name="designation" localSheetId="41">#REF!</definedName>
    <definedName name="designation" localSheetId="17">#REF!</definedName>
    <definedName name="designation" localSheetId="32">#REF!</definedName>
    <definedName name="designation">#REF!</definedName>
    <definedName name="DeTotal" localSheetId="42">#REF!</definedName>
    <definedName name="DeTotal" localSheetId="35">#REF!</definedName>
    <definedName name="DeTotal" localSheetId="44">#REF!</definedName>
    <definedName name="DeTotal" localSheetId="19">#REF!</definedName>
    <definedName name="DeTotal" localSheetId="41">#REF!</definedName>
    <definedName name="DeTotal" localSheetId="17">#REF!</definedName>
    <definedName name="DeTotal" localSheetId="32">#REF!</definedName>
    <definedName name="DeTotal">#REF!</definedName>
    <definedName name="dfqewrewewqq" localSheetId="17">#REF!</definedName>
    <definedName name="dfqewrewewqq">#REF!</definedName>
    <definedName name="dfsa" localSheetId="17">#REF!</definedName>
    <definedName name="dfsa">#REF!</definedName>
    <definedName name="disbI">'[42]43b'!$H$28</definedName>
    <definedName name="disbII">'[42]43b'!$H$33</definedName>
    <definedName name="DK" localSheetId="42">IF([43]!Loan_Amount*[43]!Interest_Rate*[43]!Loan_Years*[43]!Loan_Start&gt;0,1,0)</definedName>
    <definedName name="DK" localSheetId="35">IF([43]!Loan_Amount*[43]!Interest_Rate*[43]!Loan_Years*[43]!Loan_Start&gt;0,1,0)</definedName>
    <definedName name="DK" localSheetId="44">IF([43]!Loan_Amount*[43]!Interest_Rate*[43]!Loan_Years*[43]!Loan_Start&gt;0,1,0)</definedName>
    <definedName name="DK" localSheetId="41">IF([44]!Loan_Amount*[44]!Interest_Rate*[44]!Loan_Years*[44]!Loan_Start&gt;0,1,0)</definedName>
    <definedName name="DK" localSheetId="32">IF([43]!Loan_Amount*[43]!Interest_Rate*[43]!Loan_Years*[43]!Loan_Start&gt;0,1,0)</definedName>
    <definedName name="DK">IF([45]!Loan_Amount*[45]!Interest_Rate*[45]!Loan_Years*[45]!Loan_Start&gt;0,1,0)</definedName>
    <definedName name="DM" localSheetId="42">#REF!</definedName>
    <definedName name="DM" localSheetId="35">#REF!</definedName>
    <definedName name="DM" localSheetId="44">#REF!</definedName>
    <definedName name="DM" localSheetId="19">#REF!</definedName>
    <definedName name="DM" localSheetId="41">#REF!</definedName>
    <definedName name="DM" localSheetId="17">#REF!</definedName>
    <definedName name="DM" localSheetId="32">#REF!</definedName>
    <definedName name="DM">#REF!</definedName>
    <definedName name="ds" localSheetId="17">#REF!</definedName>
    <definedName name="ds">#REF!</definedName>
    <definedName name="DSCR" localSheetId="42">#REF!</definedName>
    <definedName name="DSCR" localSheetId="35">#REF!</definedName>
    <definedName name="DSCR" localSheetId="44">#REF!</definedName>
    <definedName name="DSCR" localSheetId="19">#REF!</definedName>
    <definedName name="DSCR" localSheetId="41">#REF!</definedName>
    <definedName name="DSCR" localSheetId="17">#REF!</definedName>
    <definedName name="DSCR" localSheetId="32">#REF!</definedName>
    <definedName name="DSCR">#REF!</definedName>
    <definedName name="DSCR_4" localSheetId="42">#REF!</definedName>
    <definedName name="DSCR_4" localSheetId="35">#REF!</definedName>
    <definedName name="DSCR_4" localSheetId="44">#REF!</definedName>
    <definedName name="DSCR_4" localSheetId="19">#REF!</definedName>
    <definedName name="DSCR_4" localSheetId="41">#REF!</definedName>
    <definedName name="DSCR_4" localSheetId="17">#REF!</definedName>
    <definedName name="DSCR_4" localSheetId="32">#REF!</definedName>
    <definedName name="DSCR_4">#REF!</definedName>
    <definedName name="DSCR_5" localSheetId="42">#REF!</definedName>
    <definedName name="DSCR_5" localSheetId="35">#REF!</definedName>
    <definedName name="DSCR_5" localSheetId="44">#REF!</definedName>
    <definedName name="DSCR_5" localSheetId="19">#REF!</definedName>
    <definedName name="DSCR_5" localSheetId="41">#REF!</definedName>
    <definedName name="DSCR_5" localSheetId="17">#REF!</definedName>
    <definedName name="DSCR_5" localSheetId="32">#REF!</definedName>
    <definedName name="DSCR_5">#REF!</definedName>
    <definedName name="DSCR_6" localSheetId="42">#REF!</definedName>
    <definedName name="DSCR_6" localSheetId="35">#REF!</definedName>
    <definedName name="DSCR_6" localSheetId="44">#REF!</definedName>
    <definedName name="DSCR_6" localSheetId="19">#REF!</definedName>
    <definedName name="DSCR_6" localSheetId="41">#REF!</definedName>
    <definedName name="DSCR_6" localSheetId="17">#REF!</definedName>
    <definedName name="DSCR_6" localSheetId="32">#REF!</definedName>
    <definedName name="DSCR_6">#REF!</definedName>
    <definedName name="DSCR_7" localSheetId="42">#REF!</definedName>
    <definedName name="DSCR_7" localSheetId="35">#REF!</definedName>
    <definedName name="DSCR_7" localSheetId="44">#REF!</definedName>
    <definedName name="DSCR_7" localSheetId="19">#REF!</definedName>
    <definedName name="DSCR_7" localSheetId="41">#REF!</definedName>
    <definedName name="DSCR_7" localSheetId="17">#REF!</definedName>
    <definedName name="DSCR_7" localSheetId="32">#REF!</definedName>
    <definedName name="DSCR_7">#REF!</definedName>
    <definedName name="DSCR_8" localSheetId="42">#REF!</definedName>
    <definedName name="DSCR_8" localSheetId="35">#REF!</definedName>
    <definedName name="DSCR_8" localSheetId="44">#REF!</definedName>
    <definedName name="DSCR_8" localSheetId="19">#REF!</definedName>
    <definedName name="DSCR_8" localSheetId="41">#REF!</definedName>
    <definedName name="DSCR_8" localSheetId="17">#REF!</definedName>
    <definedName name="DSCR_8" localSheetId="32">#REF!</definedName>
    <definedName name="DSCR_8">#REF!</definedName>
    <definedName name="dsfa" localSheetId="17">'[17]TB WORLI'!#REF!</definedName>
    <definedName name="dsfa">'[17]TB WORLI'!#REF!</definedName>
    <definedName name="E">'[2]BS 590'!$C$447:$F$452</definedName>
    <definedName name="E00250_">'[18]TB APJ'!$B$67</definedName>
    <definedName name="E00251_">'[18]TB APJ'!$B$68</definedName>
    <definedName name="E00252_">[19]tb!$B$169</definedName>
    <definedName name="E00257_">'[18]TB APJ'!$B$69</definedName>
    <definedName name="E00258_">'[18]TB APJ'!$B$70</definedName>
    <definedName name="E00265_">'[18]TB APJ'!$B$71</definedName>
    <definedName name="E00266_">'[18]TB APJ'!$B$72</definedName>
    <definedName name="E00268_" localSheetId="13">'[18]TB APJ'!#REF!</definedName>
    <definedName name="E00268_" localSheetId="4">'[18]TB APJ'!#REF!</definedName>
    <definedName name="E00268_" localSheetId="17">'[18]TB APJ'!#REF!</definedName>
    <definedName name="E00268_">'[18]TB APJ'!#REF!</definedName>
    <definedName name="E00270_" localSheetId="13">'[18]TB APJ'!#REF!</definedName>
    <definedName name="E00270_" localSheetId="4">'[18]TB APJ'!#REF!</definedName>
    <definedName name="E00270_" localSheetId="17">'[18]TB APJ'!#REF!</definedName>
    <definedName name="E00270_">'[18]TB APJ'!#REF!</definedName>
    <definedName name="E00271_" localSheetId="13">'[17]TB APJ'!#REF!</definedName>
    <definedName name="E00271_" localSheetId="4">'[17]TB APJ'!#REF!</definedName>
    <definedName name="E00271_" localSheetId="17">'[17]TB APJ'!#REF!</definedName>
    <definedName name="E00271_">'[17]TB APJ'!#REF!</definedName>
    <definedName name="E00277_">'[18]TB APJ'!$B$73</definedName>
    <definedName name="E00280_">[46]trialbal!$B$145</definedName>
    <definedName name="E00284_" localSheetId="13">'[18]TB APJ'!#REF!</definedName>
    <definedName name="E00284_" localSheetId="4">'[18]TB APJ'!#REF!</definedName>
    <definedName name="E00284_" localSheetId="17">'[18]TB APJ'!#REF!</definedName>
    <definedName name="E00284_">'[18]TB APJ'!#REF!</definedName>
    <definedName name="E00285_" localSheetId="13">'[18]TB APJ'!#REF!</definedName>
    <definedName name="E00285_" localSheetId="4">'[18]TB APJ'!#REF!</definedName>
    <definedName name="E00285_" localSheetId="17">'[18]TB APJ'!#REF!</definedName>
    <definedName name="E00285_">'[18]TB APJ'!#REF!</definedName>
    <definedName name="E00289_">'[18]TB APJ'!$B$74</definedName>
    <definedName name="E00290_">'[18]TB APJ'!$B$75</definedName>
    <definedName name="E00292_" localSheetId="13">'[18]TB APJ'!#REF!</definedName>
    <definedName name="E00292_" localSheetId="4">'[18]TB APJ'!#REF!</definedName>
    <definedName name="E00292_" localSheetId="17">'[18]TB APJ'!#REF!</definedName>
    <definedName name="E00292_">'[18]TB APJ'!#REF!</definedName>
    <definedName name="E00294_" localSheetId="13">'[18]TB APJ'!#REF!</definedName>
    <definedName name="E00294_" localSheetId="4">'[18]TB APJ'!#REF!</definedName>
    <definedName name="E00294_" localSheetId="17">'[18]TB APJ'!#REF!</definedName>
    <definedName name="E00294_">'[18]TB APJ'!#REF!</definedName>
    <definedName name="E00295_" localSheetId="13">'[18]TB APJ'!#REF!</definedName>
    <definedName name="E00295_" localSheetId="4">'[18]TB APJ'!#REF!</definedName>
    <definedName name="E00295_" localSheetId="17">'[18]TB APJ'!#REF!</definedName>
    <definedName name="E00295_">'[18]TB APJ'!#REF!</definedName>
    <definedName name="E00296_">'[18]TB APJ'!$B$76</definedName>
    <definedName name="E00297_">'[18]TB APJ'!$B$77</definedName>
    <definedName name="E00298_" localSheetId="13">'[18]TB APJ'!#REF!</definedName>
    <definedName name="E00298_" localSheetId="4">'[18]TB APJ'!#REF!</definedName>
    <definedName name="E00298_" localSheetId="17">'[18]TB APJ'!#REF!</definedName>
    <definedName name="E00298_">'[18]TB APJ'!#REF!</definedName>
    <definedName name="E00299_">'[18]TB APJ'!$B$78</definedName>
    <definedName name="E00300_">'[18]TB APJ'!$B$79</definedName>
    <definedName name="E00301_">'[18]TB APJ'!$B$80</definedName>
    <definedName name="E00302_" localSheetId="13">'[18]TB APJ'!#REF!</definedName>
    <definedName name="E00302_" localSheetId="4">'[18]TB APJ'!#REF!</definedName>
    <definedName name="E00302_" localSheetId="17">'[18]TB APJ'!#REF!</definedName>
    <definedName name="E00302_">'[18]TB APJ'!#REF!</definedName>
    <definedName name="E00303_" localSheetId="13">'[17]TB APJ'!#REF!</definedName>
    <definedName name="E00303_" localSheetId="4">'[17]TB APJ'!#REF!</definedName>
    <definedName name="E00303_" localSheetId="17">'[17]TB APJ'!#REF!</definedName>
    <definedName name="E00303_">'[17]TB APJ'!#REF!</definedName>
    <definedName name="E00305_" localSheetId="13">'[18]TB APJ'!#REF!</definedName>
    <definedName name="E00305_" localSheetId="4">'[18]TB APJ'!#REF!</definedName>
    <definedName name="E00305_" localSheetId="17">'[18]TB APJ'!#REF!</definedName>
    <definedName name="E00305_">'[18]TB APJ'!#REF!</definedName>
    <definedName name="E00308_">'[18]TB APJ'!$B$81</definedName>
    <definedName name="E00313_">'[18]TB APJ'!$B$83</definedName>
    <definedName name="E00316_">'[18]TB APJ'!$B$84</definedName>
    <definedName name="E00320_">'[18]TB APJ'!$B$85</definedName>
    <definedName name="E00321_">'[18]TB APJ'!$B$86</definedName>
    <definedName name="E00322_">'[18]TB APJ'!$B$87</definedName>
    <definedName name="E00323_">'[18]TB APJ'!$B$88</definedName>
    <definedName name="E00324_">'[18]TB APJ'!$B$89</definedName>
    <definedName name="E00325_">'[18]TB APJ'!$B$90</definedName>
    <definedName name="E00326_">'[18]TB APJ'!$B$91</definedName>
    <definedName name="E00327_">'[18]TB APJ'!$B$92</definedName>
    <definedName name="E00328_">'[18]TB APJ'!$B$93</definedName>
    <definedName name="E00329_">'[18]TB APJ'!$B$94</definedName>
    <definedName name="E00330_">'[18]TB APJ'!$B$95</definedName>
    <definedName name="E00331_">'[41]TB APJ'!$B$67</definedName>
    <definedName name="E0158_">'[18]TB APJ'!$B$96</definedName>
    <definedName name="E0159_">'[18]TB APJ'!$B$97</definedName>
    <definedName name="E0160_" localSheetId="13">'[17]TB WORLI'!#REF!</definedName>
    <definedName name="E0160_" localSheetId="4">'[17]TB WORLI'!#REF!</definedName>
    <definedName name="E0160_" localSheetId="17">'[17]TB WORLI'!#REF!</definedName>
    <definedName name="E0160_">'[17]TB WORLI'!#REF!</definedName>
    <definedName name="E0161_">'[18]TB APJ'!$B$98</definedName>
    <definedName name="E0162_">'[18]TB APJ'!$B$99</definedName>
    <definedName name="E0164_">'[18]TB APJ'!$B$100</definedName>
    <definedName name="E0165_">'[18]TB APJ'!$B$101</definedName>
    <definedName name="E0168_">'[18]TB APJ'!$B$102</definedName>
    <definedName name="E0169_">'[18]TB APJ'!$B$103</definedName>
    <definedName name="E0170_">'[18]TB APJ'!$B$104</definedName>
    <definedName name="E0171_" localSheetId="13">'[18]TB APJ'!#REF!</definedName>
    <definedName name="E0171_" localSheetId="4">'[18]TB APJ'!#REF!</definedName>
    <definedName name="E0171_" localSheetId="17">'[18]TB APJ'!#REF!</definedName>
    <definedName name="E0171_">'[18]TB APJ'!#REF!</definedName>
    <definedName name="E0172_">'[18]TB APJ'!$B$367</definedName>
    <definedName name="E0173_">'[18]TB APJ'!$B$105</definedName>
    <definedName name="E0174_">'[18]TB APJ'!$B$106</definedName>
    <definedName name="E0175_" localSheetId="13">'[18]TB APJ'!#REF!</definedName>
    <definedName name="E0175_" localSheetId="4">'[18]TB APJ'!#REF!</definedName>
    <definedName name="E0175_" localSheetId="17">'[18]TB APJ'!#REF!</definedName>
    <definedName name="E0175_">'[18]TB APJ'!#REF!</definedName>
    <definedName name="E0177_">'[18]TB APJ'!$B$107</definedName>
    <definedName name="E0178_">'[18]TB APJ'!$B$108</definedName>
    <definedName name="E0179_">'[18]TB APJ'!$B$109</definedName>
    <definedName name="E0180_">'[18]TB APJ'!$B$110</definedName>
    <definedName name="E0181_">'[18]TB APJ'!$B$111</definedName>
    <definedName name="E0183_">'[18]TB APJ'!$B$112</definedName>
    <definedName name="E0184_">'[18]TB APJ'!$B$113</definedName>
    <definedName name="E0186_">'[18]TB APJ'!$B$114</definedName>
    <definedName name="E0187_">'[18]TB APJ'!$B$115</definedName>
    <definedName name="E0188_" localSheetId="13">'[18]TB APJ'!#REF!</definedName>
    <definedName name="E0188_" localSheetId="4">'[18]TB APJ'!#REF!</definedName>
    <definedName name="E0188_" localSheetId="17">'[18]TB APJ'!#REF!</definedName>
    <definedName name="E0188_">'[18]TB APJ'!#REF!</definedName>
    <definedName name="E0189_">'[18]TB APJ'!$B$116</definedName>
    <definedName name="E0190_">'[18]TB APJ'!$B$117</definedName>
    <definedName name="E0196_">'[18]TB APJ'!$B$118</definedName>
    <definedName name="E0197_" localSheetId="13">'[18]TB APJ'!#REF!</definedName>
    <definedName name="E0197_" localSheetId="4">'[18]TB APJ'!#REF!</definedName>
    <definedName name="E0197_" localSheetId="17">'[18]TB APJ'!#REF!</definedName>
    <definedName name="E0197_">'[18]TB APJ'!#REF!</definedName>
    <definedName name="E0201_">'[18]TB APJ'!$B$281</definedName>
    <definedName name="e0201a">[47]TB!$B$185</definedName>
    <definedName name="E0202_">'[18]TB APJ'!$B$369</definedName>
    <definedName name="E0203_">'[18]TB APJ'!$B$119</definedName>
    <definedName name="E0204_">'[18]TB APJ'!$B$120</definedName>
    <definedName name="E0209_">'[18]TB APJ'!$B$121</definedName>
    <definedName name="E0210_">'[18]TB APJ'!$B$122</definedName>
    <definedName name="E0211_">'[18]TB APJ'!$B$123</definedName>
    <definedName name="E0212_">'[18]TB APJ'!$B$124</definedName>
    <definedName name="E0214_">'[18]TB APJ'!$B$125</definedName>
    <definedName name="E0215_">'[18]TB APJ'!$B$244</definedName>
    <definedName name="E0218_">'[18]TB APJ'!$B$126</definedName>
    <definedName name="E0219_">'[18]TB APJ'!$B$127</definedName>
    <definedName name="E0220_">'[18]TB APJ'!$B$128</definedName>
    <definedName name="E0221_">'[18]TB APJ'!$B$129</definedName>
    <definedName name="E0222_">'[18]TB APJ'!$B$130</definedName>
    <definedName name="E0225_">'[18]TB APJ'!$B$131</definedName>
    <definedName name="E0226_">'[18]TB APJ'!$B$132</definedName>
    <definedName name="E0227_">'[18]TB APJ'!$B$133</definedName>
    <definedName name="E0228_">'[18]TB APJ'!$B$134</definedName>
    <definedName name="E0230_">'[18]TB APJ'!$B$135</definedName>
    <definedName name="E0231_">'[18]TB APJ'!$B$136</definedName>
    <definedName name="E0233_">'[18]TB APJ'!$B$137</definedName>
    <definedName name="E0234_">'[18]TB APJ'!$B$138</definedName>
    <definedName name="E0235_">'[18]TB APJ'!$B$139</definedName>
    <definedName name="E0237_" localSheetId="13">'[18]TB APJ'!#REF!</definedName>
    <definedName name="E0237_" localSheetId="4">'[18]TB APJ'!#REF!</definedName>
    <definedName name="E0237_" localSheetId="17">'[18]TB APJ'!#REF!</definedName>
    <definedName name="E0237_">'[18]TB APJ'!#REF!</definedName>
    <definedName name="E0238_">'[18]TB APJ'!$B$140</definedName>
    <definedName name="E0239_">'[18]TB APJ'!$B$141</definedName>
    <definedName name="E0240_">'[18]TB APJ'!$B$245</definedName>
    <definedName name="E0241_">'[18]TB APJ'!$B$142</definedName>
    <definedName name="E0242_">'[18]TB APJ'!$B$143</definedName>
    <definedName name="E0243_">'[18]TB APJ'!$B$144</definedName>
    <definedName name="E0245_">'[18]TB APJ'!$B$145</definedName>
    <definedName name="E0246_">'[18]TB APJ'!$B$250</definedName>
    <definedName name="E0247_">'[18]TB APJ'!$B$146</definedName>
    <definedName name="eeeeeeee" localSheetId="13" hidden="1">{#N/A,#N/A,TRUE,"Sheet1"}</definedName>
    <definedName name="eeeeeeee" localSheetId="19" hidden="1">{#N/A,#N/A,TRUE,"Sheet1"}</definedName>
    <definedName name="eeeeeeee" localSheetId="41" hidden="1">{#N/A,#N/A,TRUE,"Sheet1"}</definedName>
    <definedName name="eeeeeeee" localSheetId="4" hidden="1">{#N/A,#N/A,TRUE,"Sheet1"}</definedName>
    <definedName name="eeeeeeee" localSheetId="17" hidden="1">{#N/A,#N/A,TRUE,"Sheet1"}</definedName>
    <definedName name="eeeeeeee" hidden="1">{#N/A,#N/A,TRUE,"Sheet1"}</definedName>
    <definedName name="EmployeeNIRate">0.11</definedName>
    <definedName name="EmployerNIRate">0.128</definedName>
    <definedName name="End_Bal" localSheetId="42">'[48]Loan Amortization Schedule'!$I$18:$I$377</definedName>
    <definedName name="End_Bal" localSheetId="35">'[48]Loan Amortization Schedule'!$I$18:$I$377</definedName>
    <definedName name="End_Bal" localSheetId="44">'[48]Loan Amortization Schedule'!$I$18:$I$377</definedName>
    <definedName name="End_Bal" localSheetId="41">'[49]Loan Amortization Schedule'!$I$18:$I$377</definedName>
    <definedName name="End_Bal" localSheetId="32">'[48]Loan Amortization Schedule'!$I$18:$I$377</definedName>
    <definedName name="End_Bal">'[50]Loan Amortization Schedule'!$I$18:$I$377</definedName>
    <definedName name="Equipment" localSheetId="42">#REF!</definedName>
    <definedName name="Equipment" localSheetId="35">#REF!</definedName>
    <definedName name="Equipment" localSheetId="44">#REF!</definedName>
    <definedName name="Equipment" localSheetId="19">#REF!</definedName>
    <definedName name="Equipment" localSheetId="41">#REF!</definedName>
    <definedName name="Equipment" localSheetId="17">#REF!</definedName>
    <definedName name="Equipment" localSheetId="32">#REF!</definedName>
    <definedName name="Equipment">#REF!</definedName>
    <definedName name="ewrdwe">'[41]TB APJ'!$B$196</definedName>
    <definedName name="ExcelData\Tax\Tax3cd.xls" localSheetId="13">#REF!</definedName>
    <definedName name="ExcelData\Tax\Tax3cd.xls" localSheetId="19">#REF!</definedName>
    <definedName name="ExcelData\Tax\Tax3cd.xls" localSheetId="17">#REF!</definedName>
    <definedName name="ExcelData\Tax\Tax3cd.xls">#REF!</definedName>
    <definedName name="exchange">'[51]exchange fluctuation'!$U$178:$AA$212</definedName>
    <definedName name="ExemptSection">"249A(1)"</definedName>
    <definedName name="exp_rec_99" localSheetId="13">#REF!</definedName>
    <definedName name="exp_rec_99" localSheetId="4">#REF!</definedName>
    <definedName name="exp_rec_99" localSheetId="17">#REF!</definedName>
    <definedName name="exp_rec_99">#REF!</definedName>
    <definedName name="f" localSheetId="42">#REF!</definedName>
    <definedName name="f" localSheetId="35">#REF!</definedName>
    <definedName name="f" localSheetId="44">#REF!</definedName>
    <definedName name="f" localSheetId="19">#REF!</definedName>
    <definedName name="f" localSheetId="41">#REF!</definedName>
    <definedName name="f" localSheetId="17">#REF!</definedName>
    <definedName name="f" localSheetId="32">#REF!</definedName>
    <definedName name="f">#REF!</definedName>
    <definedName name="FA" localSheetId="17">#REF!</definedName>
    <definedName name="FA">#REF!</definedName>
    <definedName name="fbt">'[2]BS 590'!$B$388:$G$427</definedName>
    <definedName name="fdsa" localSheetId="13">#REF!</definedName>
    <definedName name="fdsa" localSheetId="4">#REF!</definedName>
    <definedName name="fdsa" localSheetId="17">#REF!</definedName>
    <definedName name="fdsa">#REF!</definedName>
    <definedName name="FIRSTDATE">#N/A</definedName>
    <definedName name="FIRSTDAY">#N/A</definedName>
    <definedName name="FirstDays" localSheetId="42">#REF!</definedName>
    <definedName name="FirstDays" localSheetId="35">#REF!</definedName>
    <definedName name="FirstDays" localSheetId="44">#REF!</definedName>
    <definedName name="FirstDays" localSheetId="19">#REF!</definedName>
    <definedName name="FirstDays" localSheetId="41">#REF!</definedName>
    <definedName name="FirstDays" localSheetId="17">#REF!</definedName>
    <definedName name="FirstDays" localSheetId="32">#REF!</definedName>
    <definedName name="FirstDays">#REF!</definedName>
    <definedName name="FirstDaysSub">OFFSET([31]Summary!$C$73:$C$84,0,0,'[31]VAT return'!$E$6,1)</definedName>
    <definedName name="FIRSTSHORT">#N/A</definedName>
    <definedName name="Frtout" localSheetId="42">[37]Volumes!#REF!</definedName>
    <definedName name="Frtout" localSheetId="35">[37]Volumes!#REF!</definedName>
    <definedName name="Frtout" localSheetId="44">[37]Volumes!#REF!</definedName>
    <definedName name="Frtout" localSheetId="19">[37]Volumes!#REF!</definedName>
    <definedName name="Frtout" localSheetId="41">[37]Volumes!#REF!</definedName>
    <definedName name="Frtout" localSheetId="17">[37]Volumes!#REF!</definedName>
    <definedName name="Frtout" localSheetId="32">[37]Volumes!#REF!</definedName>
    <definedName name="Frtout">[37]Volumes!#REF!</definedName>
    <definedName name="fsd" localSheetId="13">#REF!</definedName>
    <definedName name="fsd" localSheetId="19">#REF!</definedName>
    <definedName name="fsd" localSheetId="17">#REF!</definedName>
    <definedName name="fsd">#REF!</definedName>
    <definedName name="fsda" localSheetId="13">'[17]TB WORLI'!#REF!</definedName>
    <definedName name="fsda" localSheetId="19">'[17]TB WORLI'!#REF!</definedName>
    <definedName name="fsda" localSheetId="17">'[17]TB WORLI'!#REF!</definedName>
    <definedName name="fsda">'[17]TB WORLI'!#REF!</definedName>
    <definedName name="FUNDFLOW" localSheetId="42">#REF!</definedName>
    <definedName name="FUNDFLOW" localSheetId="35">#REF!</definedName>
    <definedName name="FUNDFLOW" localSheetId="44">#REF!</definedName>
    <definedName name="FUNDFLOW" localSheetId="19">#REF!</definedName>
    <definedName name="FUNDFLOW" localSheetId="41">#REF!</definedName>
    <definedName name="FUNDFLOW" localSheetId="17">#REF!</definedName>
    <definedName name="FUNDFLOW" localSheetId="32">#REF!</definedName>
    <definedName name="FUNDFLOW">#REF!</definedName>
    <definedName name="FUNDFLOW_4" localSheetId="42">#REF!</definedName>
    <definedName name="FUNDFLOW_4" localSheetId="35">#REF!</definedName>
    <definedName name="FUNDFLOW_4" localSheetId="44">#REF!</definedName>
    <definedName name="FUNDFLOW_4" localSheetId="19">#REF!</definedName>
    <definedName name="FUNDFLOW_4" localSheetId="41">#REF!</definedName>
    <definedName name="FUNDFLOW_4" localSheetId="17">#REF!</definedName>
    <definedName name="FUNDFLOW_4" localSheetId="32">#REF!</definedName>
    <definedName name="FUNDFLOW_4">#REF!</definedName>
    <definedName name="FUNDFLOW_5" localSheetId="42">#REF!</definedName>
    <definedName name="FUNDFLOW_5" localSheetId="35">#REF!</definedName>
    <definedName name="FUNDFLOW_5" localSheetId="44">#REF!</definedName>
    <definedName name="FUNDFLOW_5" localSheetId="19">#REF!</definedName>
    <definedName name="FUNDFLOW_5" localSheetId="41">#REF!</definedName>
    <definedName name="FUNDFLOW_5" localSheetId="17">#REF!</definedName>
    <definedName name="FUNDFLOW_5" localSheetId="32">#REF!</definedName>
    <definedName name="FUNDFLOW_5">#REF!</definedName>
    <definedName name="FUNDFLOW_6" localSheetId="42">#REF!</definedName>
    <definedName name="FUNDFLOW_6" localSheetId="35">#REF!</definedName>
    <definedName name="FUNDFLOW_6" localSheetId="44">#REF!</definedName>
    <definedName name="FUNDFLOW_6" localSheetId="19">#REF!</definedName>
    <definedName name="FUNDFLOW_6" localSheetId="41">#REF!</definedName>
    <definedName name="FUNDFLOW_6" localSheetId="17">#REF!</definedName>
    <definedName name="FUNDFLOW_6" localSheetId="32">#REF!</definedName>
    <definedName name="FUNDFLOW_6">#REF!</definedName>
    <definedName name="FUNDFLOW_7" localSheetId="42">#REF!</definedName>
    <definedName name="FUNDFLOW_7" localSheetId="35">#REF!</definedName>
    <definedName name="FUNDFLOW_7" localSheetId="44">#REF!</definedName>
    <definedName name="FUNDFLOW_7" localSheetId="19">#REF!</definedName>
    <definedName name="FUNDFLOW_7" localSheetId="41">#REF!</definedName>
    <definedName name="FUNDFLOW_7" localSheetId="17">#REF!</definedName>
    <definedName name="FUNDFLOW_7" localSheetId="32">#REF!</definedName>
    <definedName name="FUNDFLOW_7">#REF!</definedName>
    <definedName name="FUNDFLOW_8" localSheetId="42">#REF!</definedName>
    <definedName name="FUNDFLOW_8" localSheetId="35">#REF!</definedName>
    <definedName name="FUNDFLOW_8" localSheetId="44">#REF!</definedName>
    <definedName name="FUNDFLOW_8" localSheetId="19">#REF!</definedName>
    <definedName name="FUNDFLOW_8" localSheetId="41">#REF!</definedName>
    <definedName name="FUNDFLOW_8" localSheetId="17">#REF!</definedName>
    <definedName name="FUNDFLOW_8" localSheetId="32">#REF!</definedName>
    <definedName name="FUNDFLOW_8">#REF!</definedName>
    <definedName name="furniture" localSheetId="42">#REF!</definedName>
    <definedName name="furniture" localSheetId="35">#REF!</definedName>
    <definedName name="furniture" localSheetId="44">#REF!</definedName>
    <definedName name="furniture" localSheetId="19">#REF!</definedName>
    <definedName name="furniture" localSheetId="41">#REF!</definedName>
    <definedName name="furniture" localSheetId="17">#REF!</definedName>
    <definedName name="furniture" localSheetId="32">#REF!</definedName>
    <definedName name="furniture">#REF!</definedName>
    <definedName name="FY" localSheetId="42">#REF!</definedName>
    <definedName name="FY" localSheetId="35">#REF!</definedName>
    <definedName name="FY" localSheetId="44">#REF!</definedName>
    <definedName name="FY" localSheetId="19">#REF!</definedName>
    <definedName name="FY" localSheetId="41">#REF!</definedName>
    <definedName name="FY" localSheetId="17">#REF!</definedName>
    <definedName name="FY" localSheetId="32">#REF!</definedName>
    <definedName name="FY">#REF!</definedName>
    <definedName name="g" localSheetId="42">#REF!</definedName>
    <definedName name="g" localSheetId="35">#REF!</definedName>
    <definedName name="g" localSheetId="44">#REF!</definedName>
    <definedName name="g" localSheetId="19">#REF!</definedName>
    <definedName name="g" localSheetId="41">#REF!</definedName>
    <definedName name="g" localSheetId="17">#REF!</definedName>
    <definedName name="g" localSheetId="32">#REF!</definedName>
    <definedName name="g">#REF!</definedName>
    <definedName name="gggfgg" localSheetId="42">#REF!</definedName>
    <definedName name="gggfgg" localSheetId="35">#REF!</definedName>
    <definedName name="gggfgg" localSheetId="44">#REF!</definedName>
    <definedName name="gggfgg" localSheetId="19">#REF!</definedName>
    <definedName name="gggfgg" localSheetId="41">#REF!</definedName>
    <definedName name="gggfgg" localSheetId="17">#REF!</definedName>
    <definedName name="gggfgg" localSheetId="32">#REF!</definedName>
    <definedName name="gggfgg">#REF!</definedName>
    <definedName name="gggggg" localSheetId="17">#REF!</definedName>
    <definedName name="gggggg">#REF!</definedName>
    <definedName name="ghj" localSheetId="17">#REF!</definedName>
    <definedName name="ghj">#REF!</definedName>
    <definedName name="GovtOthers" localSheetId="42">[20]Form!$V$18</definedName>
    <definedName name="GovtOthers" localSheetId="35">[20]Form!$V$18</definedName>
    <definedName name="GovtOthers" localSheetId="44">[20]Form!$V$18</definedName>
    <definedName name="GovtOthers" localSheetId="41">[21]Form!$V$18</definedName>
    <definedName name="GovtOthers" localSheetId="32">[20]Form!$V$18</definedName>
    <definedName name="GovtOthers">[22]Form!$V$18</definedName>
    <definedName name="Graph1">'[52]JOB WORK'!$G$4:$M$35</definedName>
    <definedName name="Graph2">'[52]JOB WORK'!$U$1253:$AA$1287</definedName>
    <definedName name="Graph3">'[52]JOB WORK'!$M$1355:$V$1402</definedName>
    <definedName name="Graph4">'[52]JOB WORK'!$P$1405:$AA$1432</definedName>
    <definedName name="gross_block_99" localSheetId="13">#REF!</definedName>
    <definedName name="gross_block_99" localSheetId="19">#REF!</definedName>
    <definedName name="gross_block_99" localSheetId="17">#REF!</definedName>
    <definedName name="gross_block_99">#REF!</definedName>
    <definedName name="Gross_Margin___Rs_M" localSheetId="13">#REF!</definedName>
    <definedName name="Gross_Margin___Rs_M" localSheetId="19">#REF!</definedName>
    <definedName name="Gross_Margin___Rs_M" localSheetId="17">#REF!</definedName>
    <definedName name="Gross_Margin___Rs_M">#REF!</definedName>
    <definedName name="gross_sales" localSheetId="13">#REF!</definedName>
    <definedName name="gross_sales" localSheetId="19">#REF!</definedName>
    <definedName name="gross_sales" localSheetId="17">#REF!</definedName>
    <definedName name="gross_sales">#REF!</definedName>
    <definedName name="gross_sales_98" localSheetId="17">#REF!</definedName>
    <definedName name="gross_sales_98">#REF!</definedName>
    <definedName name="gross_sales_99" localSheetId="17">#REF!</definedName>
    <definedName name="gross_sales_99">#REF!</definedName>
    <definedName name="Group1">[40]Calc!$H$174</definedName>
    <definedName name="Group10">[40]Calc!$H$183</definedName>
    <definedName name="Group2">[40]Calc!$H$175</definedName>
    <definedName name="Group3">[40]Calc!$H$176</definedName>
    <definedName name="Group4">[40]Calc!$H$177</definedName>
    <definedName name="Group5">[40]Calc!$H$178</definedName>
    <definedName name="Group6">[40]Calc!$H$179</definedName>
    <definedName name="Group7">[40]Calc!$H$180</definedName>
    <definedName name="Group8">[40]Calc!$H$181</definedName>
    <definedName name="Group9">[40]Calc!$H$182</definedName>
    <definedName name="GRPI" localSheetId="42">'[4]BS&amp;PLA'!#REF!</definedName>
    <definedName name="GRPI" localSheetId="35">'[4]BS&amp;PLA'!#REF!</definedName>
    <definedName name="GRPI" localSheetId="44">'[4]BS&amp;PLA'!#REF!</definedName>
    <definedName name="GRPI" localSheetId="19">'[4]BS&amp;PLA'!#REF!</definedName>
    <definedName name="GRPI" localSheetId="41">'[4]BS&amp;PLA'!#REF!</definedName>
    <definedName name="GRPI" localSheetId="17">'[4]BS&amp;PLA'!#REF!</definedName>
    <definedName name="GRPI" localSheetId="32">'[4]BS&amp;PLA'!#REF!</definedName>
    <definedName name="GRPI">'[4]BS&amp;PLA'!#REF!</definedName>
    <definedName name="grrp2">'[53]BS &amp; Pr &amp; Loss'!$B$434:$D$554</definedName>
    <definedName name="h" localSheetId="42">#REF!</definedName>
    <definedName name="h" localSheetId="35">#REF!</definedName>
    <definedName name="h" localSheetId="44">#REF!</definedName>
    <definedName name="h" localSheetId="19">#REF!</definedName>
    <definedName name="h" localSheetId="41">#REF!</definedName>
    <definedName name="h" localSheetId="17">#REF!</definedName>
    <definedName name="h" localSheetId="32">#REF!</definedName>
    <definedName name="h">#REF!</definedName>
    <definedName name="Header_Row" localSheetId="42">ROW('[48]Loan Amortization Schedule'!$17:$17)</definedName>
    <definedName name="Header_Row" localSheetId="35">ROW('[48]Loan Amortization Schedule'!$17:$17)</definedName>
    <definedName name="Header_Row" localSheetId="44">ROW('[48]Loan Amortization Schedule'!$17:$17)</definedName>
    <definedName name="Header_Row" localSheetId="41">ROW('[49]Loan Amortization Schedule'!$17:$17)</definedName>
    <definedName name="Header_Row" localSheetId="32">ROW('[48]Loan Amortization Schedule'!$17:$17)</definedName>
    <definedName name="Header_Row">ROW('[50]Loan Amortization Schedule'!$17:$17)</definedName>
    <definedName name="hh" localSheetId="13" hidden="1">{#N/A,#N/A,TRUE,"Sheet1"}</definedName>
    <definedName name="hh" localSheetId="19" hidden="1">{#N/A,#N/A,TRUE,"Sheet1"}</definedName>
    <definedName name="hh" localSheetId="41" hidden="1">{#N/A,#N/A,TRUE,"Sheet1"}</definedName>
    <definedName name="hh" localSheetId="4" hidden="1">{#N/A,#N/A,TRUE,"Sheet1"}</definedName>
    <definedName name="hh" localSheetId="17" hidden="1">{#N/A,#N/A,TRUE,"Sheet1"}</definedName>
    <definedName name="hh" hidden="1">{#N/A,#N/A,TRUE,"Sheet1"}</definedName>
    <definedName name="HHC">'[54]80HHC- final'!$B$3:$I$70</definedName>
    <definedName name="hhh"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igherRate">0.4</definedName>
    <definedName name="HigherRateThreshold">29900</definedName>
    <definedName name="HTML_CodePage" hidden="1">1252</definedName>
    <definedName name="HTML_OBDlg2" hidden="1">FALSE</definedName>
    <definedName name="HTML_OBDlg3" hidden="1">TRUE</definedName>
    <definedName name="HTML_OBDlg4" hidden="1">TRUE</definedName>
    <definedName name="HTML_OS" hidden="1">0</definedName>
    <definedName name="HTML_PathFile" hidden="1">"C:\infac\pricewth\Aug99\Page06e.htm"</definedName>
    <definedName name="HTML_PathTemplate" hidden="1">"C:\infac\pricewth\Aug99\Page06e.htm"</definedName>
    <definedName name="I" localSheetId="42">#REF!</definedName>
    <definedName name="I" localSheetId="35">#REF!</definedName>
    <definedName name="I" localSheetId="44">#REF!</definedName>
    <definedName name="I" localSheetId="19">#REF!</definedName>
    <definedName name="I" localSheetId="41">#REF!</definedName>
    <definedName name="I" localSheetId="17">#REF!</definedName>
    <definedName name="I" localSheetId="32">#REF!</definedName>
    <definedName name="I">#REF!</definedName>
    <definedName name="I00292_" localSheetId="13">'[18]TB APJ'!#REF!</definedName>
    <definedName name="I00292_" localSheetId="19">'[18]TB APJ'!#REF!</definedName>
    <definedName name="I00292_" localSheetId="4">'[18]TB APJ'!#REF!</definedName>
    <definedName name="I00292_" localSheetId="17">'[18]TB APJ'!#REF!</definedName>
    <definedName name="I00292_">'[18]TB APJ'!#REF!</definedName>
    <definedName name="I00294_">'[18]TB APJ'!$B$372</definedName>
    <definedName name="I00295_">'[18]TB APJ'!$B$373</definedName>
    <definedName name="I00296_">'[18]TB APJ'!$B$374</definedName>
    <definedName name="I00297_">'[18]TB APJ'!$B$375</definedName>
    <definedName name="I00298_" localSheetId="13">'[18]TB APJ'!#REF!</definedName>
    <definedName name="I00298_" localSheetId="4">'[18]TB APJ'!#REF!</definedName>
    <definedName name="I00298_" localSheetId="17">'[18]TB APJ'!#REF!</definedName>
    <definedName name="I00298_">'[18]TB APJ'!#REF!</definedName>
    <definedName name="I00299_" localSheetId="13">'[18]TB APJ'!#REF!</definedName>
    <definedName name="I00299_" localSheetId="4">'[18]TB APJ'!#REF!</definedName>
    <definedName name="I00299_" localSheetId="17">'[18]TB APJ'!#REF!</definedName>
    <definedName name="I00299_">'[18]TB APJ'!#REF!</definedName>
    <definedName name="I00300_" localSheetId="13">'[18]TB APJ'!#REF!</definedName>
    <definedName name="I00300_" localSheetId="4">'[18]TB APJ'!#REF!</definedName>
    <definedName name="I00300_" localSheetId="17">'[18]TB APJ'!#REF!</definedName>
    <definedName name="I00300_">'[18]TB APJ'!#REF!</definedName>
    <definedName name="I00301_">'[18]TB APJ'!$B$147</definedName>
    <definedName name="I00302_">'[18]TB APJ'!$B$148</definedName>
    <definedName name="I00313_" localSheetId="13">'[18]TB APJ'!#REF!</definedName>
    <definedName name="I00313_" localSheetId="4">'[18]TB APJ'!#REF!</definedName>
    <definedName name="I00313_" localSheetId="17">'[18]TB APJ'!#REF!</definedName>
    <definedName name="I00313_">'[18]TB APJ'!#REF!</definedName>
    <definedName name="I00316_" localSheetId="13">'[18]TB APJ'!#REF!</definedName>
    <definedName name="I00316_" localSheetId="4">'[18]TB APJ'!#REF!</definedName>
    <definedName name="I00316_" localSheetId="17">'[18]TB APJ'!#REF!</definedName>
    <definedName name="I00316_">'[18]TB APJ'!#REF!</definedName>
    <definedName name="I00318_">'[18]TB APJ'!$B$149</definedName>
    <definedName name="I00319_">'[18]TB APJ'!$B$376</definedName>
    <definedName name="I00320_" localSheetId="13">'[18]TB APJ'!#REF!</definedName>
    <definedName name="I00320_" localSheetId="4">'[18]TB APJ'!#REF!</definedName>
    <definedName name="I00320_" localSheetId="17">'[18]TB APJ'!#REF!</definedName>
    <definedName name="I00320_">'[18]TB APJ'!#REF!</definedName>
    <definedName name="I00321_">'[18]TB APJ'!$B$150</definedName>
    <definedName name="I00322_">'[18]TB APJ'!$B$378</definedName>
    <definedName name="I00324_">'[18]TB APJ'!$B$379</definedName>
    <definedName name="I00326_" localSheetId="13">'[18]TB APJ'!#REF!</definedName>
    <definedName name="I00326_" localSheetId="4">'[18]TB APJ'!#REF!</definedName>
    <definedName name="I00326_" localSheetId="17">'[18]TB APJ'!#REF!</definedName>
    <definedName name="I00326_">'[18]TB APJ'!#REF!</definedName>
    <definedName name="I00327_">'[18]TB APJ'!$B$151</definedName>
    <definedName name="I00328_">'[18]TB APJ'!$B$152</definedName>
    <definedName name="I00329_" localSheetId="13">'[18]TB APJ'!#REF!</definedName>
    <definedName name="I00329_" localSheetId="4">'[18]TB APJ'!#REF!</definedName>
    <definedName name="I00329_" localSheetId="17">'[18]TB APJ'!#REF!</definedName>
    <definedName name="I00329_">'[18]TB APJ'!#REF!</definedName>
    <definedName name="I00330_">'[18]TB APJ'!$B$240</definedName>
    <definedName name="I00331_" localSheetId="13">'[18]TB APJ'!#REF!</definedName>
    <definedName name="I00331_" localSheetId="4">'[18]TB APJ'!#REF!</definedName>
    <definedName name="I00331_" localSheetId="17">'[18]TB APJ'!#REF!</definedName>
    <definedName name="I00331_">'[18]TB APJ'!#REF!</definedName>
    <definedName name="I00332_" localSheetId="13">'[18]TB APJ'!#REF!</definedName>
    <definedName name="I00332_" localSheetId="4">'[18]TB APJ'!#REF!</definedName>
    <definedName name="I00332_" localSheetId="17">'[18]TB APJ'!#REF!</definedName>
    <definedName name="I00332_">'[18]TB APJ'!#REF!</definedName>
    <definedName name="I00333_">'[18]TB APJ'!$B$153</definedName>
    <definedName name="I00334_" localSheetId="13">'[18]TB APJ'!#REF!</definedName>
    <definedName name="I00334_" localSheetId="4">'[18]TB APJ'!#REF!</definedName>
    <definedName name="I00334_" localSheetId="17">'[18]TB APJ'!#REF!</definedName>
    <definedName name="I00334_">'[18]TB APJ'!#REF!</definedName>
    <definedName name="I00335_" localSheetId="13">'[18]TB APJ'!#REF!</definedName>
    <definedName name="I00335_" localSheetId="4">'[18]TB APJ'!#REF!</definedName>
    <definedName name="I00335_" localSheetId="17">'[18]TB APJ'!#REF!</definedName>
    <definedName name="I00335_">'[18]TB APJ'!#REF!</definedName>
    <definedName name="I00336_">'[18]TB APJ'!$B$154</definedName>
    <definedName name="I00337_" localSheetId="13">'[18]TB APJ'!#REF!</definedName>
    <definedName name="I00337_" localSheetId="4">'[18]TB APJ'!#REF!</definedName>
    <definedName name="I00337_" localSheetId="17">'[18]TB APJ'!#REF!</definedName>
    <definedName name="I00337_">'[18]TB APJ'!#REF!</definedName>
    <definedName name="I00338_">'[18]TB APJ'!$B$234</definedName>
    <definedName name="I00340_" localSheetId="13">'[18]TB APJ'!#REF!</definedName>
    <definedName name="I00340_" localSheetId="4">'[18]TB APJ'!#REF!</definedName>
    <definedName name="I00340_" localSheetId="17">'[18]TB APJ'!#REF!</definedName>
    <definedName name="I00340_">'[18]TB APJ'!#REF!</definedName>
    <definedName name="I00341_" localSheetId="13">'[18]TB APJ'!#REF!</definedName>
    <definedName name="I00341_" localSheetId="4">'[18]TB APJ'!#REF!</definedName>
    <definedName name="I00341_" localSheetId="17">'[18]TB APJ'!#REF!</definedName>
    <definedName name="I00341_">'[18]TB APJ'!#REF!</definedName>
    <definedName name="I00342_" localSheetId="13">'[18]TB APJ'!#REF!</definedName>
    <definedName name="I00342_" localSheetId="4">'[18]TB APJ'!#REF!</definedName>
    <definedName name="I00342_" localSheetId="17">'[18]TB APJ'!#REF!</definedName>
    <definedName name="I00342_">'[18]TB APJ'!#REF!</definedName>
    <definedName name="I00343_">'[18]TB APJ'!$B$236</definedName>
    <definedName name="I00344_">'[18]TB APJ'!$B$237</definedName>
    <definedName name="I00345_">'[18]TB APJ'!$B$155</definedName>
    <definedName name="I00348_">'[18]TB APJ'!$B$156</definedName>
    <definedName name="I00349_">'[18]TB APJ'!$B$157</definedName>
    <definedName name="I00350_">'[18]TB APJ'!$B$158</definedName>
    <definedName name="I00351_">'[18]TB APJ'!$B$159</definedName>
    <definedName name="I00363_">'[18]TB APJ'!$B$160</definedName>
    <definedName name="I00364_">'[18]TB APJ'!$B$161</definedName>
    <definedName name="I00365_">'[17]TB APJ'!$B$109</definedName>
    <definedName name="I0250_">'[18]TB APJ'!$B$162</definedName>
    <definedName name="I0251_">'[18]TB APJ'!$B$163</definedName>
    <definedName name="I0254_">'[18]TB APJ'!$B$164</definedName>
    <definedName name="I0260_">'[18]TB APJ'!$B$165</definedName>
    <definedName name="I0261_">'[18]TB APJ'!$B$383</definedName>
    <definedName name="I0263_">'[18]TB APJ'!$B$166</definedName>
    <definedName name="I0264_">'[18]TB APJ'!$B$238</definedName>
    <definedName name="I0265_">'[18]TB APJ'!$B$167</definedName>
    <definedName name="I0267_">'[18]TB APJ'!$B$168</definedName>
    <definedName name="I0268_" localSheetId="13">'[18]TB APJ'!#REF!</definedName>
    <definedName name="I0268_" localSheetId="4">'[18]TB APJ'!#REF!</definedName>
    <definedName name="I0268_" localSheetId="17">'[18]TB APJ'!#REF!</definedName>
    <definedName name="I0268_">'[18]TB APJ'!#REF!</definedName>
    <definedName name="I0269_">'[18]TB APJ'!$B$385</definedName>
    <definedName name="I0270_">'[18]TB APJ'!$B$169</definedName>
    <definedName name="I0274_" localSheetId="13">'[18]TB APJ'!#REF!</definedName>
    <definedName name="I0274_" localSheetId="4">'[18]TB APJ'!#REF!</definedName>
    <definedName name="I0274_" localSheetId="17">'[18]TB APJ'!#REF!</definedName>
    <definedName name="I0274_">'[18]TB APJ'!#REF!</definedName>
    <definedName name="I0275_">'[18]TB APJ'!$B$170</definedName>
    <definedName name="I0276_">'[18]TB APJ'!$B$171</definedName>
    <definedName name="I0277_">'[18]TB APJ'!$B$386</definedName>
    <definedName name="I0281_">'[18]TB APJ'!$B$387</definedName>
    <definedName name="I0282_">'[18]TB APJ'!$B$172</definedName>
    <definedName name="I0283_">'[18]TB APJ'!$B$389</definedName>
    <definedName name="I0286_">'[18]TB APJ'!$B$173</definedName>
    <definedName name="I0287_">'[18]TB APJ'!$B$174</definedName>
    <definedName name="I0288_" localSheetId="13">'[18]TB APJ'!#REF!</definedName>
    <definedName name="I0288_" localSheetId="4">'[18]TB APJ'!#REF!</definedName>
    <definedName name="I0288_" localSheetId="17">'[18]TB APJ'!#REF!</definedName>
    <definedName name="I0288_">'[18]TB APJ'!#REF!</definedName>
    <definedName name="I0289_">'[18]TB APJ'!$B$175</definedName>
    <definedName name="I0291_">'[18]TB APJ'!$B$176</definedName>
    <definedName name="IMMPRO" localSheetId="13">#REF!</definedName>
    <definedName name="IMMPRO" localSheetId="19">#REF!</definedName>
    <definedName name="IMMPRO" localSheetId="17">#REF!</definedName>
    <definedName name="IMMPRO">#REF!</definedName>
    <definedName name="imprim1" localSheetId="1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1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4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17"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NCOME" localSheetId="13">#REF!</definedName>
    <definedName name="INCOME" localSheetId="4">#REF!</definedName>
    <definedName name="INCOME" localSheetId="17">#REF!</definedName>
    <definedName name="INCOME">#REF!</definedName>
    <definedName name="INDIA_PLASTIC_in_KUSD" localSheetId="13">#REF!</definedName>
    <definedName name="INDIA_PLASTIC_in_KUSD" localSheetId="4">#REF!</definedName>
    <definedName name="INDIA_PLASTIC_in_KUSD" localSheetId="17">#REF!</definedName>
    <definedName name="INDIA_PLASTIC_in_KUSD">#REF!</definedName>
    <definedName name="indian" localSheetId="42">#REF!</definedName>
    <definedName name="indian" localSheetId="35">#REF!</definedName>
    <definedName name="indian" localSheetId="44">#REF!</definedName>
    <definedName name="indian" localSheetId="19">#REF!</definedName>
    <definedName name="indian" localSheetId="41">#REF!</definedName>
    <definedName name="indian" localSheetId="17">#REF!</definedName>
    <definedName name="indian" localSheetId="32">#REF!</definedName>
    <definedName name="indian">#REF!</definedName>
    <definedName name="INDIAN_RAYON_AND_INDUSTRIES_LIMITED">"ANNX1"</definedName>
    <definedName name="int_99" localSheetId="13">#REF!</definedName>
    <definedName name="int_99" localSheetId="4">#REF!</definedName>
    <definedName name="int_99" localSheetId="17">#REF!</definedName>
    <definedName name="int_99">#REF!</definedName>
    <definedName name="Interest_Rate" localSheetId="42">'[48]Loan Amortization Schedule'!$D$6</definedName>
    <definedName name="Interest_Rate" localSheetId="35">'[48]Loan Amortization Schedule'!$D$6</definedName>
    <definedName name="Interest_Rate" localSheetId="44">'[48]Loan Amortization Schedule'!$D$6</definedName>
    <definedName name="Interest_Rate" localSheetId="41">'[49]Loan Amortization Schedule'!$D$6</definedName>
    <definedName name="Interest_Rate" localSheetId="32">'[48]Loan Amortization Schedule'!$D$6</definedName>
    <definedName name="Interest_Rate">'[50]Loan Amortization Schedule'!$D$6</definedName>
    <definedName name="inv" localSheetId="13">#REF!</definedName>
    <definedName name="inv" localSheetId="19">#REF!</definedName>
    <definedName name="inv" localSheetId="17">#REF!</definedName>
    <definedName name="inv">#REF!</definedName>
    <definedName name="IT_DEP1" localSheetId="42">#REF!</definedName>
    <definedName name="IT_DEP1" localSheetId="35">#REF!</definedName>
    <definedName name="IT_DEP1" localSheetId="44">#REF!</definedName>
    <definedName name="IT_DEP1" localSheetId="19">#REF!</definedName>
    <definedName name="IT_DEP1" localSheetId="41">#REF!</definedName>
    <definedName name="IT_DEP1" localSheetId="17">#REF!</definedName>
    <definedName name="IT_DEP1" localSheetId="32">#REF!</definedName>
    <definedName name="IT_DEP1">#REF!</definedName>
    <definedName name="IT_DEP2" localSheetId="42">#REF!</definedName>
    <definedName name="IT_DEP2" localSheetId="35">#REF!</definedName>
    <definedName name="IT_DEP2" localSheetId="44">#REF!</definedName>
    <definedName name="IT_DEP2" localSheetId="19">#REF!</definedName>
    <definedName name="IT_DEP2" localSheetId="41">#REF!</definedName>
    <definedName name="IT_DEP2" localSheetId="17">#REF!</definedName>
    <definedName name="IT_DEP2" localSheetId="32">#REF!</definedName>
    <definedName name="IT_DEP2">#REF!</definedName>
    <definedName name="J" localSheetId="42">#REF!</definedName>
    <definedName name="J" localSheetId="35">#REF!</definedName>
    <definedName name="J" localSheetId="44">#REF!</definedName>
    <definedName name="J" localSheetId="19">#REF!</definedName>
    <definedName name="J" localSheetId="41">#REF!</definedName>
    <definedName name="J" localSheetId="17">#REF!</definedName>
    <definedName name="J" localSheetId="32">#REF!</definedName>
    <definedName name="J">#REF!</definedName>
    <definedName name="JHARKHAND" localSheetId="42">#REF!</definedName>
    <definedName name="JHARKHAND" localSheetId="35">#REF!</definedName>
    <definedName name="JHARKHAND" localSheetId="44">#REF!</definedName>
    <definedName name="JHARKHAND" localSheetId="19">#REF!</definedName>
    <definedName name="JHARKHAND" localSheetId="41">#REF!</definedName>
    <definedName name="JHARKHAND" localSheetId="17">#REF!</definedName>
    <definedName name="JHARKHAND" localSheetId="32">#REF!</definedName>
    <definedName name="JHARKHAND">#REF!</definedName>
    <definedName name="k" localSheetId="42">#REF!</definedName>
    <definedName name="k" localSheetId="35">#REF!</definedName>
    <definedName name="k" localSheetId="44">#REF!</definedName>
    <definedName name="k" localSheetId="19">#REF!</definedName>
    <definedName name="k" localSheetId="41">#REF!</definedName>
    <definedName name="k" localSheetId="17">#REF!</definedName>
    <definedName name="k" localSheetId="32">#REF!</definedName>
    <definedName name="k">#REF!</definedName>
    <definedName name="KEY_INDICATORS_4" localSheetId="42">#REF!</definedName>
    <definedName name="KEY_INDICATORS_4" localSheetId="35">#REF!</definedName>
    <definedName name="KEY_INDICATORS_4" localSheetId="44">#REF!</definedName>
    <definedName name="KEY_INDICATORS_4" localSheetId="19">#REF!</definedName>
    <definedName name="KEY_INDICATORS_4" localSheetId="41">#REF!</definedName>
    <definedName name="KEY_INDICATORS_4" localSheetId="17">#REF!</definedName>
    <definedName name="KEY_INDICATORS_4" localSheetId="32">#REF!</definedName>
    <definedName name="KEY_INDICATORS_4">#REF!</definedName>
    <definedName name="KEY_INDICATORS_5" localSheetId="42">#REF!</definedName>
    <definedName name="KEY_INDICATORS_5" localSheetId="35">#REF!</definedName>
    <definedName name="KEY_INDICATORS_5" localSheetId="44">#REF!</definedName>
    <definedName name="KEY_INDICATORS_5" localSheetId="19">#REF!</definedName>
    <definedName name="KEY_INDICATORS_5" localSheetId="41">#REF!</definedName>
    <definedName name="KEY_INDICATORS_5" localSheetId="17">#REF!</definedName>
    <definedName name="KEY_INDICATORS_5" localSheetId="32">#REF!</definedName>
    <definedName name="KEY_INDICATORS_5">#REF!</definedName>
    <definedName name="KEY_INDICATORS_6" localSheetId="42">#REF!</definedName>
    <definedName name="KEY_INDICATORS_6" localSheetId="35">#REF!</definedName>
    <definedName name="KEY_INDICATORS_6" localSheetId="44">#REF!</definedName>
    <definedName name="KEY_INDICATORS_6" localSheetId="19">#REF!</definedName>
    <definedName name="KEY_INDICATORS_6" localSheetId="41">#REF!</definedName>
    <definedName name="KEY_INDICATORS_6" localSheetId="17">#REF!</definedName>
    <definedName name="KEY_INDICATORS_6" localSheetId="32">#REF!</definedName>
    <definedName name="KEY_INDICATORS_6">#REF!</definedName>
    <definedName name="KEY_INDICATORS_7" localSheetId="42">#REF!</definedName>
    <definedName name="KEY_INDICATORS_7" localSheetId="35">#REF!</definedName>
    <definedName name="KEY_INDICATORS_7" localSheetId="44">#REF!</definedName>
    <definedName name="KEY_INDICATORS_7" localSheetId="19">#REF!</definedName>
    <definedName name="KEY_INDICATORS_7" localSheetId="41">#REF!</definedName>
    <definedName name="KEY_INDICATORS_7" localSheetId="17">#REF!</definedName>
    <definedName name="KEY_INDICATORS_7" localSheetId="32">#REF!</definedName>
    <definedName name="KEY_INDICATORS_7">#REF!</definedName>
    <definedName name="KEY_INDICATORS_8" localSheetId="42">#REF!</definedName>
    <definedName name="KEY_INDICATORS_8" localSheetId="35">#REF!</definedName>
    <definedName name="KEY_INDICATORS_8" localSheetId="44">#REF!</definedName>
    <definedName name="KEY_INDICATORS_8" localSheetId="19">#REF!</definedName>
    <definedName name="KEY_INDICATORS_8" localSheetId="41">#REF!</definedName>
    <definedName name="KEY_INDICATORS_8" localSheetId="17">#REF!</definedName>
    <definedName name="KEY_INDICATORS_8" localSheetId="32">#REF!</definedName>
    <definedName name="KEY_INDICATORS_8">#REF!</definedName>
    <definedName name="KOREA_PLASTIC_in_KUSD" localSheetId="17">#REF!</definedName>
    <definedName name="KOREA_PLASTIC_in_KUSD">#REF!</definedName>
    <definedName name="L" localSheetId="42">[55]rough!#REF!</definedName>
    <definedName name="L" localSheetId="35">[55]rough!#REF!</definedName>
    <definedName name="L" localSheetId="44">[55]rough!#REF!</definedName>
    <definedName name="L" localSheetId="19">[55]rough!#REF!</definedName>
    <definedName name="L" localSheetId="17">[55]rough!#REF!</definedName>
    <definedName name="L" localSheetId="32">[55]rough!#REF!</definedName>
    <definedName name="L">[55]rough!#REF!</definedName>
    <definedName name="L00380_">'[18]TB APJ'!$B$177</definedName>
    <definedName name="L00385_">'[18]TB APJ'!$B$178</definedName>
    <definedName name="L00386_">'[18]TB APJ'!$B$179</definedName>
    <definedName name="L00398_">'[18]TB APJ'!$B$390</definedName>
    <definedName name="L00406_">'[18]TB APJ'!$B$317</definedName>
    <definedName name="L00409_">'[18]TB APJ'!$B$180</definedName>
    <definedName name="L00410_" localSheetId="13">'[18]TB APJ'!#REF!</definedName>
    <definedName name="L00410_" localSheetId="4">'[18]TB APJ'!#REF!</definedName>
    <definedName name="L00410_" localSheetId="17">'[18]TB APJ'!#REF!</definedName>
    <definedName name="L00410_">'[18]TB APJ'!#REF!</definedName>
    <definedName name="L00416_" localSheetId="13">'[18]TB APJ'!#REF!</definedName>
    <definedName name="L00416_" localSheetId="4">'[18]TB APJ'!#REF!</definedName>
    <definedName name="L00416_" localSheetId="17">'[18]TB APJ'!#REF!</definedName>
    <definedName name="L00416_">'[18]TB APJ'!#REF!</definedName>
    <definedName name="L00417_" localSheetId="13">'[18]TB APJ'!#REF!</definedName>
    <definedName name="L00417_" localSheetId="4">'[18]TB APJ'!#REF!</definedName>
    <definedName name="L00417_" localSheetId="17">'[18]TB APJ'!#REF!</definedName>
    <definedName name="L00417_">'[18]TB APJ'!#REF!</definedName>
    <definedName name="L00418_" localSheetId="13">'[18]TB APJ'!#REF!</definedName>
    <definedName name="L00418_" localSheetId="4">'[18]TB APJ'!#REF!</definedName>
    <definedName name="L00418_" localSheetId="17">'[18]TB APJ'!#REF!</definedName>
    <definedName name="L00418_">'[18]TB APJ'!#REF!</definedName>
    <definedName name="L00420_">'[18]TB APJ'!$B$181</definedName>
    <definedName name="L00625_" localSheetId="13">'[18]TB APJ'!#REF!</definedName>
    <definedName name="L00625_" localSheetId="4">'[18]TB APJ'!#REF!</definedName>
    <definedName name="L00625_" localSheetId="17">'[18]TB APJ'!#REF!</definedName>
    <definedName name="L00625_">'[18]TB APJ'!#REF!</definedName>
    <definedName name="L00626_" localSheetId="13">'[18]TB APJ'!#REF!</definedName>
    <definedName name="L00626_" localSheetId="4">'[18]TB APJ'!#REF!</definedName>
    <definedName name="L00626_" localSheetId="17">'[18]TB APJ'!#REF!</definedName>
    <definedName name="L00626_">'[18]TB APJ'!#REF!</definedName>
    <definedName name="L00627_" localSheetId="13">'[18]TB APJ'!#REF!</definedName>
    <definedName name="L00627_" localSheetId="4">'[18]TB APJ'!#REF!</definedName>
    <definedName name="L00627_" localSheetId="17">'[18]TB APJ'!#REF!</definedName>
    <definedName name="L00627_">'[18]TB APJ'!#REF!</definedName>
    <definedName name="L00628_" localSheetId="13">'[18]TB APJ'!#REF!</definedName>
    <definedName name="L00628_" localSheetId="4">'[18]TB APJ'!#REF!</definedName>
    <definedName name="L00628_" localSheetId="17">'[18]TB APJ'!#REF!</definedName>
    <definedName name="L00628_">'[18]TB APJ'!#REF!</definedName>
    <definedName name="L00644_" localSheetId="17">'[18]TB APJ'!#REF!</definedName>
    <definedName name="L00644_">'[18]TB APJ'!#REF!</definedName>
    <definedName name="L00646_" localSheetId="17">'[18]TB APJ'!#REF!</definedName>
    <definedName name="L00646_">'[18]TB APJ'!#REF!</definedName>
    <definedName name="L00647_" localSheetId="17">'[18]TB APJ'!#REF!</definedName>
    <definedName name="L00647_">'[18]TB APJ'!#REF!</definedName>
    <definedName name="L00649_">'[18]TB APJ'!$B$182</definedName>
    <definedName name="L00655_">'[18]TB APJ'!$B$392</definedName>
    <definedName name="L00656_" localSheetId="13">'[18]TB APJ'!#REF!</definedName>
    <definedName name="L00656_" localSheetId="4">'[18]TB APJ'!#REF!</definedName>
    <definedName name="L00656_" localSheetId="17">'[18]TB APJ'!#REF!</definedName>
    <definedName name="L00656_">'[18]TB APJ'!#REF!</definedName>
    <definedName name="L00657_" localSheetId="13">'[18]TB APJ'!#REF!</definedName>
    <definedName name="L00657_" localSheetId="4">'[18]TB APJ'!#REF!</definedName>
    <definedName name="L00657_" localSheetId="17">'[18]TB APJ'!#REF!</definedName>
    <definedName name="L00657_">'[18]TB APJ'!#REF!</definedName>
    <definedName name="L00659_" localSheetId="13">'[18]TB APJ'!#REF!</definedName>
    <definedName name="L00659_" localSheetId="4">'[18]TB APJ'!#REF!</definedName>
    <definedName name="L00659_" localSheetId="17">'[18]TB APJ'!#REF!</definedName>
    <definedName name="L00659_">'[18]TB APJ'!#REF!</definedName>
    <definedName name="L00660_" localSheetId="13">'[18]TB APJ'!#REF!</definedName>
    <definedName name="L00660_" localSheetId="4">'[18]TB APJ'!#REF!</definedName>
    <definedName name="L00660_" localSheetId="17">'[18]TB APJ'!#REF!</definedName>
    <definedName name="L00660_">'[18]TB APJ'!#REF!</definedName>
    <definedName name="L00665_" localSheetId="17">'[18]TB APJ'!#REF!</definedName>
    <definedName name="L00665_">'[18]TB APJ'!#REF!</definedName>
    <definedName name="L00666_">'[18]TB APJ'!$B$183</definedName>
    <definedName name="L00667_">'[18]TB APJ'!$B$184</definedName>
    <definedName name="L00668_" localSheetId="13">'[17]TB APJ'!#REF!</definedName>
    <definedName name="L00668_" localSheetId="4">'[17]TB APJ'!#REF!</definedName>
    <definedName name="L00668_" localSheetId="17">'[17]TB APJ'!#REF!</definedName>
    <definedName name="L00668_">'[17]TB APJ'!#REF!</definedName>
    <definedName name="L00669_">'[18]TB APJ'!$B$185</definedName>
    <definedName name="L00670_" localSheetId="13">'[18]TB APJ'!#REF!</definedName>
    <definedName name="L00670_" localSheetId="4">'[18]TB APJ'!#REF!</definedName>
    <definedName name="L00670_" localSheetId="17">'[18]TB APJ'!#REF!</definedName>
    <definedName name="L00670_">'[18]TB APJ'!#REF!</definedName>
    <definedName name="L00671_" localSheetId="13">'[18]TB APJ'!#REF!</definedName>
    <definedName name="L00671_" localSheetId="4">'[18]TB APJ'!#REF!</definedName>
    <definedName name="L00671_" localSheetId="17">'[18]TB APJ'!#REF!</definedName>
    <definedName name="L00671_">'[18]TB APJ'!#REF!</definedName>
    <definedName name="L00672_" localSheetId="13">'[18]TB APJ'!#REF!</definedName>
    <definedName name="L00672_" localSheetId="4">'[18]TB APJ'!#REF!</definedName>
    <definedName name="L00672_" localSheetId="17">'[18]TB APJ'!#REF!</definedName>
    <definedName name="L00672_">'[18]TB APJ'!#REF!</definedName>
    <definedName name="L00673_" localSheetId="13">'[18]TB APJ'!#REF!</definedName>
    <definedName name="L00673_" localSheetId="4">'[18]TB APJ'!#REF!</definedName>
    <definedName name="L00673_" localSheetId="17">'[18]TB APJ'!#REF!</definedName>
    <definedName name="L00673_">'[18]TB APJ'!#REF!</definedName>
    <definedName name="L00675_" localSheetId="17">'[18]TB APJ'!#REF!</definedName>
    <definedName name="L00675_">'[18]TB APJ'!#REF!</definedName>
    <definedName name="L00677_" localSheetId="17">'[17]TB APJ'!#REF!</definedName>
    <definedName name="L00677_">'[17]TB APJ'!#REF!</definedName>
    <definedName name="L00678_" localSheetId="17">'[18]TB APJ'!#REF!</definedName>
    <definedName name="L00678_">'[18]TB APJ'!#REF!</definedName>
    <definedName name="L00681_" localSheetId="17">'[17]TB APJ'!#REF!</definedName>
    <definedName name="L00681_">'[17]TB APJ'!#REF!</definedName>
    <definedName name="L00683_">'[18]TB APJ'!$B$188</definedName>
    <definedName name="L00684_">'[18]TB APJ'!$B$394</definedName>
    <definedName name="L00685_" localSheetId="13">'[18]TB APJ'!#REF!</definedName>
    <definedName name="L00685_" localSheetId="4">'[18]TB APJ'!#REF!</definedName>
    <definedName name="L00685_" localSheetId="17">'[18]TB APJ'!#REF!</definedName>
    <definedName name="L00685_">'[18]TB APJ'!#REF!</definedName>
    <definedName name="L00686_" localSheetId="13">'[18]TB APJ'!#REF!</definedName>
    <definedName name="L00686_" localSheetId="4">'[18]TB APJ'!#REF!</definedName>
    <definedName name="L00686_" localSheetId="17">'[18]TB APJ'!#REF!</definedName>
    <definedName name="L00686_">'[18]TB APJ'!#REF!</definedName>
    <definedName name="L00687_" localSheetId="13">'[18]TB APJ'!#REF!</definedName>
    <definedName name="L00687_" localSheetId="4">'[18]TB APJ'!#REF!</definedName>
    <definedName name="L00687_" localSheetId="17">'[18]TB APJ'!#REF!</definedName>
    <definedName name="L00687_">'[18]TB APJ'!#REF!</definedName>
    <definedName name="L00690_" localSheetId="13">'[17]TB APJ'!#REF!</definedName>
    <definedName name="L00690_" localSheetId="4">'[17]TB APJ'!#REF!</definedName>
    <definedName name="L00690_" localSheetId="17">'[17]TB APJ'!#REF!</definedName>
    <definedName name="L00690_">'[17]TB APJ'!#REF!</definedName>
    <definedName name="L00693_">'[18]TB APJ'!$B$275</definedName>
    <definedName name="L00697_">'[18]TB APJ'!$B$189</definedName>
    <definedName name="L00699_" localSheetId="13">'[18]TB APJ'!#REF!</definedName>
    <definedName name="L00699_" localSheetId="4">'[18]TB APJ'!#REF!</definedName>
    <definedName name="L00699_" localSheetId="17">'[18]TB APJ'!#REF!</definedName>
    <definedName name="L00699_">'[18]TB APJ'!#REF!</definedName>
    <definedName name="L00703_" localSheetId="13">'[18]TB APJ'!#REF!</definedName>
    <definedName name="L00703_" localSheetId="4">'[18]TB APJ'!#REF!</definedName>
    <definedName name="L00703_" localSheetId="17">'[18]TB APJ'!#REF!</definedName>
    <definedName name="L00703_">'[18]TB APJ'!#REF!</definedName>
    <definedName name="L00704_" localSheetId="13">'[18]TB APJ'!#REF!</definedName>
    <definedName name="L00704_" localSheetId="4">'[18]TB APJ'!#REF!</definedName>
    <definedName name="L00704_" localSheetId="17">'[18]TB APJ'!#REF!</definedName>
    <definedName name="L00704_">'[18]TB APJ'!#REF!</definedName>
    <definedName name="L00705_" localSheetId="13">'[17]TB APJ'!#REF!</definedName>
    <definedName name="L00705_" localSheetId="4">'[17]TB APJ'!#REF!</definedName>
    <definedName name="L00705_" localSheetId="17">'[17]TB APJ'!#REF!</definedName>
    <definedName name="L00705_">'[17]TB APJ'!#REF!</definedName>
    <definedName name="L00706_">'[18]TB APJ'!$B$192</definedName>
    <definedName name="L00707_">'[17]TB APJ'!$B$125</definedName>
    <definedName name="L00708_">'[18]TB APJ'!$B$194</definedName>
    <definedName name="L00714_">'[18]TB APJ'!$B$195</definedName>
    <definedName name="L00718_">'[18]TB APJ'!$B$247</definedName>
    <definedName name="L00719_">'[18]TB APJ'!$B$199</definedName>
    <definedName name="L00725_">'[18]TB APJ'!$B$304</definedName>
    <definedName name="L00728_">'[18]TB APJ'!$B$401</definedName>
    <definedName name="L00730_">'[18]TB APJ'!$B$402</definedName>
    <definedName name="L00731_">'[18]TB APJ'!$B$403</definedName>
    <definedName name="L00733_">'[18]TB APJ'!$B$200</definedName>
    <definedName name="L00735_">'[18]TB APJ'!$B$201</definedName>
    <definedName name="L00736_">'[18]TB APJ'!$B$202</definedName>
    <definedName name="L00737_">'[17]TB APJ'!$B$131</definedName>
    <definedName name="L0294_" localSheetId="13">'[18]TB APJ'!#REF!</definedName>
    <definedName name="L0294_" localSheetId="4">'[18]TB APJ'!#REF!</definedName>
    <definedName name="L0294_" localSheetId="17">'[18]TB APJ'!#REF!</definedName>
    <definedName name="L0294_">'[18]TB APJ'!#REF!</definedName>
    <definedName name="L0295_">'[18]TB APJ'!$B$204</definedName>
    <definedName name="L0296_">'[18]TB APJ'!$B$205</definedName>
    <definedName name="L0298_">'[18]TB APJ'!$B$248</definedName>
    <definedName name="L0299_">'[18]TB APJ'!$B$207</definedName>
    <definedName name="L0300_">'[18]TB APJ'!$B$208</definedName>
    <definedName name="L0302_">'[18]TB APJ'!$B$320</definedName>
    <definedName name="L0303_">'[18]TB APJ'!$B$404</definedName>
    <definedName name="L0304_">'[18]TB APJ'!$B$209</definedName>
    <definedName name="L0305_" localSheetId="13">'[18]TB APJ'!#REF!</definedName>
    <definedName name="L0305_" localSheetId="4">'[18]TB APJ'!#REF!</definedName>
    <definedName name="L0305_" localSheetId="17">'[18]TB APJ'!#REF!</definedName>
    <definedName name="L0305_">'[18]TB APJ'!#REF!</definedName>
    <definedName name="L0307_">'[18]TB APJ'!$B$210</definedName>
    <definedName name="L0308_" localSheetId="13">'[18]TB APJ'!#REF!</definedName>
    <definedName name="L0308_" localSheetId="4">'[18]TB APJ'!#REF!</definedName>
    <definedName name="L0308_" localSheetId="17">'[18]TB APJ'!#REF!</definedName>
    <definedName name="L0308_">'[18]TB APJ'!#REF!</definedName>
    <definedName name="L0309_">'[18]TB APJ'!$B$211</definedName>
    <definedName name="L0310_">'[18]TB APJ'!$B$321</definedName>
    <definedName name="L0311_" localSheetId="13">'[18]TB APJ'!#REF!</definedName>
    <definedName name="L0311_" localSheetId="4">'[18]TB APJ'!#REF!</definedName>
    <definedName name="L0311_" localSheetId="17">'[18]TB APJ'!#REF!</definedName>
    <definedName name="L0311_">'[18]TB APJ'!#REF!</definedName>
    <definedName name="L0316_">'[18]TB APJ'!$B$212</definedName>
    <definedName name="L0317_">'[18]TB APJ'!$B$213</definedName>
    <definedName name="L0318_" localSheetId="13">'[18]TB APJ'!#REF!</definedName>
    <definedName name="L0318_" localSheetId="4">'[18]TB APJ'!#REF!</definedName>
    <definedName name="L0318_" localSheetId="17">'[18]TB APJ'!#REF!</definedName>
    <definedName name="L0318_">'[18]TB APJ'!#REF!</definedName>
    <definedName name="L0319_">'[18]TB APJ'!$B$214</definedName>
    <definedName name="L0322_">'[18]TB APJ'!$B$408</definedName>
    <definedName name="L0323_">'[18]TB APJ'!$B$215</definedName>
    <definedName name="L0326_">'[18]TB APJ'!$B$216</definedName>
    <definedName name="L0328_">'[18]TB APJ'!$B$217</definedName>
    <definedName name="L0330_" localSheetId="13">'[18]TB APJ'!#REF!</definedName>
    <definedName name="L0330_" localSheetId="4">'[18]TB APJ'!#REF!</definedName>
    <definedName name="L0330_" localSheetId="17">'[18]TB APJ'!#REF!</definedName>
    <definedName name="L0330_">'[18]TB APJ'!#REF!</definedName>
    <definedName name="L0333_">'[18]TB APJ'!$B$218</definedName>
    <definedName name="L0337_">'[18]TB APJ'!$B$219</definedName>
    <definedName name="L0341_">'[18]TB APJ'!$B$220</definedName>
    <definedName name="L0342_">'[18]TB APJ'!$B$221</definedName>
    <definedName name="L0343_">'[18]TB APJ'!$B$222</definedName>
    <definedName name="L0344_" localSheetId="13">'[18]TB APJ'!#REF!</definedName>
    <definedName name="L0344_" localSheetId="4">'[18]TB APJ'!#REF!</definedName>
    <definedName name="L0344_" localSheetId="17">'[18]TB APJ'!#REF!</definedName>
    <definedName name="L0344_">'[18]TB APJ'!#REF!</definedName>
    <definedName name="L0346_">'[18]TB APJ'!$B$414</definedName>
    <definedName name="L0347_">'[18]TB APJ'!$B$238</definedName>
    <definedName name="L0348_" localSheetId="13">'[17]TB APJ'!#REF!</definedName>
    <definedName name="L0348_" localSheetId="4">'[17]TB APJ'!#REF!</definedName>
    <definedName name="L0348_" localSheetId="17">'[17]TB APJ'!#REF!</definedName>
    <definedName name="L0348_">'[17]TB APJ'!#REF!</definedName>
    <definedName name="L0349_">'[18]TB APJ'!$B$223</definedName>
    <definedName name="L0350_">'[18]TB APJ'!$B$415</definedName>
    <definedName name="L0351_" localSheetId="13">'[17]TB APJ'!#REF!</definedName>
    <definedName name="L0351_" localSheetId="4">'[17]TB APJ'!#REF!</definedName>
    <definedName name="L0351_" localSheetId="17">'[17]TB APJ'!#REF!</definedName>
    <definedName name="L0351_">'[17]TB APJ'!#REF!</definedName>
    <definedName name="L0355_">'[18]TB APJ'!$B$225</definedName>
    <definedName name="L0356_" localSheetId="13">'[17]TB APJ'!#REF!</definedName>
    <definedName name="L0356_" localSheetId="4">'[17]TB APJ'!#REF!</definedName>
    <definedName name="L0356_" localSheetId="17">'[17]TB APJ'!#REF!</definedName>
    <definedName name="L0356_">'[17]TB APJ'!#REF!</definedName>
    <definedName name="Labour" localSheetId="13">#REF!</definedName>
    <definedName name="Labour" localSheetId="19">#REF!</definedName>
    <definedName name="Labour" localSheetId="17">#REF!</definedName>
    <definedName name="Labour">#REF!</definedName>
    <definedName name="Labour_99" localSheetId="13">#REF!</definedName>
    <definedName name="Labour_99" localSheetId="19">#REF!</definedName>
    <definedName name="Labour_99" localSheetId="17">#REF!</definedName>
    <definedName name="Labour_99">#REF!</definedName>
    <definedName name="Labourch" localSheetId="42">#REF!</definedName>
    <definedName name="Labourch" localSheetId="35">#REF!</definedName>
    <definedName name="Labourch" localSheetId="44">#REF!</definedName>
    <definedName name="Labourch" localSheetId="19">#REF!</definedName>
    <definedName name="Labourch" localSheetId="41">#REF!</definedName>
    <definedName name="Labourch" localSheetId="17">#REF!</definedName>
    <definedName name="Labourch" localSheetId="32">#REF!</definedName>
    <definedName name="Labourch">#REF!</definedName>
    <definedName name="LAC" localSheetId="17">#REF!</definedName>
    <definedName name="LAC">#REF!</definedName>
    <definedName name="Last_Row">#N/A</definedName>
    <definedName name="LastDays" localSheetId="42">#REF!</definedName>
    <definedName name="LastDays" localSheetId="35">#REF!</definedName>
    <definedName name="LastDays" localSheetId="44">#REF!</definedName>
    <definedName name="LastDays" localSheetId="19">#REF!</definedName>
    <definedName name="LastDays" localSheetId="41">#REF!</definedName>
    <definedName name="LastDays" localSheetId="17">#REF!</definedName>
    <definedName name="LastDays" localSheetId="32">#REF!</definedName>
    <definedName name="LastDays">#REF!</definedName>
    <definedName name="LIAB_4" localSheetId="42">#REF!</definedName>
    <definedName name="LIAB_4" localSheetId="35">#REF!</definedName>
    <definedName name="LIAB_4" localSheetId="44">#REF!</definedName>
    <definedName name="LIAB_4" localSheetId="19">#REF!</definedName>
    <definedName name="LIAB_4" localSheetId="41">#REF!</definedName>
    <definedName name="LIAB_4" localSheetId="17">#REF!</definedName>
    <definedName name="LIAB_4" localSheetId="32">#REF!</definedName>
    <definedName name="LIAB_4">#REF!</definedName>
    <definedName name="LIAB_5" localSheetId="42">#REF!</definedName>
    <definedName name="LIAB_5" localSheetId="35">#REF!</definedName>
    <definedName name="LIAB_5" localSheetId="44">#REF!</definedName>
    <definedName name="LIAB_5" localSheetId="19">#REF!</definedName>
    <definedName name="LIAB_5" localSheetId="41">#REF!</definedName>
    <definedName name="LIAB_5" localSheetId="17">#REF!</definedName>
    <definedName name="LIAB_5" localSheetId="32">#REF!</definedName>
    <definedName name="LIAB_5">#REF!</definedName>
    <definedName name="LIAB_6" localSheetId="42">#REF!</definedName>
    <definedName name="LIAB_6" localSheetId="35">#REF!</definedName>
    <definedName name="LIAB_6" localSheetId="44">#REF!</definedName>
    <definedName name="LIAB_6" localSheetId="19">#REF!</definedName>
    <definedName name="LIAB_6" localSheetId="41">#REF!</definedName>
    <definedName name="LIAB_6" localSheetId="17">#REF!</definedName>
    <definedName name="LIAB_6" localSheetId="32">#REF!</definedName>
    <definedName name="LIAB_6">#REF!</definedName>
    <definedName name="LIAB_7" localSheetId="42">#REF!</definedName>
    <definedName name="LIAB_7" localSheetId="35">#REF!</definedName>
    <definedName name="LIAB_7" localSheetId="44">#REF!</definedName>
    <definedName name="LIAB_7" localSheetId="19">#REF!</definedName>
    <definedName name="LIAB_7" localSheetId="41">#REF!</definedName>
    <definedName name="LIAB_7" localSheetId="17">#REF!</definedName>
    <definedName name="LIAB_7" localSheetId="32">#REF!</definedName>
    <definedName name="LIAB_7">#REF!</definedName>
    <definedName name="LIAB_8" localSheetId="42">#REF!</definedName>
    <definedName name="LIAB_8" localSheetId="35">#REF!</definedName>
    <definedName name="LIAB_8" localSheetId="44">#REF!</definedName>
    <definedName name="LIAB_8" localSheetId="19">#REF!</definedName>
    <definedName name="LIAB_8" localSheetId="41">#REF!</definedName>
    <definedName name="LIAB_8" localSheetId="17">#REF!</definedName>
    <definedName name="LIAB_8" localSheetId="32">#REF!</definedName>
    <definedName name="LIAB_8">#REF!</definedName>
    <definedName name="Loan_Amount" localSheetId="42">'[48]Loan Amortization Schedule'!$D$5</definedName>
    <definedName name="Loan_Amount" localSheetId="35">'[48]Loan Amortization Schedule'!$D$5</definedName>
    <definedName name="Loan_Amount" localSheetId="44">'[48]Loan Amortization Schedule'!$D$5</definedName>
    <definedName name="Loan_Amount" localSheetId="41">'[49]Loan Amortization Schedule'!$D$5</definedName>
    <definedName name="Loan_Amount" localSheetId="32">'[48]Loan Amortization Schedule'!$D$5</definedName>
    <definedName name="Loan_Amount">'[50]Loan Amortization Schedule'!$D$5</definedName>
    <definedName name="Loan_Start" localSheetId="42">'[48]Loan Amortization Schedule'!$D$9</definedName>
    <definedName name="Loan_Start" localSheetId="35">'[48]Loan Amortization Schedule'!$D$9</definedName>
    <definedName name="Loan_Start" localSheetId="44">'[48]Loan Amortization Schedule'!$D$9</definedName>
    <definedName name="Loan_Start" localSheetId="41">'[49]Loan Amortization Schedule'!$D$9</definedName>
    <definedName name="Loan_Start" localSheetId="32">'[48]Loan Amortization Schedule'!$D$9</definedName>
    <definedName name="Loan_Start">'[50]Loan Amortization Schedule'!$D$9</definedName>
    <definedName name="Loan_Years" localSheetId="42">'[48]Loan Amortization Schedule'!$D$7</definedName>
    <definedName name="Loan_Years" localSheetId="35">'[48]Loan Amortization Schedule'!$D$7</definedName>
    <definedName name="Loan_Years" localSheetId="44">'[48]Loan Amortization Schedule'!$D$7</definedName>
    <definedName name="Loan_Years" localSheetId="41">'[49]Loan Amortization Schedule'!$D$7</definedName>
    <definedName name="Loan_Years" localSheetId="32">'[48]Loan Amortization Schedule'!$D$7</definedName>
    <definedName name="Loan_Years">'[50]Loan Amortization Schedule'!$D$7</definedName>
    <definedName name="LowerRate">0.1</definedName>
    <definedName name="ls" localSheetId="13">#REF!</definedName>
    <definedName name="ls" localSheetId="4">#REF!</definedName>
    <definedName name="ls" localSheetId="17">#REF!</definedName>
    <definedName name="ls">#REF!</definedName>
    <definedName name="M" localSheetId="42">#REF!</definedName>
    <definedName name="M" localSheetId="35">#REF!</definedName>
    <definedName name="M" localSheetId="44">#REF!</definedName>
    <definedName name="M" localSheetId="19">#REF!</definedName>
    <definedName name="M" localSheetId="41">#REF!</definedName>
    <definedName name="M" localSheetId="17">#REF!</definedName>
    <definedName name="M" localSheetId="32">#REF!</definedName>
    <definedName name="M">#REF!</definedName>
    <definedName name="ma" localSheetId="42">#REF!</definedName>
    <definedName name="ma" localSheetId="35">#REF!</definedName>
    <definedName name="ma" localSheetId="44">#REF!</definedName>
    <definedName name="ma" localSheetId="41">#REF!</definedName>
    <definedName name="ma" localSheetId="17">#REF!</definedName>
    <definedName name="ma" localSheetId="32">#REF!</definedName>
    <definedName name="ma">#REF!</definedName>
    <definedName name="MDEVISES" localSheetId="13">#REF!,#REF!,#REF!</definedName>
    <definedName name="MDEVISES" localSheetId="19">#REF!,#REF!,#REF!</definedName>
    <definedName name="MDEVISES" localSheetId="4">#REF!,#REF!,#REF!</definedName>
    <definedName name="MDEVISES" localSheetId="17">#REF!,#REF!,#REF!</definedName>
    <definedName name="MDEVISES">#REF!,#REF!,#REF!</definedName>
    <definedName name="merged2" localSheetId="42">#REF!</definedName>
    <definedName name="merged2" localSheetId="35">#REF!</definedName>
    <definedName name="merged2" localSheetId="44">#REF!</definedName>
    <definedName name="merged2" localSheetId="19">#REF!</definedName>
    <definedName name="merged2" localSheetId="41">#REF!</definedName>
    <definedName name="merged2" localSheetId="17">#REF!</definedName>
    <definedName name="merged2" localSheetId="32">#REF!</definedName>
    <definedName name="merged2">#REF!</definedName>
    <definedName name="MethodAcc">[24]Masters!$C$46</definedName>
    <definedName name="MFRF" localSheetId="13">#REF!,#REF!,#REF!,#REF!,#REF!</definedName>
    <definedName name="MFRF" localSheetId="19">#REF!,#REF!,#REF!,#REF!,#REF!</definedName>
    <definedName name="MFRF" localSheetId="17">#REF!,#REF!,#REF!,#REF!,#REF!</definedName>
    <definedName name="MFRF">#REF!,#REF!,#REF!,#REF!,#REF!</definedName>
    <definedName name="mm" localSheetId="13" hidden="1">{#N/A,#N/A,TRUE,"Sheet1"}</definedName>
    <definedName name="mm" localSheetId="19" hidden="1">{#N/A,#N/A,TRUE,"Sheet1"}</definedName>
    <definedName name="mm" localSheetId="41" hidden="1">{#N/A,#N/A,TRUE,"Sheet1"}</definedName>
    <definedName name="mm" localSheetId="4" hidden="1">{#N/A,#N/A,TRUE,"Sheet1"}</definedName>
    <definedName name="mm" localSheetId="17" hidden="1">{#N/A,#N/A,TRUE,"Sheet1"}</definedName>
    <definedName name="mm" hidden="1">{#N/A,#N/A,TRUE,"Sheet1"}</definedName>
    <definedName name="MONTHLY_MG" localSheetId="13">#REF!</definedName>
    <definedName name="MONTHLY_MG" localSheetId="4">#REF!</definedName>
    <definedName name="MONTHLY_MG" localSheetId="17">#REF!</definedName>
    <definedName name="MONTHLY_MG">#REF!</definedName>
    <definedName name="MonthsList" localSheetId="42">#REF!</definedName>
    <definedName name="MonthsList" localSheetId="35">#REF!</definedName>
    <definedName name="MonthsList" localSheetId="44">#REF!</definedName>
    <definedName name="MonthsList" localSheetId="41">#REF!</definedName>
    <definedName name="MonthsList" localSheetId="17">#REF!</definedName>
    <definedName name="MonthsList" localSheetId="32">#REF!</definedName>
    <definedName name="MonthsList">#REF!</definedName>
    <definedName name="MotorVehicles">[56]Useful_Life!$C$28:$C$34</definedName>
    <definedName name="MSME" localSheetId="17">'[4]BS&amp;PLA'!#REF!</definedName>
    <definedName name="MSME">'[4]BS&amp;PLA'!#REF!</definedName>
    <definedName name="MStVal">[24]Masters!$C$47</definedName>
    <definedName name="multivision" localSheetId="13">#REF!</definedName>
    <definedName name="multivision" localSheetId="19">#REF!</definedName>
    <definedName name="multivision" localSheetId="17">#REF!</definedName>
    <definedName name="multivision">#REF!</definedName>
    <definedName name="mv" localSheetId="42">#REF!</definedName>
    <definedName name="mv" localSheetId="35">#REF!</definedName>
    <definedName name="mv" localSheetId="44">#REF!</definedName>
    <definedName name="mv" localSheetId="19">#REF!</definedName>
    <definedName name="mv" localSheetId="41">#REF!</definedName>
    <definedName name="mv" localSheetId="17">#REF!</definedName>
    <definedName name="mv" localSheetId="32">#REF!</definedName>
    <definedName name="mv">#REF!</definedName>
    <definedName name="Name" localSheetId="42">#REF!</definedName>
    <definedName name="Name" localSheetId="35">#REF!</definedName>
    <definedName name="Name" localSheetId="44">#REF!</definedName>
    <definedName name="Name" localSheetId="19">#REF!</definedName>
    <definedName name="Name" localSheetId="41">#REF!</definedName>
    <definedName name="Name" localSheetId="17">#REF!</definedName>
    <definedName name="Name" localSheetId="32">#REF!</definedName>
    <definedName name="Name">#REF!</definedName>
    <definedName name="naresh" localSheetId="17" hidden="1">'[57]269T(final)'!#REF!</definedName>
    <definedName name="naresh" hidden="1">'[57]269T(final)'!#REF!</definedName>
    <definedName name="NatureBusiness">[24]Masters!$C$45</definedName>
    <definedName name="nhfjgf">#N/A</definedName>
    <definedName name="Note"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4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4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4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4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_ON_ACCT" localSheetId="17">[58]tb!#REF!</definedName>
    <definedName name="NOTES_ON_ACCT">[58]tb!#REF!</definedName>
    <definedName name="Number_of_Payments" localSheetId="13">MATCH(0.01,End_Bal,-1)+1</definedName>
    <definedName name="Number_of_Payments" localSheetId="42">MATCH(0.01,'Advance to Supplier'!End_Bal,-1)+1</definedName>
    <definedName name="Number_of_Payments" localSheetId="35">MATCH(0.01,'Debtor''s Ageing'!End_Bal,-1)+1</definedName>
    <definedName name="Number_of_Payments" localSheetId="44">MATCH(0.01,'Debtor''s Ageing31.03.24'!End_Bal,-1)+1</definedName>
    <definedName name="Number_of_Payments" localSheetId="19">MATCH(0.01,End_Bal,-1)+1</definedName>
    <definedName name="Number_of_Payments" localSheetId="41">MATCH(0.01,'Loans to staff'!End_Bal,-1)+1</definedName>
    <definedName name="Number_of_Payments" localSheetId="4">MATCH(0.01,End_Bal,-1)+1</definedName>
    <definedName name="Number_of_Payments" localSheetId="17">MATCH(0.01,[0]!End_Bal,-1)+1</definedName>
    <definedName name="Number_of_Payments" localSheetId="32">MATCH(0.01,'Related Parties'!End_Bal,-1)+1</definedName>
    <definedName name="Number_of_Payments">MATCH(0.01,End_Bal,-1)+1</definedName>
    <definedName name="O" localSheetId="42">[59]rough!#REF!</definedName>
    <definedName name="O" localSheetId="35">[59]rough!#REF!</definedName>
    <definedName name="O" localSheetId="44">[59]rough!#REF!</definedName>
    <definedName name="O" localSheetId="19">[59]rough!#REF!</definedName>
    <definedName name="O" localSheetId="41">[59]rough!#REF!</definedName>
    <definedName name="O" localSheetId="17">[59]rough!#REF!</definedName>
    <definedName name="O" localSheetId="32">[59]rough!#REF!</definedName>
    <definedName name="O">[59]rough!#REF!</definedName>
    <definedName name="oh" localSheetId="42">#REF!</definedName>
    <definedName name="oh" localSheetId="35">#REF!</definedName>
    <definedName name="oh" localSheetId="44">#REF!</definedName>
    <definedName name="oh" localSheetId="19">#REF!</definedName>
    <definedName name="oh" localSheetId="41">#REF!</definedName>
    <definedName name="oh" localSheetId="17">#REF!</definedName>
    <definedName name="oh" localSheetId="32">#REF!</definedName>
    <definedName name="oh">#REF!</definedName>
    <definedName name="op_stk_rough_99" localSheetId="17">#REF!</definedName>
    <definedName name="op_stk_rough_99">#REF!</definedName>
    <definedName name="operations" localSheetId="17">#REF!</definedName>
    <definedName name="operations">#REF!</definedName>
    <definedName name="os" localSheetId="42">'[20]Annexure-I'!$W$11:$W$105</definedName>
    <definedName name="os" localSheetId="35">'[20]Annexure-I'!$W$11:$W$105</definedName>
    <definedName name="os" localSheetId="44">'[20]Annexure-I'!$W$11:$W$105</definedName>
    <definedName name="os" localSheetId="41">'[21]Annexure-I'!$W$11:$W$105</definedName>
    <definedName name="os" localSheetId="32">'[20]Annexure-I'!$W$11:$W$105</definedName>
    <definedName name="os">'[22]Annexure-I'!$W$11:$W$105</definedName>
    <definedName name="other" localSheetId="42">#REF!</definedName>
    <definedName name="other" localSheetId="35">#REF!</definedName>
    <definedName name="other" localSheetId="44">#REF!</definedName>
    <definedName name="other" localSheetId="19">#REF!</definedName>
    <definedName name="other" localSheetId="41">#REF!</definedName>
    <definedName name="other" localSheetId="17">#REF!</definedName>
    <definedName name="other" localSheetId="32">#REF!</definedName>
    <definedName name="other">#REF!</definedName>
    <definedName name="other_dep_99" localSheetId="17">#REF!</definedName>
    <definedName name="other_dep_99">#REF!</definedName>
    <definedName name="Other_exp_99" localSheetId="17">#REF!</definedName>
    <definedName name="Other_exp_99">#REF!</definedName>
    <definedName name="other_labour" localSheetId="17">#REF!</definedName>
    <definedName name="other_labour">#REF!</definedName>
    <definedName name="othercon" localSheetId="42">#REF!</definedName>
    <definedName name="othercon" localSheetId="35">#REF!</definedName>
    <definedName name="othercon" localSheetId="44">#REF!</definedName>
    <definedName name="othercon" localSheetId="19">#REF!</definedName>
    <definedName name="othercon" localSheetId="41">#REF!</definedName>
    <definedName name="othercon" localSheetId="17">#REF!</definedName>
    <definedName name="othercon" localSheetId="32">#REF!</definedName>
    <definedName name="othercon">#REF!</definedName>
    <definedName name="Others" localSheetId="42">[37]Volumes!#REF!</definedName>
    <definedName name="Others" localSheetId="35">[37]Volumes!#REF!</definedName>
    <definedName name="Others" localSheetId="44">[37]Volumes!#REF!</definedName>
    <definedName name="Others" localSheetId="19">[37]Volumes!#REF!</definedName>
    <definedName name="Others" localSheetId="17">[37]Volumes!#REF!</definedName>
    <definedName name="Others" localSheetId="32">[37]Volumes!#REF!</definedName>
    <definedName name="Others">[37]Volumes!#REF!</definedName>
    <definedName name="otr_labour" localSheetId="13">#REF!</definedName>
    <definedName name="otr_labour" localSheetId="19">#REF!</definedName>
    <definedName name="otr_labour" localSheetId="17">#REF!</definedName>
    <definedName name="otr_labour">#REF!</definedName>
    <definedName name="otr_labour_99" localSheetId="13">#REF!</definedName>
    <definedName name="otr_labour_99" localSheetId="19">#REF!</definedName>
    <definedName name="otr_labour_99" localSheetId="17">#REF!</definedName>
    <definedName name="otr_labour_99">#REF!</definedName>
    <definedName name="p" localSheetId="42">[60]rough!#REF!</definedName>
    <definedName name="p" localSheetId="35">[60]rough!#REF!</definedName>
    <definedName name="p" localSheetId="44">[60]rough!#REF!</definedName>
    <definedName name="p" localSheetId="19">[60]rough!#REF!</definedName>
    <definedName name="p" localSheetId="17">[60]rough!#REF!</definedName>
    <definedName name="p" localSheetId="32">[60]rough!#REF!</definedName>
    <definedName name="p">[60]rough!#REF!</definedName>
    <definedName name="P___L___Statement" localSheetId="13">#REF!</definedName>
    <definedName name="P___L___Statement" localSheetId="19">#REF!</definedName>
    <definedName name="P___L___Statement" localSheetId="17">#REF!</definedName>
    <definedName name="P___L___Statement">#REF!</definedName>
    <definedName name="P_L" localSheetId="42">'[10]final  Bsheet &amp; P&amp; L '!#REF!</definedName>
    <definedName name="P_L" localSheetId="35">'[10]final  Bsheet &amp; P&amp; L '!#REF!</definedName>
    <definedName name="P_L" localSheetId="44">'[10]final  Bsheet &amp; P&amp; L '!#REF!</definedName>
    <definedName name="P_L" localSheetId="19">'[10]final  Bsheet &amp; P&amp; L '!#REF!</definedName>
    <definedName name="P_L" localSheetId="17">'[10]final  Bsheet &amp; P&amp; L '!#REF!</definedName>
    <definedName name="P_L" localSheetId="32">'[10]final  Bsheet &amp; P&amp; L '!#REF!</definedName>
    <definedName name="P_L">'[10]final  Bsheet &amp; P&amp; L '!#REF!</definedName>
    <definedName name="PAN">[24]Masters!$C$11</definedName>
    <definedName name="PartDesignation">[24]Masters!$C$16</definedName>
    <definedName name="PARTICULARS" localSheetId="13">#REF!</definedName>
    <definedName name="PARTICULARS" localSheetId="19">#REF!</definedName>
    <definedName name="PARTICULARS" localSheetId="17">#REF!</definedName>
    <definedName name="PARTICULARS">#REF!</definedName>
    <definedName name="Partners_capital_99" localSheetId="13">#REF!</definedName>
    <definedName name="Partners_capital_99" localSheetId="19">#REF!</definedName>
    <definedName name="Partners_capital_99" localSheetId="17">#REF!</definedName>
    <definedName name="Partners_capital_99">#REF!</definedName>
    <definedName name="PaymentNL" localSheetId="42">#REF!</definedName>
    <definedName name="PaymentNL" localSheetId="35">#REF!</definedName>
    <definedName name="PaymentNL" localSheetId="44">#REF!</definedName>
    <definedName name="PaymentNL" localSheetId="41">#REF!</definedName>
    <definedName name="PaymentNL" localSheetId="17">#REF!</definedName>
    <definedName name="PaymentNL" localSheetId="32">#REF!</definedName>
    <definedName name="PaymentNL">#REF!</definedName>
    <definedName name="PaymentsNL" localSheetId="42">#REF!</definedName>
    <definedName name="PaymentsNL" localSheetId="35">#REF!</definedName>
    <definedName name="PaymentsNL" localSheetId="44">#REF!</definedName>
    <definedName name="PaymentsNL" localSheetId="41">#REF!</definedName>
    <definedName name="PaymentsNL" localSheetId="17">#REF!</definedName>
    <definedName name="PaymentsNL" localSheetId="32">#REF!</definedName>
    <definedName name="PaymentsNL">#REF!</definedName>
    <definedName name="PaymentsSummary" localSheetId="42">#REF!</definedName>
    <definedName name="PaymentsSummary" localSheetId="35">#REF!</definedName>
    <definedName name="PaymentsSummary" localSheetId="44">#REF!</definedName>
    <definedName name="PaymentsSummary" localSheetId="41">#REF!</definedName>
    <definedName name="PaymentsSummary" localSheetId="17">#REF!</definedName>
    <definedName name="PaymentsSummary" localSheetId="32">#REF!</definedName>
    <definedName name="PaymentsSummary">#REF!</definedName>
    <definedName name="PaymentsVAT" localSheetId="42">#REF!</definedName>
    <definedName name="PaymentsVAT" localSheetId="35">#REF!</definedName>
    <definedName name="PaymentsVAT" localSheetId="44">#REF!</definedName>
    <definedName name="PaymentsVAT" localSheetId="41">#REF!</definedName>
    <definedName name="PaymentsVAT" localSheetId="17">#REF!</definedName>
    <definedName name="PaymentsVAT" localSheetId="32">#REF!</definedName>
    <definedName name="PaymentsVAT">#REF!</definedName>
    <definedName name="PaymentsVATable" localSheetId="42">#REF!</definedName>
    <definedName name="PaymentsVATable" localSheetId="35">#REF!</definedName>
    <definedName name="PaymentsVATable" localSheetId="44">#REF!</definedName>
    <definedName name="PaymentsVATable" localSheetId="41">#REF!</definedName>
    <definedName name="PaymentsVATable" localSheetId="17">#REF!</definedName>
    <definedName name="PaymentsVATable" localSheetId="32">#REF!</definedName>
    <definedName name="PaymentsVATable">#REF!</definedName>
    <definedName name="PBIDT" localSheetId="17">#REF!</definedName>
    <definedName name="PBIDT">#REF!</definedName>
    <definedName name="PC1_An">[31]PC1!$I$7:$I$46</definedName>
    <definedName name="PC1_Gross">[31]PC1!$F$47</definedName>
    <definedName name="PC1_Net">[31]PC1!$H$7:$H$46</definedName>
    <definedName name="PC1_VAT">[31]PC1!$G$47</definedName>
    <definedName name="PC10_An">[31]PC10!$I$7:$I$46</definedName>
    <definedName name="PC10_Gross">[31]PC10!$F$47</definedName>
    <definedName name="PC10_Net">[31]PC10!$H$7:$H$46</definedName>
    <definedName name="PC10_VAT">[31]PC10!$G$47</definedName>
    <definedName name="PC11_An">[31]PC11!$I$7:$I$46</definedName>
    <definedName name="PC11_Gross">[31]PC11!$F$47</definedName>
    <definedName name="PC11_Net">[31]PC11!$H$7:$H$46</definedName>
    <definedName name="PC11_VAT">[31]PC11!$G$47</definedName>
    <definedName name="PC12_An">[31]PC12!$I$7:$I$46</definedName>
    <definedName name="PC12_Gross">[31]PC12!$F$47</definedName>
    <definedName name="PC12_Net">[31]PC12!$H$7:$H$46</definedName>
    <definedName name="PC12_VAT">[31]PC12!$G$47</definedName>
    <definedName name="PC2_An">[31]PC2!$I$7:$I$46</definedName>
    <definedName name="PC2_Gross">[31]PC2!$F$47</definedName>
    <definedName name="PC2_Net">[31]PC2!$H$7:$H$46</definedName>
    <definedName name="PC2_VAT">[31]PC2!$G$47</definedName>
    <definedName name="PC3_An">[31]PC3!$I$7:$I$46</definedName>
    <definedName name="PC3_Gross">[31]PC3!$F$47</definedName>
    <definedName name="PC3_Net">[31]PC3!$H$7:$H$46</definedName>
    <definedName name="PC3_VAT">[31]PC3!$G$47</definedName>
    <definedName name="PC4_An">[31]PC4!$I$7:$I$46</definedName>
    <definedName name="PC4_Gross">[31]PC4!$F$47</definedName>
    <definedName name="PC4_Net">[31]PC4!$H$7:$H$46</definedName>
    <definedName name="PC4_VAT">[31]PC4!$G$47</definedName>
    <definedName name="PC5_An">[31]PC5!$I$7:$I$46</definedName>
    <definedName name="PC5_Gross">[31]PC5!$F$47</definedName>
    <definedName name="PC5_Net">[31]PC5!$H$7:$H$46</definedName>
    <definedName name="PC5_VAT">[31]PC5!$G$47</definedName>
    <definedName name="PC6_An">[31]PC6!$I$7:$I$46</definedName>
    <definedName name="PC6_Gross">[31]PC6!$F$47</definedName>
    <definedName name="PC6_Net">[31]PC6!$H$7:$H$46</definedName>
    <definedName name="PC6_VAT">[31]PC6!$G$47</definedName>
    <definedName name="PC7_An">[31]PC7!$I$7:$I$46</definedName>
    <definedName name="PC7_Gross">[31]PC7!$F$47</definedName>
    <definedName name="PC7_Net">[31]PC7!$H$7:$H$46</definedName>
    <definedName name="PC7_VAT">[31]PC7!$G$47</definedName>
    <definedName name="PC8_An">[31]PC8!$I$7:$I$46</definedName>
    <definedName name="PC8_Gross">[31]PC8!$F$47</definedName>
    <definedName name="PC8_Net">[31]PC8!$H$7:$H$46</definedName>
    <definedName name="PC8_VAT">[31]PC8!$G$47</definedName>
    <definedName name="PC9_An">[31]PC9!$I$7:$I$46</definedName>
    <definedName name="PC9_Gross">[31]PC9!$F$47</definedName>
    <definedName name="PC9_Net">[31]PC9!$H$7:$H$46</definedName>
    <definedName name="PC9_VAT">[31]PC9!$G$47</definedName>
    <definedName name="PCSA" localSheetId="42">[37]Volumes!#REF!</definedName>
    <definedName name="PCSA" localSheetId="35">[37]Volumes!#REF!</definedName>
    <definedName name="PCSA" localSheetId="44">[37]Volumes!#REF!</definedName>
    <definedName name="PCSA" localSheetId="19">[37]Volumes!#REF!</definedName>
    <definedName name="PCSA" localSheetId="41">[37]Volumes!#REF!</definedName>
    <definedName name="PCSA" localSheetId="17">[37]Volumes!#REF!</definedName>
    <definedName name="PCSA" localSheetId="32">[37]Volumes!#REF!</definedName>
    <definedName name="PCSA">[37]Volumes!#REF!</definedName>
    <definedName name="PCsummary" localSheetId="42">#REF!</definedName>
    <definedName name="PCsummary" localSheetId="35">#REF!</definedName>
    <definedName name="PCsummary" localSheetId="44">#REF!</definedName>
    <definedName name="PCsummary" localSheetId="19">#REF!</definedName>
    <definedName name="PCsummary" localSheetId="41">#REF!</definedName>
    <definedName name="PCsummary" localSheetId="17">#REF!</definedName>
    <definedName name="PCsummary" localSheetId="32">#REF!</definedName>
    <definedName name="PCsummary">#REF!</definedName>
    <definedName name="PCVAT" localSheetId="42">#REF!</definedName>
    <definedName name="PCVAT" localSheetId="35">#REF!</definedName>
    <definedName name="PCVAT" localSheetId="44">#REF!</definedName>
    <definedName name="PCVAT" localSheetId="41">#REF!</definedName>
    <definedName name="PCVAT" localSheetId="17">#REF!</definedName>
    <definedName name="PCVAT" localSheetId="32">#REF!</definedName>
    <definedName name="PCVAT">#REF!</definedName>
    <definedName name="pl">'[2]BS 590'!$B$69:$H$116</definedName>
    <definedName name="PL1_4" localSheetId="42">#REF!</definedName>
    <definedName name="PL1_4" localSheetId="35">#REF!</definedName>
    <definedName name="PL1_4" localSheetId="44">#REF!</definedName>
    <definedName name="PL1_4" localSheetId="19">#REF!</definedName>
    <definedName name="PL1_4" localSheetId="41">#REF!</definedName>
    <definedName name="PL1_4" localSheetId="17">#REF!</definedName>
    <definedName name="PL1_4" localSheetId="32">#REF!</definedName>
    <definedName name="PL1_4">#REF!</definedName>
    <definedName name="PL1_5" localSheetId="42">#REF!</definedName>
    <definedName name="PL1_5" localSheetId="35">#REF!</definedName>
    <definedName name="PL1_5" localSheetId="44">#REF!</definedName>
    <definedName name="PL1_5" localSheetId="19">#REF!</definedName>
    <definedName name="PL1_5" localSheetId="41">#REF!</definedName>
    <definedName name="PL1_5" localSheetId="17">#REF!</definedName>
    <definedName name="PL1_5" localSheetId="32">#REF!</definedName>
    <definedName name="PL1_5">#REF!</definedName>
    <definedName name="PL1_6" localSheetId="42">#REF!</definedName>
    <definedName name="PL1_6" localSheetId="35">#REF!</definedName>
    <definedName name="PL1_6" localSheetId="44">#REF!</definedName>
    <definedName name="PL1_6" localSheetId="19">#REF!</definedName>
    <definedName name="PL1_6" localSheetId="41">#REF!</definedName>
    <definedName name="PL1_6" localSheetId="17">#REF!</definedName>
    <definedName name="PL1_6" localSheetId="32">#REF!</definedName>
    <definedName name="PL1_6">#REF!</definedName>
    <definedName name="PL1_7" localSheetId="42">#REF!</definedName>
    <definedName name="PL1_7" localSheetId="35">#REF!</definedName>
    <definedName name="PL1_7" localSheetId="44">#REF!</definedName>
    <definedName name="PL1_7" localSheetId="19">#REF!</definedName>
    <definedName name="PL1_7" localSheetId="41">#REF!</definedName>
    <definedName name="PL1_7" localSheetId="17">#REF!</definedName>
    <definedName name="PL1_7" localSheetId="32">#REF!</definedName>
    <definedName name="PL1_7">#REF!</definedName>
    <definedName name="PL1_8" localSheetId="42">#REF!</definedName>
    <definedName name="PL1_8" localSheetId="35">#REF!</definedName>
    <definedName name="PL1_8" localSheetId="44">#REF!</definedName>
    <definedName name="PL1_8" localSheetId="19">#REF!</definedName>
    <definedName name="PL1_8" localSheetId="41">#REF!</definedName>
    <definedName name="PL1_8" localSheetId="17">#REF!</definedName>
    <definedName name="PL1_8" localSheetId="32">#REF!</definedName>
    <definedName name="PL1_8">#REF!</definedName>
    <definedName name="PL2_4" localSheetId="42">#REF!</definedName>
    <definedName name="PL2_4" localSheetId="35">#REF!</definedName>
    <definedName name="PL2_4" localSheetId="44">#REF!</definedName>
    <definedName name="PL2_4" localSheetId="19">#REF!</definedName>
    <definedName name="PL2_4" localSheetId="41">#REF!</definedName>
    <definedName name="PL2_4" localSheetId="17">#REF!</definedName>
    <definedName name="PL2_4" localSheetId="32">#REF!</definedName>
    <definedName name="PL2_4">#REF!</definedName>
    <definedName name="PL2_5" localSheetId="42">#REF!</definedName>
    <definedName name="PL2_5" localSheetId="35">#REF!</definedName>
    <definedName name="PL2_5" localSheetId="44">#REF!</definedName>
    <definedName name="PL2_5" localSheetId="19">#REF!</definedName>
    <definedName name="PL2_5" localSheetId="41">#REF!</definedName>
    <definedName name="PL2_5" localSheetId="17">#REF!</definedName>
    <definedName name="PL2_5" localSheetId="32">#REF!</definedName>
    <definedName name="PL2_5">#REF!</definedName>
    <definedName name="PL2_6" localSheetId="42">#REF!</definedName>
    <definedName name="PL2_6" localSheetId="35">#REF!</definedName>
    <definedName name="PL2_6" localSheetId="44">#REF!</definedName>
    <definedName name="PL2_6" localSheetId="19">#REF!</definedName>
    <definedName name="PL2_6" localSheetId="41">#REF!</definedName>
    <definedName name="PL2_6" localSheetId="17">#REF!</definedName>
    <definedName name="PL2_6" localSheetId="32">#REF!</definedName>
    <definedName name="PL2_6">#REF!</definedName>
    <definedName name="PL2_7" localSheetId="42">#REF!</definedName>
    <definedName name="PL2_7" localSheetId="35">#REF!</definedName>
    <definedName name="PL2_7" localSheetId="44">#REF!</definedName>
    <definedName name="PL2_7" localSheetId="19">#REF!</definedName>
    <definedName name="PL2_7" localSheetId="41">#REF!</definedName>
    <definedName name="PL2_7" localSheetId="17">#REF!</definedName>
    <definedName name="PL2_7" localSheetId="32">#REF!</definedName>
    <definedName name="PL2_7">#REF!</definedName>
    <definedName name="PL2_8" localSheetId="42">#REF!</definedName>
    <definedName name="PL2_8" localSheetId="35">#REF!</definedName>
    <definedName name="PL2_8" localSheetId="44">#REF!</definedName>
    <definedName name="PL2_8" localSheetId="19">#REF!</definedName>
    <definedName name="PL2_8" localSheetId="41">#REF!</definedName>
    <definedName name="PL2_8" localSheetId="17">#REF!</definedName>
    <definedName name="PL2_8" localSheetId="32">#REF!</definedName>
    <definedName name="PL2_8">#REF!</definedName>
    <definedName name="plfull_4" localSheetId="42">#REF!</definedName>
    <definedName name="plfull_4" localSheetId="35">#REF!</definedName>
    <definedName name="plfull_4" localSheetId="44">#REF!</definedName>
    <definedName name="plfull_4" localSheetId="19">#REF!</definedName>
    <definedName name="plfull_4" localSheetId="41">#REF!</definedName>
    <definedName name="plfull_4" localSheetId="17">#REF!</definedName>
    <definedName name="plfull_4" localSheetId="32">#REF!</definedName>
    <definedName name="plfull_4">#REF!</definedName>
    <definedName name="plfull_5" localSheetId="42">#REF!</definedName>
    <definedName name="plfull_5" localSheetId="35">#REF!</definedName>
    <definedName name="plfull_5" localSheetId="44">#REF!</definedName>
    <definedName name="plfull_5" localSheetId="19">#REF!</definedName>
    <definedName name="plfull_5" localSheetId="41">#REF!</definedName>
    <definedName name="plfull_5" localSheetId="17">#REF!</definedName>
    <definedName name="plfull_5" localSheetId="32">#REF!</definedName>
    <definedName name="plfull_5">#REF!</definedName>
    <definedName name="plfull_6" localSheetId="42">#REF!</definedName>
    <definedName name="plfull_6" localSheetId="35">#REF!</definedName>
    <definedName name="plfull_6" localSheetId="44">#REF!</definedName>
    <definedName name="plfull_6" localSheetId="19">#REF!</definedName>
    <definedName name="plfull_6" localSheetId="41">#REF!</definedName>
    <definedName name="plfull_6" localSheetId="17">#REF!</definedName>
    <definedName name="plfull_6" localSheetId="32">#REF!</definedName>
    <definedName name="plfull_6">#REF!</definedName>
    <definedName name="plfull_7" localSheetId="42">#REF!</definedName>
    <definedName name="plfull_7" localSheetId="35">#REF!</definedName>
    <definedName name="plfull_7" localSheetId="44">#REF!</definedName>
    <definedName name="plfull_7" localSheetId="19">#REF!</definedName>
    <definedName name="plfull_7" localSheetId="41">#REF!</definedName>
    <definedName name="plfull_7" localSheetId="17">#REF!</definedName>
    <definedName name="plfull_7" localSheetId="32">#REF!</definedName>
    <definedName name="plfull_7">#REF!</definedName>
    <definedName name="plfull_8" localSheetId="42">#REF!</definedName>
    <definedName name="plfull_8" localSheetId="35">#REF!</definedName>
    <definedName name="plfull_8" localSheetId="44">#REF!</definedName>
    <definedName name="plfull_8" localSheetId="19">#REF!</definedName>
    <definedName name="plfull_8" localSheetId="41">#REF!</definedName>
    <definedName name="plfull_8" localSheetId="17">#REF!</definedName>
    <definedName name="plfull_8" localSheetId="32">#REF!</definedName>
    <definedName name="plfull_8">#REF!</definedName>
    <definedName name="plumbing" localSheetId="42">#REF!</definedName>
    <definedName name="plumbing" localSheetId="35">#REF!</definedName>
    <definedName name="plumbing" localSheetId="44">#REF!</definedName>
    <definedName name="plumbing" localSheetId="19">#REF!</definedName>
    <definedName name="plumbing" localSheetId="41">#REF!</definedName>
    <definedName name="plumbing" localSheetId="17">#REF!</definedName>
    <definedName name="plumbing" localSheetId="32">#REF!</definedName>
    <definedName name="plumbing">#REF!</definedName>
    <definedName name="Polish_cl_99" localSheetId="17">#REF!</definedName>
    <definedName name="Polish_cl_99">#REF!</definedName>
    <definedName name="Polish_op_99" localSheetId="17">#REF!</definedName>
    <definedName name="Polish_op_99">#REF!</definedName>
    <definedName name="Power" localSheetId="17">#REF!</definedName>
    <definedName name="Power">#REF!</definedName>
    <definedName name="Power_99" localSheetId="17">#REF!</definedName>
    <definedName name="Power_99">#REF!</definedName>
    <definedName name="prash" localSheetId="17">#REF!</definedName>
    <definedName name="prash">#REF!</definedName>
    <definedName name="Praveen"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_xlnm.Print_Area" localSheetId="13">#REF!</definedName>
    <definedName name="_xlnm.Print_Area" localSheetId="42">#REF!</definedName>
    <definedName name="_xlnm.Print_Area" localSheetId="3">BSPL!$B$3:$H$1023</definedName>
    <definedName name="_xlnm.Print_Area" localSheetId="6">'BSPL Lakhs'!$B$3:$H$1025</definedName>
    <definedName name="_xlnm.Print_Area" localSheetId="12">'Cash Flow'!$A$2:$AM$86</definedName>
    <definedName name="_xlnm.Print_Area" localSheetId="14">'Cash Flow lakhs'!$A$2:$AM$87</definedName>
    <definedName name="_xlnm.Print_Area" localSheetId="15">'CLOSING STOCK 31-03-24'!$A$1:$Q$37</definedName>
    <definedName name="_xlnm.Print_Area" localSheetId="10">COI!$B$2:$M$77</definedName>
    <definedName name="_xlnm.Print_Area" localSheetId="35">#REF!</definedName>
    <definedName name="_xlnm.Print_Area" localSheetId="44">'Debtor''s Ageing31.03.24'!$A$1:$Q$356</definedName>
    <definedName name="_xlnm.Print_Area" localSheetId="18">Depreciation!$A$1:$J$68</definedName>
    <definedName name="_xlnm.Print_Area" localSheetId="25">'Depreciation lakhs'!$A$1:$J$54</definedName>
    <definedName name="_xlnm.Print_Area" localSheetId="16">'FG Valuation'!$B$1:$I$40</definedName>
    <definedName name="_xlnm.Print_Area" localSheetId="19">'IT Dep'!$B$4:$Q$61</definedName>
    <definedName name="_xlnm.Print_Area" localSheetId="45">'Leave Encashment'!$A$1:$X$56</definedName>
    <definedName name="_xlnm.Print_Area" localSheetId="41">'Loans to staff'!$A$2:$M$23</definedName>
    <definedName name="_xlnm.Print_Area" localSheetId="4">'Ratio Analysis'!$B$2:$M$60</definedName>
    <definedName name="_xlnm.Print_Area" localSheetId="17">'Ratio Analysis (2)'!$B$2:$G$33</definedName>
    <definedName name="_xlnm.Print_Area" localSheetId="32">#REF!</definedName>
    <definedName name="_xlnm.Print_Area" localSheetId="0">'Result 1 P&amp;L'!$B$2:$G$59</definedName>
    <definedName name="_xlnm.Print_Area" localSheetId="1">'Result 2 BS'!$B$3:$D$51</definedName>
    <definedName name="_xlnm.Print_Area" localSheetId="2">'Result 3 CF'!$C$3:$E$47</definedName>
    <definedName name="_xlnm.Print_Area">#REF!</definedName>
    <definedName name="PRINT_AREA_MI" localSheetId="42">#REF!</definedName>
    <definedName name="PRINT_AREA_MI" localSheetId="35">#REF!</definedName>
    <definedName name="PRINT_AREA_MI" localSheetId="44">#REF!</definedName>
    <definedName name="PRINT_AREA_MI" localSheetId="19">#REF!</definedName>
    <definedName name="PRINT_AREA_MI" localSheetId="41">#REF!</definedName>
    <definedName name="PRINT_AREA_MI" localSheetId="17">#REF!</definedName>
    <definedName name="PRINT_AREA_MI" localSheetId="32">#REF!</definedName>
    <definedName name="PRINT_AREA_MI">#REF!</definedName>
    <definedName name="_xlnm.Print_Titles">#N/A</definedName>
    <definedName name="PROFIT" localSheetId="42">#REF!</definedName>
    <definedName name="PROFIT" localSheetId="35">#REF!</definedName>
    <definedName name="PROFIT" localSheetId="44">#REF!</definedName>
    <definedName name="PROFIT" localSheetId="19">#REF!</definedName>
    <definedName name="PROFIT" localSheetId="41">#REF!</definedName>
    <definedName name="PROFIT" localSheetId="17">#REF!</definedName>
    <definedName name="PROFIT" localSheetId="32">#REF!</definedName>
    <definedName name="PROFIT">#REF!</definedName>
    <definedName name="profitloss">[61]working!$A$540:$C$813</definedName>
    <definedName name="queries" localSheetId="42">#REF!</definedName>
    <definedName name="queries" localSheetId="35">#REF!</definedName>
    <definedName name="queries" localSheetId="44">#REF!</definedName>
    <definedName name="queries" localSheetId="19">#REF!</definedName>
    <definedName name="queries" localSheetId="41">#REF!</definedName>
    <definedName name="queries" localSheetId="17">#REF!</definedName>
    <definedName name="queries" localSheetId="32">#REF!</definedName>
    <definedName name="queries">#REF!</definedName>
    <definedName name="QWW" localSheetId="42">[60]rough!#REF!</definedName>
    <definedName name="QWW" localSheetId="35">[60]rough!#REF!</definedName>
    <definedName name="QWW" localSheetId="44">[60]rough!#REF!</definedName>
    <definedName name="QWW" localSheetId="19">[60]rough!#REF!</definedName>
    <definedName name="QWW" localSheetId="41">[60]rough!#REF!</definedName>
    <definedName name="QWW" localSheetId="17">[60]rough!#REF!</definedName>
    <definedName name="QWW" localSheetId="32">[60]rough!#REF!</definedName>
    <definedName name="QWW">[60]rough!#REF!</definedName>
    <definedName name="Ranalysis" localSheetId="42">#REF!</definedName>
    <definedName name="Ranalysis" localSheetId="35">#REF!</definedName>
    <definedName name="Ranalysis" localSheetId="44">#REF!</definedName>
    <definedName name="Ranalysis" localSheetId="19">#REF!</definedName>
    <definedName name="Ranalysis" localSheetId="41">#REF!</definedName>
    <definedName name="Ranalysis" localSheetId="17">#REF!</definedName>
    <definedName name="Ranalysis" localSheetId="32">#REF!</definedName>
    <definedName name="Ranalysis">#REF!</definedName>
    <definedName name="RATIO" localSheetId="42">#REF!</definedName>
    <definedName name="RATIO" localSheetId="35">#REF!</definedName>
    <definedName name="RATIO" localSheetId="44">#REF!</definedName>
    <definedName name="RATIO" localSheetId="19">#REF!</definedName>
    <definedName name="RATIO" localSheetId="41">#REF!</definedName>
    <definedName name="RATIO" localSheetId="17">#REF!</definedName>
    <definedName name="RATIO" localSheetId="32">#REF!</definedName>
    <definedName name="RATIO">#REF!</definedName>
    <definedName name="RATIOS_4" localSheetId="42">#REF!</definedName>
    <definedName name="RATIOS_4" localSheetId="35">#REF!</definedName>
    <definedName name="RATIOS_4" localSheetId="44">#REF!</definedName>
    <definedName name="RATIOS_4" localSheetId="19">#REF!</definedName>
    <definedName name="RATIOS_4" localSheetId="41">#REF!</definedName>
    <definedName name="RATIOS_4" localSheetId="17">#REF!</definedName>
    <definedName name="RATIOS_4" localSheetId="32">#REF!</definedName>
    <definedName name="RATIOS_4">#REF!</definedName>
    <definedName name="RATIOS_5" localSheetId="42">#REF!</definedName>
    <definedName name="RATIOS_5" localSheetId="35">#REF!</definedName>
    <definedName name="RATIOS_5" localSheetId="44">#REF!</definedName>
    <definedName name="RATIOS_5" localSheetId="19">#REF!</definedName>
    <definedName name="RATIOS_5" localSheetId="41">#REF!</definedName>
    <definedName name="RATIOS_5" localSheetId="17">#REF!</definedName>
    <definedName name="RATIOS_5" localSheetId="32">#REF!</definedName>
    <definedName name="RATIOS_5">#REF!</definedName>
    <definedName name="RATIOS_6" localSheetId="42">#REF!</definedName>
    <definedName name="RATIOS_6" localSheetId="35">#REF!</definedName>
    <definedName name="RATIOS_6" localSheetId="44">#REF!</definedName>
    <definedName name="RATIOS_6" localSheetId="19">#REF!</definedName>
    <definedName name="RATIOS_6" localSheetId="41">#REF!</definedName>
    <definedName name="RATIOS_6" localSheetId="17">#REF!</definedName>
    <definedName name="RATIOS_6" localSheetId="32">#REF!</definedName>
    <definedName name="RATIOS_6">#REF!</definedName>
    <definedName name="RATIOS_7" localSheetId="42">#REF!</definedName>
    <definedName name="RATIOS_7" localSheetId="35">#REF!</definedName>
    <definedName name="RATIOS_7" localSheetId="44">#REF!</definedName>
    <definedName name="RATIOS_7" localSheetId="19">#REF!</definedName>
    <definedName name="RATIOS_7" localSheetId="41">#REF!</definedName>
    <definedName name="RATIOS_7" localSheetId="17">#REF!</definedName>
    <definedName name="RATIOS_7" localSheetId="32">#REF!</definedName>
    <definedName name="RATIOS_7">#REF!</definedName>
    <definedName name="RATIOS_8" localSheetId="42">#REF!</definedName>
    <definedName name="RATIOS_8" localSheetId="35">#REF!</definedName>
    <definedName name="RATIOS_8" localSheetId="44">#REF!</definedName>
    <definedName name="RATIOS_8" localSheetId="19">#REF!</definedName>
    <definedName name="RATIOS_8" localSheetId="41">#REF!</definedName>
    <definedName name="RATIOS_8" localSheetId="17">#REF!</definedName>
    <definedName name="RATIOS_8" localSheetId="32">#REF!</definedName>
    <definedName name="RATIOS_8">#REF!</definedName>
    <definedName name="Raw_material" localSheetId="17">#REF!</definedName>
    <definedName name="Raw_material">#REF!</definedName>
    <definedName name="Raw_material_99" localSheetId="17">#REF!</definedName>
    <definedName name="Raw_material_99">#REF!</definedName>
    <definedName name="RE_ADDITIONS" localSheetId="42">#REF!</definedName>
    <definedName name="RE_ADDITIONS" localSheetId="35">#REF!</definedName>
    <definedName name="RE_ADDITIONS" localSheetId="44">#REF!</definedName>
    <definedName name="RE_ADDITIONS" localSheetId="19">#REF!</definedName>
    <definedName name="RE_ADDITIONS" localSheetId="41">#REF!</definedName>
    <definedName name="RE_ADDITIONS" localSheetId="17">#REF!</definedName>
    <definedName name="RE_ADDITIONS" localSheetId="32">#REF!</definedName>
    <definedName name="RE_ADDITIONS">#REF!</definedName>
    <definedName name="RE_SLM" localSheetId="42">#REF!</definedName>
    <definedName name="RE_SLM" localSheetId="35">#REF!</definedName>
    <definedName name="RE_SLM" localSheetId="44">#REF!</definedName>
    <definedName name="RE_SLM" localSheetId="19">#REF!</definedName>
    <definedName name="RE_SLM" localSheetId="41">#REF!</definedName>
    <definedName name="RE_SLM" localSheetId="17">#REF!</definedName>
    <definedName name="RE_SLM" localSheetId="32">#REF!</definedName>
    <definedName name="RE_SLM">#REF!</definedName>
    <definedName name="RE_SLM10" localSheetId="42">#REF!</definedName>
    <definedName name="RE_SLM10" localSheetId="35">#REF!</definedName>
    <definedName name="RE_SLM10" localSheetId="44">#REF!</definedName>
    <definedName name="RE_SLM10" localSheetId="19">#REF!</definedName>
    <definedName name="RE_SLM10" localSheetId="41">#REF!</definedName>
    <definedName name="RE_SLM10" localSheetId="17">#REF!</definedName>
    <definedName name="RE_SLM10" localSheetId="32">#REF!</definedName>
    <definedName name="RE_SLM10">#REF!</definedName>
    <definedName name="RE_SLM15" localSheetId="42">#REF!</definedName>
    <definedName name="RE_SLM15" localSheetId="35">#REF!</definedName>
    <definedName name="RE_SLM15" localSheetId="44">#REF!</definedName>
    <definedName name="RE_SLM15" localSheetId="19">#REF!</definedName>
    <definedName name="RE_SLM15" localSheetId="41">#REF!</definedName>
    <definedName name="RE_SLM15" localSheetId="17">#REF!</definedName>
    <definedName name="RE_SLM15" localSheetId="32">#REF!</definedName>
    <definedName name="RE_SLM15">#REF!</definedName>
    <definedName name="RE_WDV" localSheetId="42">#REF!</definedName>
    <definedName name="RE_WDV" localSheetId="35">#REF!</definedName>
    <definedName name="RE_WDV" localSheetId="44">#REF!</definedName>
    <definedName name="RE_WDV" localSheetId="19">#REF!</definedName>
    <definedName name="RE_WDV" localSheetId="41">#REF!</definedName>
    <definedName name="RE_WDV" localSheetId="17">#REF!</definedName>
    <definedName name="RE_WDV" localSheetId="32">#REF!</definedName>
    <definedName name="RE_WDV">#REF!</definedName>
    <definedName name="Realisations_salevalue" localSheetId="17">#REF!</definedName>
    <definedName name="Realisations_salevalue">#REF!</definedName>
    <definedName name="ReceiptsNL" localSheetId="42">#REF!</definedName>
    <definedName name="ReceiptsNL" localSheetId="35">#REF!</definedName>
    <definedName name="ReceiptsNL" localSheetId="44">#REF!</definedName>
    <definedName name="ReceiptsNL" localSheetId="41">#REF!</definedName>
    <definedName name="ReceiptsNL" localSheetId="17">#REF!</definedName>
    <definedName name="ReceiptsNL" localSheetId="32">#REF!</definedName>
    <definedName name="ReceiptsNL">#REF!</definedName>
    <definedName name="ReceiptsSummary" localSheetId="42">#REF!</definedName>
    <definedName name="ReceiptsSummary" localSheetId="35">#REF!</definedName>
    <definedName name="ReceiptsSummary" localSheetId="44">#REF!</definedName>
    <definedName name="ReceiptsSummary" localSheetId="41">#REF!</definedName>
    <definedName name="ReceiptsSummary" localSheetId="17">#REF!</definedName>
    <definedName name="ReceiptsSummary" localSheetId="32">#REF!</definedName>
    <definedName name="ReceiptsSummary">#REF!</definedName>
    <definedName name="ReceiptsVAT" localSheetId="42">#REF!</definedName>
    <definedName name="ReceiptsVAT" localSheetId="35">#REF!</definedName>
    <definedName name="ReceiptsVAT" localSheetId="44">#REF!</definedName>
    <definedName name="ReceiptsVAT" localSheetId="41">#REF!</definedName>
    <definedName name="ReceiptsVAT" localSheetId="17">#REF!</definedName>
    <definedName name="ReceiptsVAT" localSheetId="32">#REF!</definedName>
    <definedName name="ReceiptsVAT">#REF!</definedName>
    <definedName name="ReceiptsVATable" localSheetId="42">#REF!</definedName>
    <definedName name="ReceiptsVATable" localSheetId="35">#REF!</definedName>
    <definedName name="ReceiptsVATable" localSheetId="44">#REF!</definedName>
    <definedName name="ReceiptsVATable" localSheetId="41">#REF!</definedName>
    <definedName name="ReceiptsVATable" localSheetId="17">#REF!</definedName>
    <definedName name="ReceiptsVATable" localSheetId="32">#REF!</definedName>
    <definedName name="ReceiptsVATable">#REF!</definedName>
    <definedName name="REIMB" localSheetId="42">[37]Volumes!#REF!</definedName>
    <definedName name="REIMB" localSheetId="35">[37]Volumes!#REF!</definedName>
    <definedName name="REIMB" localSheetId="44">[37]Volumes!#REF!</definedName>
    <definedName name="REIMB" localSheetId="19">[37]Volumes!#REF!</definedName>
    <definedName name="REIMB" localSheetId="17">[37]Volumes!#REF!</definedName>
    <definedName name="REIMB" localSheetId="32">[37]Volumes!#REF!</definedName>
    <definedName name="REIMB">[37]Volumes!#REF!</definedName>
    <definedName name="RMB">[62]Data!$D$10</definedName>
    <definedName name="ro">[63]Master!$N$2</definedName>
    <definedName name="roshan" localSheetId="42">#REF!</definedName>
    <definedName name="roshan" localSheetId="35">#REF!</definedName>
    <definedName name="roshan" localSheetId="44">#REF!</definedName>
    <definedName name="roshan" localSheetId="19">#REF!</definedName>
    <definedName name="roshan" localSheetId="41">#REF!</definedName>
    <definedName name="roshan" localSheetId="17">#REF!</definedName>
    <definedName name="roshan" localSheetId="32">#REF!</definedName>
    <definedName name="roshan">#REF!</definedName>
    <definedName name="S" localSheetId="42">'[64]pharma - TB'!#REF!</definedName>
    <definedName name="S" localSheetId="35">'[64]pharma - TB'!#REF!</definedName>
    <definedName name="S" localSheetId="44">'[64]pharma - TB'!#REF!</definedName>
    <definedName name="S" localSheetId="19">'[65]pharma - TB'!#REF!</definedName>
    <definedName name="S" localSheetId="41">'[64]pharma - TB'!#REF!</definedName>
    <definedName name="S" localSheetId="17">'[64]pharma - TB'!#REF!</definedName>
    <definedName name="S" localSheetId="32">'[64]pharma - TB'!#REF!</definedName>
    <definedName name="S">'[64]pharma - TB'!#REF!</definedName>
    <definedName name="S_5" localSheetId="13">#REF!</definedName>
    <definedName name="S_5" localSheetId="19">#REF!</definedName>
    <definedName name="S_5" localSheetId="17">#REF!</definedName>
    <definedName name="S_5">#REF!</definedName>
    <definedName name="SA" localSheetId="42">MATCH(0.01,[43]!End_Bal,-1)+1</definedName>
    <definedName name="SA" localSheetId="35">MATCH(0.01,[43]!End_Bal,-1)+1</definedName>
    <definedName name="SA" localSheetId="44">MATCH(0.01,[43]!End_Bal,-1)+1</definedName>
    <definedName name="sa" localSheetId="19">'[41]TB APJ'!$B$97</definedName>
    <definedName name="SA" localSheetId="41">MATCH(0.01,[44]!End_Bal,-1)+1</definedName>
    <definedName name="SA" localSheetId="32">MATCH(0.01,[43]!End_Bal,-1)+1</definedName>
    <definedName name="SA">MATCH(0.01,[45]!End_Bal,-1)+1</definedName>
    <definedName name="SADFDSADFSADFD" localSheetId="13">#REF!</definedName>
    <definedName name="SADFDSADFSADFD" localSheetId="15">#REF!</definedName>
    <definedName name="SADFDSADFSADFD" localSheetId="19">#REF!</definedName>
    <definedName name="SADFDSADFSADFD" localSheetId="17">#REF!</definedName>
    <definedName name="SADFDSADFSADFD">#REF!</definedName>
    <definedName name="SALES" localSheetId="19">#REF!</definedName>
    <definedName name="SALES" localSheetId="17">#REF!</definedName>
    <definedName name="SALES">#REF!</definedName>
    <definedName name="salestax">[40]M_T!$H$6</definedName>
    <definedName name="sbi_facility_99" localSheetId="13">#REF!</definedName>
    <definedName name="sbi_facility_99" localSheetId="19">#REF!</definedName>
    <definedName name="sbi_facility_99" localSheetId="17">#REF!</definedName>
    <definedName name="sbi_facility_99">#REF!</definedName>
    <definedName name="Sc">[63]Master!$M$6</definedName>
    <definedName name="sch_131415" localSheetId="13">#REF!</definedName>
    <definedName name="sch_131415" localSheetId="19">#REF!</definedName>
    <definedName name="sch_131415" localSheetId="17">#REF!</definedName>
    <definedName name="sch_131415">#REF!</definedName>
    <definedName name="sch_13141516" localSheetId="13">#REF!</definedName>
    <definedName name="sch_13141516" localSheetId="19">#REF!</definedName>
    <definedName name="sch_13141516" localSheetId="17">#REF!</definedName>
    <definedName name="sch_13141516">#REF!</definedName>
    <definedName name="Sch_191" localSheetId="13">#REF!</definedName>
    <definedName name="Sch_191" localSheetId="19">#REF!</definedName>
    <definedName name="Sch_191" localSheetId="17">#REF!</definedName>
    <definedName name="Sch_191">#REF!</definedName>
    <definedName name="sch_192" localSheetId="17">#REF!</definedName>
    <definedName name="sch_192">#REF!</definedName>
    <definedName name="sch_193" localSheetId="17">#REF!</definedName>
    <definedName name="sch_193">#REF!</definedName>
    <definedName name="sch_194" localSheetId="17">#REF!</definedName>
    <definedName name="sch_194">#REF!</definedName>
    <definedName name="sch_195" localSheetId="17">#REF!</definedName>
    <definedName name="sch_195">#REF!</definedName>
    <definedName name="sch_196" localSheetId="17">#REF!</definedName>
    <definedName name="sch_196">#REF!</definedName>
    <definedName name="Sch_1a" localSheetId="17">#REF!</definedName>
    <definedName name="Sch_1a">#REF!</definedName>
    <definedName name="sch_2" localSheetId="17">#REF!</definedName>
    <definedName name="sch_2">#REF!</definedName>
    <definedName name="Sch_61" localSheetId="17">#REF!</definedName>
    <definedName name="Sch_61">#REF!</definedName>
    <definedName name="Sch_62" localSheetId="17">#REF!</definedName>
    <definedName name="Sch_62">#REF!</definedName>
    <definedName name="sch_63" localSheetId="17">#REF!</definedName>
    <definedName name="sch_63">#REF!</definedName>
    <definedName name="sch_789" localSheetId="17">#REF!</definedName>
    <definedName name="sch_789">#REF!</definedName>
    <definedName name="SCH1_3" localSheetId="17">#REF!</definedName>
    <definedName name="SCH1_3">#REF!</definedName>
    <definedName name="SCH1_TO_3" localSheetId="17">[58]tb!#REF!</definedName>
    <definedName name="SCH1_TO_3">[58]tb!#REF!</definedName>
    <definedName name="SCH4_5" localSheetId="13">#REF!</definedName>
    <definedName name="SCH4_5" localSheetId="19">#REF!</definedName>
    <definedName name="SCH4_5" localSheetId="17">#REF!</definedName>
    <definedName name="SCH4_5">#REF!</definedName>
    <definedName name="SCH4_T0_5" localSheetId="13">[58]tb!#REF!</definedName>
    <definedName name="SCH4_T0_5" localSheetId="19">[58]tb!#REF!</definedName>
    <definedName name="SCH4_T0_5" localSheetId="17">[58]tb!#REF!</definedName>
    <definedName name="SCH4_T0_5">[58]tb!#REF!</definedName>
    <definedName name="SCHE" localSheetId="42">#REF!</definedName>
    <definedName name="SCHE" localSheetId="35">#REF!</definedName>
    <definedName name="SCHE" localSheetId="44">#REF!</definedName>
    <definedName name="SCHE" localSheetId="19">#REF!</definedName>
    <definedName name="SCHE" localSheetId="41">#REF!</definedName>
    <definedName name="SCHE" localSheetId="17">#REF!</definedName>
    <definedName name="SCHE" localSheetId="32">#REF!</definedName>
    <definedName name="SCHE">#REF!</definedName>
    <definedName name="SDAFASFASFSAFSFSAFSAF" localSheetId="17">#REF!</definedName>
    <definedName name="SDAFASFASFSAFSFSAFSAF">#REF!</definedName>
    <definedName name="sdfdsadfs" localSheetId="17">#REF!</definedName>
    <definedName name="sdfdsadfs">#REF!</definedName>
    <definedName name="SEctionCode" localSheetId="42">[20]Challan!$IV$819:$IV$832</definedName>
    <definedName name="SEctionCode" localSheetId="35">[20]Challan!$IV$819:$IV$832</definedName>
    <definedName name="SEctionCode" localSheetId="44">[20]Challan!$IV$819:$IV$832</definedName>
    <definedName name="SEctionCode" localSheetId="41">[21]Challan!$IV$819:$IV$832</definedName>
    <definedName name="SEctionCode" localSheetId="32">[20]Challan!$IV$819:$IV$832</definedName>
    <definedName name="SEctionCode">[22]Challan!$IV$819:$IV$832</definedName>
    <definedName name="SECURITY" localSheetId="42">#REF!</definedName>
    <definedName name="SECURITY" localSheetId="35">#REF!</definedName>
    <definedName name="SECURITY" localSheetId="44">#REF!</definedName>
    <definedName name="SECURITY" localSheetId="19">#REF!</definedName>
    <definedName name="SECURITY" localSheetId="41">#REF!</definedName>
    <definedName name="SECURITY" localSheetId="17">#REF!</definedName>
    <definedName name="SECURITY" localSheetId="32">#REF!</definedName>
    <definedName name="SECURITY">#REF!</definedName>
    <definedName name="Security_4" localSheetId="42">#REF!</definedName>
    <definedName name="Security_4" localSheetId="35">#REF!</definedName>
    <definedName name="Security_4" localSheetId="44">#REF!</definedName>
    <definedName name="Security_4" localSheetId="19">#REF!</definedName>
    <definedName name="Security_4" localSheetId="41">#REF!</definedName>
    <definedName name="Security_4" localSheetId="17">#REF!</definedName>
    <definedName name="Security_4" localSheetId="32">#REF!</definedName>
    <definedName name="Security_4">#REF!</definedName>
    <definedName name="SECURITY_5" localSheetId="42">#REF!</definedName>
    <definedName name="SECURITY_5" localSheetId="35">#REF!</definedName>
    <definedName name="SECURITY_5" localSheetId="44">#REF!</definedName>
    <definedName name="SECURITY_5" localSheetId="19">#REF!</definedName>
    <definedName name="SECURITY_5" localSheetId="41">#REF!</definedName>
    <definedName name="SECURITY_5" localSheetId="17">#REF!</definedName>
    <definedName name="SECURITY_5" localSheetId="32">#REF!</definedName>
    <definedName name="SECURITY_5">#REF!</definedName>
    <definedName name="SECURITY_6" localSheetId="42">#REF!</definedName>
    <definedName name="SECURITY_6" localSheetId="35">#REF!</definedName>
    <definedName name="SECURITY_6" localSheetId="44">#REF!</definedName>
    <definedName name="SECURITY_6" localSheetId="19">#REF!</definedName>
    <definedName name="SECURITY_6" localSheetId="41">#REF!</definedName>
    <definedName name="SECURITY_6" localSheetId="17">#REF!</definedName>
    <definedName name="SECURITY_6" localSheetId="32">#REF!</definedName>
    <definedName name="SECURITY_6">#REF!</definedName>
    <definedName name="SECURITY_7" localSheetId="42">#REF!</definedName>
    <definedName name="SECURITY_7" localSheetId="35">#REF!</definedName>
    <definedName name="SECURITY_7" localSheetId="44">#REF!</definedName>
    <definedName name="SECURITY_7" localSheetId="19">#REF!</definedName>
    <definedName name="SECURITY_7" localSheetId="41">#REF!</definedName>
    <definedName name="SECURITY_7" localSheetId="17">#REF!</definedName>
    <definedName name="SECURITY_7" localSheetId="32">#REF!</definedName>
    <definedName name="SECURITY_7">#REF!</definedName>
    <definedName name="SECURITY_8" localSheetId="42">#REF!</definedName>
    <definedName name="SECURITY_8" localSheetId="35">#REF!</definedName>
    <definedName name="SECURITY_8" localSheetId="44">#REF!</definedName>
    <definedName name="SECURITY_8" localSheetId="19">#REF!</definedName>
    <definedName name="SECURITY_8" localSheetId="41">#REF!</definedName>
    <definedName name="SECURITY_8" localSheetId="17">#REF!</definedName>
    <definedName name="SECURITY_8" localSheetId="32">#REF!</definedName>
    <definedName name="SECURITY_8">#REF!</definedName>
    <definedName name="SFDSAFSDAFSADFA" localSheetId="17">#REF!</definedName>
    <definedName name="SFDSAFSDAFSADFA">#REF!</definedName>
    <definedName name="SJLN" localSheetId="42">#REF!</definedName>
    <definedName name="SJLN" localSheetId="35">#REF!</definedName>
    <definedName name="SJLN" localSheetId="44">#REF!</definedName>
    <definedName name="SJLN" localSheetId="41">#REF!</definedName>
    <definedName name="SJLN" localSheetId="17">#REF!</definedName>
    <definedName name="SJLN" localSheetId="32">#REF!</definedName>
    <definedName name="SJLN">#REF!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s"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s" localSheetId="13">#REF!</definedName>
    <definedName name="sss" localSheetId="15">#REF!</definedName>
    <definedName name="sss" localSheetId="19">#REF!</definedName>
    <definedName name="sss" localSheetId="17">#REF!</definedName>
    <definedName name="sss">#REF!</definedName>
    <definedName name="st" localSheetId="42">[37]Volumes!#REF!</definedName>
    <definedName name="st" localSheetId="35">[37]Volumes!#REF!</definedName>
    <definedName name="st" localSheetId="44">[37]Volumes!#REF!</definedName>
    <definedName name="st" localSheetId="19">[37]Volumes!#REF!</definedName>
    <definedName name="st" localSheetId="41">[37]Volumes!#REF!</definedName>
    <definedName name="st" localSheetId="17">[37]Volumes!#REF!</definedName>
    <definedName name="st" localSheetId="32">[37]Volumes!#REF!</definedName>
    <definedName name="st">[37]Volumes!#REF!</definedName>
    <definedName name="STATES" localSheetId="42">#REF!</definedName>
    <definedName name="STATES" localSheetId="35">#REF!</definedName>
    <definedName name="STATES" localSheetId="44">#REF!</definedName>
    <definedName name="STATES" localSheetId="19">#REF!</definedName>
    <definedName name="STATES" localSheetId="41">#REF!</definedName>
    <definedName name="STATES" localSheetId="17">#REF!</definedName>
    <definedName name="STATES" localSheetId="32">#REF!</definedName>
    <definedName name="STATES">#REF!</definedName>
    <definedName name="STATES1" localSheetId="42">#REF!</definedName>
    <definedName name="STATES1" localSheetId="35">#REF!</definedName>
    <definedName name="STATES1" localSheetId="44">#REF!</definedName>
    <definedName name="STATES1" localSheetId="19">#REF!</definedName>
    <definedName name="STATES1" localSheetId="41">#REF!</definedName>
    <definedName name="STATES1" localSheetId="17">#REF!</definedName>
    <definedName name="STATES1" localSheetId="32">#REF!</definedName>
    <definedName name="STATES1">#REF!</definedName>
    <definedName name="Steel" localSheetId="42">#REF!</definedName>
    <definedName name="Steel" localSheetId="35">#REF!</definedName>
    <definedName name="Steel" localSheetId="44">#REF!</definedName>
    <definedName name="Steel" localSheetId="19">#REF!</definedName>
    <definedName name="Steel" localSheetId="41">#REF!</definedName>
    <definedName name="Steel" localSheetId="17">#REF!</definedName>
    <definedName name="Steel" localSheetId="32">#REF!</definedName>
    <definedName name="Steel">#REF!</definedName>
    <definedName name="Stocks" localSheetId="17">#REF!</definedName>
    <definedName name="Stocks">#REF!</definedName>
    <definedName name="SUMM" localSheetId="15">#REF!</definedName>
    <definedName name="SUMM" localSheetId="19">#REF!</definedName>
    <definedName name="SUMM" localSheetId="17">#REF!</definedName>
    <definedName name="SUMM">#REF!</definedName>
    <definedName name="SUMM_BILL_AMT" localSheetId="15">#REF!</definedName>
    <definedName name="SUMM_BILL_AMT" localSheetId="19">#REF!</definedName>
    <definedName name="SUMM_BILL_AMT" localSheetId="17">#REF!</definedName>
    <definedName name="SUMM_BILL_AMT">#REF!</definedName>
    <definedName name="SUMM_CD" localSheetId="15">#REF!</definedName>
    <definedName name="SUMM_CD" localSheetId="19">#REF!</definedName>
    <definedName name="SUMM_CD" localSheetId="17">#REF!</definedName>
    <definedName name="SUMM_CD">#REF!</definedName>
    <definedName name="SUMM_CF" localSheetId="15">#REF!</definedName>
    <definedName name="SUMM_CF" localSheetId="19">#REF!</definedName>
    <definedName name="SUMM_CF" localSheetId="17">#REF!</definedName>
    <definedName name="SUMM_CF">#REF!</definedName>
    <definedName name="SUMM_DATE" localSheetId="15">#REF!</definedName>
    <definedName name="SUMM_DATE" localSheetId="19">#REF!</definedName>
    <definedName name="SUMM_DATE" localSheetId="17">#REF!</definedName>
    <definedName name="SUMM_DATE">#REF!</definedName>
    <definedName name="SUMM_DET" localSheetId="15">#REF!</definedName>
    <definedName name="SUMM_DET" localSheetId="19">#REF!</definedName>
    <definedName name="SUMM_DET" localSheetId="17">#REF!</definedName>
    <definedName name="SUMM_DET">#REF!</definedName>
    <definedName name="SUMM_FRT" localSheetId="15">#REF!</definedName>
    <definedName name="SUMM_FRT" localSheetId="19">#REF!</definedName>
    <definedName name="SUMM_FRT" localSheetId="17">#REF!</definedName>
    <definedName name="SUMM_FRT">#REF!</definedName>
    <definedName name="SUMM_QTY" localSheetId="15">#REF!</definedName>
    <definedName name="SUMM_QTY" localSheetId="19">#REF!</definedName>
    <definedName name="SUMM_QTY" localSheetId="17">#REF!</definedName>
    <definedName name="SUMM_QTY">#REF!</definedName>
    <definedName name="SUMM_TOT" localSheetId="15">#REF!</definedName>
    <definedName name="SUMM_TOT" localSheetId="19">#REF!</definedName>
    <definedName name="SUMM_TOT" localSheetId="17">#REF!</definedName>
    <definedName name="SUMM_TOT">#REF!</definedName>
    <definedName name="SUMM_VAL" localSheetId="15">#REF!</definedName>
    <definedName name="SUMM_VAL" localSheetId="19">#REF!</definedName>
    <definedName name="SUMM_VAL" localSheetId="17">#REF!</definedName>
    <definedName name="SUMM_VAL">#REF!</definedName>
    <definedName name="summary" localSheetId="17">#REF!</definedName>
    <definedName name="summary">#REF!</definedName>
    <definedName name="SUN_D" localSheetId="15">#REF!</definedName>
    <definedName name="SUN_D" localSheetId="19">#REF!</definedName>
    <definedName name="SUN_D" localSheetId="17">#REF!</definedName>
    <definedName name="SUN_D">#REF!</definedName>
    <definedName name="SWM" localSheetId="17">#REF!</definedName>
    <definedName name="SWM">#REF!</definedName>
    <definedName name="SYSSSS" localSheetId="15">#REF!</definedName>
    <definedName name="SYSSSS" localSheetId="19">#REF!</definedName>
    <definedName name="SYSSSS" localSheetId="17">#REF!</definedName>
    <definedName name="SYSSSS">#REF!</definedName>
    <definedName name="T" localSheetId="42">#REF!</definedName>
    <definedName name="T" localSheetId="35">#REF!</definedName>
    <definedName name="T" localSheetId="44">#REF!</definedName>
    <definedName name="T" localSheetId="41">#REF!</definedName>
    <definedName name="T" localSheetId="17">#REF!</definedName>
    <definedName name="T" localSheetId="32">#REF!</definedName>
    <definedName name="T">#REF!</definedName>
    <definedName name="TADes">[25]Masters!$C$22</definedName>
    <definedName name="TAFName">[24]Masters!$C$19</definedName>
    <definedName name="TAMNo">[24]Masters!$C$23</definedName>
    <definedName name="TAName">[24]Masters!$C$20</definedName>
    <definedName name="TAPlace">[24]Masters!$C$43</definedName>
    <definedName name="TAQua">[25]Masters!$C$21</definedName>
    <definedName name="Target" localSheetId="13">#REF!</definedName>
    <definedName name="Target" localSheetId="19">#REF!</definedName>
    <definedName name="Target" localSheetId="17">#REF!</definedName>
    <definedName name="Target">#REF!</definedName>
    <definedName name="tax">'[66]BS&amp;PLA'!$B$578:$H$664</definedName>
    <definedName name="Tax_MAT" localSheetId="13">#REF!</definedName>
    <definedName name="Tax_MAT" localSheetId="19">#REF!</definedName>
    <definedName name="Tax_MAT" localSheetId="17">#REF!</definedName>
    <definedName name="Tax_MAT">#REF!</definedName>
    <definedName name="TaxAudAdd">[24]Masters!$C$24</definedName>
    <definedName name="TaxAuditDate">[24]Masters!$C$40</definedName>
    <definedName name="TaxFreeAllowance" localSheetId="42">#REF!</definedName>
    <definedName name="TaxFreeAllowance" localSheetId="35">#REF!</definedName>
    <definedName name="TaxFreeAllowance" localSheetId="44">#REF!</definedName>
    <definedName name="TaxFreeAllowance" localSheetId="19">#REF!</definedName>
    <definedName name="TaxFreeAllowance" localSheetId="41">#REF!</definedName>
    <definedName name="TaxFreeAllowance" localSheetId="17">#REF!</definedName>
    <definedName name="TaxFreeAllowance" localSheetId="32">#REF!</definedName>
    <definedName name="TaxFreeAllowance">#REF!</definedName>
    <definedName name="TEST0" localSheetId="42">#REF!</definedName>
    <definedName name="TEST0" localSheetId="35">#REF!</definedName>
    <definedName name="TEST0" localSheetId="44">#REF!</definedName>
    <definedName name="TEST0" localSheetId="19">#REF!</definedName>
    <definedName name="TEST0" localSheetId="41">#REF!</definedName>
    <definedName name="TEST0" localSheetId="17">#REF!</definedName>
    <definedName name="TEST0" localSheetId="32">#REF!</definedName>
    <definedName name="TEST0">#REF!</definedName>
    <definedName name="TEST1" localSheetId="17">#REF!</definedName>
    <definedName name="TEST1">#REF!</definedName>
    <definedName name="TESTHKEY" localSheetId="42">#REF!</definedName>
    <definedName name="TESTHKEY" localSheetId="35">#REF!</definedName>
    <definedName name="TESTHKEY" localSheetId="44">#REF!</definedName>
    <definedName name="TESTHKEY" localSheetId="19">#REF!</definedName>
    <definedName name="TESTHKEY" localSheetId="41">#REF!</definedName>
    <definedName name="TESTHKEY" localSheetId="17">#REF!</definedName>
    <definedName name="TESTHKEY" localSheetId="32">#REF!</definedName>
    <definedName name="TESTHKEY">#REF!</definedName>
    <definedName name="TESTKEYS" localSheetId="42">#REF!</definedName>
    <definedName name="TESTKEYS" localSheetId="35">#REF!</definedName>
    <definedName name="TESTKEYS" localSheetId="44">#REF!</definedName>
    <definedName name="TESTKEYS" localSheetId="19">#REF!</definedName>
    <definedName name="TESTKEYS" localSheetId="41">#REF!</definedName>
    <definedName name="TESTKEYS" localSheetId="17">#REF!</definedName>
    <definedName name="TESTKEYS" localSheetId="32">#REF!</definedName>
    <definedName name="TESTKEYS">#REF!</definedName>
    <definedName name="TESTVKEY" localSheetId="42">#REF!</definedName>
    <definedName name="TESTVKEY" localSheetId="35">#REF!</definedName>
    <definedName name="TESTVKEY" localSheetId="44">#REF!</definedName>
    <definedName name="TESTVKEY" localSheetId="19">#REF!</definedName>
    <definedName name="TESTVKEY" localSheetId="41">#REF!</definedName>
    <definedName name="TESTVKEY" localSheetId="17">#REF!</definedName>
    <definedName name="TESTVKEY" localSheetId="32">#REF!</definedName>
    <definedName name="TESTVKEY">#REF!</definedName>
    <definedName name="THAI_PLASTIC_in_KUSD" localSheetId="17">#REF!</definedName>
    <definedName name="THAI_PLASTIC_in_KUSD">#REF!</definedName>
    <definedName name="TNW_4" localSheetId="42">#REF!</definedName>
    <definedName name="TNW_4" localSheetId="35">#REF!</definedName>
    <definedName name="TNW_4" localSheetId="44">#REF!</definedName>
    <definedName name="TNW_4" localSheetId="19">#REF!</definedName>
    <definedName name="TNW_4" localSheetId="41">#REF!</definedName>
    <definedName name="TNW_4" localSheetId="17">#REF!</definedName>
    <definedName name="TNW_4" localSheetId="32">#REF!</definedName>
    <definedName name="TNW_4">#REF!</definedName>
    <definedName name="TNW_5" localSheetId="42">#REF!</definedName>
    <definedName name="TNW_5" localSheetId="35">#REF!</definedName>
    <definedName name="TNW_5" localSheetId="44">#REF!</definedName>
    <definedName name="TNW_5" localSheetId="19">#REF!</definedName>
    <definedName name="TNW_5" localSheetId="41">#REF!</definedName>
    <definedName name="TNW_5" localSheetId="17">#REF!</definedName>
    <definedName name="TNW_5" localSheetId="32">#REF!</definedName>
    <definedName name="TNW_5">#REF!</definedName>
    <definedName name="TNW_6" localSheetId="42">#REF!</definedName>
    <definedName name="TNW_6" localSheetId="35">#REF!</definedName>
    <definedName name="TNW_6" localSheetId="44">#REF!</definedName>
    <definedName name="TNW_6" localSheetId="19">#REF!</definedName>
    <definedName name="TNW_6" localSheetId="41">#REF!</definedName>
    <definedName name="TNW_6" localSheetId="17">#REF!</definedName>
    <definedName name="TNW_6" localSheetId="32">#REF!</definedName>
    <definedName name="TNW_6">#REF!</definedName>
    <definedName name="TNW_7" localSheetId="42">#REF!</definedName>
    <definedName name="TNW_7" localSheetId="35">#REF!</definedName>
    <definedName name="TNW_7" localSheetId="44">#REF!</definedName>
    <definedName name="TNW_7" localSheetId="19">#REF!</definedName>
    <definedName name="TNW_7" localSheetId="41">#REF!</definedName>
    <definedName name="TNW_7" localSheetId="17">#REF!</definedName>
    <definedName name="TNW_7" localSheetId="32">#REF!</definedName>
    <definedName name="TNW_7">#REF!</definedName>
    <definedName name="TNW_8" localSheetId="42">#REF!</definedName>
    <definedName name="TNW_8" localSheetId="35">#REF!</definedName>
    <definedName name="TNW_8" localSheetId="44">#REF!</definedName>
    <definedName name="TNW_8" localSheetId="19">#REF!</definedName>
    <definedName name="TNW_8" localSheetId="41">#REF!</definedName>
    <definedName name="TNW_8" localSheetId="17">#REF!</definedName>
    <definedName name="TNW_8" localSheetId="32">#REF!</definedName>
    <definedName name="TNW_8">#REF!</definedName>
    <definedName name="transport" localSheetId="42">#REF!</definedName>
    <definedName name="transport" localSheetId="35">#REF!</definedName>
    <definedName name="transport" localSheetId="44">#REF!</definedName>
    <definedName name="transport" localSheetId="19">#REF!</definedName>
    <definedName name="transport" localSheetId="41">#REF!</definedName>
    <definedName name="transport" localSheetId="17">#REF!</definedName>
    <definedName name="transport" localSheetId="32">#REF!</definedName>
    <definedName name="transport">#REF!</definedName>
    <definedName name="tt"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unitwise" localSheetId="13">#REF!</definedName>
    <definedName name="unitwise" localSheetId="4">#REF!</definedName>
    <definedName name="unitwise" localSheetId="17">#REF!</definedName>
    <definedName name="unitwise">#REF!</definedName>
    <definedName name="unsecured_Loans_99" localSheetId="13">#REF!</definedName>
    <definedName name="unsecured_Loans_99" localSheetId="4">#REF!</definedName>
    <definedName name="unsecured_Loans_99" localSheetId="17">#REF!</definedName>
    <definedName name="unsecured_Loans_99">#REF!</definedName>
    <definedName name="USD.A" localSheetId="13">#REF!</definedName>
    <definedName name="USD.A" localSheetId="4">#REF!</definedName>
    <definedName name="USD.A" localSheetId="17">#REF!</definedName>
    <definedName name="USD.A">#REF!</definedName>
    <definedName name="USD.E" localSheetId="17">#REF!</definedName>
    <definedName name="USD.E">#REF!</definedName>
    <definedName name="USD_B" localSheetId="17">#REF!</definedName>
    <definedName name="USD_B">#REF!</definedName>
    <definedName name="Values_Entered" localSheetId="13">IF(Loan_Amount*Interest_Rate*Loan_Years*Loan_Start&gt;0,1,0)</definedName>
    <definedName name="Values_Entered" localSheetId="42">IF('Advance to Supplier'!Loan_Amount*'Advance to Supplier'!Interest_Rate*'Advance to Supplier'!Loan_Years*'Advance to Supplier'!Loan_Start&gt;0,1,0)</definedName>
    <definedName name="Values_Entered" localSheetId="35">IF('Debtor''s Ageing'!Loan_Amount*'Debtor''s Ageing'!Interest_Rate*'Debtor''s Ageing'!Loan_Years*'Debtor''s Ageing'!Loan_Start&gt;0,1,0)</definedName>
    <definedName name="Values_Entered" localSheetId="44">IF('Debtor''s Ageing31.03.24'!Loan_Amount*'Debtor''s Ageing31.03.24'!Interest_Rate*'Debtor''s Ageing31.03.24'!Loan_Years*'Debtor''s Ageing31.03.24'!Loan_Start&gt;0,1,0)</definedName>
    <definedName name="Values_Entered" localSheetId="19">IF(Loan_Amount*Interest_Rate*Loan_Years*Loan_Start&gt;0,1,0)</definedName>
    <definedName name="Values_Entered" localSheetId="41">IF('Loans to staff'!Loan_Amount*'Loans to staff'!Interest_Rate*'Loans to staff'!Loan_Years*'Loans to staff'!Loan_Start&gt;0,1,0)</definedName>
    <definedName name="Values_Entered" localSheetId="4">IF(Loan_Amount*Interest_Rate*Loan_Years*Loan_Start&gt;0,1,0)</definedName>
    <definedName name="Values_Entered" localSheetId="17">IF([0]!Loan_Amount*[0]!Interest_Rate*[0]!Loan_Years*[0]!Loan_Start&gt;0,1,0)</definedName>
    <definedName name="Values_Entered" localSheetId="32">IF('Related Parties'!Loan_Amount*'Related Parties'!Interest_Rate*'Related Parties'!Loan_Years*'Related Parties'!Loan_Start&gt;0,1,0)</definedName>
    <definedName name="Values_Entered">IF(Loan_Amount*Interest_Rate*Loan_Years*Loan_Start&gt;0,1,0)</definedName>
    <definedName name="Variance" localSheetId="13">#REF!</definedName>
    <definedName name="Variance" localSheetId="19">#REF!</definedName>
    <definedName name="Variance" localSheetId="17">#REF!</definedName>
    <definedName name="Variance">#REF!</definedName>
    <definedName name="VATQuarter" localSheetId="42">'[31]Company information'!#REF!</definedName>
    <definedName name="VATQuarter" localSheetId="35">'[31]Company information'!#REF!</definedName>
    <definedName name="VATQuarter" localSheetId="44">'[31]Company information'!#REF!</definedName>
    <definedName name="VATQuarter" localSheetId="19">'[31]Company information'!#REF!</definedName>
    <definedName name="VATQuarter" localSheetId="41">'[31]Company information'!#REF!</definedName>
    <definedName name="VATQuarter" localSheetId="17">'[31]Company information'!#REF!</definedName>
    <definedName name="VATQuarter" localSheetId="32">'[31]Company information'!#REF!</definedName>
    <definedName name="VATQuarter">'[31]Company information'!#REF!</definedName>
    <definedName name="vt_autohide">[27]Settings!$C$14</definedName>
    <definedName name="vt_comphidden">[27]Settings!$C$25</definedName>
    <definedName name="vt_showcontents">[27]Settings!$C$27</definedName>
    <definedName name="vt_versionid" localSheetId="42">[28]Settings!$C$16</definedName>
    <definedName name="vt_versionid" localSheetId="35">[28]Settings!$C$16</definedName>
    <definedName name="vt_versionid" localSheetId="44">[28]Settings!$C$16</definedName>
    <definedName name="vt_versionid" localSheetId="41">[29]Settings!$C$16</definedName>
    <definedName name="vt_versionid" localSheetId="32">[28]Settings!$C$16</definedName>
    <definedName name="vt_versionid">[30]Settings!$C$16</definedName>
    <definedName name="vv" localSheetId="13" hidden="1">{#N/A,#N/A,TRUE,"Sheet1"}</definedName>
    <definedName name="vv" localSheetId="19" hidden="1">{#N/A,#N/A,TRUE,"Sheet1"}</definedName>
    <definedName name="vv" localSheetId="41" hidden="1">{#N/A,#N/A,TRUE,"Sheet1"}</definedName>
    <definedName name="vv" localSheetId="4" hidden="1">{#N/A,#N/A,TRUE,"Sheet1"}</definedName>
    <definedName name="vv" localSheetId="17" hidden="1">{#N/A,#N/A,TRUE,"Sheet1"}</definedName>
    <definedName name="vv" hidden="1">{#N/A,#N/A,TRUE,"Sheet1"}</definedName>
    <definedName name="vvvv" localSheetId="13">IF(Loan_Amount*Interest_Rate*Loan_Years*Loan_Start&gt;0,1,0)</definedName>
    <definedName name="vvvv" localSheetId="42">IF('Advance to Supplier'!Loan_Amount*'Advance to Supplier'!Interest_Rate*'Advance to Supplier'!Loan_Years*'Advance to Supplier'!Loan_Start&gt;0,1,0)</definedName>
    <definedName name="vvvv" localSheetId="35">IF('Debtor''s Ageing'!Loan_Amount*'Debtor''s Ageing'!Interest_Rate*'Debtor''s Ageing'!Loan_Years*'Debtor''s Ageing'!Loan_Start&gt;0,1,0)</definedName>
    <definedName name="vvvv" localSheetId="44">IF('Debtor''s Ageing31.03.24'!Loan_Amount*'Debtor''s Ageing31.03.24'!Interest_Rate*'Debtor''s Ageing31.03.24'!Loan_Years*'Debtor''s Ageing31.03.24'!Loan_Start&gt;0,1,0)</definedName>
    <definedName name="vvvv" localSheetId="19">IF(Loan_Amount*Interest_Rate*Loan_Years*Loan_Start&gt;0,1,0)</definedName>
    <definedName name="vvvv" localSheetId="41">IF('Loans to staff'!Loan_Amount*'Loans to staff'!Interest_Rate*'Loans to staff'!Loan_Years*'Loans to staff'!Loan_Start&gt;0,1,0)</definedName>
    <definedName name="vvvv" localSheetId="4">IF(Loan_Amount*Interest_Rate*Loan_Years*Loan_Start&gt;0,1,0)</definedName>
    <definedName name="vvvv" localSheetId="17">IF([0]!Loan_Amount*[0]!Interest_Rate*[0]!Loan_Years*[0]!Loan_Start&gt;0,1,0)</definedName>
    <definedName name="vvvv" localSheetId="32">IF('Related Parties'!Loan_Amount*'Related Parties'!Interest_Rate*'Related Parties'!Loan_Years*'Related Parties'!Loan_Start&gt;0,1,0)</definedName>
    <definedName name="vvvv">IF(Loan_Amount*Interest_Rate*Loan_Years*Loan_Start&gt;0,1,0)</definedName>
    <definedName name="w" localSheetId="13" hidden="1">'[67]TRIAL BALANCE'!#REF!</definedName>
    <definedName name="w" localSheetId="19" hidden="1">'[67]TRIAL BALANCE'!#REF!</definedName>
    <definedName name="w" localSheetId="4" hidden="1">'[67]TRIAL BALANCE'!#REF!</definedName>
    <definedName name="w" localSheetId="17" hidden="1">'[67]TRIAL BALANCE'!#REF!</definedName>
    <definedName name="w" hidden="1">'[67]TRIAL BALANCE'!#REF!</definedName>
    <definedName name="WC" localSheetId="42">#REF!</definedName>
    <definedName name="WC" localSheetId="35">#REF!</definedName>
    <definedName name="WC" localSheetId="44">#REF!</definedName>
    <definedName name="WC" localSheetId="19">#REF!</definedName>
    <definedName name="WC" localSheetId="41">#REF!</definedName>
    <definedName name="WC" localSheetId="17">#REF!</definedName>
    <definedName name="WC" localSheetId="32">#REF!</definedName>
    <definedName name="WC">#REF!</definedName>
    <definedName name="WC_4" localSheetId="42">#REF!</definedName>
    <definedName name="WC_4" localSheetId="35">#REF!</definedName>
    <definedName name="WC_4" localSheetId="44">#REF!</definedName>
    <definedName name="WC_4" localSheetId="19">#REF!</definedName>
    <definedName name="WC_4" localSheetId="41">#REF!</definedName>
    <definedName name="WC_4" localSheetId="17">#REF!</definedName>
    <definedName name="WC_4" localSheetId="32">#REF!</definedName>
    <definedName name="WC_4">#REF!</definedName>
    <definedName name="WC_5" localSheetId="42">#REF!</definedName>
    <definedName name="WC_5" localSheetId="35">#REF!</definedName>
    <definedName name="WC_5" localSheetId="44">#REF!</definedName>
    <definedName name="WC_5" localSheetId="19">#REF!</definedName>
    <definedName name="WC_5" localSheetId="41">#REF!</definedName>
    <definedName name="WC_5" localSheetId="17">#REF!</definedName>
    <definedName name="WC_5" localSheetId="32">#REF!</definedName>
    <definedName name="WC_5">#REF!</definedName>
    <definedName name="WC_6" localSheetId="42">#REF!</definedName>
    <definedName name="WC_6" localSheetId="35">#REF!</definedName>
    <definedName name="WC_6" localSheetId="44">#REF!</definedName>
    <definedName name="WC_6" localSheetId="19">#REF!</definedName>
    <definedName name="WC_6" localSheetId="41">#REF!</definedName>
    <definedName name="WC_6" localSheetId="17">#REF!</definedName>
    <definedName name="WC_6" localSheetId="32">#REF!</definedName>
    <definedName name="WC_6">#REF!</definedName>
    <definedName name="WC_7" localSheetId="42">#REF!</definedName>
    <definedName name="WC_7" localSheetId="35">#REF!</definedName>
    <definedName name="WC_7" localSheetId="44">#REF!</definedName>
    <definedName name="WC_7" localSheetId="19">#REF!</definedName>
    <definedName name="WC_7" localSheetId="41">#REF!</definedName>
    <definedName name="WC_7" localSheetId="17">#REF!</definedName>
    <definedName name="WC_7" localSheetId="32">#REF!</definedName>
    <definedName name="WC_7">#REF!</definedName>
    <definedName name="WC_8" localSheetId="42">#REF!</definedName>
    <definedName name="WC_8" localSheetId="35">#REF!</definedName>
    <definedName name="WC_8" localSheetId="44">#REF!</definedName>
    <definedName name="WC_8" localSheetId="19">#REF!</definedName>
    <definedName name="WC_8" localSheetId="41">#REF!</definedName>
    <definedName name="WC_8" localSheetId="17">#REF!</definedName>
    <definedName name="WC_8" localSheetId="32">#REF!</definedName>
    <definedName name="WC_8">#REF!</definedName>
    <definedName name="Working" localSheetId="17">#REF!</definedName>
    <definedName name="Working">#REF!</definedName>
    <definedName name="wplbs">[1]wpl!$B$2:$H$82</definedName>
    <definedName name="wplpandl">[1]wpl!$B$87:$N$153</definedName>
    <definedName name="wplr1">[1]wpl!$B$176:$H$232</definedName>
    <definedName name="wplr2">[1]wpl!$B$236:$H$302</definedName>
    <definedName name="wplr3">[1]wpl!$B$331:$H$388</definedName>
    <definedName name="wrn.2." localSheetId="13" hidden="1">{#N/A,#N/A,TRUE,"Sheet1"}</definedName>
    <definedName name="wrn.2." localSheetId="19" hidden="1">{#N/A,#N/A,TRUE,"Sheet1"}</definedName>
    <definedName name="wrn.2." localSheetId="41" hidden="1">{#N/A,#N/A,TRUE,"Sheet1"}</definedName>
    <definedName name="wrn.2." localSheetId="4" hidden="1">{#N/A,#N/A,TRUE,"Sheet1"}</definedName>
    <definedName name="wrn.2." localSheetId="17" hidden="1">{#N/A,#N/A,TRUE,"Sheet1"}</definedName>
    <definedName name="wrn.2." hidden="1">{#N/A,#N/A,TRUE,"Sheet1"}</definedName>
    <definedName name="wrn.imprim." localSheetId="1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1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4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17"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MDS1."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4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4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4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4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98." localSheetId="13"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1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41"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17"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tilbs">[1]wtil!$B$2:$H$82</definedName>
    <definedName name="wtilpandl">[1]wtil!$B$86:$N$152</definedName>
    <definedName name="wtilr1">[1]wtil!$B$174:$H$227</definedName>
    <definedName name="wtilr2">[1]wtil!$B$229:$H$286</definedName>
    <definedName name="wtilr3">[1]wtil!$B$291:$H$350</definedName>
    <definedName name="xx"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4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4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4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17"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Year_Period" localSheetId="42">#REF!</definedName>
    <definedName name="Year_Period" localSheetId="35">#REF!</definedName>
    <definedName name="Year_Period" localSheetId="44">#REF!</definedName>
    <definedName name="Year_Period" localSheetId="19">#REF!</definedName>
    <definedName name="Year_Period" localSheetId="41">#REF!</definedName>
    <definedName name="Year_Period" localSheetId="17">#REF!</definedName>
    <definedName name="Year_Period" localSheetId="32">#REF!</definedName>
    <definedName name="Year_Period">#REF!</definedName>
    <definedName name="yesno" localSheetId="42">#REF!</definedName>
    <definedName name="yesno" localSheetId="35">#REF!</definedName>
    <definedName name="yesno" localSheetId="44">#REF!</definedName>
    <definedName name="yesno" localSheetId="41">#REF!</definedName>
    <definedName name="yesno" localSheetId="17">#REF!</definedName>
    <definedName name="yesno" localSheetId="32">#REF!</definedName>
    <definedName name="yesno">#REF!</definedName>
    <definedName name="YesNoNA">[11]Sheet1!$A$1:$A$3</definedName>
    <definedName name="Z" localSheetId="42">[55]rough!#REF!</definedName>
    <definedName name="Z" localSheetId="35">[55]rough!#REF!</definedName>
    <definedName name="Z" localSheetId="44">[55]rough!#REF!</definedName>
    <definedName name="Z" localSheetId="19">[55]rough!#REF!</definedName>
    <definedName name="Z" localSheetId="41">[55]rough!#REF!</definedName>
    <definedName name="Z" localSheetId="17">[55]rough!#REF!</definedName>
    <definedName name="Z" localSheetId="32">[55]rough!#REF!</definedName>
    <definedName name="Z">[55]rough!#REF!</definedName>
    <definedName name="Z_0A85AF73_FDC9_4A23_A259_72CF6CC47317_.wvu.FilterData" localSheetId="22" hidden="1">HDE2023_2024_BUY_SELL!$B$2:$H$407</definedName>
    <definedName name="Z_1B1DBD0B_919D_490D_9900_670A1DB24C6B_.wvu.Cols" localSheetId="19" hidden="1">[68]Dep!$F$1:$F$65536,[68]Dep!$J$1:$K$65536</definedName>
    <definedName name="Z_1B1DBD0B_919D_490D_9900_670A1DB24C6B_.wvu.Cols" hidden="1">[69]Dep!$F$1:$F$65536,[69]Dep!$J$1:$K$65536</definedName>
    <definedName name="Z_1B1DBD0B_919D_490D_9900_670A1DB24C6B_.wvu.Rows" localSheetId="13" hidden="1">'[69]Ann A'!#REF!,'[69]Ann A'!#REF!,'[69]Ann A'!#REF!,'[69]Ann A'!#REF!,'[69]Ann A'!#REF!,'[69]Ann A'!#REF!</definedName>
    <definedName name="Z_1B1DBD0B_919D_490D_9900_670A1DB24C6B_.wvu.Rows" localSheetId="42" hidden="1">'[69]Ann A'!#REF!,'[69]Ann A'!#REF!,'[69]Ann A'!#REF!,'[69]Ann A'!#REF!,'[69]Ann A'!#REF!,'[69]Ann A'!#REF!</definedName>
    <definedName name="Z_1B1DBD0B_919D_490D_9900_670A1DB24C6B_.wvu.Rows" localSheetId="35" hidden="1">'[69]Ann A'!#REF!,'[69]Ann A'!#REF!,'[69]Ann A'!#REF!,'[69]Ann A'!#REF!,'[69]Ann A'!#REF!,'[69]Ann A'!#REF!</definedName>
    <definedName name="Z_1B1DBD0B_919D_490D_9900_670A1DB24C6B_.wvu.Rows" localSheetId="44" hidden="1">'[69]Ann A'!#REF!,'[69]Ann A'!#REF!,'[69]Ann A'!#REF!,'[69]Ann A'!#REF!,'[69]Ann A'!#REF!,'[69]Ann A'!#REF!</definedName>
    <definedName name="Z_1B1DBD0B_919D_490D_9900_670A1DB24C6B_.wvu.Rows" localSheetId="19" hidden="1">'[68]Ann A'!#REF!,'[68]Ann A'!#REF!,'[68]Ann A'!#REF!,'[68]Ann A'!#REF!,'[68]Ann A'!#REF!,'[68]Ann A'!#REF!</definedName>
    <definedName name="Z_1B1DBD0B_919D_490D_9900_670A1DB24C6B_.wvu.Rows" localSheetId="41" hidden="1">'[69]Ann A'!#REF!,'[69]Ann A'!#REF!,'[69]Ann A'!#REF!,'[69]Ann A'!#REF!,'[69]Ann A'!#REF!,'[69]Ann A'!#REF!</definedName>
    <definedName name="Z_1B1DBD0B_919D_490D_9900_670A1DB24C6B_.wvu.Rows" localSheetId="4" hidden="1">'[69]Ann A'!#REF!,'[69]Ann A'!#REF!,'[69]Ann A'!#REF!,'[69]Ann A'!#REF!,'[69]Ann A'!#REF!,'[69]Ann A'!#REF!</definedName>
    <definedName name="Z_1B1DBD0B_919D_490D_9900_670A1DB24C6B_.wvu.Rows" localSheetId="17" hidden="1">'[69]Ann A'!#REF!,'[69]Ann A'!#REF!,'[69]Ann A'!#REF!,'[69]Ann A'!#REF!,'[69]Ann A'!#REF!,'[69]Ann A'!#REF!</definedName>
    <definedName name="Z_1B1DBD0B_919D_490D_9900_670A1DB24C6B_.wvu.Rows" localSheetId="32" hidden="1">'[69]Ann A'!#REF!,'[69]Ann A'!#REF!,'[69]Ann A'!#REF!,'[69]Ann A'!#REF!,'[69]Ann A'!#REF!,'[69]Ann A'!#REF!</definedName>
    <definedName name="Z_1B1DBD0B_919D_490D_9900_670A1DB24C6B_.wvu.Rows" hidden="1">'[69]Ann A'!#REF!,'[69]Ann A'!#REF!,'[69]Ann A'!#REF!,'[69]Ann A'!#REF!,'[69]Ann A'!#REF!,'[69]Ann A'!#REF!</definedName>
    <definedName name="Z_25FB9C05_6AD3_4F17_B4E2_C500C61A1349_.wvu.PrintArea" localSheetId="13" hidden="1">#REF!</definedName>
    <definedName name="Z_25FB9C05_6AD3_4F17_B4E2_C500C61A1349_.wvu.PrintArea" localSheetId="19" hidden="1">#REF!</definedName>
    <definedName name="Z_25FB9C05_6AD3_4F17_B4E2_C500C61A1349_.wvu.PrintArea" localSheetId="17" hidden="1">#REF!</definedName>
    <definedName name="Z_25FB9C05_6AD3_4F17_B4E2_C500C61A1349_.wvu.PrintArea" hidden="1">#REF!</definedName>
    <definedName name="Z_25FB9C05_6AD3_4F17_B4E2_C500C61A1349_.wvu.Rows" localSheetId="13" hidden="1">#REF!</definedName>
    <definedName name="Z_25FB9C05_6AD3_4F17_B4E2_C500C61A1349_.wvu.Rows" localSheetId="19" hidden="1">#REF!</definedName>
    <definedName name="Z_25FB9C05_6AD3_4F17_B4E2_C500C61A1349_.wvu.Rows" localSheetId="17" hidden="1">#REF!</definedName>
    <definedName name="Z_25FB9C05_6AD3_4F17_B4E2_C500C61A1349_.wvu.Rows" hidden="1">#REF!</definedName>
    <definedName name="Z_2A78E287_3113_4387_BB62_BE98FA5C13C2_.wvu.Cols" localSheetId="12" hidden="1">'Cash Flow'!$D:$AU</definedName>
    <definedName name="Z_2A78E287_3113_4387_BB62_BE98FA5C13C2_.wvu.Cols" localSheetId="14" hidden="1">'Cash Flow lakhs'!$D:$AU</definedName>
    <definedName name="Z_2A78E287_3113_4387_BB62_BE98FA5C13C2_.wvu.Cols" localSheetId="10" hidden="1">COI!$J:$K</definedName>
    <definedName name="Z_2A78E287_3113_4387_BB62_BE98FA5C13C2_.wvu.Cols" localSheetId="23" hidden="1">'Cost Sheet'!$I:$K</definedName>
    <definedName name="Z_2A78E287_3113_4387_BB62_BE98FA5C13C2_.wvu.Cols" localSheetId="19" hidden="1">'IT Dep'!$H:$I</definedName>
    <definedName name="Z_2A78E287_3113_4387_BB62_BE98FA5C13C2_.wvu.Cols" localSheetId="41" hidden="1">'Loans to staff'!$A:$G</definedName>
    <definedName name="Z_2A78E287_3113_4387_BB62_BE98FA5C13C2_.wvu.FilterData" localSheetId="20" hidden="1">'Creditors Aging'!$B$3:$P$1579</definedName>
    <definedName name="Z_2A78E287_3113_4387_BB62_BE98FA5C13C2_.wvu.FilterData" localSheetId="35" hidden="1">'Debtor''s Ageing'!$J$6:$N$508</definedName>
    <definedName name="Z_2A78E287_3113_4387_BB62_BE98FA5C13C2_.wvu.FilterData" localSheetId="22" hidden="1">HDE2023_2024_BUY_SELL!$B$2:$H$407</definedName>
    <definedName name="Z_2A78E287_3113_4387_BB62_BE98FA5C13C2_.wvu.FilterData" localSheetId="39" hidden="1">'Shareholders List'!$A$3:$G$425</definedName>
    <definedName name="Z_2A78E287_3113_4387_BB62_BE98FA5C13C2_.wvu.FilterData" localSheetId="21" hidden="1">Sheet3!$G$1:$I$79</definedName>
    <definedName name="Z_2A78E287_3113_4387_BB62_BE98FA5C13C2_.wvu.FilterData" localSheetId="34" hidden="1">'TB 100424'!$A$11:$C$386</definedName>
    <definedName name="Z_2A78E287_3113_4387_BB62_BE98FA5C13C2_.wvu.FilterData" localSheetId="29" hidden="1">'TB 110524'!$A$11:$G$382</definedName>
    <definedName name="Z_2A78E287_3113_4387_BB62_BE98FA5C13C2_.wvu.FilterData" localSheetId="27" hidden="1">'TB Final'!$B$3:$Q$574</definedName>
    <definedName name="Z_2A78E287_3113_4387_BB62_BE98FA5C13C2_.wvu.PrintArea" localSheetId="3" hidden="1">BSPL!$B$3:$H$1023</definedName>
    <definedName name="Z_2A78E287_3113_4387_BB62_BE98FA5C13C2_.wvu.PrintArea" localSheetId="6" hidden="1">'BSPL Lakhs'!$B$3:$H$1025</definedName>
    <definedName name="Z_2A78E287_3113_4387_BB62_BE98FA5C13C2_.wvu.PrintArea" localSheetId="12" hidden="1">'Cash Flow'!$A$2:$AM$86</definedName>
    <definedName name="Z_2A78E287_3113_4387_BB62_BE98FA5C13C2_.wvu.PrintArea" localSheetId="14" hidden="1">'Cash Flow lakhs'!$A$2:$AM$87</definedName>
    <definedName name="Z_2A78E287_3113_4387_BB62_BE98FA5C13C2_.wvu.PrintArea" localSheetId="15" hidden="1">'CLOSING STOCK 31-03-24'!$A$1:$Q$37</definedName>
    <definedName name="Z_2A78E287_3113_4387_BB62_BE98FA5C13C2_.wvu.PrintArea" localSheetId="10" hidden="1">COI!$B$2:$M$77</definedName>
    <definedName name="Z_2A78E287_3113_4387_BB62_BE98FA5C13C2_.wvu.PrintArea" localSheetId="44" hidden="1">'Debtor''s Ageing31.03.24'!$A$1:$Q$356</definedName>
    <definedName name="Z_2A78E287_3113_4387_BB62_BE98FA5C13C2_.wvu.PrintArea" localSheetId="18" hidden="1">Depreciation!$A$1:$J$55</definedName>
    <definedName name="Z_2A78E287_3113_4387_BB62_BE98FA5C13C2_.wvu.PrintArea" localSheetId="25" hidden="1">'Depreciation lakhs'!$A$1:$J$54</definedName>
    <definedName name="Z_2A78E287_3113_4387_BB62_BE98FA5C13C2_.wvu.PrintArea" localSheetId="16" hidden="1">'FG Valuation'!$B$1:$I$40</definedName>
    <definedName name="Z_2A78E287_3113_4387_BB62_BE98FA5C13C2_.wvu.PrintArea" localSheetId="19" hidden="1">'IT Dep'!$B$4:$Q$61</definedName>
    <definedName name="Z_2A78E287_3113_4387_BB62_BE98FA5C13C2_.wvu.PrintArea" localSheetId="45" hidden="1">'Leave Encashment'!$A$1:$X$56</definedName>
    <definedName name="Z_2A78E287_3113_4387_BB62_BE98FA5C13C2_.wvu.PrintArea" localSheetId="41" hidden="1">'Loans to staff'!$A$2:$M$23</definedName>
    <definedName name="Z_2A78E287_3113_4387_BB62_BE98FA5C13C2_.wvu.PrintArea" localSheetId="4" hidden="1">'Ratio Analysis'!$B$2:$M$60</definedName>
    <definedName name="Z_2A78E287_3113_4387_BB62_BE98FA5C13C2_.wvu.PrintArea" localSheetId="17" hidden="1">'Ratio Analysis (2)'!$B$2:$G$33</definedName>
    <definedName name="Z_2A78E287_3113_4387_BB62_BE98FA5C13C2_.wvu.PrintArea" localSheetId="0" hidden="1">'Result 1 P&amp;L'!$B$2:$G$59</definedName>
    <definedName name="Z_2A78E287_3113_4387_BB62_BE98FA5C13C2_.wvu.PrintArea" localSheetId="1" hidden="1">'Result 2 BS'!$B$3:$D$51</definedName>
    <definedName name="Z_2A78E287_3113_4387_BB62_BE98FA5C13C2_.wvu.PrintArea" localSheetId="2" hidden="1">'Result 3 CF'!$C$3:$E$47</definedName>
    <definedName name="Z_2A78E287_3113_4387_BB62_BE98FA5C13C2_.wvu.Rows" localSheetId="3" hidden="1">BSPL!$303:$307,BSPL!$366:$368,BSPL!$467:$468,BSPL!$513:$514,BSPL!$812:$815</definedName>
    <definedName name="Z_2A78E287_3113_4387_BB62_BE98FA5C13C2_.wvu.Rows" localSheetId="6" hidden="1">'BSPL Lakhs'!$305:$309,'BSPL Lakhs'!$368:$370,'BSPL Lakhs'!$469:$470,'BSPL Lakhs'!$515:$516,'BSPL Lakhs'!$813:$816</definedName>
    <definedName name="Z_2A78E287_3113_4387_BB62_BE98FA5C13C2_.wvu.Rows" localSheetId="12" hidden="1">'Cash Flow'!$37:$40,'Cash Flow'!$45:$45</definedName>
    <definedName name="Z_2A78E287_3113_4387_BB62_BE98FA5C13C2_.wvu.Rows" localSheetId="14" hidden="1">'Cash Flow lakhs'!$38:$41,'Cash Flow lakhs'!$46:$46</definedName>
    <definedName name="Z_2A78E287_3113_4387_BB62_BE98FA5C13C2_.wvu.Rows" localSheetId="15" hidden="1">'CLOSING STOCK 31-03-24'!$3:$5</definedName>
    <definedName name="Z_2A78E287_3113_4387_BB62_BE98FA5C13C2_.wvu.Rows" localSheetId="10" hidden="1">COI!$55:$76</definedName>
    <definedName name="Z_2A78E287_3113_4387_BB62_BE98FA5C13C2_.wvu.Rows" localSheetId="41" hidden="1">'Loans to staff'!$11:$13,'Loans to staff'!$22:$22</definedName>
    <definedName name="Z_2A78E287_3113_4387_BB62_BE98FA5C13C2_.wvu.Rows" localSheetId="2" hidden="1">'Result 3 CF'!$33:$36</definedName>
    <definedName name="Z_476F5800_BE05_4E70_959A_43C436F3A307_.wvu.PrintArea" localSheetId="13" hidden="1">#REF!</definedName>
    <definedName name="Z_476F5800_BE05_4E70_959A_43C436F3A307_.wvu.PrintArea" localSheetId="19" hidden="1">#REF!</definedName>
    <definedName name="Z_476F5800_BE05_4E70_959A_43C436F3A307_.wvu.PrintArea" localSheetId="17" hidden="1">#REF!</definedName>
    <definedName name="Z_476F5800_BE05_4E70_959A_43C436F3A307_.wvu.PrintArea" hidden="1">#REF!</definedName>
    <definedName name="Z_476F5800_BE05_4E70_959A_43C436F3A307_.wvu.Rows" localSheetId="13" hidden="1">'[69]Ann A'!#REF!,'[69]Ann A'!#REF!</definedName>
    <definedName name="Z_476F5800_BE05_4E70_959A_43C436F3A307_.wvu.Rows" localSheetId="42" hidden="1">'[69]Ann A'!#REF!,'[69]Ann A'!#REF!</definedName>
    <definedName name="Z_476F5800_BE05_4E70_959A_43C436F3A307_.wvu.Rows" localSheetId="35" hidden="1">'[69]Ann A'!#REF!,'[69]Ann A'!#REF!</definedName>
    <definedName name="Z_476F5800_BE05_4E70_959A_43C436F3A307_.wvu.Rows" localSheetId="44" hidden="1">'[69]Ann A'!#REF!,'[69]Ann A'!#REF!</definedName>
    <definedName name="Z_476F5800_BE05_4E70_959A_43C436F3A307_.wvu.Rows" localSheetId="19" hidden="1">'[68]Ann A'!#REF!,'[68]Ann A'!#REF!</definedName>
    <definedName name="Z_476F5800_BE05_4E70_959A_43C436F3A307_.wvu.Rows" localSheetId="41" hidden="1">'[69]Ann A'!#REF!,'[69]Ann A'!#REF!</definedName>
    <definedName name="Z_476F5800_BE05_4E70_959A_43C436F3A307_.wvu.Rows" localSheetId="4" hidden="1">'[69]Ann A'!#REF!,'[69]Ann A'!#REF!</definedName>
    <definedName name="Z_476F5800_BE05_4E70_959A_43C436F3A307_.wvu.Rows" localSheetId="17" hidden="1">'[69]Ann A'!#REF!,'[69]Ann A'!#REF!</definedName>
    <definedName name="Z_476F5800_BE05_4E70_959A_43C436F3A307_.wvu.Rows" localSheetId="32" hidden="1">'[69]Ann A'!#REF!,'[69]Ann A'!#REF!</definedName>
    <definedName name="Z_476F5800_BE05_4E70_959A_43C436F3A307_.wvu.Rows" hidden="1">'[69]Ann A'!#REF!,'[69]Ann A'!#REF!</definedName>
    <definedName name="Z_68181020_4927_4299_A478_E9569D3AE9C1_.wvu.Cols" localSheetId="13" hidden="1">[69]COI!#REF!,[69]COI!#REF!</definedName>
    <definedName name="Z_68181020_4927_4299_A478_E9569D3AE9C1_.wvu.Cols" localSheetId="42" hidden="1">[69]COI!#REF!,[69]COI!#REF!</definedName>
    <definedName name="Z_68181020_4927_4299_A478_E9569D3AE9C1_.wvu.Cols" localSheetId="35" hidden="1">[69]COI!#REF!,[69]COI!#REF!</definedName>
    <definedName name="Z_68181020_4927_4299_A478_E9569D3AE9C1_.wvu.Cols" localSheetId="44" hidden="1">[69]COI!#REF!,[69]COI!#REF!</definedName>
    <definedName name="Z_68181020_4927_4299_A478_E9569D3AE9C1_.wvu.Cols" localSheetId="19" hidden="1">[68]COI!#REF!,[68]COI!#REF!</definedName>
    <definedName name="Z_68181020_4927_4299_A478_E9569D3AE9C1_.wvu.Cols" localSheetId="41" hidden="1">[69]COI!#REF!,[69]COI!#REF!</definedName>
    <definedName name="Z_68181020_4927_4299_A478_E9569D3AE9C1_.wvu.Cols" localSheetId="4" hidden="1">[69]COI!#REF!,[69]COI!#REF!</definedName>
    <definedName name="Z_68181020_4927_4299_A478_E9569D3AE9C1_.wvu.Cols" localSheetId="17" hidden="1">[69]COI!#REF!,[69]COI!#REF!</definedName>
    <definedName name="Z_68181020_4927_4299_A478_E9569D3AE9C1_.wvu.Cols" localSheetId="32" hidden="1">[69]COI!#REF!,[69]COI!#REF!</definedName>
    <definedName name="Z_68181020_4927_4299_A478_E9569D3AE9C1_.wvu.Cols" hidden="1">[69]COI!#REF!,[69]COI!#REF!</definedName>
    <definedName name="Z_68181020_4927_4299_A478_E9569D3AE9C1_.wvu.PrintArea" localSheetId="13" hidden="1">#REF!</definedName>
    <definedName name="Z_68181020_4927_4299_A478_E9569D3AE9C1_.wvu.PrintArea" localSheetId="19" hidden="1">#REF!</definedName>
    <definedName name="Z_68181020_4927_4299_A478_E9569D3AE9C1_.wvu.PrintArea" localSheetId="17" hidden="1">#REF!</definedName>
    <definedName name="Z_68181020_4927_4299_A478_E9569D3AE9C1_.wvu.PrintArea" hidden="1">#REF!</definedName>
    <definedName name="Z_68181020_4927_4299_A478_E9569D3AE9C1_.wvu.Rows" localSheetId="13" hidden="1">[69]COI!#REF!,[69]COI!#REF!,[69]COI!#REF!,[69]COI!#REF!,[69]COI!#REF!,[69]COI!$A$76:$IV$76,[69]COI!$A$78:$IV$92,[69]COI!$A$94:$IV$94,[69]COI!$A$178:$IV$178,[69]COI!$A$181:$IV$183,[69]COI!$A$192:$IV$192,[69]COI!$A$219:$IV$219</definedName>
    <definedName name="Z_68181020_4927_4299_A478_E9569D3AE9C1_.wvu.Rows" localSheetId="42" hidden="1">[69]COI!#REF!,[69]COI!#REF!,[69]COI!#REF!,[69]COI!#REF!,[69]COI!#REF!,[69]COI!$A$76:$IV$76,[69]COI!$A$78:$IV$92,[69]COI!$A$94:$IV$94,[69]COI!$A$178:$IV$178,[69]COI!$A$181:$IV$183,[69]COI!$A$192:$IV$192,[69]COI!$A$219:$IV$219</definedName>
    <definedName name="Z_68181020_4927_4299_A478_E9569D3AE9C1_.wvu.Rows" localSheetId="35" hidden="1">[69]COI!#REF!,[69]COI!#REF!,[69]COI!#REF!,[69]COI!#REF!,[69]COI!#REF!,[69]COI!$A$76:$IV$76,[69]COI!$A$78:$IV$92,[69]COI!$A$94:$IV$94,[69]COI!$A$178:$IV$178,[69]COI!$A$181:$IV$183,[69]COI!$A$192:$IV$192,[69]COI!$A$219:$IV$219</definedName>
    <definedName name="Z_68181020_4927_4299_A478_E9569D3AE9C1_.wvu.Rows" localSheetId="44" hidden="1">[69]COI!#REF!,[69]COI!#REF!,[69]COI!#REF!,[69]COI!#REF!,[69]COI!#REF!,[69]COI!$A$76:$IV$76,[69]COI!$A$78:$IV$92,[69]COI!$A$94:$IV$94,[69]COI!$A$178:$IV$178,[69]COI!$A$181:$IV$183,[69]COI!$A$192:$IV$192,[69]COI!$A$219:$IV$219</definedName>
    <definedName name="Z_68181020_4927_4299_A478_E9569D3AE9C1_.wvu.Rows" localSheetId="19" hidden="1">[68]COI!#REF!,[68]COI!#REF!,[68]COI!#REF!,[68]COI!#REF!,[68]COI!#REF!,[68]COI!$A$74:$IV$74,[68]COI!$A$76:$IV$90,[68]COI!$A$92:$IV$92,[68]COI!$A$176:$IV$176,[68]COI!$A$179:$IV$181,[68]COI!$A$190:$IV$190,[68]COI!$A$217:$IV$217</definedName>
    <definedName name="Z_68181020_4927_4299_A478_E9569D3AE9C1_.wvu.Rows" localSheetId="41" hidden="1">[69]COI!#REF!,[69]COI!#REF!,[69]COI!#REF!,[69]COI!#REF!,[69]COI!#REF!,[69]COI!$A$76:$IV$76,[69]COI!$A$78:$IV$92,[69]COI!$A$94:$IV$94,[69]COI!$A$178:$IV$178,[69]COI!$A$181:$IV$183,[69]COI!$A$192:$IV$192,[69]COI!$A$219:$IV$219</definedName>
    <definedName name="Z_68181020_4927_4299_A478_E9569D3AE9C1_.wvu.Rows" localSheetId="4" hidden="1">[69]COI!#REF!,[69]COI!#REF!,[69]COI!#REF!,[69]COI!#REF!,[69]COI!#REF!,[69]COI!$A$76:$IV$76,[69]COI!$A$78:$IV$92,[69]COI!$A$94:$IV$94,[69]COI!$A$178:$IV$178,[69]COI!$A$181:$IV$183,[69]COI!$A$192:$IV$192,[69]COI!$A$219:$IV$219</definedName>
    <definedName name="Z_68181020_4927_4299_A478_E9569D3AE9C1_.wvu.Rows" localSheetId="17" hidden="1">[69]COI!#REF!,[69]COI!#REF!,[69]COI!#REF!,[69]COI!#REF!,[69]COI!#REF!,[69]COI!$A$76:$IV$76,[69]COI!$A$78:$IV$92,[69]COI!$A$94:$IV$94,[69]COI!$A$178:$IV$178,[69]COI!$A$181:$IV$183,[69]COI!$A$192:$IV$192,[69]COI!$A$219:$IV$219</definedName>
    <definedName name="Z_68181020_4927_4299_A478_E9569D3AE9C1_.wvu.Rows" localSheetId="32" hidden="1">[69]COI!#REF!,[69]COI!#REF!,[69]COI!#REF!,[69]COI!#REF!,[69]COI!#REF!,[69]COI!$A$76:$IV$76,[69]COI!$A$78:$IV$92,[69]COI!$A$94:$IV$94,[69]COI!$A$178:$IV$178,[69]COI!$A$181:$IV$183,[69]COI!$A$192:$IV$192,[69]COI!$A$219:$IV$219</definedName>
    <definedName name="Z_68181020_4927_4299_A478_E9569D3AE9C1_.wvu.Rows" hidden="1">[69]COI!#REF!,[69]COI!#REF!,[69]COI!#REF!,[69]COI!#REF!,[69]COI!#REF!,[69]COI!$A$76:$IV$76,[69]COI!$A$78:$IV$92,[69]COI!$A$94:$IV$94,[69]COI!$A$178:$IV$178,[69]COI!$A$181:$IV$183,[69]COI!$A$192:$IV$192,[69]COI!$A$219:$IV$219</definedName>
    <definedName name="Z_6FC40E20_2DF7_11D6_B0CE_0050BF1228E5_.wvu.Rows" localSheetId="42" hidden="1">[69]Dep!#REF!</definedName>
    <definedName name="Z_6FC40E20_2DF7_11D6_B0CE_0050BF1228E5_.wvu.Rows" localSheetId="35" hidden="1">[69]Dep!#REF!</definedName>
    <definedName name="Z_6FC40E20_2DF7_11D6_B0CE_0050BF1228E5_.wvu.Rows" localSheetId="44" hidden="1">[69]Dep!#REF!</definedName>
    <definedName name="Z_6FC40E20_2DF7_11D6_B0CE_0050BF1228E5_.wvu.Rows" localSheetId="19" hidden="1">[68]Dep!#REF!</definedName>
    <definedName name="Z_6FC40E20_2DF7_11D6_B0CE_0050BF1228E5_.wvu.Rows" localSheetId="41" hidden="1">[69]Dep!#REF!</definedName>
    <definedName name="Z_6FC40E20_2DF7_11D6_B0CE_0050BF1228E5_.wvu.Rows" localSheetId="17" hidden="1">[69]Dep!#REF!</definedName>
    <definedName name="Z_6FC40E20_2DF7_11D6_B0CE_0050BF1228E5_.wvu.Rows" localSheetId="32" hidden="1">[69]Dep!#REF!</definedName>
    <definedName name="Z_6FC40E20_2DF7_11D6_B0CE_0050BF1228E5_.wvu.Rows" hidden="1">[69]Dep!#REF!</definedName>
    <definedName name="Z_70BF2801_4F4E_4848_9CCA_A6AE52CF77AE_.wvu.Cols" localSheetId="42" hidden="1">#REF!</definedName>
    <definedName name="Z_70BF2801_4F4E_4848_9CCA_A6AE52CF77AE_.wvu.Cols" localSheetId="35" hidden="1">#REF!</definedName>
    <definedName name="Z_70BF2801_4F4E_4848_9CCA_A6AE52CF77AE_.wvu.Cols" localSheetId="44" hidden="1">#REF!</definedName>
    <definedName name="Z_70BF2801_4F4E_4848_9CCA_A6AE52CF77AE_.wvu.Cols" localSheetId="19" hidden="1">#REF!</definedName>
    <definedName name="Z_70BF2801_4F4E_4848_9CCA_A6AE52CF77AE_.wvu.Cols" localSheetId="41" hidden="1">#REF!</definedName>
    <definedName name="Z_70BF2801_4F4E_4848_9CCA_A6AE52CF77AE_.wvu.Cols" localSheetId="17" hidden="1">#REF!</definedName>
    <definedName name="Z_70BF2801_4F4E_4848_9CCA_A6AE52CF77AE_.wvu.Cols" localSheetId="32" hidden="1">#REF!</definedName>
    <definedName name="Z_70BF2801_4F4E_4848_9CCA_A6AE52CF77AE_.wvu.Cols" hidden="1">#REF!</definedName>
    <definedName name="Z_70BF2801_4F4E_4848_9CCA_A6AE52CF77AE_.wvu.PrintArea" localSheetId="42" hidden="1">#REF!</definedName>
    <definedName name="Z_70BF2801_4F4E_4848_9CCA_A6AE52CF77AE_.wvu.PrintArea" localSheetId="35" hidden="1">#REF!</definedName>
    <definedName name="Z_70BF2801_4F4E_4848_9CCA_A6AE52CF77AE_.wvu.PrintArea" localSheetId="44" hidden="1">#REF!</definedName>
    <definedName name="Z_70BF2801_4F4E_4848_9CCA_A6AE52CF77AE_.wvu.PrintArea" localSheetId="19" hidden="1">#REF!</definedName>
    <definedName name="Z_70BF2801_4F4E_4848_9CCA_A6AE52CF77AE_.wvu.PrintArea" localSheetId="41" hidden="1">#REF!</definedName>
    <definedName name="Z_70BF2801_4F4E_4848_9CCA_A6AE52CF77AE_.wvu.PrintArea" localSheetId="17" hidden="1">#REF!</definedName>
    <definedName name="Z_70BF2801_4F4E_4848_9CCA_A6AE52CF77AE_.wvu.PrintArea" localSheetId="32" hidden="1">#REF!</definedName>
    <definedName name="Z_70BF2801_4F4E_4848_9CCA_A6AE52CF77AE_.wvu.PrintArea" hidden="1">#REF!</definedName>
    <definedName name="Z_70BF2801_4F4E_4848_9CCA_A6AE52CF77AE_.wvu.Rows" localSheetId="13" hidden="1">#REF!,#REF!,#REF!,#REF!,#REF!,#REF!,#REF!,#REF!</definedName>
    <definedName name="Z_70BF2801_4F4E_4848_9CCA_A6AE52CF77AE_.wvu.Rows" localSheetId="42" hidden="1">#REF!,#REF!,#REF!,#REF!,#REF!,#REF!,#REF!,#REF!</definedName>
    <definedName name="Z_70BF2801_4F4E_4848_9CCA_A6AE52CF77AE_.wvu.Rows" localSheetId="35" hidden="1">#REF!,#REF!,#REF!,#REF!,#REF!,#REF!,#REF!,#REF!</definedName>
    <definedName name="Z_70BF2801_4F4E_4848_9CCA_A6AE52CF77AE_.wvu.Rows" localSheetId="44" hidden="1">#REF!,#REF!,#REF!,#REF!,#REF!,#REF!,#REF!,#REF!</definedName>
    <definedName name="Z_70BF2801_4F4E_4848_9CCA_A6AE52CF77AE_.wvu.Rows" localSheetId="19" hidden="1">[68]BS!#REF!,[68]BS!#REF!,[68]BS!#REF!,[68]BS!#REF!,[68]BS!#REF!,[68]BS!#REF!,[68]BS!#REF!,[68]BS!$A$1893:$IV$1904</definedName>
    <definedName name="Z_70BF2801_4F4E_4848_9CCA_A6AE52CF77AE_.wvu.Rows" localSheetId="41" hidden="1">#REF!,#REF!,#REF!,#REF!,#REF!,#REF!,#REF!,#REF!</definedName>
    <definedName name="Z_70BF2801_4F4E_4848_9CCA_A6AE52CF77AE_.wvu.Rows" localSheetId="17" hidden="1">#REF!,#REF!,#REF!,#REF!,#REF!,#REF!,#REF!,#REF!</definedName>
    <definedName name="Z_70BF2801_4F4E_4848_9CCA_A6AE52CF77AE_.wvu.Rows" localSheetId="32" hidden="1">#REF!,#REF!,#REF!,#REF!,#REF!,#REF!,#REF!,#REF!</definedName>
    <definedName name="Z_70BF2801_4F4E_4848_9CCA_A6AE52CF77AE_.wvu.Rows" hidden="1">#REF!,#REF!,#REF!,#REF!,#REF!,#REF!,#REF!,#REF!</definedName>
    <definedName name="Z_74A3CB54_DEA6_41EF_AF89_97C1121E01CE_.wvu.FilterData" localSheetId="27" hidden="1">'TB Final'!$B$3:$Q$574</definedName>
    <definedName name="Z_759827BE_126A_4DA8_9A48_C087589A2891_.wvu.Cols" localSheetId="13" hidden="1">[69]COI!#REF!,[69]COI!#REF!</definedName>
    <definedName name="Z_759827BE_126A_4DA8_9A48_C087589A2891_.wvu.Cols" localSheetId="42" hidden="1">[69]COI!#REF!,[69]COI!#REF!</definedName>
    <definedName name="Z_759827BE_126A_4DA8_9A48_C087589A2891_.wvu.Cols" localSheetId="35" hidden="1">[69]COI!#REF!,[69]COI!#REF!</definedName>
    <definedName name="Z_759827BE_126A_4DA8_9A48_C087589A2891_.wvu.Cols" localSheetId="44" hidden="1">[69]COI!#REF!,[69]COI!#REF!</definedName>
    <definedName name="Z_759827BE_126A_4DA8_9A48_C087589A2891_.wvu.Cols" localSheetId="19" hidden="1">[68]COI!#REF!,[68]COI!#REF!</definedName>
    <definedName name="Z_759827BE_126A_4DA8_9A48_C087589A2891_.wvu.Cols" localSheetId="41" hidden="1">[69]COI!#REF!,[69]COI!#REF!</definedName>
    <definedName name="Z_759827BE_126A_4DA8_9A48_C087589A2891_.wvu.Cols" localSheetId="4" hidden="1">[69]COI!#REF!,[69]COI!#REF!</definedName>
    <definedName name="Z_759827BE_126A_4DA8_9A48_C087589A2891_.wvu.Cols" localSheetId="17" hidden="1">[69]COI!#REF!,[69]COI!#REF!</definedName>
    <definedName name="Z_759827BE_126A_4DA8_9A48_C087589A2891_.wvu.Cols" localSheetId="32" hidden="1">[69]COI!#REF!,[69]COI!#REF!</definedName>
    <definedName name="Z_759827BE_126A_4DA8_9A48_C087589A2891_.wvu.Cols" hidden="1">[69]COI!#REF!,[69]COI!#REF!</definedName>
    <definedName name="Z_759827BE_126A_4DA8_9A48_C087589A2891_.wvu.PrintArea" localSheetId="13" hidden="1">#REF!</definedName>
    <definedName name="Z_759827BE_126A_4DA8_9A48_C087589A2891_.wvu.PrintArea" localSheetId="19" hidden="1">#REF!</definedName>
    <definedName name="Z_759827BE_126A_4DA8_9A48_C087589A2891_.wvu.PrintArea" localSheetId="17" hidden="1">#REF!</definedName>
    <definedName name="Z_759827BE_126A_4DA8_9A48_C087589A2891_.wvu.PrintArea" hidden="1">#REF!</definedName>
    <definedName name="Z_759827BE_126A_4DA8_9A48_C087589A2891_.wvu.Rows" localSheetId="13" hidden="1">[69]COI!#REF!,[69]COI!#REF!,[69]COI!#REF!,[69]COI!#REF!,[69]COI!$A$76:$IV$76,[69]COI!#REF!,[69]COI!#REF!,[69]COI!$A$94:$IV$94,[69]COI!$A$178:$IV$178,[69]COI!$A$181:$IV$183,[69]COI!$A$192:$IV$192,[69]COI!$A$219:$IV$219</definedName>
    <definedName name="Z_759827BE_126A_4DA8_9A48_C087589A2891_.wvu.Rows" localSheetId="42" hidden="1">[69]COI!#REF!,[69]COI!#REF!,[69]COI!#REF!,[69]COI!#REF!,[69]COI!$A$76:$IV$76,[69]COI!#REF!,[69]COI!#REF!,[69]COI!$A$94:$IV$94,[69]COI!$A$178:$IV$178,[69]COI!$A$181:$IV$183,[69]COI!$A$192:$IV$192,[69]COI!$A$219:$IV$219</definedName>
    <definedName name="Z_759827BE_126A_4DA8_9A48_C087589A2891_.wvu.Rows" localSheetId="35" hidden="1">[69]COI!#REF!,[69]COI!#REF!,[69]COI!#REF!,[69]COI!#REF!,[69]COI!$A$76:$IV$76,[69]COI!#REF!,[69]COI!#REF!,[69]COI!$A$94:$IV$94,[69]COI!$A$178:$IV$178,[69]COI!$A$181:$IV$183,[69]COI!$A$192:$IV$192,[69]COI!$A$219:$IV$219</definedName>
    <definedName name="Z_759827BE_126A_4DA8_9A48_C087589A2891_.wvu.Rows" localSheetId="44" hidden="1">[69]COI!#REF!,[69]COI!#REF!,[69]COI!#REF!,[69]COI!#REF!,[69]COI!$A$76:$IV$76,[69]COI!#REF!,[69]COI!#REF!,[69]COI!$A$94:$IV$94,[69]COI!$A$178:$IV$178,[69]COI!$A$181:$IV$183,[69]COI!$A$192:$IV$192,[69]COI!$A$219:$IV$219</definedName>
    <definedName name="Z_759827BE_126A_4DA8_9A48_C087589A2891_.wvu.Rows" localSheetId="19" hidden="1">[68]COI!#REF!,[68]COI!#REF!,[68]COI!#REF!,[68]COI!#REF!,[68]COI!$A$74:$IV$74,[68]COI!#REF!,[68]COI!#REF!,[68]COI!$A$92:$IV$92,[68]COI!$A$176:$IV$176,[68]COI!$A$179:$IV$181,[68]COI!$A$190:$IV$190,[68]COI!$A$217:$IV$217</definedName>
    <definedName name="Z_759827BE_126A_4DA8_9A48_C087589A2891_.wvu.Rows" localSheetId="41" hidden="1">[69]COI!#REF!,[69]COI!#REF!,[69]COI!#REF!,[69]COI!#REF!,[69]COI!$A$76:$IV$76,[69]COI!#REF!,[69]COI!#REF!,[69]COI!$A$94:$IV$94,[69]COI!$A$178:$IV$178,[69]COI!$A$181:$IV$183,[69]COI!$A$192:$IV$192,[69]COI!$A$219:$IV$219</definedName>
    <definedName name="Z_759827BE_126A_4DA8_9A48_C087589A2891_.wvu.Rows" localSheetId="4" hidden="1">[69]COI!#REF!,[69]COI!#REF!,[69]COI!#REF!,[69]COI!#REF!,[69]COI!$A$76:$IV$76,[69]COI!#REF!,[69]COI!#REF!,[69]COI!$A$94:$IV$94,[69]COI!$A$178:$IV$178,[69]COI!$A$181:$IV$183,[69]COI!$A$192:$IV$192,[69]COI!$A$219:$IV$219</definedName>
    <definedName name="Z_759827BE_126A_4DA8_9A48_C087589A2891_.wvu.Rows" localSheetId="17" hidden="1">[69]COI!#REF!,[69]COI!#REF!,[69]COI!#REF!,[69]COI!#REF!,[69]COI!$A$76:$IV$76,[69]COI!#REF!,[69]COI!#REF!,[69]COI!$A$94:$IV$94,[69]COI!$A$178:$IV$178,[69]COI!$A$181:$IV$183,[69]COI!$A$192:$IV$192,[69]COI!$A$219:$IV$219</definedName>
    <definedName name="Z_759827BE_126A_4DA8_9A48_C087589A2891_.wvu.Rows" localSheetId="32" hidden="1">[69]COI!#REF!,[69]COI!#REF!,[69]COI!#REF!,[69]COI!#REF!,[69]COI!$A$76:$IV$76,[69]COI!#REF!,[69]COI!#REF!,[69]COI!$A$94:$IV$94,[69]COI!$A$178:$IV$178,[69]COI!$A$181:$IV$183,[69]COI!$A$192:$IV$192,[69]COI!$A$219:$IV$219</definedName>
    <definedName name="Z_759827BE_126A_4DA8_9A48_C087589A2891_.wvu.Rows" hidden="1">[69]COI!#REF!,[69]COI!#REF!,[69]COI!#REF!,[69]COI!#REF!,[69]COI!$A$76:$IV$76,[69]COI!#REF!,[69]COI!#REF!,[69]COI!$A$94:$IV$94,[69]COI!$A$178:$IV$178,[69]COI!$A$181:$IV$183,[69]COI!$A$192:$IV$192,[69]COI!$A$219:$IV$219</definedName>
    <definedName name="Z_76854680_FF75_11D5_90E8_0080AD1B77C1_.wvu.Cols" localSheetId="13" hidden="1">#REF!</definedName>
    <definedName name="Z_76854680_FF75_11D5_90E8_0080AD1B77C1_.wvu.Cols" localSheetId="19" hidden="1">#REF!</definedName>
    <definedName name="Z_76854680_FF75_11D5_90E8_0080AD1B77C1_.wvu.Cols" localSheetId="17" hidden="1">#REF!</definedName>
    <definedName name="Z_76854680_FF75_11D5_90E8_0080AD1B77C1_.wvu.Cols" hidden="1">#REF!</definedName>
    <definedName name="Z_76854680_FF75_11D5_90E8_0080AD1B77C1_.wvu.PrintArea" localSheetId="13" hidden="1">#REF!</definedName>
    <definedName name="Z_76854680_FF75_11D5_90E8_0080AD1B77C1_.wvu.PrintArea" localSheetId="19" hidden="1">#REF!</definedName>
    <definedName name="Z_76854680_FF75_11D5_90E8_0080AD1B77C1_.wvu.PrintArea" localSheetId="17" hidden="1">#REF!</definedName>
    <definedName name="Z_76854680_FF75_11D5_90E8_0080AD1B77C1_.wvu.PrintArea" hidden="1">#REF!</definedName>
    <definedName name="Z_76854680_FF75_11D5_90E8_0080AD1B77C1_.wvu.Rows" localSheetId="13" hidden="1">[69]Dep!#REF!,[69]Dep!#REF!,[69]Dep!#REF!</definedName>
    <definedName name="Z_76854680_FF75_11D5_90E8_0080AD1B77C1_.wvu.Rows" localSheetId="42" hidden="1">[69]Dep!#REF!,[69]Dep!#REF!,[69]Dep!#REF!</definedName>
    <definedName name="Z_76854680_FF75_11D5_90E8_0080AD1B77C1_.wvu.Rows" localSheetId="35" hidden="1">[69]Dep!#REF!,[69]Dep!#REF!,[69]Dep!#REF!</definedName>
    <definedName name="Z_76854680_FF75_11D5_90E8_0080AD1B77C1_.wvu.Rows" localSheetId="44" hidden="1">[69]Dep!#REF!,[69]Dep!#REF!,[69]Dep!#REF!</definedName>
    <definedName name="Z_76854680_FF75_11D5_90E8_0080AD1B77C1_.wvu.Rows" localSheetId="19" hidden="1">[68]Dep!#REF!,[68]Dep!#REF!,[68]Dep!#REF!</definedName>
    <definedName name="Z_76854680_FF75_11D5_90E8_0080AD1B77C1_.wvu.Rows" localSheetId="41" hidden="1">[69]Dep!#REF!,[69]Dep!#REF!,[69]Dep!#REF!</definedName>
    <definedName name="Z_76854680_FF75_11D5_90E8_0080AD1B77C1_.wvu.Rows" localSheetId="4" hidden="1">[69]Dep!#REF!,[69]Dep!#REF!,[69]Dep!#REF!</definedName>
    <definedName name="Z_76854680_FF75_11D5_90E8_0080AD1B77C1_.wvu.Rows" localSheetId="17" hidden="1">[69]Dep!#REF!,[69]Dep!#REF!,[69]Dep!#REF!</definedName>
    <definedName name="Z_76854680_FF75_11D5_90E8_0080AD1B77C1_.wvu.Rows" localSheetId="32" hidden="1">[69]Dep!#REF!,[69]Dep!#REF!,[69]Dep!#REF!</definedName>
    <definedName name="Z_76854680_FF75_11D5_90E8_0080AD1B77C1_.wvu.Rows" hidden="1">[69]Dep!#REF!,[69]Dep!#REF!,[69]Dep!#REF!</definedName>
    <definedName name="Z_81B49422_B94B_11D7_8BE4_000795ABF7ED_.wvu.FilterData" localSheetId="42" hidden="1">#REF!</definedName>
    <definedName name="Z_81B49422_B94B_11D7_8BE4_000795ABF7ED_.wvu.FilterData" localSheetId="35" hidden="1">#REF!</definedName>
    <definedName name="Z_81B49422_B94B_11D7_8BE4_000795ABF7ED_.wvu.FilterData" localSheetId="44" hidden="1">#REF!</definedName>
    <definedName name="Z_81B49422_B94B_11D7_8BE4_000795ABF7ED_.wvu.FilterData" localSheetId="19" hidden="1">#REF!</definedName>
    <definedName name="Z_81B49422_B94B_11D7_8BE4_000795ABF7ED_.wvu.FilterData" localSheetId="41" hidden="1">#REF!</definedName>
    <definedName name="Z_81B49422_B94B_11D7_8BE4_000795ABF7ED_.wvu.FilterData" localSheetId="17" hidden="1">#REF!</definedName>
    <definedName name="Z_81B49422_B94B_11D7_8BE4_000795ABF7ED_.wvu.FilterData" localSheetId="32" hidden="1">#REF!</definedName>
    <definedName name="Z_81B49422_B94B_11D7_8BE4_000795ABF7ED_.wvu.FilterData" hidden="1">#REF!</definedName>
    <definedName name="Z_858DCAAA_6791_11D7_9DB9_0008A14364AB_.wvu.Rows" localSheetId="13" hidden="1">[69]Dep!#REF!,[69]Dep!#REF!</definedName>
    <definedName name="Z_858DCAAA_6791_11D7_9DB9_0008A14364AB_.wvu.Rows" localSheetId="42" hidden="1">[69]Dep!#REF!,[69]Dep!#REF!</definedName>
    <definedName name="Z_858DCAAA_6791_11D7_9DB9_0008A14364AB_.wvu.Rows" localSheetId="35" hidden="1">[69]Dep!#REF!,[69]Dep!#REF!</definedName>
    <definedName name="Z_858DCAAA_6791_11D7_9DB9_0008A14364AB_.wvu.Rows" localSheetId="44" hidden="1">[69]Dep!#REF!,[69]Dep!#REF!</definedName>
    <definedName name="Z_858DCAAA_6791_11D7_9DB9_0008A14364AB_.wvu.Rows" localSheetId="19" hidden="1">[68]Dep!#REF!,[68]Dep!#REF!</definedName>
    <definedName name="Z_858DCAAA_6791_11D7_9DB9_0008A14364AB_.wvu.Rows" localSheetId="41" hidden="1">[69]Dep!#REF!,[69]Dep!#REF!</definedName>
    <definedName name="Z_858DCAAA_6791_11D7_9DB9_0008A14364AB_.wvu.Rows" localSheetId="4" hidden="1">[69]Dep!#REF!,[69]Dep!#REF!</definedName>
    <definedName name="Z_858DCAAA_6791_11D7_9DB9_0008A14364AB_.wvu.Rows" localSheetId="17" hidden="1">[69]Dep!#REF!,[69]Dep!#REF!</definedName>
    <definedName name="Z_858DCAAA_6791_11D7_9DB9_0008A14364AB_.wvu.Rows" localSheetId="32" hidden="1">[69]Dep!#REF!,[69]Dep!#REF!</definedName>
    <definedName name="Z_858DCAAA_6791_11D7_9DB9_0008A14364AB_.wvu.Rows" hidden="1">[69]Dep!#REF!,[69]Dep!#REF!</definedName>
    <definedName name="Z_85B100BE_7668_4BC6_8768_B14514E80945_.wvu.PrintArea" localSheetId="13" hidden="1">#REF!</definedName>
    <definedName name="Z_85B100BE_7668_4BC6_8768_B14514E80945_.wvu.PrintArea" localSheetId="19" hidden="1">#REF!</definedName>
    <definedName name="Z_85B100BE_7668_4BC6_8768_B14514E80945_.wvu.PrintArea" localSheetId="17" hidden="1">#REF!</definedName>
    <definedName name="Z_85B100BE_7668_4BC6_8768_B14514E80945_.wvu.PrintArea" hidden="1">#REF!</definedName>
    <definedName name="Z_85B100BE_7668_4BC6_8768_B14514E80945_.wvu.Rows" localSheetId="13" hidden="1">#REF!</definedName>
    <definedName name="Z_85B100BE_7668_4BC6_8768_B14514E80945_.wvu.Rows" localSheetId="19" hidden="1">#REF!</definedName>
    <definedName name="Z_85B100BE_7668_4BC6_8768_B14514E80945_.wvu.Rows" localSheetId="17" hidden="1">#REF!</definedName>
    <definedName name="Z_85B100BE_7668_4BC6_8768_B14514E80945_.wvu.Rows" hidden="1">#REF!</definedName>
    <definedName name="Z_873913D5_4C6D_4AAA_9858_E398AB45C5D4_.wvu.FilterData" localSheetId="13" hidden="1">#REF!</definedName>
    <definedName name="Z_873913D5_4C6D_4AAA_9858_E398AB45C5D4_.wvu.FilterData" localSheetId="42" hidden="1">#REF!</definedName>
    <definedName name="Z_873913D5_4C6D_4AAA_9858_E398AB45C5D4_.wvu.FilterData" localSheetId="35" hidden="1">#REF!</definedName>
    <definedName name="Z_873913D5_4C6D_4AAA_9858_E398AB45C5D4_.wvu.FilterData" localSheetId="44" hidden="1">#REF!</definedName>
    <definedName name="Z_873913D5_4C6D_4AAA_9858_E398AB45C5D4_.wvu.FilterData" localSheetId="19" hidden="1">[68]BS!#REF!</definedName>
    <definedName name="Z_873913D5_4C6D_4AAA_9858_E398AB45C5D4_.wvu.FilterData" localSheetId="41" hidden="1">#REF!</definedName>
    <definedName name="Z_873913D5_4C6D_4AAA_9858_E398AB45C5D4_.wvu.FilterData" localSheetId="17" hidden="1">#REF!</definedName>
    <definedName name="Z_873913D5_4C6D_4AAA_9858_E398AB45C5D4_.wvu.FilterData" localSheetId="32" hidden="1">#REF!</definedName>
    <definedName name="Z_873913D5_4C6D_4AAA_9858_E398AB45C5D4_.wvu.FilterData" hidden="1">#REF!</definedName>
    <definedName name="Z_873913D5_4C6D_4AAA_9858_E398AB45C5D4_.wvu.PrintTitles" localSheetId="42" hidden="1">#REF!</definedName>
    <definedName name="Z_873913D5_4C6D_4AAA_9858_E398AB45C5D4_.wvu.PrintTitles" localSheetId="35" hidden="1">#REF!</definedName>
    <definedName name="Z_873913D5_4C6D_4AAA_9858_E398AB45C5D4_.wvu.PrintTitles" localSheetId="44" hidden="1">#REF!</definedName>
    <definedName name="Z_873913D5_4C6D_4AAA_9858_E398AB45C5D4_.wvu.PrintTitles" localSheetId="19" hidden="1">#REF!</definedName>
    <definedName name="Z_873913D5_4C6D_4AAA_9858_E398AB45C5D4_.wvu.PrintTitles" localSheetId="41" hidden="1">#REF!</definedName>
    <definedName name="Z_873913D5_4C6D_4AAA_9858_E398AB45C5D4_.wvu.PrintTitles" localSheetId="17" hidden="1">#REF!</definedName>
    <definedName name="Z_873913D5_4C6D_4AAA_9858_E398AB45C5D4_.wvu.PrintTitles" localSheetId="32" hidden="1">#REF!</definedName>
    <definedName name="Z_873913D5_4C6D_4AAA_9858_E398AB45C5D4_.wvu.PrintTitles" hidden="1">#REF!</definedName>
    <definedName name="Z_93CF68E4_41DD_43B4_81CE_AB76E39C050C_.wvu.Cols" localSheetId="19" hidden="1">[68]Dep!$F$1:$F$65536,[68]Dep!$J$1:$K$65536</definedName>
    <definedName name="Z_93CF68E4_41DD_43B4_81CE_AB76E39C050C_.wvu.Cols" hidden="1">[69]Dep!$F$1:$F$65536,[69]Dep!$J$1:$K$65536</definedName>
    <definedName name="Z_93CF68E4_41DD_43B4_81CE_AB76E39C050C_.wvu.Rows" localSheetId="13" hidden="1">'[69]Ann A'!#REF!,'[69]Ann A'!#REF!,'[69]Ann A'!#REF!,'[69]Ann A'!#REF!,'[69]Ann A'!#REF!,'[69]Ann A'!#REF!</definedName>
    <definedName name="Z_93CF68E4_41DD_43B4_81CE_AB76E39C050C_.wvu.Rows" localSheetId="42" hidden="1">'[69]Ann A'!#REF!,'[69]Ann A'!#REF!,'[69]Ann A'!#REF!,'[69]Ann A'!#REF!,'[69]Ann A'!#REF!,'[69]Ann A'!#REF!</definedName>
    <definedName name="Z_93CF68E4_41DD_43B4_81CE_AB76E39C050C_.wvu.Rows" localSheetId="35" hidden="1">'[69]Ann A'!#REF!,'[69]Ann A'!#REF!,'[69]Ann A'!#REF!,'[69]Ann A'!#REF!,'[69]Ann A'!#REF!,'[69]Ann A'!#REF!</definedName>
    <definedName name="Z_93CF68E4_41DD_43B4_81CE_AB76E39C050C_.wvu.Rows" localSheetId="44" hidden="1">'[69]Ann A'!#REF!,'[69]Ann A'!#REF!,'[69]Ann A'!#REF!,'[69]Ann A'!#REF!,'[69]Ann A'!#REF!,'[69]Ann A'!#REF!</definedName>
    <definedName name="Z_93CF68E4_41DD_43B4_81CE_AB76E39C050C_.wvu.Rows" localSheetId="19" hidden="1">'[68]Ann A'!#REF!,'[68]Ann A'!#REF!,'[68]Ann A'!#REF!,'[68]Ann A'!#REF!,'[68]Ann A'!#REF!,'[68]Ann A'!#REF!</definedName>
    <definedName name="Z_93CF68E4_41DD_43B4_81CE_AB76E39C050C_.wvu.Rows" localSheetId="41" hidden="1">'[69]Ann A'!#REF!,'[69]Ann A'!#REF!,'[69]Ann A'!#REF!,'[69]Ann A'!#REF!,'[69]Ann A'!#REF!,'[69]Ann A'!#REF!</definedName>
    <definedName name="Z_93CF68E4_41DD_43B4_81CE_AB76E39C050C_.wvu.Rows" localSheetId="4" hidden="1">'[69]Ann A'!#REF!,'[69]Ann A'!#REF!,'[69]Ann A'!#REF!,'[69]Ann A'!#REF!,'[69]Ann A'!#REF!,'[69]Ann A'!#REF!</definedName>
    <definedName name="Z_93CF68E4_41DD_43B4_81CE_AB76E39C050C_.wvu.Rows" localSheetId="17" hidden="1">'[69]Ann A'!#REF!,'[69]Ann A'!#REF!,'[69]Ann A'!#REF!,'[69]Ann A'!#REF!,'[69]Ann A'!#REF!,'[69]Ann A'!#REF!</definedName>
    <definedName name="Z_93CF68E4_41DD_43B4_81CE_AB76E39C050C_.wvu.Rows" localSheetId="32" hidden="1">'[69]Ann A'!#REF!,'[69]Ann A'!#REF!,'[69]Ann A'!#REF!,'[69]Ann A'!#REF!,'[69]Ann A'!#REF!,'[69]Ann A'!#REF!</definedName>
    <definedName name="Z_93CF68E4_41DD_43B4_81CE_AB76E39C050C_.wvu.Rows" hidden="1">'[69]Ann A'!#REF!,'[69]Ann A'!#REF!,'[69]Ann A'!#REF!,'[69]Ann A'!#REF!,'[69]Ann A'!#REF!,'[69]Ann A'!#REF!</definedName>
    <definedName name="Z_9F6FB2C0_A861_11D6_A667_444553540000_.wvu.Rows" localSheetId="13" hidden="1">#REF!</definedName>
    <definedName name="Z_9F6FB2C0_A861_11D6_A667_444553540000_.wvu.Rows" localSheetId="19" hidden="1">#REF!</definedName>
    <definedName name="Z_9F6FB2C0_A861_11D6_A667_444553540000_.wvu.Rows" localSheetId="17" hidden="1">#REF!</definedName>
    <definedName name="Z_9F6FB2C0_A861_11D6_A667_444553540000_.wvu.Rows" hidden="1">#REF!</definedName>
    <definedName name="Z_A334CDEA_1B26_497C_9E86_391980B45166_.wvu.Cols" localSheetId="13" hidden="1">[69]COI!#REF!,[69]COI!#REF!</definedName>
    <definedName name="Z_A334CDEA_1B26_497C_9E86_391980B45166_.wvu.Cols" localSheetId="42" hidden="1">[69]COI!#REF!,[69]COI!#REF!</definedName>
    <definedName name="Z_A334CDEA_1B26_497C_9E86_391980B45166_.wvu.Cols" localSheetId="35" hidden="1">[69]COI!#REF!,[69]COI!#REF!</definedName>
    <definedName name="Z_A334CDEA_1B26_497C_9E86_391980B45166_.wvu.Cols" localSheetId="44" hidden="1">[69]COI!#REF!,[69]COI!#REF!</definedName>
    <definedName name="Z_A334CDEA_1B26_497C_9E86_391980B45166_.wvu.Cols" localSheetId="19" hidden="1">[68]COI!#REF!,[68]COI!#REF!</definedName>
    <definedName name="Z_A334CDEA_1B26_497C_9E86_391980B45166_.wvu.Cols" localSheetId="41" hidden="1">[69]COI!#REF!,[69]COI!#REF!</definedName>
    <definedName name="Z_A334CDEA_1B26_497C_9E86_391980B45166_.wvu.Cols" localSheetId="4" hidden="1">[69]COI!#REF!,[69]COI!#REF!</definedName>
    <definedName name="Z_A334CDEA_1B26_497C_9E86_391980B45166_.wvu.Cols" localSheetId="17" hidden="1">[69]COI!#REF!,[69]COI!#REF!</definedName>
    <definedName name="Z_A334CDEA_1B26_497C_9E86_391980B45166_.wvu.Cols" localSheetId="32" hidden="1">[69]COI!#REF!,[69]COI!#REF!</definedName>
    <definedName name="Z_A334CDEA_1B26_497C_9E86_391980B45166_.wvu.Cols" hidden="1">[69]COI!#REF!,[69]COI!#REF!</definedName>
    <definedName name="Z_A334CDEA_1B26_497C_9E86_391980B45166_.wvu.PrintArea" localSheetId="13" hidden="1">#REF!</definedName>
    <definedName name="Z_A334CDEA_1B26_497C_9E86_391980B45166_.wvu.PrintArea" localSheetId="19" hidden="1">#REF!</definedName>
    <definedName name="Z_A334CDEA_1B26_497C_9E86_391980B45166_.wvu.PrintArea" localSheetId="17" hidden="1">#REF!</definedName>
    <definedName name="Z_A334CDEA_1B26_497C_9E86_391980B45166_.wvu.PrintArea" hidden="1">#REF!</definedName>
    <definedName name="Z_A334CDEA_1B26_497C_9E86_391980B45166_.wvu.Rows" localSheetId="13" hidden="1">[69]COI!#REF!,[69]COI!#REF!,[69]COI!#REF!,[69]COI!#REF!,[69]COI!#REF!,[69]COI!$A$76:$IV$76,[69]COI!$A$78:$IV$92,[69]COI!$A$94:$IV$94,[69]COI!$A$178:$IV$178,[69]COI!$A$181:$IV$183,[69]COI!$A$192:$IV$192,[69]COI!$A$219:$IV$219</definedName>
    <definedName name="Z_A334CDEA_1B26_497C_9E86_391980B45166_.wvu.Rows" localSheetId="42" hidden="1">[69]COI!#REF!,[69]COI!#REF!,[69]COI!#REF!,[69]COI!#REF!,[69]COI!#REF!,[69]COI!$A$76:$IV$76,[69]COI!$A$78:$IV$92,[69]COI!$A$94:$IV$94,[69]COI!$A$178:$IV$178,[69]COI!$A$181:$IV$183,[69]COI!$A$192:$IV$192,[69]COI!$A$219:$IV$219</definedName>
    <definedName name="Z_A334CDEA_1B26_497C_9E86_391980B45166_.wvu.Rows" localSheetId="35" hidden="1">[69]COI!#REF!,[69]COI!#REF!,[69]COI!#REF!,[69]COI!#REF!,[69]COI!#REF!,[69]COI!$A$76:$IV$76,[69]COI!$A$78:$IV$92,[69]COI!$A$94:$IV$94,[69]COI!$A$178:$IV$178,[69]COI!$A$181:$IV$183,[69]COI!$A$192:$IV$192,[69]COI!$A$219:$IV$219</definedName>
    <definedName name="Z_A334CDEA_1B26_497C_9E86_391980B45166_.wvu.Rows" localSheetId="44" hidden="1">[69]COI!#REF!,[69]COI!#REF!,[69]COI!#REF!,[69]COI!#REF!,[69]COI!#REF!,[69]COI!$A$76:$IV$76,[69]COI!$A$78:$IV$92,[69]COI!$A$94:$IV$94,[69]COI!$A$178:$IV$178,[69]COI!$A$181:$IV$183,[69]COI!$A$192:$IV$192,[69]COI!$A$219:$IV$219</definedName>
    <definedName name="Z_A334CDEA_1B26_497C_9E86_391980B45166_.wvu.Rows" localSheetId="19" hidden="1">[68]COI!#REF!,[68]COI!#REF!,[68]COI!#REF!,[68]COI!#REF!,[68]COI!#REF!,[68]COI!$A$74:$IV$74,[68]COI!$A$76:$IV$90,[68]COI!$A$92:$IV$92,[68]COI!$A$176:$IV$176,[68]COI!$A$179:$IV$181,[68]COI!$A$190:$IV$190,[68]COI!$A$217:$IV$217</definedName>
    <definedName name="Z_A334CDEA_1B26_497C_9E86_391980B45166_.wvu.Rows" localSheetId="41" hidden="1">[69]COI!#REF!,[69]COI!#REF!,[69]COI!#REF!,[69]COI!#REF!,[69]COI!#REF!,[69]COI!$A$76:$IV$76,[69]COI!$A$78:$IV$92,[69]COI!$A$94:$IV$94,[69]COI!$A$178:$IV$178,[69]COI!$A$181:$IV$183,[69]COI!$A$192:$IV$192,[69]COI!$A$219:$IV$219</definedName>
    <definedName name="Z_A334CDEA_1B26_497C_9E86_391980B45166_.wvu.Rows" localSheetId="4" hidden="1">[69]COI!#REF!,[69]COI!#REF!,[69]COI!#REF!,[69]COI!#REF!,[69]COI!#REF!,[69]COI!$A$76:$IV$76,[69]COI!$A$78:$IV$92,[69]COI!$A$94:$IV$94,[69]COI!$A$178:$IV$178,[69]COI!$A$181:$IV$183,[69]COI!$A$192:$IV$192,[69]COI!$A$219:$IV$219</definedName>
    <definedName name="Z_A334CDEA_1B26_497C_9E86_391980B45166_.wvu.Rows" localSheetId="17" hidden="1">[69]COI!#REF!,[69]COI!#REF!,[69]COI!#REF!,[69]COI!#REF!,[69]COI!#REF!,[69]COI!$A$76:$IV$76,[69]COI!$A$78:$IV$92,[69]COI!$A$94:$IV$94,[69]COI!$A$178:$IV$178,[69]COI!$A$181:$IV$183,[69]COI!$A$192:$IV$192,[69]COI!$A$219:$IV$219</definedName>
    <definedName name="Z_A334CDEA_1B26_497C_9E86_391980B45166_.wvu.Rows" localSheetId="32" hidden="1">[69]COI!#REF!,[69]COI!#REF!,[69]COI!#REF!,[69]COI!#REF!,[69]COI!#REF!,[69]COI!$A$76:$IV$76,[69]COI!$A$78:$IV$92,[69]COI!$A$94:$IV$94,[69]COI!$A$178:$IV$178,[69]COI!$A$181:$IV$183,[69]COI!$A$192:$IV$192,[69]COI!$A$219:$IV$219</definedName>
    <definedName name="Z_A334CDEA_1B26_497C_9E86_391980B45166_.wvu.Rows" hidden="1">[69]COI!#REF!,[69]COI!#REF!,[69]COI!#REF!,[69]COI!#REF!,[69]COI!#REF!,[69]COI!$A$76:$IV$76,[69]COI!$A$78:$IV$92,[69]COI!$A$94:$IV$94,[69]COI!$A$178:$IV$178,[69]COI!$A$181:$IV$183,[69]COI!$A$192:$IV$192,[69]COI!$A$219:$IV$219</definedName>
    <definedName name="Z_ABF241F9_150E_41C3_9F82_17660A825266_.wvu.PrintArea" localSheetId="13" hidden="1">#REF!</definedName>
    <definedName name="Z_ABF241F9_150E_41C3_9F82_17660A825266_.wvu.PrintArea" localSheetId="19" hidden="1">#REF!</definedName>
    <definedName name="Z_ABF241F9_150E_41C3_9F82_17660A825266_.wvu.PrintArea" localSheetId="17" hidden="1">#REF!</definedName>
    <definedName name="Z_ABF241F9_150E_41C3_9F82_17660A825266_.wvu.PrintArea" hidden="1">#REF!</definedName>
    <definedName name="Z_ABF241F9_150E_41C3_9F82_17660A825266_.wvu.Rows" localSheetId="13" hidden="1">#REF!</definedName>
    <definedName name="Z_ABF241F9_150E_41C3_9F82_17660A825266_.wvu.Rows" localSheetId="19" hidden="1">#REF!</definedName>
    <definedName name="Z_ABF241F9_150E_41C3_9F82_17660A825266_.wvu.Rows" localSheetId="17" hidden="1">#REF!</definedName>
    <definedName name="Z_ABF241F9_150E_41C3_9F82_17660A825266_.wvu.Rows" hidden="1">#REF!</definedName>
    <definedName name="Z_ADEA4918_0326_423A_8D00_FB47A486004B_.wvu.Cols" localSheetId="12" hidden="1">'Cash Flow'!$D:$AU</definedName>
    <definedName name="Z_ADEA4918_0326_423A_8D00_FB47A486004B_.wvu.Cols" localSheetId="14" hidden="1">'Cash Flow lakhs'!$D:$AU</definedName>
    <definedName name="Z_ADEA4918_0326_423A_8D00_FB47A486004B_.wvu.Cols" localSheetId="10" hidden="1">COI!$J:$K</definedName>
    <definedName name="Z_ADEA4918_0326_423A_8D00_FB47A486004B_.wvu.Cols" localSheetId="23" hidden="1">'Cost Sheet'!$I:$K</definedName>
    <definedName name="Z_ADEA4918_0326_423A_8D00_FB47A486004B_.wvu.Cols" localSheetId="19" hidden="1">'IT Dep'!$H:$I</definedName>
    <definedName name="Z_ADEA4918_0326_423A_8D00_FB47A486004B_.wvu.Cols" localSheetId="41" hidden="1">'Loans to staff'!$A:$G</definedName>
    <definedName name="Z_ADEA4918_0326_423A_8D00_FB47A486004B_.wvu.FilterData" localSheetId="20" hidden="1">'Creditors Aging'!$B$3:$P$1579</definedName>
    <definedName name="Z_ADEA4918_0326_423A_8D00_FB47A486004B_.wvu.FilterData" localSheetId="35" hidden="1">'Debtor''s Ageing'!$J$6:$N$508</definedName>
    <definedName name="Z_ADEA4918_0326_423A_8D00_FB47A486004B_.wvu.FilterData" localSheetId="22" hidden="1">HDE2023_2024_BUY_SELL!$B$2:$H$407</definedName>
    <definedName name="Z_ADEA4918_0326_423A_8D00_FB47A486004B_.wvu.FilterData" localSheetId="39" hidden="1">'Shareholders List'!$A$3:$G$425</definedName>
    <definedName name="Z_ADEA4918_0326_423A_8D00_FB47A486004B_.wvu.FilterData" localSheetId="21" hidden="1">Sheet3!$G$1:$I$79</definedName>
    <definedName name="Z_ADEA4918_0326_423A_8D00_FB47A486004B_.wvu.FilterData" localSheetId="34" hidden="1">'TB 100424'!$A$11:$C$386</definedName>
    <definedName name="Z_ADEA4918_0326_423A_8D00_FB47A486004B_.wvu.FilterData" localSheetId="29" hidden="1">'TB 110524'!$A$11:$G$382</definedName>
    <definedName name="Z_ADEA4918_0326_423A_8D00_FB47A486004B_.wvu.FilterData" localSheetId="27" hidden="1">'TB Final'!$B$3:$Q$574</definedName>
    <definedName name="Z_ADEA4918_0326_423A_8D00_FB47A486004B_.wvu.PrintArea" localSheetId="3" hidden="1">BSPL!$B$3:$H$1023</definedName>
    <definedName name="Z_ADEA4918_0326_423A_8D00_FB47A486004B_.wvu.PrintArea" localSheetId="6" hidden="1">'BSPL Lakhs'!$B$3:$H$1025</definedName>
    <definedName name="Z_ADEA4918_0326_423A_8D00_FB47A486004B_.wvu.PrintArea" localSheetId="12" hidden="1">'Cash Flow'!$A$2:$AM$86</definedName>
    <definedName name="Z_ADEA4918_0326_423A_8D00_FB47A486004B_.wvu.PrintArea" localSheetId="14" hidden="1">'Cash Flow lakhs'!$A$2:$AM$87</definedName>
    <definedName name="Z_ADEA4918_0326_423A_8D00_FB47A486004B_.wvu.PrintArea" localSheetId="15" hidden="1">'CLOSING STOCK 31-03-24'!$A$1:$Q$37</definedName>
    <definedName name="Z_ADEA4918_0326_423A_8D00_FB47A486004B_.wvu.PrintArea" localSheetId="10" hidden="1">COI!$B$2:$M$77</definedName>
    <definedName name="Z_ADEA4918_0326_423A_8D00_FB47A486004B_.wvu.PrintArea" localSheetId="44" hidden="1">'Debtor''s Ageing31.03.24'!$A$1:$Q$356</definedName>
    <definedName name="Z_ADEA4918_0326_423A_8D00_FB47A486004B_.wvu.PrintArea" localSheetId="18" hidden="1">Depreciation!$A$1:$J$68</definedName>
    <definedName name="Z_ADEA4918_0326_423A_8D00_FB47A486004B_.wvu.PrintArea" localSheetId="25" hidden="1">'Depreciation lakhs'!$A$1:$J$54</definedName>
    <definedName name="Z_ADEA4918_0326_423A_8D00_FB47A486004B_.wvu.PrintArea" localSheetId="16" hidden="1">'FG Valuation'!$B$1:$I$40</definedName>
    <definedName name="Z_ADEA4918_0326_423A_8D00_FB47A486004B_.wvu.PrintArea" localSheetId="19" hidden="1">'IT Dep'!$B$4:$Q$61</definedName>
    <definedName name="Z_ADEA4918_0326_423A_8D00_FB47A486004B_.wvu.PrintArea" localSheetId="45" hidden="1">'Leave Encashment'!$A$1:$X$56</definedName>
    <definedName name="Z_ADEA4918_0326_423A_8D00_FB47A486004B_.wvu.PrintArea" localSheetId="41" hidden="1">'Loans to staff'!$A$2:$M$23</definedName>
    <definedName name="Z_ADEA4918_0326_423A_8D00_FB47A486004B_.wvu.PrintArea" localSheetId="4" hidden="1">'Ratio Analysis'!$B$2:$M$60</definedName>
    <definedName name="Z_ADEA4918_0326_423A_8D00_FB47A486004B_.wvu.PrintArea" localSheetId="17" hidden="1">'Ratio Analysis (2)'!$B$2:$G$33</definedName>
    <definedName name="Z_ADEA4918_0326_423A_8D00_FB47A486004B_.wvu.PrintArea" localSheetId="0" hidden="1">'Result 1 P&amp;L'!$B$2:$G$59</definedName>
    <definedName name="Z_ADEA4918_0326_423A_8D00_FB47A486004B_.wvu.PrintArea" localSheetId="1" hidden="1">'Result 2 BS'!$B$3:$D$51</definedName>
    <definedName name="Z_ADEA4918_0326_423A_8D00_FB47A486004B_.wvu.PrintArea" localSheetId="2" hidden="1">'Result 3 CF'!$C$3:$E$47</definedName>
    <definedName name="Z_ADEA4918_0326_423A_8D00_FB47A486004B_.wvu.Rows" localSheetId="3" hidden="1">BSPL!$303:$307,BSPL!$366:$368,BSPL!$513:$514,BSPL!$790:$802,BSPL!$812:$815,BSPL!$839:$851,BSPL!$854:$858,BSPL!$861:$862,BSPL!$867:$879</definedName>
    <definedName name="Z_ADEA4918_0326_423A_8D00_FB47A486004B_.wvu.Rows" localSheetId="6" hidden="1">'BSPL Lakhs'!$305:$309,'BSPL Lakhs'!$368:$370,'BSPL Lakhs'!$515:$516,'BSPL Lakhs'!$791:$803,'BSPL Lakhs'!$813:$816,'BSPL Lakhs'!$840:$852,'BSPL Lakhs'!$855:$859,'BSPL Lakhs'!$862:$863,'BSPL Lakhs'!$868:$880</definedName>
    <definedName name="Z_ADEA4918_0326_423A_8D00_FB47A486004B_.wvu.Rows" localSheetId="12" hidden="1">'Cash Flow'!$37:$40,'Cash Flow'!$45:$45</definedName>
    <definedName name="Z_ADEA4918_0326_423A_8D00_FB47A486004B_.wvu.Rows" localSheetId="14" hidden="1">'Cash Flow lakhs'!$38:$41,'Cash Flow lakhs'!$46:$46</definedName>
    <definedName name="Z_ADEA4918_0326_423A_8D00_FB47A486004B_.wvu.Rows" localSheetId="15" hidden="1">'CLOSING STOCK 31-03-24'!$3:$5</definedName>
    <definedName name="Z_ADEA4918_0326_423A_8D00_FB47A486004B_.wvu.Rows" localSheetId="41" hidden="1">'Loans to staff'!$11:$13,'Loans to staff'!$22:$22</definedName>
    <definedName name="Z_ADEA4918_0326_423A_8D00_FB47A486004B_.wvu.Rows" localSheetId="2" hidden="1">'Result 3 CF'!$33:$36</definedName>
    <definedName name="Z_BD120193_CED6_4E7F_9CAF_4B1A3FAB6783_.wvu.Rows" localSheetId="13" hidden="1">[69]Value!#REF!,[69]Value!#REF!,[69]Value!#REF!</definedName>
    <definedName name="Z_BD120193_CED6_4E7F_9CAF_4B1A3FAB6783_.wvu.Rows" localSheetId="42" hidden="1">[69]Value!#REF!,[69]Value!#REF!,[69]Value!#REF!</definedName>
    <definedName name="Z_BD120193_CED6_4E7F_9CAF_4B1A3FAB6783_.wvu.Rows" localSheetId="35" hidden="1">[69]Value!#REF!,[69]Value!#REF!,[69]Value!#REF!</definedName>
    <definedName name="Z_BD120193_CED6_4E7F_9CAF_4B1A3FAB6783_.wvu.Rows" localSheetId="44" hidden="1">[69]Value!#REF!,[69]Value!#REF!,[69]Value!#REF!</definedName>
    <definedName name="Z_BD120193_CED6_4E7F_9CAF_4B1A3FAB6783_.wvu.Rows" localSheetId="19" hidden="1">[68]Value!#REF!,[68]Value!#REF!,[68]Value!#REF!</definedName>
    <definedName name="Z_BD120193_CED6_4E7F_9CAF_4B1A3FAB6783_.wvu.Rows" localSheetId="41" hidden="1">[69]Value!#REF!,[69]Value!#REF!,[69]Value!#REF!</definedName>
    <definedName name="Z_BD120193_CED6_4E7F_9CAF_4B1A3FAB6783_.wvu.Rows" localSheetId="4" hidden="1">[69]Value!#REF!,[69]Value!#REF!,[69]Value!#REF!</definedName>
    <definedName name="Z_BD120193_CED6_4E7F_9CAF_4B1A3FAB6783_.wvu.Rows" localSheetId="17" hidden="1">[69]Value!#REF!,[69]Value!#REF!,[69]Value!#REF!</definedName>
    <definedName name="Z_BD120193_CED6_4E7F_9CAF_4B1A3FAB6783_.wvu.Rows" localSheetId="32" hidden="1">[69]Value!#REF!,[69]Value!#REF!,[69]Value!#REF!</definedName>
    <definedName name="Z_BD120193_CED6_4E7F_9CAF_4B1A3FAB6783_.wvu.Rows" hidden="1">[69]Value!#REF!,[69]Value!#REF!,[69]Value!#REF!</definedName>
    <definedName name="Z_C80FA4E1_1D1A_481E_8BCE_44B44A80609D_.wvu.FilterData" localSheetId="13" hidden="1">#REF!</definedName>
    <definedName name="Z_C80FA4E1_1D1A_481E_8BCE_44B44A80609D_.wvu.FilterData" localSheetId="42" hidden="1">#REF!</definedName>
    <definedName name="Z_C80FA4E1_1D1A_481E_8BCE_44B44A80609D_.wvu.FilterData" localSheetId="35" hidden="1">#REF!</definedName>
    <definedName name="Z_C80FA4E1_1D1A_481E_8BCE_44B44A80609D_.wvu.FilterData" localSheetId="44" hidden="1">#REF!</definedName>
    <definedName name="Z_C80FA4E1_1D1A_481E_8BCE_44B44A80609D_.wvu.FilterData" localSheetId="19" hidden="1">[68]BS!#REF!</definedName>
    <definedName name="Z_C80FA4E1_1D1A_481E_8BCE_44B44A80609D_.wvu.FilterData" localSheetId="41" hidden="1">#REF!</definedName>
    <definedName name="Z_C80FA4E1_1D1A_481E_8BCE_44B44A80609D_.wvu.FilterData" localSheetId="17" hidden="1">#REF!</definedName>
    <definedName name="Z_C80FA4E1_1D1A_481E_8BCE_44B44A80609D_.wvu.FilterData" localSheetId="32" hidden="1">#REF!</definedName>
    <definedName name="Z_C80FA4E1_1D1A_481E_8BCE_44B44A80609D_.wvu.FilterData" hidden="1">#REF!</definedName>
    <definedName name="Z_D56D62A7_8091_4012_A10F_A462838BC292_.wvu.Rows" localSheetId="13" hidden="1">#REF!,#REF!,#REF!,#REF!,#REF!,#REF!,#REF!</definedName>
    <definedName name="Z_D56D62A7_8091_4012_A10F_A462838BC292_.wvu.Rows" localSheetId="42" hidden="1">#REF!,#REF!,#REF!,#REF!,#REF!,#REF!,#REF!</definedName>
    <definedName name="Z_D56D62A7_8091_4012_A10F_A462838BC292_.wvu.Rows" localSheetId="35" hidden="1">#REF!,#REF!,#REF!,#REF!,#REF!,#REF!,#REF!</definedName>
    <definedName name="Z_D56D62A7_8091_4012_A10F_A462838BC292_.wvu.Rows" localSheetId="44" hidden="1">#REF!,#REF!,#REF!,#REF!,#REF!,#REF!,#REF!</definedName>
    <definedName name="Z_D56D62A7_8091_4012_A10F_A462838BC292_.wvu.Rows" localSheetId="19" hidden="1">[68]BS!#REF!,[68]BS!#REF!,[68]BS!#REF!,[68]BS!#REF!,[68]BS!#REF!,[68]BS!#REF!,[68]BS!$A$1893:$IV$1904</definedName>
    <definedName name="Z_D56D62A7_8091_4012_A10F_A462838BC292_.wvu.Rows" localSheetId="41" hidden="1">#REF!,#REF!,#REF!,#REF!,#REF!,#REF!,#REF!</definedName>
    <definedName name="Z_D56D62A7_8091_4012_A10F_A462838BC292_.wvu.Rows" localSheetId="17" hidden="1">#REF!,#REF!,#REF!,#REF!,#REF!,#REF!,#REF!</definedName>
    <definedName name="Z_D56D62A7_8091_4012_A10F_A462838BC292_.wvu.Rows" localSheetId="32" hidden="1">#REF!,#REF!,#REF!,#REF!,#REF!,#REF!,#REF!</definedName>
    <definedName name="Z_D56D62A7_8091_4012_A10F_A462838BC292_.wvu.Rows" hidden="1">#REF!,#REF!,#REF!,#REF!,#REF!,#REF!,#REF!</definedName>
    <definedName name="Z_DC5DA12B_0FA6_4F41_A983_6E433AD4604D_.wvu.Cols" localSheetId="12" hidden="1">'Cash Flow'!$D:$AU</definedName>
    <definedName name="Z_DC5DA12B_0FA6_4F41_A983_6E433AD4604D_.wvu.Cols" localSheetId="14" hidden="1">'Cash Flow lakhs'!$D:$AU</definedName>
    <definedName name="Z_DC5DA12B_0FA6_4F41_A983_6E433AD4604D_.wvu.Cols" localSheetId="10" hidden="1">COI!$J:$K</definedName>
    <definedName name="Z_DC5DA12B_0FA6_4F41_A983_6E433AD4604D_.wvu.Cols" localSheetId="23" hidden="1">'Cost Sheet'!$I:$K</definedName>
    <definedName name="Z_DC5DA12B_0FA6_4F41_A983_6E433AD4604D_.wvu.Cols" localSheetId="19" hidden="1">'IT Dep'!$H:$I</definedName>
    <definedName name="Z_DC5DA12B_0FA6_4F41_A983_6E433AD4604D_.wvu.Cols" localSheetId="41" hidden="1">'Loans to staff'!$A:$G</definedName>
    <definedName name="Z_DC5DA12B_0FA6_4F41_A983_6E433AD4604D_.wvu.FilterData" localSheetId="20" hidden="1">'Creditors Aging'!$B$3:$P$1579</definedName>
    <definedName name="Z_DC5DA12B_0FA6_4F41_A983_6E433AD4604D_.wvu.FilterData" localSheetId="35" hidden="1">'Debtor''s Ageing'!$J$6:$N$508</definedName>
    <definedName name="Z_DC5DA12B_0FA6_4F41_A983_6E433AD4604D_.wvu.FilterData" localSheetId="22" hidden="1">HDE2023_2024_BUY_SELL!$B$2:$H$407</definedName>
    <definedName name="Z_DC5DA12B_0FA6_4F41_A983_6E433AD4604D_.wvu.FilterData" localSheetId="39" hidden="1">'Shareholders List'!$A$3:$G$425</definedName>
    <definedName name="Z_DC5DA12B_0FA6_4F41_A983_6E433AD4604D_.wvu.FilterData" localSheetId="21" hidden="1">Sheet3!$G$1:$I$79</definedName>
    <definedName name="Z_DC5DA12B_0FA6_4F41_A983_6E433AD4604D_.wvu.FilterData" localSheetId="34" hidden="1">'TB 100424'!$A$11:$C$386</definedName>
    <definedName name="Z_DC5DA12B_0FA6_4F41_A983_6E433AD4604D_.wvu.FilterData" localSheetId="29" hidden="1">'TB 110524'!$A$11:$G$382</definedName>
    <definedName name="Z_DC5DA12B_0FA6_4F41_A983_6E433AD4604D_.wvu.FilterData" localSheetId="27" hidden="1">'TB Final'!$B$3:$Q$574</definedName>
    <definedName name="Z_DC5DA12B_0FA6_4F41_A983_6E433AD4604D_.wvu.PrintArea" localSheetId="3" hidden="1">BSPL!$B$3:$H$1023</definedName>
    <definedName name="Z_DC5DA12B_0FA6_4F41_A983_6E433AD4604D_.wvu.PrintArea" localSheetId="6" hidden="1">'BSPL Lakhs'!$B$3:$H$1025</definedName>
    <definedName name="Z_DC5DA12B_0FA6_4F41_A983_6E433AD4604D_.wvu.PrintArea" localSheetId="12" hidden="1">'Cash Flow'!$A$2:$AM$86</definedName>
    <definedName name="Z_DC5DA12B_0FA6_4F41_A983_6E433AD4604D_.wvu.PrintArea" localSheetId="14" hidden="1">'Cash Flow lakhs'!$A$2:$AM$87</definedName>
    <definedName name="Z_DC5DA12B_0FA6_4F41_A983_6E433AD4604D_.wvu.PrintArea" localSheetId="15" hidden="1">'CLOSING STOCK 31-03-24'!$A$1:$Q$37</definedName>
    <definedName name="Z_DC5DA12B_0FA6_4F41_A983_6E433AD4604D_.wvu.PrintArea" localSheetId="10" hidden="1">COI!$B$2:$M$77</definedName>
    <definedName name="Z_DC5DA12B_0FA6_4F41_A983_6E433AD4604D_.wvu.PrintArea" localSheetId="44" hidden="1">'Debtor''s Ageing31.03.24'!$A$1:$Q$356</definedName>
    <definedName name="Z_DC5DA12B_0FA6_4F41_A983_6E433AD4604D_.wvu.PrintArea" localSheetId="18" hidden="1">Depreciation!$A$1:$J$55</definedName>
    <definedName name="Z_DC5DA12B_0FA6_4F41_A983_6E433AD4604D_.wvu.PrintArea" localSheetId="25" hidden="1">'Depreciation lakhs'!$A$1:$J$54</definedName>
    <definedName name="Z_DC5DA12B_0FA6_4F41_A983_6E433AD4604D_.wvu.PrintArea" localSheetId="16" hidden="1">'FG Valuation'!$B$1:$I$40</definedName>
    <definedName name="Z_DC5DA12B_0FA6_4F41_A983_6E433AD4604D_.wvu.PrintArea" localSheetId="19" hidden="1">'IT Dep'!$B$4:$Q$61</definedName>
    <definedName name="Z_DC5DA12B_0FA6_4F41_A983_6E433AD4604D_.wvu.PrintArea" localSheetId="45" hidden="1">'Leave Encashment'!$A$1:$X$56</definedName>
    <definedName name="Z_DC5DA12B_0FA6_4F41_A983_6E433AD4604D_.wvu.PrintArea" localSheetId="41" hidden="1">'Loans to staff'!$A$2:$M$23</definedName>
    <definedName name="Z_DC5DA12B_0FA6_4F41_A983_6E433AD4604D_.wvu.PrintArea" localSheetId="4" hidden="1">'Ratio Analysis'!$B$2:$M$60</definedName>
    <definedName name="Z_DC5DA12B_0FA6_4F41_A983_6E433AD4604D_.wvu.PrintArea" localSheetId="17" hidden="1">'Ratio Analysis (2)'!$B$2:$G$33</definedName>
    <definedName name="Z_DC5DA12B_0FA6_4F41_A983_6E433AD4604D_.wvu.PrintArea" localSheetId="0" hidden="1">'Result 1 P&amp;L'!$B$2:$G$59</definedName>
    <definedName name="Z_DC5DA12B_0FA6_4F41_A983_6E433AD4604D_.wvu.PrintArea" localSheetId="1" hidden="1">'Result 2 BS'!$B$3:$D$51</definedName>
    <definedName name="Z_DC5DA12B_0FA6_4F41_A983_6E433AD4604D_.wvu.PrintArea" localSheetId="2" hidden="1">'Result 3 CF'!$C$3:$E$47</definedName>
    <definedName name="Z_DC5DA12B_0FA6_4F41_A983_6E433AD4604D_.wvu.Rows" localSheetId="3" hidden="1">BSPL!$303:$307,BSPL!$366:$368,BSPL!$467:$468,BSPL!$513:$514,BSPL!$812:$815</definedName>
    <definedName name="Z_DC5DA12B_0FA6_4F41_A983_6E433AD4604D_.wvu.Rows" localSheetId="6" hidden="1">'BSPL Lakhs'!$305:$309,'BSPL Lakhs'!$368:$370,'BSPL Lakhs'!$469:$470,'BSPL Lakhs'!$515:$516,'BSPL Lakhs'!$813:$816</definedName>
    <definedName name="Z_DC5DA12B_0FA6_4F41_A983_6E433AD4604D_.wvu.Rows" localSheetId="12" hidden="1">'Cash Flow'!$37:$40,'Cash Flow'!$45:$45</definedName>
    <definedName name="Z_DC5DA12B_0FA6_4F41_A983_6E433AD4604D_.wvu.Rows" localSheetId="14" hidden="1">'Cash Flow lakhs'!$38:$41,'Cash Flow lakhs'!$46:$46</definedName>
    <definedName name="Z_DC5DA12B_0FA6_4F41_A983_6E433AD4604D_.wvu.Rows" localSheetId="15" hidden="1">'CLOSING STOCK 31-03-24'!$3:$5</definedName>
    <definedName name="Z_DC5DA12B_0FA6_4F41_A983_6E433AD4604D_.wvu.Rows" localSheetId="10" hidden="1">COI!$55:$76</definedName>
    <definedName name="Z_DC5DA12B_0FA6_4F41_A983_6E433AD4604D_.wvu.Rows" localSheetId="41" hidden="1">'Loans to staff'!$11:$13,'Loans to staff'!$22:$22</definedName>
    <definedName name="Z_DC5DA12B_0FA6_4F41_A983_6E433AD4604D_.wvu.Rows" localSheetId="2" hidden="1">'Result 3 CF'!$33:$36</definedName>
    <definedName name="Z_DECB9532_B929_4DF0_AF97_7264233CC0D3_.wvu.Rows" localSheetId="13" hidden="1">[69]Value!#REF!,[69]Value!#REF!,[69]Value!#REF!</definedName>
    <definedName name="Z_DECB9532_B929_4DF0_AF97_7264233CC0D3_.wvu.Rows" localSheetId="42" hidden="1">[69]Value!#REF!,[69]Value!#REF!,[69]Value!#REF!</definedName>
    <definedName name="Z_DECB9532_B929_4DF0_AF97_7264233CC0D3_.wvu.Rows" localSheetId="35" hidden="1">[69]Value!#REF!,[69]Value!#REF!,[69]Value!#REF!</definedName>
    <definedName name="Z_DECB9532_B929_4DF0_AF97_7264233CC0D3_.wvu.Rows" localSheetId="44" hidden="1">[69]Value!#REF!,[69]Value!#REF!,[69]Value!#REF!</definedName>
    <definedName name="Z_DECB9532_B929_4DF0_AF97_7264233CC0D3_.wvu.Rows" localSheetId="19" hidden="1">[68]Value!#REF!,[68]Value!#REF!,[68]Value!#REF!</definedName>
    <definedName name="Z_DECB9532_B929_4DF0_AF97_7264233CC0D3_.wvu.Rows" localSheetId="41" hidden="1">[69]Value!#REF!,[69]Value!#REF!,[69]Value!#REF!</definedName>
    <definedName name="Z_DECB9532_B929_4DF0_AF97_7264233CC0D3_.wvu.Rows" localSheetId="4" hidden="1">[69]Value!#REF!,[69]Value!#REF!,[69]Value!#REF!</definedName>
    <definedName name="Z_DECB9532_B929_4DF0_AF97_7264233CC0D3_.wvu.Rows" localSheetId="17" hidden="1">[69]Value!#REF!,[69]Value!#REF!,[69]Value!#REF!</definedName>
    <definedName name="Z_DECB9532_B929_4DF0_AF97_7264233CC0D3_.wvu.Rows" localSheetId="32" hidden="1">[69]Value!#REF!,[69]Value!#REF!,[69]Value!#REF!</definedName>
    <definedName name="Z_DECB9532_B929_4DF0_AF97_7264233CC0D3_.wvu.Rows" hidden="1">[69]Value!#REF!,[69]Value!#REF!,[69]Value!#REF!</definedName>
    <definedName name="Z_F039C147_8083_49A0_B541_A610A15BA793_.wvu.Cols" localSheetId="19" hidden="1">'IT Dep'!$H:$I</definedName>
    <definedName name="Z_F140806D_66CA_4A66_855A_CCBDE7D69760_.wvu.Cols" localSheetId="19" hidden="1">'IT Dep'!$H:$I</definedName>
    <definedName name="Z_F28CBC21_556C_11DB_93B8_0008A132C219_.wvu.Cols" localSheetId="13" hidden="1">[69]COI!#REF!,[69]COI!#REF!</definedName>
    <definedName name="Z_F28CBC21_556C_11DB_93B8_0008A132C219_.wvu.Cols" localSheetId="42" hidden="1">[69]COI!#REF!,[69]COI!#REF!</definedName>
    <definedName name="Z_F28CBC21_556C_11DB_93B8_0008A132C219_.wvu.Cols" localSheetId="35" hidden="1">[69]COI!#REF!,[69]COI!#REF!</definedName>
    <definedName name="Z_F28CBC21_556C_11DB_93B8_0008A132C219_.wvu.Cols" localSheetId="44" hidden="1">[69]COI!#REF!,[69]COI!#REF!</definedName>
    <definedName name="Z_F28CBC21_556C_11DB_93B8_0008A132C219_.wvu.Cols" localSheetId="19" hidden="1">[68]COI!#REF!,[68]COI!#REF!</definedName>
    <definedName name="Z_F28CBC21_556C_11DB_93B8_0008A132C219_.wvu.Cols" localSheetId="41" hidden="1">[69]COI!#REF!,[69]COI!#REF!</definedName>
    <definedName name="Z_F28CBC21_556C_11DB_93B8_0008A132C219_.wvu.Cols" localSheetId="4" hidden="1">[69]COI!#REF!,[69]COI!#REF!</definedName>
    <definedName name="Z_F28CBC21_556C_11DB_93B8_0008A132C219_.wvu.Cols" localSheetId="17" hidden="1">[69]COI!#REF!,[69]COI!#REF!</definedName>
    <definedName name="Z_F28CBC21_556C_11DB_93B8_0008A132C219_.wvu.Cols" localSheetId="32" hidden="1">[69]COI!#REF!,[69]COI!#REF!</definedName>
    <definedName name="Z_F28CBC21_556C_11DB_93B8_0008A132C219_.wvu.Cols" hidden="1">[69]COI!#REF!,[69]COI!#REF!</definedName>
    <definedName name="Z_F28CBC21_556C_11DB_93B8_0008A132C219_.wvu.PrintArea" localSheetId="13" hidden="1">#REF!</definedName>
    <definedName name="Z_F28CBC21_556C_11DB_93B8_0008A132C219_.wvu.PrintArea" localSheetId="19" hidden="1">#REF!</definedName>
    <definedName name="Z_F28CBC21_556C_11DB_93B8_0008A132C219_.wvu.PrintArea" localSheetId="17" hidden="1">#REF!</definedName>
    <definedName name="Z_F28CBC21_556C_11DB_93B8_0008A132C219_.wvu.PrintArea" hidden="1">#REF!</definedName>
    <definedName name="Z_F28CBC21_556C_11DB_93B8_0008A132C219_.wvu.Rows" localSheetId="13" hidden="1">[69]COI!#REF!,[69]COI!#REF!,[69]COI!#REF!,[69]COI!#REF!,[69]COI!$A$76:$IV$76,[69]COI!#REF!,[69]COI!#REF!,[69]COI!$A$94:$IV$94,[69]COI!$A$178:$IV$178,[69]COI!$A$181:$IV$183,[69]COI!$A$192:$IV$192,[69]COI!$A$219:$IV$219</definedName>
    <definedName name="Z_F28CBC21_556C_11DB_93B8_0008A132C219_.wvu.Rows" localSheetId="42" hidden="1">[69]COI!#REF!,[69]COI!#REF!,[69]COI!#REF!,[69]COI!#REF!,[69]COI!$A$76:$IV$76,[69]COI!#REF!,[69]COI!#REF!,[69]COI!$A$94:$IV$94,[69]COI!$A$178:$IV$178,[69]COI!$A$181:$IV$183,[69]COI!$A$192:$IV$192,[69]COI!$A$219:$IV$219</definedName>
    <definedName name="Z_F28CBC21_556C_11DB_93B8_0008A132C219_.wvu.Rows" localSheetId="35" hidden="1">[69]COI!#REF!,[69]COI!#REF!,[69]COI!#REF!,[69]COI!#REF!,[69]COI!$A$76:$IV$76,[69]COI!#REF!,[69]COI!#REF!,[69]COI!$A$94:$IV$94,[69]COI!$A$178:$IV$178,[69]COI!$A$181:$IV$183,[69]COI!$A$192:$IV$192,[69]COI!$A$219:$IV$219</definedName>
    <definedName name="Z_F28CBC21_556C_11DB_93B8_0008A132C219_.wvu.Rows" localSheetId="44" hidden="1">[69]COI!#REF!,[69]COI!#REF!,[69]COI!#REF!,[69]COI!#REF!,[69]COI!$A$76:$IV$76,[69]COI!#REF!,[69]COI!#REF!,[69]COI!$A$94:$IV$94,[69]COI!$A$178:$IV$178,[69]COI!$A$181:$IV$183,[69]COI!$A$192:$IV$192,[69]COI!$A$219:$IV$219</definedName>
    <definedName name="Z_F28CBC21_556C_11DB_93B8_0008A132C219_.wvu.Rows" localSheetId="19" hidden="1">[68]COI!#REF!,[68]COI!#REF!,[68]COI!#REF!,[68]COI!#REF!,[68]COI!$A$74:$IV$74,[68]COI!#REF!,[68]COI!#REF!,[68]COI!$A$92:$IV$92,[68]COI!$A$176:$IV$176,[68]COI!$A$179:$IV$181,[68]COI!$A$190:$IV$190,[68]COI!$A$217:$IV$217</definedName>
    <definedName name="Z_F28CBC21_556C_11DB_93B8_0008A132C219_.wvu.Rows" localSheetId="41" hidden="1">[69]COI!#REF!,[69]COI!#REF!,[69]COI!#REF!,[69]COI!#REF!,[69]COI!$A$76:$IV$76,[69]COI!#REF!,[69]COI!#REF!,[69]COI!$A$94:$IV$94,[69]COI!$A$178:$IV$178,[69]COI!$A$181:$IV$183,[69]COI!$A$192:$IV$192,[69]COI!$A$219:$IV$219</definedName>
    <definedName name="Z_F28CBC21_556C_11DB_93B8_0008A132C219_.wvu.Rows" localSheetId="4" hidden="1">[69]COI!#REF!,[69]COI!#REF!,[69]COI!#REF!,[69]COI!#REF!,[69]COI!$A$76:$IV$76,[69]COI!#REF!,[69]COI!#REF!,[69]COI!$A$94:$IV$94,[69]COI!$A$178:$IV$178,[69]COI!$A$181:$IV$183,[69]COI!$A$192:$IV$192,[69]COI!$A$219:$IV$219</definedName>
    <definedName name="Z_F28CBC21_556C_11DB_93B8_0008A132C219_.wvu.Rows" localSheetId="17" hidden="1">[69]COI!#REF!,[69]COI!#REF!,[69]COI!#REF!,[69]COI!#REF!,[69]COI!$A$76:$IV$76,[69]COI!#REF!,[69]COI!#REF!,[69]COI!$A$94:$IV$94,[69]COI!$A$178:$IV$178,[69]COI!$A$181:$IV$183,[69]COI!$A$192:$IV$192,[69]COI!$A$219:$IV$219</definedName>
    <definedName name="Z_F28CBC21_556C_11DB_93B8_0008A132C219_.wvu.Rows" localSheetId="32" hidden="1">[69]COI!#REF!,[69]COI!#REF!,[69]COI!#REF!,[69]COI!#REF!,[69]COI!$A$76:$IV$76,[69]COI!#REF!,[69]COI!#REF!,[69]COI!$A$94:$IV$94,[69]COI!$A$178:$IV$178,[69]COI!$A$181:$IV$183,[69]COI!$A$192:$IV$192,[69]COI!$A$219:$IV$219</definedName>
    <definedName name="Z_F28CBC21_556C_11DB_93B8_0008A132C219_.wvu.Rows" hidden="1">[69]COI!#REF!,[69]COI!#REF!,[69]COI!#REF!,[69]COI!#REF!,[69]COI!$A$76:$IV$76,[69]COI!#REF!,[69]COI!#REF!,[69]COI!$A$94:$IV$94,[69]COI!$A$178:$IV$178,[69]COI!$A$181:$IV$183,[69]COI!$A$192:$IV$192,[69]COI!$A$219:$IV$219</definedName>
    <definedName name="Z_FECDEFC0_A783_4C3E_A42B_0363B174BEE2_.wvu.FilterData" localSheetId="13" hidden="1">#REF!</definedName>
    <definedName name="Z_FECDEFC0_A783_4C3E_A42B_0363B174BEE2_.wvu.FilterData" localSheetId="42" hidden="1">#REF!</definedName>
    <definedName name="Z_FECDEFC0_A783_4C3E_A42B_0363B174BEE2_.wvu.FilterData" localSheetId="35" hidden="1">#REF!</definedName>
    <definedName name="Z_FECDEFC0_A783_4C3E_A42B_0363B174BEE2_.wvu.FilterData" localSheetId="44" hidden="1">#REF!</definedName>
    <definedName name="Z_FECDEFC0_A783_4C3E_A42B_0363B174BEE2_.wvu.FilterData" localSheetId="19" hidden="1">[68]BS!#REF!</definedName>
    <definedName name="Z_FECDEFC0_A783_4C3E_A42B_0363B174BEE2_.wvu.FilterData" localSheetId="41" hidden="1">#REF!</definedName>
    <definedName name="Z_FECDEFC0_A783_4C3E_A42B_0363B174BEE2_.wvu.FilterData" localSheetId="17" hidden="1">#REF!</definedName>
    <definedName name="Z_FECDEFC0_A783_4C3E_A42B_0363B174BEE2_.wvu.FilterData" localSheetId="32" hidden="1">#REF!</definedName>
    <definedName name="Z_FECDEFC0_A783_4C3E_A42B_0363B174BEE2_.wvu.FilterData" hidden="1">#REF!</definedName>
    <definedName name="Z_FECDEFC0_A783_4C3E_A42B_0363B174BEE2_.wvu.PrintTitles" localSheetId="42" hidden="1">#REF!</definedName>
    <definedName name="Z_FECDEFC0_A783_4C3E_A42B_0363B174BEE2_.wvu.PrintTitles" localSheetId="35" hidden="1">#REF!</definedName>
    <definedName name="Z_FECDEFC0_A783_4C3E_A42B_0363B174BEE2_.wvu.PrintTitles" localSheetId="44" hidden="1">#REF!</definedName>
    <definedName name="Z_FECDEFC0_A783_4C3E_A42B_0363B174BEE2_.wvu.PrintTitles" localSheetId="19" hidden="1">#REF!</definedName>
    <definedName name="Z_FECDEFC0_A783_4C3E_A42B_0363B174BEE2_.wvu.PrintTitles" localSheetId="41" hidden="1">#REF!</definedName>
    <definedName name="Z_FECDEFC0_A783_4C3E_A42B_0363B174BEE2_.wvu.PrintTitles" localSheetId="17" hidden="1">#REF!</definedName>
    <definedName name="Z_FECDEFC0_A783_4C3E_A42B_0363B174BEE2_.wvu.PrintTitles" localSheetId="32" hidden="1">#REF!</definedName>
    <definedName name="Z_FECDEFC0_A783_4C3E_A42B_0363B174BEE2_.wvu.PrintTitles" hidden="1">#REF!</definedName>
    <definedName name="zcx" localSheetId="1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1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4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17"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s>
  <calcPr calcId="191029"/>
  <customWorkbookViews>
    <customWorkbookView name="Kaustubh Aurangabadkar - Personal View" guid="{ADEA4918-0326-423A-8D00-FB47A486004B}" mergeInterval="0" personalView="1" maximized="1" xWindow="-9" yWindow="-9" windowWidth="1938" windowHeight="1038" activeSheetId="4"/>
    <customWorkbookView name="Sumit Darak - Personal View" guid="{2A78E287-3113-4387-BB62-BE98FA5C13C2}" mergeInterval="0" personalView="1" maximized="1" xWindow="-8" yWindow="-8" windowWidth="1936" windowHeight="1048" activeSheetId="4"/>
    <customWorkbookView name="A - Personal View" guid="{DC5DA12B-0FA6-4F41-A983-6E433AD4604D}" mergeInterval="0" personalView="1" maximized="1" xWindow="-8" yWindow="-8" windowWidth="1382" windowHeight="744" activeSheetId="1"/>
  </customWorkbookViews>
  <pivotCaches>
    <pivotCache cacheId="0" r:id="rId1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4" i="27" l="1"/>
  <c r="G890" i="4"/>
  <c r="G885" i="4"/>
  <c r="G246" i="4"/>
  <c r="G249" i="4"/>
  <c r="G886" i="46"/>
  <c r="G891" i="46"/>
  <c r="G248" i="46"/>
  <c r="G251" i="46"/>
  <c r="I14" i="16" l="1"/>
  <c r="G906" i="46" l="1"/>
  <c r="G905" i="4"/>
  <c r="P1" i="47" l="1"/>
  <c r="I1"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O16" i="47" s="1"/>
  <c r="P16" i="47" s="1"/>
  <c r="M15" i="47"/>
  <c r="M14" i="47"/>
  <c r="M13" i="47"/>
  <c r="M12" i="47"/>
  <c r="O12" i="47" s="1"/>
  <c r="P12" i="47" s="1"/>
  <c r="M11" i="47"/>
  <c r="M10" i="47"/>
  <c r="M9" i="47"/>
  <c r="M8" i="47"/>
  <c r="M7" i="47"/>
  <c r="M6" i="47"/>
  <c r="M5" i="47"/>
  <c r="M4" i="47"/>
  <c r="M3" i="47"/>
  <c r="J72" i="47"/>
  <c r="N72" i="47" s="1"/>
  <c r="J71" i="47"/>
  <c r="N71" i="47" s="1"/>
  <c r="O71" i="47" s="1"/>
  <c r="P71" i="47" s="1"/>
  <c r="J70" i="47"/>
  <c r="N70" i="47" s="1"/>
  <c r="O70" i="47" s="1"/>
  <c r="P70" i="47" s="1"/>
  <c r="J69" i="47"/>
  <c r="N69" i="47" s="1"/>
  <c r="O69" i="47" s="1"/>
  <c r="P69" i="47" s="1"/>
  <c r="J68" i="47"/>
  <c r="N68" i="47" s="1"/>
  <c r="J67" i="47"/>
  <c r="N67" i="47" s="1"/>
  <c r="O67" i="47" s="1"/>
  <c r="P67" i="47" s="1"/>
  <c r="J66" i="47"/>
  <c r="N66" i="47" s="1"/>
  <c r="O66" i="47" s="1"/>
  <c r="P66" i="47" s="1"/>
  <c r="J65" i="47"/>
  <c r="N65" i="47" s="1"/>
  <c r="O65" i="47" s="1"/>
  <c r="P65" i="47" s="1"/>
  <c r="J64" i="47"/>
  <c r="N64" i="47" s="1"/>
  <c r="J63" i="47"/>
  <c r="N63" i="47" s="1"/>
  <c r="O63" i="47" s="1"/>
  <c r="P63" i="47" s="1"/>
  <c r="J62" i="47"/>
  <c r="N62" i="47" s="1"/>
  <c r="O62" i="47" s="1"/>
  <c r="P62" i="47" s="1"/>
  <c r="J61" i="47"/>
  <c r="N61" i="47" s="1"/>
  <c r="O61" i="47" s="1"/>
  <c r="P61" i="47" s="1"/>
  <c r="J60" i="47"/>
  <c r="N60" i="47" s="1"/>
  <c r="J59" i="47"/>
  <c r="N59" i="47" s="1"/>
  <c r="O59" i="47" s="1"/>
  <c r="P59" i="47" s="1"/>
  <c r="J58" i="47"/>
  <c r="N58" i="47" s="1"/>
  <c r="O58" i="47" s="1"/>
  <c r="P58" i="47" s="1"/>
  <c r="J57" i="47"/>
  <c r="N57" i="47" s="1"/>
  <c r="O57" i="47" s="1"/>
  <c r="P57" i="47" s="1"/>
  <c r="J56" i="47"/>
  <c r="N56" i="47" s="1"/>
  <c r="J55" i="47"/>
  <c r="N55" i="47" s="1"/>
  <c r="O55" i="47" s="1"/>
  <c r="P55" i="47" s="1"/>
  <c r="J54" i="47"/>
  <c r="N54" i="47" s="1"/>
  <c r="O54" i="47" s="1"/>
  <c r="P54" i="47" s="1"/>
  <c r="J53" i="47"/>
  <c r="N53" i="47" s="1"/>
  <c r="O53" i="47" s="1"/>
  <c r="P53" i="47" s="1"/>
  <c r="J52" i="47"/>
  <c r="N52" i="47" s="1"/>
  <c r="J51" i="47"/>
  <c r="N51" i="47" s="1"/>
  <c r="O51" i="47" s="1"/>
  <c r="P51" i="47" s="1"/>
  <c r="J50" i="47"/>
  <c r="N50" i="47" s="1"/>
  <c r="O50" i="47" s="1"/>
  <c r="P50" i="47" s="1"/>
  <c r="J49" i="47"/>
  <c r="N49" i="47" s="1"/>
  <c r="O49" i="47" s="1"/>
  <c r="P49" i="47" s="1"/>
  <c r="J48" i="47"/>
  <c r="N48" i="47" s="1"/>
  <c r="J47" i="47"/>
  <c r="N47" i="47" s="1"/>
  <c r="O47" i="47" s="1"/>
  <c r="P47" i="47" s="1"/>
  <c r="J46" i="47"/>
  <c r="N46" i="47" s="1"/>
  <c r="O46" i="47" s="1"/>
  <c r="P46" i="47" s="1"/>
  <c r="J45" i="47"/>
  <c r="N45" i="47" s="1"/>
  <c r="O45" i="47" s="1"/>
  <c r="P45" i="47" s="1"/>
  <c r="J44" i="47"/>
  <c r="N44" i="47" s="1"/>
  <c r="J43" i="47"/>
  <c r="N43" i="47" s="1"/>
  <c r="O43" i="47" s="1"/>
  <c r="P43" i="47" s="1"/>
  <c r="J42" i="47"/>
  <c r="N42" i="47" s="1"/>
  <c r="O42" i="47" s="1"/>
  <c r="P42" i="47" s="1"/>
  <c r="J41" i="47"/>
  <c r="N41" i="47" s="1"/>
  <c r="O41" i="47" s="1"/>
  <c r="P41" i="47" s="1"/>
  <c r="J40" i="47"/>
  <c r="N40" i="47" s="1"/>
  <c r="J39" i="47"/>
  <c r="N39" i="47" s="1"/>
  <c r="O39" i="47" s="1"/>
  <c r="P39" i="47" s="1"/>
  <c r="J38" i="47"/>
  <c r="N38" i="47" s="1"/>
  <c r="O38" i="47" s="1"/>
  <c r="P38" i="47" s="1"/>
  <c r="J37" i="47"/>
  <c r="N37" i="47" s="1"/>
  <c r="O37" i="47" s="1"/>
  <c r="P37" i="47" s="1"/>
  <c r="J36" i="47"/>
  <c r="N36" i="47" s="1"/>
  <c r="J35" i="47"/>
  <c r="N35" i="47" s="1"/>
  <c r="O35" i="47" s="1"/>
  <c r="P35" i="47" s="1"/>
  <c r="J34" i="47"/>
  <c r="N34" i="47" s="1"/>
  <c r="O34" i="47" s="1"/>
  <c r="P34" i="47" s="1"/>
  <c r="J33" i="47"/>
  <c r="N33" i="47" s="1"/>
  <c r="O33" i="47" s="1"/>
  <c r="P33" i="47" s="1"/>
  <c r="J32" i="47"/>
  <c r="N32" i="47" s="1"/>
  <c r="J31" i="47"/>
  <c r="N31" i="47" s="1"/>
  <c r="O31" i="47" s="1"/>
  <c r="P31" i="47" s="1"/>
  <c r="J30" i="47"/>
  <c r="N30" i="47" s="1"/>
  <c r="O30" i="47" s="1"/>
  <c r="P30" i="47" s="1"/>
  <c r="J29" i="47"/>
  <c r="N29" i="47" s="1"/>
  <c r="O29" i="47" s="1"/>
  <c r="P29" i="47" s="1"/>
  <c r="J28" i="47"/>
  <c r="N28" i="47" s="1"/>
  <c r="J27" i="47"/>
  <c r="N27" i="47" s="1"/>
  <c r="O27" i="47" s="1"/>
  <c r="P27" i="47" s="1"/>
  <c r="J26" i="47"/>
  <c r="N26" i="47" s="1"/>
  <c r="O26" i="47" s="1"/>
  <c r="P26" i="47" s="1"/>
  <c r="J25" i="47"/>
  <c r="N25" i="47" s="1"/>
  <c r="O25" i="47" s="1"/>
  <c r="P25" i="47" s="1"/>
  <c r="J24" i="47"/>
  <c r="N24" i="47" s="1"/>
  <c r="J23" i="47"/>
  <c r="N23" i="47" s="1"/>
  <c r="O23" i="47" s="1"/>
  <c r="P23" i="47" s="1"/>
  <c r="J22" i="47"/>
  <c r="N22" i="47" s="1"/>
  <c r="O22" i="47" s="1"/>
  <c r="P22" i="47" s="1"/>
  <c r="J21" i="47"/>
  <c r="N21" i="47" s="1"/>
  <c r="O21" i="47" s="1"/>
  <c r="P21" i="47" s="1"/>
  <c r="J20" i="47"/>
  <c r="N20" i="47" s="1"/>
  <c r="O20" i="47" s="1"/>
  <c r="P20" i="47" s="1"/>
  <c r="J19" i="47"/>
  <c r="N19" i="47" s="1"/>
  <c r="O19" i="47" s="1"/>
  <c r="P19" i="47" s="1"/>
  <c r="J18" i="47"/>
  <c r="N18" i="47" s="1"/>
  <c r="O18" i="47" s="1"/>
  <c r="P18" i="47" s="1"/>
  <c r="J17" i="47"/>
  <c r="N17" i="47" s="1"/>
  <c r="O17" i="47" s="1"/>
  <c r="P17" i="47" s="1"/>
  <c r="J16" i="47"/>
  <c r="N16" i="47" s="1"/>
  <c r="J15" i="47"/>
  <c r="N15" i="47" s="1"/>
  <c r="O15" i="47" s="1"/>
  <c r="P15" i="47" s="1"/>
  <c r="J14" i="47"/>
  <c r="N14" i="47" s="1"/>
  <c r="O14" i="47" s="1"/>
  <c r="P14" i="47" s="1"/>
  <c r="J13" i="47"/>
  <c r="N13" i="47" s="1"/>
  <c r="O13" i="47" s="1"/>
  <c r="P13" i="47" s="1"/>
  <c r="J12" i="47"/>
  <c r="N12" i="47" s="1"/>
  <c r="J11" i="47"/>
  <c r="N11" i="47" s="1"/>
  <c r="O11" i="47" s="1"/>
  <c r="P11" i="47" s="1"/>
  <c r="J10" i="47"/>
  <c r="N10" i="47" s="1"/>
  <c r="O10" i="47" s="1"/>
  <c r="P10" i="47" s="1"/>
  <c r="J9" i="47"/>
  <c r="N9" i="47" s="1"/>
  <c r="O9" i="47" s="1"/>
  <c r="P9" i="47" s="1"/>
  <c r="J8" i="47"/>
  <c r="N8" i="47" s="1"/>
  <c r="O8" i="47" s="1"/>
  <c r="P8" i="47" s="1"/>
  <c r="J7" i="47"/>
  <c r="N7" i="47" s="1"/>
  <c r="O7" i="47" s="1"/>
  <c r="P7" i="47" s="1"/>
  <c r="J6" i="47"/>
  <c r="N6" i="47" s="1"/>
  <c r="O6" i="47" s="1"/>
  <c r="P6" i="47" s="1"/>
  <c r="J5" i="47"/>
  <c r="N5" i="47" s="1"/>
  <c r="O5" i="47" s="1"/>
  <c r="P5" i="47" s="1"/>
  <c r="J4" i="47"/>
  <c r="N4" i="47" s="1"/>
  <c r="O4" i="47" s="1"/>
  <c r="P4" i="47" s="1"/>
  <c r="J3" i="47"/>
  <c r="N3" i="47" s="1"/>
  <c r="O3" i="47" s="1"/>
  <c r="P3" i="47" s="1"/>
  <c r="H72" i="47"/>
  <c r="H69" i="47"/>
  <c r="H68" i="47"/>
  <c r="H65" i="47"/>
  <c r="H64" i="47"/>
  <c r="H61" i="47"/>
  <c r="H60" i="47"/>
  <c r="H57" i="47"/>
  <c r="H56" i="47"/>
  <c r="H53" i="47"/>
  <c r="H52" i="47"/>
  <c r="H49" i="47"/>
  <c r="H48" i="47"/>
  <c r="H45" i="47"/>
  <c r="H44" i="47"/>
  <c r="H41" i="47"/>
  <c r="H40" i="47"/>
  <c r="H37" i="47"/>
  <c r="H36" i="47"/>
  <c r="H33" i="47"/>
  <c r="H32" i="47"/>
  <c r="H29" i="47"/>
  <c r="H28" i="47"/>
  <c r="H25" i="47"/>
  <c r="H24" i="47"/>
  <c r="H21" i="47"/>
  <c r="H20" i="47"/>
  <c r="H17" i="47"/>
  <c r="H16" i="47"/>
  <c r="H13" i="47"/>
  <c r="H12" i="47"/>
  <c r="H9" i="47"/>
  <c r="H8" i="47"/>
  <c r="H5" i="47"/>
  <c r="H4" i="47"/>
  <c r="G72" i="47"/>
  <c r="G71" i="47"/>
  <c r="H71" i="47" s="1"/>
  <c r="G70" i="47"/>
  <c r="H70" i="47" s="1"/>
  <c r="G69" i="47"/>
  <c r="G68" i="47"/>
  <c r="G67" i="47"/>
  <c r="H67" i="47" s="1"/>
  <c r="G66" i="47"/>
  <c r="H66" i="47" s="1"/>
  <c r="G65" i="47"/>
  <c r="G64" i="47"/>
  <c r="G63" i="47"/>
  <c r="H63" i="47" s="1"/>
  <c r="G62" i="47"/>
  <c r="H62" i="47" s="1"/>
  <c r="G61" i="47"/>
  <c r="G60" i="47"/>
  <c r="G59" i="47"/>
  <c r="H59" i="47" s="1"/>
  <c r="G58" i="47"/>
  <c r="H58" i="47" s="1"/>
  <c r="G57" i="47"/>
  <c r="G56" i="47"/>
  <c r="G55" i="47"/>
  <c r="H55" i="47" s="1"/>
  <c r="G54" i="47"/>
  <c r="H54" i="47" s="1"/>
  <c r="G53" i="47"/>
  <c r="G52" i="47"/>
  <c r="G51" i="47"/>
  <c r="H51" i="47" s="1"/>
  <c r="G50" i="47"/>
  <c r="H50" i="47" s="1"/>
  <c r="G49" i="47"/>
  <c r="G48" i="47"/>
  <c r="G47" i="47"/>
  <c r="H47" i="47" s="1"/>
  <c r="G46" i="47"/>
  <c r="H46" i="47" s="1"/>
  <c r="G45" i="47"/>
  <c r="G44" i="47"/>
  <c r="G43" i="47"/>
  <c r="H43" i="47" s="1"/>
  <c r="G42" i="47"/>
  <c r="H42" i="47" s="1"/>
  <c r="G41" i="47"/>
  <c r="G40" i="47"/>
  <c r="G39" i="47"/>
  <c r="H39" i="47" s="1"/>
  <c r="G38" i="47"/>
  <c r="H38" i="47" s="1"/>
  <c r="G37" i="47"/>
  <c r="G36" i="47"/>
  <c r="G35" i="47"/>
  <c r="H35" i="47" s="1"/>
  <c r="G34" i="47"/>
  <c r="H34" i="47" s="1"/>
  <c r="G33" i="47"/>
  <c r="G32" i="47"/>
  <c r="G31" i="47"/>
  <c r="H31" i="47" s="1"/>
  <c r="G30" i="47"/>
  <c r="H30" i="47" s="1"/>
  <c r="G29" i="47"/>
  <c r="G28" i="47"/>
  <c r="G27" i="47"/>
  <c r="H27" i="47" s="1"/>
  <c r="G26" i="47"/>
  <c r="H26" i="47" s="1"/>
  <c r="G25" i="47"/>
  <c r="G24" i="47"/>
  <c r="G23" i="47"/>
  <c r="H23" i="47" s="1"/>
  <c r="G22" i="47"/>
  <c r="H22" i="47" s="1"/>
  <c r="G21" i="47"/>
  <c r="G20" i="47"/>
  <c r="G19" i="47"/>
  <c r="H19" i="47" s="1"/>
  <c r="G18" i="47"/>
  <c r="H18" i="47" s="1"/>
  <c r="G17" i="47"/>
  <c r="G16" i="47"/>
  <c r="G15" i="47"/>
  <c r="H15" i="47" s="1"/>
  <c r="G14" i="47"/>
  <c r="H14" i="47" s="1"/>
  <c r="G13" i="47"/>
  <c r="G12" i="47"/>
  <c r="G11" i="47"/>
  <c r="H11" i="47" s="1"/>
  <c r="G10" i="47"/>
  <c r="H10" i="47" s="1"/>
  <c r="G9" i="47"/>
  <c r="G8" i="47"/>
  <c r="G7" i="47"/>
  <c r="H7" i="47" s="1"/>
  <c r="G6" i="47"/>
  <c r="H6" i="47" s="1"/>
  <c r="G5" i="47"/>
  <c r="G4" i="47"/>
  <c r="G3" i="47"/>
  <c r="H3" i="47" s="1"/>
  <c r="O24" i="47" l="1"/>
  <c r="P24" i="47" s="1"/>
  <c r="O28" i="47"/>
  <c r="P28" i="47" s="1"/>
  <c r="O32" i="47"/>
  <c r="P32" i="47" s="1"/>
  <c r="O36" i="47"/>
  <c r="P36" i="47" s="1"/>
  <c r="O40" i="47"/>
  <c r="P40" i="47" s="1"/>
  <c r="O44" i="47"/>
  <c r="P44" i="47" s="1"/>
  <c r="O48" i="47"/>
  <c r="P48" i="47" s="1"/>
  <c r="O52" i="47"/>
  <c r="P52" i="47" s="1"/>
  <c r="O56" i="47"/>
  <c r="P56" i="47" s="1"/>
  <c r="O60" i="47"/>
  <c r="P60" i="47" s="1"/>
  <c r="O64" i="47"/>
  <c r="P64" i="47" s="1"/>
  <c r="O68" i="47"/>
  <c r="P68" i="47" s="1"/>
  <c r="O72" i="47"/>
  <c r="P72" i="47" s="1"/>
  <c r="E1024" i="46" l="1"/>
  <c r="E1022" i="46"/>
  <c r="E1018" i="46"/>
  <c r="E1017" i="46"/>
  <c r="E1013" i="46"/>
  <c r="E1012" i="46"/>
  <c r="E1008" i="46"/>
  <c r="E1007" i="46"/>
  <c r="E1003" i="46"/>
  <c r="E1002" i="46"/>
  <c r="H968" i="46"/>
  <c r="G967" i="46"/>
  <c r="G966" i="46"/>
  <c r="G965" i="46"/>
  <c r="G964" i="46"/>
  <c r="W957" i="46"/>
  <c r="T497" i="46" s="1"/>
  <c r="V497" i="46" s="1"/>
  <c r="X497" i="46" s="1"/>
  <c r="W956" i="46"/>
  <c r="X955" i="46"/>
  <c r="X956" i="46" s="1"/>
  <c r="X957" i="46" s="1"/>
  <c r="W955" i="46"/>
  <c r="Y954" i="46"/>
  <c r="H867" i="46"/>
  <c r="G867" i="46"/>
  <c r="E867" i="46"/>
  <c r="D867" i="46"/>
  <c r="H854" i="46"/>
  <c r="G854" i="46"/>
  <c r="H839" i="46"/>
  <c r="G839" i="46"/>
  <c r="G833" i="46"/>
  <c r="H790" i="46"/>
  <c r="G790" i="46"/>
  <c r="H736" i="46"/>
  <c r="G736" i="46"/>
  <c r="H730" i="46"/>
  <c r="H574" i="46" s="1"/>
  <c r="H578" i="46" s="1"/>
  <c r="H583" i="46" s="1"/>
  <c r="H105" i="46" s="1"/>
  <c r="H109" i="46" s="1"/>
  <c r="H187" i="46" s="1"/>
  <c r="H728" i="46"/>
  <c r="G728" i="46"/>
  <c r="H727" i="46"/>
  <c r="G727" i="46"/>
  <c r="H726" i="46"/>
  <c r="G726" i="46"/>
  <c r="H716" i="46"/>
  <c r="H737" i="46" s="1"/>
  <c r="G716" i="46"/>
  <c r="G737" i="46" s="1"/>
  <c r="H713" i="46"/>
  <c r="G706" i="46" s="1"/>
  <c r="G710" i="46"/>
  <c r="G730" i="46" s="1"/>
  <c r="G574" i="46" s="1"/>
  <c r="G578" i="46" s="1"/>
  <c r="G583" i="46" s="1"/>
  <c r="G105" i="46" s="1"/>
  <c r="G109" i="46" s="1"/>
  <c r="G187" i="46" s="1"/>
  <c r="H704" i="46"/>
  <c r="G704" i="46"/>
  <c r="H684" i="46"/>
  <c r="H682" i="46"/>
  <c r="H645" i="46"/>
  <c r="H652" i="46" s="1"/>
  <c r="H681" i="46" s="1"/>
  <c r="H696" i="46" s="1"/>
  <c r="G645" i="46"/>
  <c r="G652" i="46" s="1"/>
  <c r="G681" i="46" s="1"/>
  <c r="G696" i="46" s="1"/>
  <c r="T635" i="46"/>
  <c r="H635" i="46"/>
  <c r="T633" i="46"/>
  <c r="T629" i="46"/>
  <c r="T627" i="46"/>
  <c r="H627" i="46"/>
  <c r="H621" i="46"/>
  <c r="G620" i="46"/>
  <c r="T618" i="46"/>
  <c r="H617" i="46"/>
  <c r="T616" i="46"/>
  <c r="G610" i="46"/>
  <c r="G607" i="46"/>
  <c r="G606" i="46"/>
  <c r="H595" i="46"/>
  <c r="H516" i="46" s="1"/>
  <c r="G595" i="46"/>
  <c r="G516" i="46" s="1"/>
  <c r="H537" i="46"/>
  <c r="G537" i="46"/>
  <c r="V523" i="46"/>
  <c r="V522" i="46"/>
  <c r="V521" i="46"/>
  <c r="V510" i="46"/>
  <c r="V509" i="46"/>
  <c r="V508" i="46"/>
  <c r="H505" i="46"/>
  <c r="H86" i="46" s="1"/>
  <c r="G503" i="46"/>
  <c r="H500" i="46"/>
  <c r="G497" i="46" s="1"/>
  <c r="G500" i="46"/>
  <c r="G241" i="46" s="1"/>
  <c r="T496" i="46"/>
  <c r="V496" i="46" s="1"/>
  <c r="X496" i="46" s="1"/>
  <c r="T494" i="46"/>
  <c r="V494" i="46" s="1"/>
  <c r="X494" i="46" s="1"/>
  <c r="H433" i="46"/>
  <c r="G433" i="46"/>
  <c r="H432" i="46"/>
  <c r="H453" i="46" s="1"/>
  <c r="G432" i="46"/>
  <c r="G453" i="46" s="1"/>
  <c r="G423" i="46"/>
  <c r="G422" i="46"/>
  <c r="H412" i="46"/>
  <c r="H411" i="46"/>
  <c r="H406" i="46"/>
  <c r="H407" i="46" s="1"/>
  <c r="H397" i="46"/>
  <c r="H464" i="46" s="1"/>
  <c r="G397" i="46"/>
  <c r="G464" i="46" s="1"/>
  <c r="G386" i="46"/>
  <c r="G378" i="46"/>
  <c r="G366" i="46"/>
  <c r="H366" i="46" s="1"/>
  <c r="G365" i="46"/>
  <c r="H365" i="46" s="1"/>
  <c r="G364" i="46"/>
  <c r="H364" i="46" s="1"/>
  <c r="G363" i="46"/>
  <c r="H363" i="46" s="1"/>
  <c r="G362" i="46"/>
  <c r="H362" i="46" s="1"/>
  <c r="G361" i="46"/>
  <c r="H361" i="46" s="1"/>
  <c r="G360" i="46"/>
  <c r="H360" i="46" s="1"/>
  <c r="G356" i="46"/>
  <c r="H356" i="46" s="1"/>
  <c r="G355" i="46"/>
  <c r="H355" i="46" s="1"/>
  <c r="G354" i="46"/>
  <c r="H354" i="46" s="1"/>
  <c r="G353" i="46"/>
  <c r="H353" i="46" s="1"/>
  <c r="G352" i="46"/>
  <c r="H352" i="46" s="1"/>
  <c r="C352" i="46"/>
  <c r="G351" i="46"/>
  <c r="H351" i="46" s="1"/>
  <c r="C351" i="46"/>
  <c r="G350" i="46"/>
  <c r="H350" i="46" s="1"/>
  <c r="C350" i="46"/>
  <c r="S349" i="46"/>
  <c r="H334" i="46"/>
  <c r="H587" i="46" s="1"/>
  <c r="G334" i="46"/>
  <c r="G587" i="46" s="1"/>
  <c r="G327" i="46"/>
  <c r="G326" i="46"/>
  <c r="G324" i="46"/>
  <c r="G323" i="46"/>
  <c r="H308" i="46"/>
  <c r="H372" i="46" s="1"/>
  <c r="G308" i="46"/>
  <c r="G372" i="46" s="1"/>
  <c r="E258" i="46"/>
  <c r="C258" i="46"/>
  <c r="S245" i="46"/>
  <c r="H224" i="46"/>
  <c r="H277" i="46" s="1"/>
  <c r="G224" i="46"/>
  <c r="G277" i="46" s="1"/>
  <c r="H185" i="46"/>
  <c r="H177" i="46"/>
  <c r="H179" i="46" s="1"/>
  <c r="G174" i="46" s="1"/>
  <c r="G177" i="46" s="1"/>
  <c r="G179" i="46" s="1"/>
  <c r="H169" i="46"/>
  <c r="H171" i="46" s="1"/>
  <c r="G167" i="46" s="1"/>
  <c r="G169" i="46" s="1"/>
  <c r="G171" i="46" s="1"/>
  <c r="H162" i="46"/>
  <c r="H164" i="46" s="1"/>
  <c r="G160" i="46" s="1"/>
  <c r="G162" i="46" s="1"/>
  <c r="G164" i="46" s="1"/>
  <c r="H155" i="46"/>
  <c r="H157" i="46" s="1"/>
  <c r="G153" i="46" s="1"/>
  <c r="G155" i="46" s="1"/>
  <c r="G157" i="46" s="1"/>
  <c r="H149" i="46"/>
  <c r="H144" i="46"/>
  <c r="G144" i="46"/>
  <c r="F140" i="46"/>
  <c r="F220" i="46" s="1"/>
  <c r="F139" i="46"/>
  <c r="F219" i="46" s="1"/>
  <c r="F137" i="46"/>
  <c r="F217" i="46" s="1"/>
  <c r="F134" i="46"/>
  <c r="F214" i="46" s="1"/>
  <c r="F133" i="46"/>
  <c r="F213" i="46" s="1"/>
  <c r="B133" i="46"/>
  <c r="B1013" i="46" s="1"/>
  <c r="B132" i="46"/>
  <c r="B210" i="46" s="1"/>
  <c r="B1011" i="46" s="1"/>
  <c r="B131" i="46"/>
  <c r="B209" i="46" s="1"/>
  <c r="F130" i="46"/>
  <c r="F210" i="46" s="1"/>
  <c r="F129" i="46"/>
  <c r="F209" i="46" s="1"/>
  <c r="B129" i="46"/>
  <c r="B207" i="46" s="1"/>
  <c r="B128" i="46"/>
  <c r="B206" i="46" s="1"/>
  <c r="B127" i="46"/>
  <c r="B205" i="46" s="1"/>
  <c r="F126" i="46"/>
  <c r="F206" i="46" s="1"/>
  <c r="F125" i="46"/>
  <c r="F205" i="46" s="1"/>
  <c r="B123" i="46"/>
  <c r="B201" i="46" s="1"/>
  <c r="F122" i="46"/>
  <c r="F202" i="46" s="1"/>
  <c r="B122" i="46"/>
  <c r="B200" i="46" s="1"/>
  <c r="F121" i="46"/>
  <c r="F201" i="46" s="1"/>
  <c r="B121" i="46"/>
  <c r="B199" i="46" s="1"/>
  <c r="B119" i="46"/>
  <c r="B198" i="46" s="1"/>
  <c r="H101" i="46"/>
  <c r="G89" i="46"/>
  <c r="R113" i="46" s="1"/>
  <c r="S80" i="46"/>
  <c r="H79" i="46"/>
  <c r="G79" i="46"/>
  <c r="H78" i="46"/>
  <c r="G78" i="46"/>
  <c r="H31" i="46"/>
  <c r="S3" i="46"/>
  <c r="D82" i="14"/>
  <c r="G966" i="4"/>
  <c r="G965" i="4"/>
  <c r="G964" i="4"/>
  <c r="G963" i="4"/>
  <c r="V508" i="4"/>
  <c r="V507" i="4"/>
  <c r="V506" i="4"/>
  <c r="H431" i="4"/>
  <c r="H430" i="4"/>
  <c r="H410" i="4"/>
  <c r="H409" i="4"/>
  <c r="H404" i="4"/>
  <c r="I29" i="45"/>
  <c r="I15" i="45"/>
  <c r="I32" i="45"/>
  <c r="L9" i="45"/>
  <c r="L8" i="45"/>
  <c r="G545" i="4"/>
  <c r="H511" i="4"/>
  <c r="H389" i="4"/>
  <c r="H544" i="4"/>
  <c r="G511" i="4"/>
  <c r="G389" i="4"/>
  <c r="G544" i="4"/>
  <c r="H510" i="4"/>
  <c r="H226" i="4"/>
  <c r="H548" i="4"/>
  <c r="U519" i="4"/>
  <c r="G470" i="4"/>
  <c r="H554" i="4"/>
  <c r="G523" i="4"/>
  <c r="H478" i="4"/>
  <c r="G554" i="4"/>
  <c r="H521" i="4"/>
  <c r="G478" i="4"/>
  <c r="H553" i="4"/>
  <c r="G521" i="4"/>
  <c r="U508" i="4"/>
  <c r="G564" i="4"/>
  <c r="G541" i="4"/>
  <c r="H505" i="4"/>
  <c r="H563" i="4"/>
  <c r="H540" i="4"/>
  <c r="G505" i="4"/>
  <c r="G563" i="4"/>
  <c r="G540" i="4"/>
  <c r="H496" i="4"/>
  <c r="G598" i="4"/>
  <c r="H543" i="4"/>
  <c r="G510" i="4"/>
  <c r="G226" i="4"/>
  <c r="H547" i="4"/>
  <c r="H518" i="4"/>
  <c r="H469" i="4"/>
  <c r="H546" i="4"/>
  <c r="G518" i="4"/>
  <c r="G469" i="4"/>
  <c r="G546" i="4"/>
  <c r="H517" i="4"/>
  <c r="H390" i="4"/>
  <c r="H545" i="4"/>
  <c r="G517" i="4"/>
  <c r="G390" i="4"/>
  <c r="G552" i="4"/>
  <c r="H473" i="4"/>
  <c r="U507" i="4"/>
  <c r="G549" i="4"/>
  <c r="U506" i="4"/>
  <c r="G556" i="4"/>
  <c r="H523" i="4"/>
  <c r="G560" i="4"/>
  <c r="H492" i="4"/>
  <c r="H538" i="4"/>
  <c r="G559" i="4"/>
  <c r="G538" i="4"/>
  <c r="H558" i="4"/>
  <c r="G490" i="4"/>
  <c r="H552" i="4"/>
  <c r="H557" i="4"/>
  <c r="G528" i="4"/>
  <c r="H486" i="4"/>
  <c r="G557" i="4"/>
  <c r="H525" i="4"/>
  <c r="G486" i="4"/>
  <c r="H556" i="4"/>
  <c r="H524" i="4"/>
  <c r="H483" i="4"/>
  <c r="H560" i="4"/>
  <c r="H539" i="4"/>
  <c r="G496" i="4"/>
  <c r="H566" i="4"/>
  <c r="G543" i="4"/>
  <c r="H507" i="4"/>
  <c r="G566" i="4"/>
  <c r="H542" i="4"/>
  <c r="G507" i="4"/>
  <c r="H565" i="4"/>
  <c r="G542" i="4"/>
  <c r="H506" i="4"/>
  <c r="H564" i="4"/>
  <c r="H541" i="4"/>
  <c r="G506" i="4"/>
  <c r="U521" i="4"/>
  <c r="H549" i="4"/>
  <c r="G473" i="4"/>
  <c r="H470" i="4"/>
  <c r="G483" i="4"/>
  <c r="G539" i="4"/>
  <c r="H559" i="4"/>
  <c r="G492" i="4"/>
  <c r="H490" i="4"/>
  <c r="H528" i="4"/>
  <c r="H474" i="4"/>
  <c r="G474" i="4"/>
  <c r="G565" i="46"/>
  <c r="H545" i="46"/>
  <c r="G545" i="46"/>
  <c r="G548" i="46"/>
  <c r="H494" i="46"/>
  <c r="H426" i="46"/>
  <c r="H561" i="46"/>
  <c r="G544" i="46"/>
  <c r="H391" i="46"/>
  <c r="G541" i="46"/>
  <c r="H509" i="46"/>
  <c r="G558" i="46"/>
  <c r="G292" i="46"/>
  <c r="U521" i="46"/>
  <c r="G485" i="46"/>
  <c r="H508" i="46"/>
  <c r="H551" i="46"/>
  <c r="U957" i="46"/>
  <c r="G600" i="46"/>
  <c r="G472" i="46"/>
  <c r="G298" i="46"/>
  <c r="H547" i="46"/>
  <c r="G519" i="46"/>
  <c r="G561" i="46"/>
  <c r="H300" i="46"/>
  <c r="H541" i="46"/>
  <c r="G540" i="46"/>
  <c r="H530" i="46"/>
  <c r="H492" i="46"/>
  <c r="U954" i="46"/>
  <c r="H527" i="46"/>
  <c r="G392" i="46"/>
  <c r="H519" i="46"/>
  <c r="T628" i="46"/>
  <c r="G550" i="46"/>
  <c r="H560" i="46"/>
  <c r="G547" i="46"/>
  <c r="U522" i="46"/>
  <c r="U510" i="46"/>
  <c r="G542" i="46"/>
  <c r="H546" i="46"/>
  <c r="H400" i="46"/>
  <c r="G289" i="46"/>
  <c r="H498" i="46"/>
  <c r="G236" i="46"/>
  <c r="G303" i="46"/>
  <c r="G391" i="46"/>
  <c r="G523" i="46"/>
  <c r="G553" i="46"/>
  <c r="H520" i="46"/>
  <c r="H303" i="46"/>
  <c r="G546" i="46"/>
  <c r="G471" i="46"/>
  <c r="G494" i="46"/>
  <c r="U509" i="46"/>
  <c r="G551" i="46"/>
  <c r="G560" i="46"/>
  <c r="U956" i="46"/>
  <c r="H550" i="46"/>
  <c r="H280" i="46"/>
  <c r="G294" i="46"/>
  <c r="G526" i="46"/>
  <c r="G288" i="46"/>
  <c r="T634" i="46"/>
  <c r="G280" i="46"/>
  <c r="H476" i="46"/>
  <c r="H228" i="46"/>
  <c r="G513" i="46"/>
  <c r="G299" i="46"/>
  <c r="H237" i="46"/>
  <c r="G559" i="46"/>
  <c r="H559" i="46"/>
  <c r="G493" i="46"/>
  <c r="H472" i="46"/>
  <c r="G476" i="46"/>
  <c r="H297" i="46"/>
  <c r="H544" i="46"/>
  <c r="H555" i="46"/>
  <c r="H235" i="46"/>
  <c r="H540" i="46"/>
  <c r="G228" i="46"/>
  <c r="G488" i="46"/>
  <c r="H299" i="46"/>
  <c r="G530" i="46"/>
  <c r="H251" i="46"/>
  <c r="G426" i="46"/>
  <c r="G300" i="46"/>
  <c r="G566" i="46"/>
  <c r="H568" i="46"/>
  <c r="H543" i="46"/>
  <c r="H298" i="46"/>
  <c r="H513" i="46"/>
  <c r="G507" i="46"/>
  <c r="G552" i="46"/>
  <c r="G11" i="46"/>
  <c r="U508" i="46"/>
  <c r="G508" i="46"/>
  <c r="G512" i="46"/>
  <c r="H488" i="46"/>
  <c r="G237" i="46"/>
  <c r="G562" i="46"/>
  <c r="G543" i="46"/>
  <c r="H480" i="46"/>
  <c r="G527" i="46"/>
  <c r="H507" i="46"/>
  <c r="G480" i="46"/>
  <c r="H475" i="46"/>
  <c r="H526" i="46"/>
  <c r="G509" i="46"/>
  <c r="H567" i="46"/>
  <c r="G492" i="46"/>
  <c r="G475" i="46"/>
  <c r="G525" i="46"/>
  <c r="H512" i="46"/>
  <c r="G249" i="46"/>
  <c r="H548" i="46"/>
  <c r="H392" i="46"/>
  <c r="H283" i="46"/>
  <c r="H485" i="46"/>
  <c r="H556" i="46"/>
  <c r="G555" i="46"/>
  <c r="H288" i="46"/>
  <c r="H565" i="46"/>
  <c r="H236" i="46"/>
  <c r="G554" i="46"/>
  <c r="H523" i="46"/>
  <c r="H525" i="46"/>
  <c r="H549" i="46"/>
  <c r="H566" i="46"/>
  <c r="G556" i="46"/>
  <c r="H292" i="46"/>
  <c r="G290" i="46"/>
  <c r="G568" i="46"/>
  <c r="H542" i="46"/>
  <c r="G529" i="46"/>
  <c r="G520" i="46"/>
  <c r="U523" i="46"/>
  <c r="G567" i="46"/>
  <c r="G498" i="46"/>
  <c r="G283" i="46"/>
  <c r="U955" i="46"/>
  <c r="H554" i="46"/>
  <c r="H471" i="46"/>
  <c r="H562" i="46"/>
  <c r="H558" i="46"/>
  <c r="G297" i="46"/>
  <c r="Y957" i="46" l="1"/>
  <c r="I18" i="16"/>
  <c r="W958" i="46"/>
  <c r="G968" i="46"/>
  <c r="T495" i="46"/>
  <c r="V495" i="46" s="1"/>
  <c r="X495" i="46" s="1"/>
  <c r="X498" i="46" s="1"/>
  <c r="G684" i="46"/>
  <c r="H241" i="46"/>
  <c r="H245" i="46" s="1"/>
  <c r="H18" i="46" s="1"/>
  <c r="H723" i="46"/>
  <c r="H720" i="46"/>
  <c r="G715" i="46" s="1"/>
  <c r="G720" i="46" s="1"/>
  <c r="G242" i="46"/>
  <c r="G713" i="46"/>
  <c r="G723" i="46" s="1"/>
  <c r="Y955" i="46"/>
  <c r="B211" i="46"/>
  <c r="H413" i="46"/>
  <c r="H414" i="46" s="1"/>
  <c r="H416" i="46" s="1"/>
  <c r="H38" i="46" s="1"/>
  <c r="H434" i="46"/>
  <c r="H43" i="46" s="1"/>
  <c r="H660" i="46" s="1"/>
  <c r="G253" i="46"/>
  <c r="G20" i="46" s="1"/>
  <c r="G510" i="46"/>
  <c r="G87" i="46" s="1"/>
  <c r="H683" i="46"/>
  <c r="H429" i="46"/>
  <c r="H42" i="46" s="1"/>
  <c r="G495" i="46"/>
  <c r="G81" i="46" s="1"/>
  <c r="H646" i="46"/>
  <c r="H648" i="46" s="1"/>
  <c r="H301" i="46"/>
  <c r="H23" i="46" s="1"/>
  <c r="H499" i="46"/>
  <c r="H501" i="46" s="1"/>
  <c r="H84" i="46" s="1"/>
  <c r="H393" i="46"/>
  <c r="H36" i="46" s="1"/>
  <c r="G473" i="46"/>
  <c r="G44" i="46" s="1"/>
  <c r="W522" i="46"/>
  <c r="G522" i="46" s="1"/>
  <c r="W521" i="46"/>
  <c r="G521" i="46" s="1"/>
  <c r="H569" i="46"/>
  <c r="G304" i="46"/>
  <c r="G24" i="46" s="1"/>
  <c r="H401" i="46"/>
  <c r="H37" i="46" s="1"/>
  <c r="W508" i="46"/>
  <c r="H521" i="46" s="1"/>
  <c r="H473" i="46"/>
  <c r="H44" i="46" s="1"/>
  <c r="H661" i="46" s="1"/>
  <c r="H495" i="46"/>
  <c r="H81" i="46" s="1"/>
  <c r="H563" i="46"/>
  <c r="H482" i="46"/>
  <c r="H46" i="46" s="1"/>
  <c r="G646" i="46"/>
  <c r="G648" i="46" s="1"/>
  <c r="G563" i="46"/>
  <c r="G231" i="46"/>
  <c r="G13" i="46" s="1"/>
  <c r="H238" i="46"/>
  <c r="H14" i="46" s="1"/>
  <c r="G284" i="46"/>
  <c r="G21" i="46" s="1"/>
  <c r="G291" i="46"/>
  <c r="G295" i="46" s="1"/>
  <c r="G22" i="46" s="1"/>
  <c r="H304" i="46"/>
  <c r="H24" i="46" s="1"/>
  <c r="G477" i="46"/>
  <c r="G45" i="46" s="1"/>
  <c r="G490" i="46"/>
  <c r="G80" i="46" s="1"/>
  <c r="G640" i="46"/>
  <c r="H510" i="46"/>
  <c r="H87" i="46" s="1"/>
  <c r="W509" i="46"/>
  <c r="H522" i="46" s="1"/>
  <c r="G514" i="46"/>
  <c r="G88" i="46" s="1"/>
  <c r="R88" i="46" s="1"/>
  <c r="W523" i="46"/>
  <c r="G528" i="46" s="1"/>
  <c r="G634" i="46" s="1"/>
  <c r="H231" i="46"/>
  <c r="H13" i="46" s="1"/>
  <c r="G238" i="46"/>
  <c r="G14" i="46" s="1"/>
  <c r="H284" i="46"/>
  <c r="H21" i="46" s="1"/>
  <c r="H655" i="46" s="1"/>
  <c r="H291" i="46"/>
  <c r="H295" i="46" s="1"/>
  <c r="H22" i="46" s="1"/>
  <c r="H656" i="46" s="1"/>
  <c r="G301" i="46"/>
  <c r="G23" i="46" s="1"/>
  <c r="G429" i="46"/>
  <c r="G42" i="46" s="1"/>
  <c r="G683" i="46"/>
  <c r="H477" i="46"/>
  <c r="H45" i="46" s="1"/>
  <c r="H490" i="46"/>
  <c r="H80" i="46" s="1"/>
  <c r="W510" i="46"/>
  <c r="H528" i="46" s="1"/>
  <c r="H514" i="46"/>
  <c r="H88" i="46" s="1"/>
  <c r="G569" i="46"/>
  <c r="T617" i="46"/>
  <c r="T619" i="46" s="1"/>
  <c r="G616" i="46" s="1"/>
  <c r="U958" i="46"/>
  <c r="H316" i="46"/>
  <c r="G147" i="46"/>
  <c r="G149" i="46" s="1"/>
  <c r="T636" i="46"/>
  <c r="G630" i="46" s="1"/>
  <c r="T630" i="46"/>
  <c r="G626" i="46" s="1"/>
  <c r="G434" i="46"/>
  <c r="G43" i="46" s="1"/>
  <c r="H722" i="46"/>
  <c r="G499" i="46"/>
  <c r="G501" i="46" s="1"/>
  <c r="G84" i="46" s="1"/>
  <c r="Y956" i="46"/>
  <c r="G682" i="46"/>
  <c r="G393" i="46"/>
  <c r="G36" i="46" s="1"/>
  <c r="H685" i="46"/>
  <c r="G729" i="46"/>
  <c r="G731" i="46" s="1"/>
  <c r="H729" i="46"/>
  <c r="H731" i="46" s="1"/>
  <c r="W506" i="4"/>
  <c r="H519" i="4" s="1"/>
  <c r="W507" i="4"/>
  <c r="H520" i="4" s="1"/>
  <c r="W508" i="4"/>
  <c r="H526" i="4" s="1"/>
  <c r="I21" i="45"/>
  <c r="L10" i="45"/>
  <c r="L11" i="45" s="1"/>
  <c r="J7" i="45" s="1"/>
  <c r="H248" i="46"/>
  <c r="H724" i="46" l="1"/>
  <c r="G617" i="46"/>
  <c r="H531" i="46"/>
  <c r="H570" i="46" s="1"/>
  <c r="H90" i="46" s="1"/>
  <c r="Y958" i="46"/>
  <c r="G722" i="46"/>
  <c r="G724" i="46" s="1"/>
  <c r="G481" i="46" s="1"/>
  <c r="G482" i="46" s="1"/>
  <c r="G46" i="46" s="1"/>
  <c r="R46" i="46" s="1"/>
  <c r="G699" i="46"/>
  <c r="H82" i="46"/>
  <c r="H699" i="46"/>
  <c r="H253" i="46"/>
  <c r="H20" i="46" s="1"/>
  <c r="S45" i="46"/>
  <c r="R45" i="46"/>
  <c r="R44" i="46"/>
  <c r="G661" i="46"/>
  <c r="G685" i="46"/>
  <c r="R84" i="46"/>
  <c r="S14" i="46"/>
  <c r="T80" i="46"/>
  <c r="G82" i="46"/>
  <c r="G627" i="46"/>
  <c r="G659" i="46"/>
  <c r="R42" i="46"/>
  <c r="G621" i="46"/>
  <c r="G635" i="46"/>
  <c r="H39" i="46"/>
  <c r="G654" i="46"/>
  <c r="G316" i="46"/>
  <c r="G31" i="46"/>
  <c r="G655" i="46"/>
  <c r="R36" i="46"/>
  <c r="S36" i="46"/>
  <c r="G660" i="46"/>
  <c r="R43" i="46"/>
  <c r="S23" i="46"/>
  <c r="G531" i="46"/>
  <c r="G570" i="46" s="1"/>
  <c r="G90" i="46" s="1"/>
  <c r="G656" i="46"/>
  <c r="H659" i="46"/>
  <c r="H662" i="46" s="1"/>
  <c r="H47" i="46"/>
  <c r="J24" i="45"/>
  <c r="J15" i="45"/>
  <c r="J28" i="45" s="1"/>
  <c r="I25" i="45"/>
  <c r="J21" i="45"/>
  <c r="J25" i="45" s="1"/>
  <c r="J27" i="45" s="1"/>
  <c r="G400" i="46"/>
  <c r="G662" i="46" l="1"/>
  <c r="G657" i="46"/>
  <c r="G401" i="46"/>
  <c r="G37" i="46" s="1"/>
  <c r="I481" i="46"/>
  <c r="R31" i="46"/>
  <c r="G47" i="46"/>
  <c r="H654" i="46"/>
  <c r="H657" i="46" s="1"/>
  <c r="H25" i="46"/>
  <c r="I31" i="45"/>
  <c r="I34" i="45" s="1"/>
  <c r="J39" i="45" s="1"/>
  <c r="I38" i="45" s="1"/>
  <c r="C31" i="45"/>
  <c r="F29" i="45"/>
  <c r="J29" i="45"/>
  <c r="R37" i="46" l="1"/>
  <c r="H411" i="4"/>
  <c r="H30" i="4" l="1"/>
  <c r="H398" i="4"/>
  <c r="H714" i="4" l="1"/>
  <c r="G714" i="4"/>
  <c r="L35" i="6"/>
  <c r="J30" i="6"/>
  <c r="P66" i="15" l="1"/>
  <c r="F29" i="15"/>
  <c r="I39" i="12"/>
  <c r="I33" i="12"/>
  <c r="G501" i="4" l="1"/>
  <c r="V521" i="4"/>
  <c r="E256" i="4"/>
  <c r="I573" i="24" l="1"/>
  <c r="I572" i="24"/>
  <c r="I571" i="24"/>
  <c r="I570" i="24"/>
  <c r="I569" i="24"/>
  <c r="I568" i="24"/>
  <c r="I567" i="24"/>
  <c r="I566" i="24"/>
  <c r="I565" i="24"/>
  <c r="I564" i="24"/>
  <c r="I563" i="24"/>
  <c r="I562" i="24"/>
  <c r="I561" i="24"/>
  <c r="I560" i="24"/>
  <c r="I559" i="24"/>
  <c r="I558" i="24"/>
  <c r="I557" i="24"/>
  <c r="I556" i="24"/>
  <c r="I555" i="24"/>
  <c r="I554" i="24"/>
  <c r="I553" i="24"/>
  <c r="I552" i="24"/>
  <c r="I551" i="24"/>
  <c r="I550" i="24"/>
  <c r="I549" i="24"/>
  <c r="I548" i="24"/>
  <c r="I547" i="24"/>
  <c r="I546" i="24"/>
  <c r="I545" i="24"/>
  <c r="I544" i="24"/>
  <c r="I543" i="24"/>
  <c r="I542" i="24"/>
  <c r="I541" i="24"/>
  <c r="I540" i="24"/>
  <c r="I539" i="24"/>
  <c r="I538" i="24"/>
  <c r="I537" i="24"/>
  <c r="I536" i="24"/>
  <c r="I535" i="24"/>
  <c r="I534" i="24"/>
  <c r="I533" i="24"/>
  <c r="I532" i="24"/>
  <c r="I531" i="24"/>
  <c r="I530" i="24"/>
  <c r="I529" i="24"/>
  <c r="I528" i="24"/>
  <c r="I527" i="24"/>
  <c r="I526" i="24"/>
  <c r="I525" i="24"/>
  <c r="I524" i="24"/>
  <c r="I523" i="24"/>
  <c r="I522" i="24"/>
  <c r="I521" i="24"/>
  <c r="I520" i="24"/>
  <c r="I519" i="24"/>
  <c r="I518" i="24"/>
  <c r="I517" i="24"/>
  <c r="I516" i="24"/>
  <c r="I515" i="24"/>
  <c r="I514" i="24"/>
  <c r="I513" i="24"/>
  <c r="I512" i="24"/>
  <c r="I511" i="24"/>
  <c r="I510" i="24"/>
  <c r="I509" i="24"/>
  <c r="I508" i="24"/>
  <c r="I507" i="24"/>
  <c r="I506" i="24"/>
  <c r="I505" i="24"/>
  <c r="I504" i="24"/>
  <c r="I503" i="24"/>
  <c r="I502" i="24"/>
  <c r="I501" i="24"/>
  <c r="I500" i="24"/>
  <c r="I499" i="24"/>
  <c r="I498" i="24"/>
  <c r="I497" i="24"/>
  <c r="I496" i="24"/>
  <c r="I495" i="24"/>
  <c r="I494" i="24"/>
  <c r="I493" i="24"/>
  <c r="I492" i="24"/>
  <c r="I491" i="24"/>
  <c r="I490" i="24"/>
  <c r="I489" i="24"/>
  <c r="I488" i="24"/>
  <c r="I487" i="24"/>
  <c r="I486" i="24"/>
  <c r="I485" i="24"/>
  <c r="I484" i="24"/>
  <c r="I483" i="24"/>
  <c r="I482" i="24"/>
  <c r="I481" i="24"/>
  <c r="I480" i="24"/>
  <c r="I479" i="24"/>
  <c r="I478" i="24"/>
  <c r="I477" i="24"/>
  <c r="I476" i="24"/>
  <c r="I475" i="24"/>
  <c r="I474" i="24"/>
  <c r="I473" i="24"/>
  <c r="I472" i="24"/>
  <c r="I471" i="24"/>
  <c r="I470" i="24"/>
  <c r="I469" i="24"/>
  <c r="I468" i="24"/>
  <c r="I467" i="24"/>
  <c r="I466" i="24"/>
  <c r="I465" i="24"/>
  <c r="I464" i="24"/>
  <c r="I463" i="24"/>
  <c r="I462" i="24"/>
  <c r="I461" i="24"/>
  <c r="I460" i="24"/>
  <c r="I459" i="24"/>
  <c r="I458" i="24"/>
  <c r="I457" i="24"/>
  <c r="I456" i="24"/>
  <c r="I455" i="24"/>
  <c r="I454" i="24"/>
  <c r="I453" i="24"/>
  <c r="I452" i="24"/>
  <c r="I451" i="24"/>
  <c r="I450" i="24"/>
  <c r="I449" i="24"/>
  <c r="I448" i="24"/>
  <c r="I447" i="24"/>
  <c r="I446" i="24"/>
  <c r="I445" i="24"/>
  <c r="I444" i="24"/>
  <c r="I443" i="24"/>
  <c r="I442" i="24"/>
  <c r="I441" i="24"/>
  <c r="I440" i="24"/>
  <c r="I439" i="24"/>
  <c r="I438" i="24"/>
  <c r="I437" i="24"/>
  <c r="I436" i="24"/>
  <c r="I435" i="24"/>
  <c r="I434" i="24"/>
  <c r="I433" i="24"/>
  <c r="I432" i="24"/>
  <c r="I431" i="24"/>
  <c r="I430" i="24"/>
  <c r="I429" i="24"/>
  <c r="I428" i="24"/>
  <c r="I427" i="24"/>
  <c r="I426" i="24"/>
  <c r="I425" i="24"/>
  <c r="I424" i="24"/>
  <c r="I423" i="24"/>
  <c r="I422" i="24"/>
  <c r="I421" i="24"/>
  <c r="I420" i="24"/>
  <c r="I419" i="24"/>
  <c r="I418" i="24"/>
  <c r="I417" i="24"/>
  <c r="I416" i="24"/>
  <c r="I415" i="24"/>
  <c r="I414" i="24"/>
  <c r="I413" i="24"/>
  <c r="I412" i="24"/>
  <c r="I411" i="24"/>
  <c r="I410" i="24"/>
  <c r="I409" i="24"/>
  <c r="I408" i="24"/>
  <c r="I407" i="24"/>
  <c r="I406" i="24"/>
  <c r="I405" i="24"/>
  <c r="I404" i="24"/>
  <c r="I403" i="24"/>
  <c r="I402" i="24"/>
  <c r="I401" i="24"/>
  <c r="I400" i="24"/>
  <c r="I399" i="24"/>
  <c r="I398" i="24"/>
  <c r="I397" i="24"/>
  <c r="I396" i="24"/>
  <c r="I395" i="24"/>
  <c r="I394" i="24"/>
  <c r="I393" i="24"/>
  <c r="I392" i="24"/>
  <c r="I391" i="24"/>
  <c r="I390" i="24"/>
  <c r="I389" i="24"/>
  <c r="I388" i="24"/>
  <c r="I387" i="24"/>
  <c r="I386" i="24"/>
  <c r="I385" i="24"/>
  <c r="I384" i="24"/>
  <c r="I383" i="24"/>
  <c r="I382" i="24"/>
  <c r="I381" i="24"/>
  <c r="I380" i="24"/>
  <c r="I379" i="24"/>
  <c r="I378" i="24"/>
  <c r="I377" i="24"/>
  <c r="I376" i="24"/>
  <c r="I375" i="24"/>
  <c r="I374" i="24"/>
  <c r="I373" i="24"/>
  <c r="I372" i="24"/>
  <c r="I371" i="24"/>
  <c r="I370" i="24"/>
  <c r="I369" i="24"/>
  <c r="I368" i="24"/>
  <c r="I367" i="24"/>
  <c r="I366" i="24"/>
  <c r="I365" i="24"/>
  <c r="I364" i="24"/>
  <c r="I363" i="24"/>
  <c r="I362" i="24"/>
  <c r="I361" i="24"/>
  <c r="I360" i="24"/>
  <c r="I359" i="24"/>
  <c r="I358" i="24"/>
  <c r="I357" i="24"/>
  <c r="I356" i="24"/>
  <c r="I355" i="24"/>
  <c r="I354" i="24"/>
  <c r="I353" i="24"/>
  <c r="I352" i="24"/>
  <c r="I351" i="24"/>
  <c r="I350" i="24"/>
  <c r="I349" i="24"/>
  <c r="I348" i="24"/>
  <c r="I347" i="24"/>
  <c r="I346" i="24"/>
  <c r="I345" i="24"/>
  <c r="I344" i="24"/>
  <c r="I343" i="24"/>
  <c r="I342" i="24"/>
  <c r="I341" i="24"/>
  <c r="I340" i="24"/>
  <c r="I339" i="24"/>
  <c r="I338" i="24"/>
  <c r="I337" i="24"/>
  <c r="I336" i="24"/>
  <c r="I335" i="24"/>
  <c r="I334" i="24"/>
  <c r="I333" i="24"/>
  <c r="I332" i="24"/>
  <c r="I331" i="24"/>
  <c r="I330" i="24"/>
  <c r="I329" i="24"/>
  <c r="I328" i="24"/>
  <c r="I327" i="24"/>
  <c r="I326" i="24"/>
  <c r="I325" i="24"/>
  <c r="I324" i="24"/>
  <c r="I323" i="24"/>
  <c r="I322" i="24"/>
  <c r="I321" i="24"/>
  <c r="I320" i="24"/>
  <c r="I319" i="24"/>
  <c r="I318" i="24"/>
  <c r="I317" i="24"/>
  <c r="I316" i="24"/>
  <c r="I315" i="24"/>
  <c r="I314" i="24"/>
  <c r="I313" i="24"/>
  <c r="I312" i="24"/>
  <c r="I311" i="24"/>
  <c r="I310" i="24"/>
  <c r="I309" i="24"/>
  <c r="I308" i="24"/>
  <c r="I307" i="24"/>
  <c r="I306" i="24"/>
  <c r="I305" i="24"/>
  <c r="I304" i="24"/>
  <c r="I303" i="24"/>
  <c r="I302" i="24"/>
  <c r="I301" i="24"/>
  <c r="I300" i="24"/>
  <c r="I299" i="24"/>
  <c r="I298" i="24"/>
  <c r="I297" i="24"/>
  <c r="I296" i="24"/>
  <c r="I295" i="24"/>
  <c r="I294" i="24"/>
  <c r="I293" i="24"/>
  <c r="I292" i="24"/>
  <c r="I291" i="24"/>
  <c r="I290" i="24"/>
  <c r="I289" i="24"/>
  <c r="I288" i="24"/>
  <c r="I287" i="24"/>
  <c r="I286" i="24"/>
  <c r="I285" i="24"/>
  <c r="I284" i="24"/>
  <c r="I283" i="24"/>
  <c r="I282" i="24"/>
  <c r="I281" i="24"/>
  <c r="I280" i="24"/>
  <c r="I279" i="24"/>
  <c r="I278" i="24"/>
  <c r="I277" i="24"/>
  <c r="I276" i="24"/>
  <c r="I275" i="24"/>
  <c r="I274" i="24"/>
  <c r="I273" i="24"/>
  <c r="I272" i="24"/>
  <c r="I271" i="24"/>
  <c r="I270" i="24"/>
  <c r="I269" i="24"/>
  <c r="I268" i="24"/>
  <c r="I267" i="24"/>
  <c r="I266" i="24"/>
  <c r="I265" i="24"/>
  <c r="I264" i="24"/>
  <c r="I263" i="24"/>
  <c r="I262" i="24"/>
  <c r="I261" i="24"/>
  <c r="I260" i="24"/>
  <c r="I259" i="24"/>
  <c r="I258" i="24"/>
  <c r="I257" i="24"/>
  <c r="I256" i="24"/>
  <c r="I255" i="24"/>
  <c r="I254" i="24"/>
  <c r="I253" i="24"/>
  <c r="I252" i="24"/>
  <c r="I251" i="24"/>
  <c r="I250" i="24"/>
  <c r="I249" i="24"/>
  <c r="I248" i="24"/>
  <c r="I247" i="24"/>
  <c r="I246" i="24"/>
  <c r="I245" i="24"/>
  <c r="I244" i="24"/>
  <c r="I243" i="24"/>
  <c r="I242" i="24"/>
  <c r="I241" i="24"/>
  <c r="I240" i="24"/>
  <c r="I239" i="24"/>
  <c r="I238" i="24"/>
  <c r="I237" i="24"/>
  <c r="I236" i="24"/>
  <c r="I235" i="24"/>
  <c r="I234" i="24"/>
  <c r="I233" i="24"/>
  <c r="I232" i="24"/>
  <c r="I231" i="24"/>
  <c r="I230" i="24"/>
  <c r="I229" i="24"/>
  <c r="I228" i="24"/>
  <c r="I227" i="24"/>
  <c r="I226" i="24"/>
  <c r="I225" i="24"/>
  <c r="I224" i="24"/>
  <c r="I223" i="24"/>
  <c r="I222" i="24"/>
  <c r="I221" i="24"/>
  <c r="I220" i="24"/>
  <c r="I219" i="24"/>
  <c r="I218" i="24"/>
  <c r="I217" i="24"/>
  <c r="I216" i="24"/>
  <c r="I215" i="24"/>
  <c r="I214" i="24"/>
  <c r="I213" i="24"/>
  <c r="I212" i="24"/>
  <c r="I211" i="24"/>
  <c r="I210" i="24"/>
  <c r="I209" i="24"/>
  <c r="I208" i="24"/>
  <c r="I207" i="24"/>
  <c r="I206" i="24"/>
  <c r="I205" i="24"/>
  <c r="I204" i="24"/>
  <c r="I203" i="24"/>
  <c r="I202" i="24"/>
  <c r="I201" i="24"/>
  <c r="I200" i="24"/>
  <c r="I199" i="24"/>
  <c r="I198" i="24"/>
  <c r="I197" i="24"/>
  <c r="I196" i="24"/>
  <c r="I195" i="24"/>
  <c r="I194" i="24"/>
  <c r="I193" i="24"/>
  <c r="I192" i="24"/>
  <c r="I191" i="24"/>
  <c r="I190" i="24"/>
  <c r="I189" i="24"/>
  <c r="I188" i="24"/>
  <c r="I187" i="24"/>
  <c r="I186" i="24"/>
  <c r="I185" i="24"/>
  <c r="I184" i="24"/>
  <c r="I183" i="24"/>
  <c r="I182" i="24"/>
  <c r="I181" i="24"/>
  <c r="I180" i="24"/>
  <c r="I179" i="24"/>
  <c r="I178" i="24"/>
  <c r="I177" i="24"/>
  <c r="I176" i="24"/>
  <c r="I175" i="24"/>
  <c r="I174" i="24"/>
  <c r="I173" i="24"/>
  <c r="I172" i="24"/>
  <c r="I171" i="24"/>
  <c r="I170" i="24"/>
  <c r="I169" i="24"/>
  <c r="I168" i="24"/>
  <c r="I167" i="24"/>
  <c r="I166" i="24"/>
  <c r="I165" i="24"/>
  <c r="I164" i="24"/>
  <c r="I163" i="24"/>
  <c r="I162" i="24"/>
  <c r="I161" i="24"/>
  <c r="I160" i="24"/>
  <c r="I159" i="24"/>
  <c r="I158" i="24"/>
  <c r="I157" i="24"/>
  <c r="I156" i="24"/>
  <c r="I155" i="24"/>
  <c r="I154" i="24"/>
  <c r="I153" i="24"/>
  <c r="I152" i="24"/>
  <c r="I151" i="24"/>
  <c r="I150" i="24"/>
  <c r="I149" i="24"/>
  <c r="I148" i="24"/>
  <c r="I147" i="24"/>
  <c r="I146" i="24"/>
  <c r="I145" i="24"/>
  <c r="I144" i="24"/>
  <c r="I143" i="24"/>
  <c r="I142" i="24"/>
  <c r="I141" i="24"/>
  <c r="I140" i="24"/>
  <c r="I139" i="24"/>
  <c r="I138" i="24"/>
  <c r="I137" i="24"/>
  <c r="I136" i="24"/>
  <c r="I135" i="24"/>
  <c r="I134" i="24"/>
  <c r="I133" i="24"/>
  <c r="I132" i="24"/>
  <c r="I131" i="24"/>
  <c r="I130" i="24"/>
  <c r="I129" i="24"/>
  <c r="I128" i="24"/>
  <c r="I127" i="24"/>
  <c r="I126" i="24"/>
  <c r="I125" i="24"/>
  <c r="I124" i="24"/>
  <c r="I123" i="24"/>
  <c r="I122" i="24"/>
  <c r="I121" i="24"/>
  <c r="I120" i="24"/>
  <c r="I119" i="24"/>
  <c r="I118" i="24"/>
  <c r="I117" i="24"/>
  <c r="I116" i="24"/>
  <c r="I115" i="24"/>
  <c r="I114" i="24"/>
  <c r="I113" i="24"/>
  <c r="I112" i="24"/>
  <c r="I111" i="24"/>
  <c r="I110" i="24"/>
  <c r="I109" i="24"/>
  <c r="I108" i="24"/>
  <c r="I107" i="24"/>
  <c r="I106" i="24"/>
  <c r="I105" i="24"/>
  <c r="I104" i="24"/>
  <c r="I103" i="24"/>
  <c r="I102" i="24"/>
  <c r="I101" i="24"/>
  <c r="I100" i="24"/>
  <c r="I99" i="24"/>
  <c r="I98" i="24"/>
  <c r="I97" i="24"/>
  <c r="I96" i="24"/>
  <c r="I95" i="24"/>
  <c r="I94" i="24"/>
  <c r="I93" i="24"/>
  <c r="I92" i="24"/>
  <c r="I91" i="24"/>
  <c r="I90" i="24"/>
  <c r="I89" i="24"/>
  <c r="I88" i="24"/>
  <c r="I87" i="24"/>
  <c r="I86" i="24"/>
  <c r="I85" i="24"/>
  <c r="I84" i="24"/>
  <c r="I83" i="24"/>
  <c r="I82" i="24"/>
  <c r="I81" i="24"/>
  <c r="I80" i="24"/>
  <c r="I79" i="24"/>
  <c r="I78" i="24"/>
  <c r="I77" i="24"/>
  <c r="I76" i="24"/>
  <c r="I75" i="24"/>
  <c r="I74" i="24"/>
  <c r="I73" i="24"/>
  <c r="I72" i="24"/>
  <c r="I71" i="24"/>
  <c r="I70" i="24"/>
  <c r="I69" i="24"/>
  <c r="I68" i="24"/>
  <c r="I67" i="24"/>
  <c r="I66" i="24"/>
  <c r="I65" i="24"/>
  <c r="I64" i="24"/>
  <c r="I63" i="24"/>
  <c r="I62" i="24"/>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F573" i="24"/>
  <c r="F572" i="24"/>
  <c r="F571" i="24"/>
  <c r="F570" i="24"/>
  <c r="F569" i="24"/>
  <c r="F568" i="24"/>
  <c r="F567" i="24"/>
  <c r="F566" i="24"/>
  <c r="F565" i="24"/>
  <c r="F564" i="24"/>
  <c r="F563" i="24"/>
  <c r="F562" i="24"/>
  <c r="F561" i="24"/>
  <c r="F560" i="24"/>
  <c r="F559" i="24"/>
  <c r="F558" i="24"/>
  <c r="F557" i="24"/>
  <c r="F556" i="24"/>
  <c r="F555" i="24"/>
  <c r="F554" i="24"/>
  <c r="F553" i="24"/>
  <c r="F552" i="24"/>
  <c r="F551" i="24"/>
  <c r="F550" i="24"/>
  <c r="F549" i="24"/>
  <c r="F548" i="24"/>
  <c r="F547" i="24"/>
  <c r="F546" i="24"/>
  <c r="F545" i="24"/>
  <c r="F544" i="24"/>
  <c r="F543" i="24"/>
  <c r="F542" i="24"/>
  <c r="F541" i="24"/>
  <c r="F540" i="24"/>
  <c r="F539" i="24"/>
  <c r="F538" i="24"/>
  <c r="F537" i="24"/>
  <c r="F536" i="24"/>
  <c r="F535" i="24"/>
  <c r="F534" i="24"/>
  <c r="F533" i="24"/>
  <c r="F532" i="24"/>
  <c r="F531" i="24"/>
  <c r="F530" i="24"/>
  <c r="F529" i="24"/>
  <c r="F528" i="24"/>
  <c r="F527" i="24"/>
  <c r="F526" i="24"/>
  <c r="F525" i="24"/>
  <c r="F524" i="24"/>
  <c r="F523" i="24"/>
  <c r="F522" i="24"/>
  <c r="F521" i="24"/>
  <c r="F520" i="24"/>
  <c r="F519" i="24"/>
  <c r="F518" i="24"/>
  <c r="F517" i="24"/>
  <c r="F516" i="24"/>
  <c r="F515" i="24"/>
  <c r="F514" i="24"/>
  <c r="F513" i="24"/>
  <c r="F512" i="24"/>
  <c r="F511" i="24"/>
  <c r="F510" i="24"/>
  <c r="F509" i="24"/>
  <c r="F508" i="24"/>
  <c r="F507" i="24"/>
  <c r="F506" i="24"/>
  <c r="F505" i="24"/>
  <c r="F504" i="24"/>
  <c r="F503" i="24"/>
  <c r="F502" i="24"/>
  <c r="F501" i="24"/>
  <c r="F500" i="24"/>
  <c r="F499" i="24"/>
  <c r="F498" i="24"/>
  <c r="F497" i="24"/>
  <c r="F496" i="24"/>
  <c r="F495" i="24"/>
  <c r="F494" i="24"/>
  <c r="F493" i="24"/>
  <c r="F492" i="24"/>
  <c r="F491" i="24"/>
  <c r="F490" i="24"/>
  <c r="F489" i="24"/>
  <c r="F488" i="24"/>
  <c r="F487" i="24"/>
  <c r="F486" i="24"/>
  <c r="F485" i="24"/>
  <c r="F484" i="24"/>
  <c r="F483" i="24"/>
  <c r="F482" i="24"/>
  <c r="F481" i="24"/>
  <c r="F480" i="24"/>
  <c r="F479" i="24"/>
  <c r="F478" i="24"/>
  <c r="F477" i="24"/>
  <c r="F476" i="24"/>
  <c r="F475" i="24"/>
  <c r="F474" i="24"/>
  <c r="F473" i="24"/>
  <c r="F472" i="24"/>
  <c r="F471" i="24"/>
  <c r="F470" i="24"/>
  <c r="F469" i="24"/>
  <c r="F468" i="24"/>
  <c r="F467" i="24"/>
  <c r="F466" i="24"/>
  <c r="F465" i="24"/>
  <c r="F464" i="24"/>
  <c r="F463" i="24"/>
  <c r="F462" i="24"/>
  <c r="F461" i="24"/>
  <c r="F460" i="24"/>
  <c r="F459" i="24"/>
  <c r="F458" i="24"/>
  <c r="F457" i="24"/>
  <c r="F456" i="24"/>
  <c r="F455" i="24"/>
  <c r="F454" i="24"/>
  <c r="F453" i="24"/>
  <c r="F452" i="24"/>
  <c r="F451" i="24"/>
  <c r="F450" i="24"/>
  <c r="F449" i="24"/>
  <c r="F448" i="24"/>
  <c r="F447" i="24"/>
  <c r="F446" i="24"/>
  <c r="F445" i="24"/>
  <c r="F444" i="24"/>
  <c r="F443" i="24"/>
  <c r="F442" i="24"/>
  <c r="F441" i="24"/>
  <c r="F440" i="24"/>
  <c r="F439" i="24"/>
  <c r="F438" i="24"/>
  <c r="F437" i="24"/>
  <c r="F436" i="24"/>
  <c r="F435" i="24"/>
  <c r="F434" i="24"/>
  <c r="F433" i="24"/>
  <c r="F432" i="24"/>
  <c r="F431" i="24"/>
  <c r="F430" i="24"/>
  <c r="F429" i="24"/>
  <c r="F428" i="24"/>
  <c r="F427" i="24"/>
  <c r="F426" i="24"/>
  <c r="F425" i="24"/>
  <c r="F424" i="24"/>
  <c r="F423" i="24"/>
  <c r="F422" i="24"/>
  <c r="F421" i="24"/>
  <c r="F420" i="24"/>
  <c r="F419" i="24"/>
  <c r="F418" i="24"/>
  <c r="F417" i="24"/>
  <c r="F416" i="24"/>
  <c r="F415" i="24"/>
  <c r="F414" i="24"/>
  <c r="F413" i="24"/>
  <c r="F412" i="24"/>
  <c r="F411" i="24"/>
  <c r="F410" i="24"/>
  <c r="F409" i="24"/>
  <c r="F408" i="24"/>
  <c r="F407" i="24"/>
  <c r="F406" i="24"/>
  <c r="F405" i="24"/>
  <c r="F404" i="24"/>
  <c r="F403" i="24"/>
  <c r="F402" i="24"/>
  <c r="F401" i="24"/>
  <c r="F400" i="24"/>
  <c r="F399" i="24"/>
  <c r="F398" i="24"/>
  <c r="F397" i="24"/>
  <c r="F396" i="24"/>
  <c r="F395" i="24"/>
  <c r="F394" i="24"/>
  <c r="F393" i="24"/>
  <c r="F392" i="24"/>
  <c r="F391" i="24"/>
  <c r="F390" i="24"/>
  <c r="F389" i="24"/>
  <c r="F388" i="24"/>
  <c r="F387" i="24"/>
  <c r="F386" i="24"/>
  <c r="F385" i="24"/>
  <c r="F384" i="24"/>
  <c r="F383" i="24"/>
  <c r="F382" i="24"/>
  <c r="F381" i="24"/>
  <c r="F380" i="24"/>
  <c r="F379" i="24"/>
  <c r="F378" i="24"/>
  <c r="F377" i="24"/>
  <c r="F376" i="24"/>
  <c r="F375" i="24"/>
  <c r="F374" i="24"/>
  <c r="F373" i="24"/>
  <c r="F372" i="24"/>
  <c r="F371" i="24"/>
  <c r="F370" i="24"/>
  <c r="F369" i="24"/>
  <c r="F368" i="24"/>
  <c r="F367" i="24"/>
  <c r="F366" i="24"/>
  <c r="F365" i="24"/>
  <c r="F364" i="24"/>
  <c r="F363" i="24"/>
  <c r="F362" i="24"/>
  <c r="F361" i="24"/>
  <c r="F360" i="24"/>
  <c r="F359" i="24"/>
  <c r="F358" i="24"/>
  <c r="F357" i="24"/>
  <c r="F356" i="24"/>
  <c r="F355" i="24"/>
  <c r="F354" i="24"/>
  <c r="F353" i="24"/>
  <c r="F352" i="24"/>
  <c r="F351" i="24"/>
  <c r="F350" i="24"/>
  <c r="F349" i="24"/>
  <c r="F348" i="24"/>
  <c r="F347" i="24"/>
  <c r="F346" i="24"/>
  <c r="F345" i="24"/>
  <c r="F344" i="24"/>
  <c r="F343" i="24"/>
  <c r="F342" i="24"/>
  <c r="F341" i="24"/>
  <c r="F340" i="24"/>
  <c r="F339" i="24"/>
  <c r="F338" i="24"/>
  <c r="F337" i="24"/>
  <c r="F336" i="24"/>
  <c r="F335" i="24"/>
  <c r="F334" i="24"/>
  <c r="F333" i="24"/>
  <c r="F332" i="24"/>
  <c r="F331" i="24"/>
  <c r="F330" i="24"/>
  <c r="F329" i="24"/>
  <c r="F328" i="24"/>
  <c r="F327" i="24"/>
  <c r="F326" i="24"/>
  <c r="F325" i="24"/>
  <c r="F324" i="24"/>
  <c r="F323" i="24"/>
  <c r="F322" i="24"/>
  <c r="F321" i="24"/>
  <c r="F320" i="24"/>
  <c r="F319" i="24"/>
  <c r="F318" i="24"/>
  <c r="F317" i="24"/>
  <c r="F316" i="24"/>
  <c r="F315" i="24"/>
  <c r="F314" i="24"/>
  <c r="F313" i="24"/>
  <c r="F312" i="24"/>
  <c r="F311" i="24"/>
  <c r="F310" i="24"/>
  <c r="F309" i="24"/>
  <c r="F308" i="24"/>
  <c r="F307" i="24"/>
  <c r="F306" i="24"/>
  <c r="F305" i="24"/>
  <c r="F304" i="24"/>
  <c r="F303" i="24"/>
  <c r="F302" i="24"/>
  <c r="F301" i="24"/>
  <c r="F300" i="24"/>
  <c r="F299" i="24"/>
  <c r="F298" i="24"/>
  <c r="F297" i="24"/>
  <c r="F296" i="24"/>
  <c r="F295" i="24"/>
  <c r="F294" i="24"/>
  <c r="F293" i="24"/>
  <c r="F292" i="24"/>
  <c r="F291" i="24"/>
  <c r="F290" i="24"/>
  <c r="F289" i="24"/>
  <c r="F288" i="24"/>
  <c r="F287" i="24"/>
  <c r="F286" i="24"/>
  <c r="F285" i="24"/>
  <c r="F284" i="24"/>
  <c r="F283" i="24"/>
  <c r="F282" i="24"/>
  <c r="F281" i="24"/>
  <c r="F280" i="24"/>
  <c r="F279" i="24"/>
  <c r="F278" i="24"/>
  <c r="F277" i="24"/>
  <c r="F276" i="24"/>
  <c r="F275" i="24"/>
  <c r="F274" i="24"/>
  <c r="F273" i="24"/>
  <c r="F272" i="24"/>
  <c r="F271" i="24"/>
  <c r="F270" i="24"/>
  <c r="F269" i="24"/>
  <c r="F268" i="24"/>
  <c r="F267" i="24"/>
  <c r="F266" i="24"/>
  <c r="F265" i="24"/>
  <c r="F264" i="24"/>
  <c r="F263" i="24"/>
  <c r="F262" i="24"/>
  <c r="F261" i="24"/>
  <c r="F260" i="24"/>
  <c r="F259" i="24"/>
  <c r="F258" i="24"/>
  <c r="F257" i="24"/>
  <c r="F256" i="24"/>
  <c r="F255" i="24"/>
  <c r="F254" i="24"/>
  <c r="F253" i="24"/>
  <c r="F252" i="24"/>
  <c r="F251" i="24"/>
  <c r="F250" i="24"/>
  <c r="F249" i="24"/>
  <c r="F248" i="24"/>
  <c r="F247" i="24"/>
  <c r="F246" i="24"/>
  <c r="F245" i="24"/>
  <c r="F244" i="24"/>
  <c r="F243" i="24"/>
  <c r="F242" i="24"/>
  <c r="F241" i="24"/>
  <c r="F240" i="24"/>
  <c r="F239" i="24"/>
  <c r="F238"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F200" i="24"/>
  <c r="F199" i="24"/>
  <c r="F198" i="24"/>
  <c r="F197" i="24"/>
  <c r="F196" i="24"/>
  <c r="F195" i="24"/>
  <c r="F194" i="24"/>
  <c r="F193" i="24"/>
  <c r="F192" i="24"/>
  <c r="F191" i="24"/>
  <c r="F190" i="24"/>
  <c r="F189" i="24"/>
  <c r="F188" i="24"/>
  <c r="F187" i="24"/>
  <c r="F186" i="24"/>
  <c r="F185" i="24"/>
  <c r="F184" i="24"/>
  <c r="F183" i="24"/>
  <c r="F182" i="24"/>
  <c r="F181" i="24"/>
  <c r="F180" i="24"/>
  <c r="F179" i="24"/>
  <c r="F178" i="24"/>
  <c r="F177" i="24"/>
  <c r="F176" i="24"/>
  <c r="F175" i="24"/>
  <c r="F174" i="24"/>
  <c r="F173" i="24"/>
  <c r="F172" i="24"/>
  <c r="F171" i="24"/>
  <c r="F170" i="24"/>
  <c r="F169" i="24"/>
  <c r="F168" i="24"/>
  <c r="F167" i="24"/>
  <c r="F166" i="24"/>
  <c r="F165" i="24"/>
  <c r="F164" i="24"/>
  <c r="F163" i="24"/>
  <c r="F162" i="24"/>
  <c r="F161" i="24"/>
  <c r="F160" i="24"/>
  <c r="F159" i="24"/>
  <c r="F158" i="24"/>
  <c r="F157" i="24"/>
  <c r="F156" i="24"/>
  <c r="F155" i="24"/>
  <c r="F154" i="24"/>
  <c r="F153" i="24"/>
  <c r="F152" i="24"/>
  <c r="F151"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I4" i="24"/>
  <c r="F4" i="24"/>
  <c r="E228" i="23"/>
  <c r="G228" i="23" s="1"/>
  <c r="E176" i="23"/>
  <c r="G176" i="23" s="1"/>
  <c r="O18" i="21"/>
  <c r="O17" i="21"/>
  <c r="O16" i="21"/>
  <c r="O15" i="21"/>
  <c r="O14" i="21"/>
  <c r="O13" i="21"/>
  <c r="O12" i="21"/>
  <c r="E16" i="21" l="1"/>
  <c r="E17" i="21" s="1"/>
  <c r="E5" i="21"/>
  <c r="E18" i="21" l="1"/>
  <c r="F5" i="21"/>
  <c r="G5" i="21" s="1"/>
  <c r="H5" i="21" s="1"/>
  <c r="H6" i="21" s="1"/>
  <c r="D8" i="21" l="1"/>
  <c r="D10" i="21" s="1"/>
  <c r="E228" i="31" l="1"/>
  <c r="G228" i="31" s="1"/>
  <c r="E176" i="31"/>
  <c r="G176" i="31" s="1"/>
  <c r="E42" i="22"/>
  <c r="D42" i="22"/>
  <c r="F40" i="22"/>
  <c r="C42" i="22"/>
  <c r="B42" i="22"/>
  <c r="E42" i="14"/>
  <c r="D42" i="14"/>
  <c r="F40" i="14"/>
  <c r="C42" i="14"/>
  <c r="B42" i="14"/>
  <c r="F38" i="22" l="1"/>
  <c r="F42" i="22" s="1"/>
  <c r="F38" i="14"/>
  <c r="F42" i="14" s="1"/>
  <c r="H853" i="4" l="1"/>
  <c r="G853" i="4"/>
  <c r="H866" i="4" l="1"/>
  <c r="G866" i="4"/>
  <c r="E866" i="4"/>
  <c r="H838" i="4"/>
  <c r="G838" i="4"/>
  <c r="G832" i="4"/>
  <c r="G431" i="4" l="1"/>
  <c r="G430" i="4"/>
  <c r="G451" i="4" s="1"/>
  <c r="J177" i="19"/>
  <c r="J43" i="19"/>
  <c r="J41" i="19"/>
  <c r="K53" i="19"/>
  <c r="D19" i="1"/>
  <c r="D18" i="1"/>
  <c r="D17" i="1"/>
  <c r="D16" i="1"/>
  <c r="D15" i="1"/>
  <c r="D14" i="1"/>
  <c r="D11" i="1"/>
  <c r="D10" i="1"/>
  <c r="M15" i="1"/>
  <c r="M16" i="1"/>
  <c r="M17" i="1"/>
  <c r="M18" i="1"/>
  <c r="M19" i="1"/>
  <c r="M14" i="1"/>
  <c r="M11" i="1"/>
  <c r="M10" i="1"/>
  <c r="C55" i="10"/>
  <c r="C49" i="10"/>
  <c r="C48" i="10"/>
  <c r="C47" i="10"/>
  <c r="C36" i="10"/>
  <c r="C32" i="10"/>
  <c r="C28" i="10"/>
  <c r="C27" i="10"/>
  <c r="C26" i="10"/>
  <c r="C25" i="10"/>
  <c r="C24" i="10"/>
  <c r="C23" i="10"/>
  <c r="C22" i="10"/>
  <c r="C20" i="10"/>
  <c r="C19" i="10"/>
  <c r="C18" i="10"/>
  <c r="C17" i="10"/>
  <c r="C87" i="10"/>
  <c r="B75" i="10"/>
  <c r="E57" i="10"/>
  <c r="G48" i="10"/>
  <c r="F48" i="10"/>
  <c r="F47" i="10"/>
  <c r="H47" i="10" s="1"/>
  <c r="J47" i="10" s="1"/>
  <c r="C43" i="10"/>
  <c r="P39" i="10"/>
  <c r="F39" i="10"/>
  <c r="P38" i="10"/>
  <c r="F38" i="10"/>
  <c r="P37" i="10"/>
  <c r="F37" i="10"/>
  <c r="R36" i="10"/>
  <c r="P36" i="10"/>
  <c r="P35" i="10"/>
  <c r="S35" i="10" s="1"/>
  <c r="R33" i="10"/>
  <c r="S33" i="10" s="1"/>
  <c r="P33" i="10"/>
  <c r="R32" i="10"/>
  <c r="P32" i="10"/>
  <c r="L32" i="10"/>
  <c r="L33" i="10" s="1"/>
  <c r="BC28" i="10"/>
  <c r="AZ28" i="10"/>
  <c r="R28" i="10"/>
  <c r="R34" i="10" s="1"/>
  <c r="P28" i="10"/>
  <c r="P34" i="10" s="1"/>
  <c r="F28" i="10"/>
  <c r="H28" i="10" s="1"/>
  <c r="J28" i="10" s="1"/>
  <c r="AZ27" i="10"/>
  <c r="BB27" i="10" s="1"/>
  <c r="AY27" i="10"/>
  <c r="F27" i="10"/>
  <c r="H27" i="10" s="1"/>
  <c r="J27" i="10" s="1"/>
  <c r="BC26" i="10"/>
  <c r="AZ26" i="10"/>
  <c r="BB26" i="10" s="1"/>
  <c r="AY26" i="10"/>
  <c r="T26" i="10"/>
  <c r="F26" i="10"/>
  <c r="H26" i="10" s="1"/>
  <c r="J26" i="10" s="1"/>
  <c r="AZ25" i="10"/>
  <c r="BB25" i="10" s="1"/>
  <c r="AY25" i="10"/>
  <c r="T25" i="10"/>
  <c r="F25" i="10"/>
  <c r="H25" i="10" s="1"/>
  <c r="J25" i="10" s="1"/>
  <c r="AZ24" i="10"/>
  <c r="BB24" i="10" s="1"/>
  <c r="AY24" i="10"/>
  <c r="T24" i="10"/>
  <c r="G24" i="10"/>
  <c r="F24" i="10"/>
  <c r="H24" i="10" s="1"/>
  <c r="J24" i="10" s="1"/>
  <c r="AZ23" i="10"/>
  <c r="BB23" i="10" s="1"/>
  <c r="AY23" i="10"/>
  <c r="T23" i="10"/>
  <c r="F23" i="10"/>
  <c r="H23" i="10" s="1"/>
  <c r="J23" i="10" s="1"/>
  <c r="AZ22" i="10"/>
  <c r="BB22" i="10" s="1"/>
  <c r="AY22" i="10"/>
  <c r="T22" i="10"/>
  <c r="F22" i="10"/>
  <c r="H22" i="10" s="1"/>
  <c r="J22" i="10" s="1"/>
  <c r="AZ21" i="10"/>
  <c r="BB21" i="10" s="1"/>
  <c r="AY21" i="10"/>
  <c r="T21" i="10"/>
  <c r="F21" i="10"/>
  <c r="H21" i="10" s="1"/>
  <c r="J21" i="10" s="1"/>
  <c r="AZ20" i="10"/>
  <c r="BB20" i="10" s="1"/>
  <c r="AY20" i="10"/>
  <c r="T20" i="10"/>
  <c r="F20" i="10"/>
  <c r="H20" i="10" s="1"/>
  <c r="J20" i="10" s="1"/>
  <c r="AZ19" i="10"/>
  <c r="BB19" i="10" s="1"/>
  <c r="AY19" i="10"/>
  <c r="T19" i="10"/>
  <c r="F19" i="10"/>
  <c r="H19" i="10" s="1"/>
  <c r="J19" i="10" s="1"/>
  <c r="AZ18" i="10"/>
  <c r="BB18" i="10" s="1"/>
  <c r="AY18" i="10"/>
  <c r="T18" i="10"/>
  <c r="F18" i="10"/>
  <c r="H18" i="10" s="1"/>
  <c r="J18" i="10" s="1"/>
  <c r="AZ17" i="10"/>
  <c r="BB17" i="10" s="1"/>
  <c r="AY17" i="10"/>
  <c r="T17" i="10"/>
  <c r="F17" i="10"/>
  <c r="H17" i="10" s="1"/>
  <c r="J17" i="10" s="1"/>
  <c r="T16" i="10"/>
  <c r="T15" i="10"/>
  <c r="D20" i="1" l="1"/>
  <c r="H36" i="10"/>
  <c r="S36" i="10"/>
  <c r="P30" i="10"/>
  <c r="S32" i="10"/>
  <c r="H48" i="10"/>
  <c r="C51" i="10"/>
  <c r="C30" i="10"/>
  <c r="S34" i="10"/>
  <c r="B20" i="22"/>
  <c r="B17" i="22"/>
  <c r="J16" i="22"/>
  <c r="J18" i="22" s="1"/>
  <c r="J21" i="22" s="1"/>
  <c r="I16" i="22"/>
  <c r="H16" i="22"/>
  <c r="G16" i="22"/>
  <c r="F16" i="22"/>
  <c r="H11" i="22"/>
  <c r="G11" i="22"/>
  <c r="F11" i="22"/>
  <c r="E11" i="22"/>
  <c r="C11" i="22"/>
  <c r="B11" i="22"/>
  <c r="I10" i="22"/>
  <c r="H10" i="22"/>
  <c r="G10" i="22"/>
  <c r="F10" i="22"/>
  <c r="E10" i="22"/>
  <c r="D10" i="22"/>
  <c r="C10" i="22"/>
  <c r="B10" i="22"/>
  <c r="I8" i="22"/>
  <c r="H8" i="22"/>
  <c r="G8" i="22"/>
  <c r="F8" i="22"/>
  <c r="E8" i="22"/>
  <c r="D8" i="22"/>
  <c r="C8" i="22"/>
  <c r="B8" i="22"/>
  <c r="J148" i="22"/>
  <c r="I148" i="22"/>
  <c r="H148" i="22"/>
  <c r="G148" i="22"/>
  <c r="F148" i="22"/>
  <c r="D148" i="22"/>
  <c r="C148" i="22"/>
  <c r="B148" i="22"/>
  <c r="K147" i="22"/>
  <c r="E147" i="22"/>
  <c r="K146" i="22"/>
  <c r="E146" i="22"/>
  <c r="K145" i="22"/>
  <c r="E145" i="22"/>
  <c r="K144" i="22"/>
  <c r="E144" i="22"/>
  <c r="K143" i="22"/>
  <c r="E143" i="22"/>
  <c r="E142" i="22"/>
  <c r="E141" i="22"/>
  <c r="E140" i="22"/>
  <c r="I132" i="22"/>
  <c r="H132" i="22"/>
  <c r="G132" i="22"/>
  <c r="F132" i="22"/>
  <c r="D131" i="22"/>
  <c r="B131" i="22"/>
  <c r="D130" i="22"/>
  <c r="C130" i="22"/>
  <c r="C132" i="22" s="1"/>
  <c r="B130" i="22"/>
  <c r="J130" i="22" s="1"/>
  <c r="H126" i="22"/>
  <c r="I17" i="22" s="1"/>
  <c r="G126" i="22"/>
  <c r="F126" i="22"/>
  <c r="D126" i="22"/>
  <c r="C126" i="22"/>
  <c r="B126" i="22"/>
  <c r="H125" i="22"/>
  <c r="H17" i="22" s="1"/>
  <c r="G125" i="22"/>
  <c r="F125" i="22"/>
  <c r="D125" i="22"/>
  <c r="C125" i="22"/>
  <c r="B125" i="22"/>
  <c r="H124" i="22"/>
  <c r="G17" i="22" s="1"/>
  <c r="G124" i="22"/>
  <c r="F124" i="22"/>
  <c r="D124" i="22"/>
  <c r="C124" i="22"/>
  <c r="B124" i="22"/>
  <c r="H123" i="22"/>
  <c r="F17" i="22" s="1"/>
  <c r="G123" i="22"/>
  <c r="F123" i="22"/>
  <c r="D123" i="22"/>
  <c r="C123" i="22"/>
  <c r="B123" i="22"/>
  <c r="H122" i="22"/>
  <c r="E20" i="22" s="1"/>
  <c r="G122" i="22"/>
  <c r="E16" i="22" s="1"/>
  <c r="F122" i="22"/>
  <c r="D122" i="22"/>
  <c r="C122" i="22"/>
  <c r="B122" i="22"/>
  <c r="H121" i="22"/>
  <c r="D17" i="22" s="1"/>
  <c r="G121" i="22"/>
  <c r="F121" i="22"/>
  <c r="D121" i="22"/>
  <c r="C121" i="22"/>
  <c r="B121" i="22"/>
  <c r="H120" i="22"/>
  <c r="C17" i="22" s="1"/>
  <c r="G120" i="22"/>
  <c r="F120" i="22"/>
  <c r="D120" i="22"/>
  <c r="C120" i="22"/>
  <c r="B120" i="22"/>
  <c r="G119" i="22"/>
  <c r="F119" i="22"/>
  <c r="D119" i="22"/>
  <c r="C119" i="22"/>
  <c r="B119" i="22"/>
  <c r="I108" i="22"/>
  <c r="H108" i="22"/>
  <c r="H110" i="22" s="1"/>
  <c r="G108" i="22"/>
  <c r="F108" i="22"/>
  <c r="C106" i="22"/>
  <c r="M103" i="22"/>
  <c r="M102" i="22"/>
  <c r="C102" i="22"/>
  <c r="I7" i="22" s="1"/>
  <c r="C101" i="22"/>
  <c r="H7" i="22" s="1"/>
  <c r="C100" i="22"/>
  <c r="G7" i="22" s="1"/>
  <c r="C99" i="22"/>
  <c r="F7" i="22" s="1"/>
  <c r="G98" i="22"/>
  <c r="C98" i="22"/>
  <c r="E7" i="22" s="1"/>
  <c r="G97" i="22"/>
  <c r="D16" i="22" s="1"/>
  <c r="C97" i="22"/>
  <c r="D7" i="22" s="1"/>
  <c r="G96" i="22"/>
  <c r="C16" i="22" s="1"/>
  <c r="C96" i="22"/>
  <c r="C7" i="22" s="1"/>
  <c r="M95" i="22"/>
  <c r="G95" i="22"/>
  <c r="F95" i="22"/>
  <c r="B15" i="22" s="1"/>
  <c r="C95" i="22"/>
  <c r="B7" i="22" s="1"/>
  <c r="I87" i="22"/>
  <c r="H87" i="22"/>
  <c r="G87" i="22"/>
  <c r="F87" i="22"/>
  <c r="D87" i="22"/>
  <c r="J11" i="22" s="1"/>
  <c r="C87" i="22"/>
  <c r="J10" i="22" s="1"/>
  <c r="C82" i="22"/>
  <c r="I20" i="22"/>
  <c r="I11" i="22"/>
  <c r="D20" i="22"/>
  <c r="E67" i="22"/>
  <c r="D67" i="22"/>
  <c r="C67" i="22"/>
  <c r="F65" i="22"/>
  <c r="B63" i="22"/>
  <c r="B67" i="22" s="1"/>
  <c r="E54" i="22"/>
  <c r="D54" i="22"/>
  <c r="F52" i="22"/>
  <c r="B50" i="22"/>
  <c r="B54" i="22" s="1"/>
  <c r="X46" i="22"/>
  <c r="W45" i="22"/>
  <c r="W44" i="22"/>
  <c r="M30" i="22"/>
  <c r="P30" i="22" s="1"/>
  <c r="M29" i="22" s="1"/>
  <c r="P29" i="22" s="1"/>
  <c r="M28" i="22" s="1"/>
  <c r="P28" i="22" s="1"/>
  <c r="W30" i="22"/>
  <c r="R29" i="22"/>
  <c r="W28" i="22"/>
  <c r="R28" i="22"/>
  <c r="W27" i="22"/>
  <c r="W26" i="22"/>
  <c r="W25" i="22"/>
  <c r="B19" i="22"/>
  <c r="L26" i="6"/>
  <c r="G76" i="22"/>
  <c r="G79" i="22"/>
  <c r="J20" i="6"/>
  <c r="G77" i="22"/>
  <c r="G81" i="22"/>
  <c r="G78" i="22"/>
  <c r="G80" i="22"/>
  <c r="G75" i="22"/>
  <c r="J19" i="6"/>
  <c r="J120" i="22" l="1"/>
  <c r="J122" i="22"/>
  <c r="J124" i="22"/>
  <c r="J126" i="22"/>
  <c r="D82" i="22"/>
  <c r="D89" i="22" s="1"/>
  <c r="G103" i="22"/>
  <c r="G110" i="22" s="1"/>
  <c r="J119" i="22"/>
  <c r="I125" i="22"/>
  <c r="F101" i="22" s="1"/>
  <c r="H15" i="22" s="1"/>
  <c r="H18" i="22" s="1"/>
  <c r="D127" i="22"/>
  <c r="E121" i="22"/>
  <c r="B97" i="22" s="1"/>
  <c r="D6" i="22" s="1"/>
  <c r="E124" i="22"/>
  <c r="B100" i="22" s="1"/>
  <c r="G6" i="22" s="1"/>
  <c r="I120" i="22"/>
  <c r="I122" i="22"/>
  <c r="F98" i="22" s="1"/>
  <c r="E15" i="22" s="1"/>
  <c r="C20" i="22"/>
  <c r="I19" i="22"/>
  <c r="D19" i="22"/>
  <c r="F19" i="22"/>
  <c r="E19" i="22"/>
  <c r="C19" i="22"/>
  <c r="G19" i="22"/>
  <c r="H19" i="22"/>
  <c r="E97" i="22"/>
  <c r="B76" i="22" s="1"/>
  <c r="W46" i="22"/>
  <c r="D106" i="22"/>
  <c r="D108" i="22" s="1"/>
  <c r="J8" i="22" s="1"/>
  <c r="I124" i="22"/>
  <c r="F100" i="22" s="1"/>
  <c r="G15" i="22" s="1"/>
  <c r="G18" i="22" s="1"/>
  <c r="D11" i="22"/>
  <c r="B16" i="22"/>
  <c r="B18" i="22" s="1"/>
  <c r="B21" i="22" s="1"/>
  <c r="C103" i="22"/>
  <c r="G127" i="22"/>
  <c r="G134" i="22" s="1"/>
  <c r="E125" i="22"/>
  <c r="B101" i="22" s="1"/>
  <c r="H6" i="22" s="1"/>
  <c r="H9" i="22" s="1"/>
  <c r="H12" i="22" s="1"/>
  <c r="E17" i="22"/>
  <c r="G20" i="22"/>
  <c r="C89" i="22"/>
  <c r="M104" i="22"/>
  <c r="M105" i="22" s="1"/>
  <c r="C107" i="22" s="1"/>
  <c r="C108" i="22" s="1"/>
  <c r="J7" i="22" s="1"/>
  <c r="E120" i="22"/>
  <c r="B96" i="22" s="1"/>
  <c r="C6" i="22" s="1"/>
  <c r="I121" i="22"/>
  <c r="F97" i="22" s="1"/>
  <c r="D15" i="22" s="1"/>
  <c r="D18" i="22" s="1"/>
  <c r="I126" i="22"/>
  <c r="F102" i="22" s="1"/>
  <c r="I15" i="22" s="1"/>
  <c r="I18" i="22" s="1"/>
  <c r="E148" i="22"/>
  <c r="K148" i="22"/>
  <c r="F20" i="22"/>
  <c r="C127" i="22"/>
  <c r="C134" i="22" s="1"/>
  <c r="E122" i="22"/>
  <c r="I123" i="22"/>
  <c r="F99" i="22" s="1"/>
  <c r="F15" i="22" s="1"/>
  <c r="F18" i="22" s="1"/>
  <c r="E126" i="22"/>
  <c r="E130" i="22"/>
  <c r="K130" i="22" s="1"/>
  <c r="H20" i="22"/>
  <c r="E119" i="22"/>
  <c r="K119" i="22" s="1"/>
  <c r="B132" i="22"/>
  <c r="E123" i="22"/>
  <c r="B99" i="22" s="1"/>
  <c r="G82" i="22"/>
  <c r="G89" i="22" s="1"/>
  <c r="I100" i="22"/>
  <c r="F79" i="22" s="1"/>
  <c r="I79" i="22" s="1"/>
  <c r="B127" i="22"/>
  <c r="F63" i="22"/>
  <c r="H82" i="22"/>
  <c r="H89" i="22" s="1"/>
  <c r="I95" i="22"/>
  <c r="D132" i="22"/>
  <c r="D134" i="22" s="1"/>
  <c r="H127" i="22"/>
  <c r="H134" i="22" s="1"/>
  <c r="J121" i="22"/>
  <c r="J123" i="22"/>
  <c r="J125" i="22"/>
  <c r="F127" i="22"/>
  <c r="F134" i="22" s="1"/>
  <c r="J131" i="22"/>
  <c r="J132" i="22" s="1"/>
  <c r="E131" i="22"/>
  <c r="L19" i="6"/>
  <c r="K120" i="22" l="1"/>
  <c r="I98" i="22"/>
  <c r="F77" i="22" s="1"/>
  <c r="I77" i="22" s="1"/>
  <c r="K122" i="22"/>
  <c r="D21" i="22"/>
  <c r="B95" i="22"/>
  <c r="B6" i="22" s="1"/>
  <c r="I21" i="22"/>
  <c r="H23" i="22"/>
  <c r="B98" i="22"/>
  <c r="E6" i="22" s="1"/>
  <c r="I101" i="22"/>
  <c r="F80" i="22" s="1"/>
  <c r="I80" i="22" s="1"/>
  <c r="I97" i="22"/>
  <c r="F76" i="22" s="1"/>
  <c r="I76" i="22" s="1"/>
  <c r="D23" i="22"/>
  <c r="I99" i="22"/>
  <c r="F78" i="22" s="1"/>
  <c r="I78" i="22" s="1"/>
  <c r="K123" i="22"/>
  <c r="E101" i="22"/>
  <c r="E18" i="22"/>
  <c r="E21" i="22" s="1"/>
  <c r="F96" i="22"/>
  <c r="J96" i="22" s="1"/>
  <c r="K125" i="22"/>
  <c r="D110" i="22"/>
  <c r="G21" i="22"/>
  <c r="I127" i="22"/>
  <c r="I134" i="22" s="1"/>
  <c r="J101" i="22"/>
  <c r="I102" i="22"/>
  <c r="F81" i="22" s="1"/>
  <c r="I81" i="22" s="1"/>
  <c r="D9" i="22"/>
  <c r="D12" i="22" s="1"/>
  <c r="B106" i="22"/>
  <c r="E106" i="22" s="1"/>
  <c r="K121" i="22"/>
  <c r="H21" i="22"/>
  <c r="H25" i="22" s="1"/>
  <c r="K124" i="22"/>
  <c r="J97" i="22"/>
  <c r="K126" i="22"/>
  <c r="B102" i="22"/>
  <c r="J127" i="22"/>
  <c r="J134" i="22" s="1"/>
  <c r="F21" i="22"/>
  <c r="E127" i="22"/>
  <c r="J99" i="22"/>
  <c r="F6" i="22"/>
  <c r="F23" i="22" s="1"/>
  <c r="B134" i="22"/>
  <c r="E99" i="22"/>
  <c r="B78" i="22" s="1"/>
  <c r="H24" i="22"/>
  <c r="B107" i="22"/>
  <c r="K131" i="22"/>
  <c r="K132" i="22" s="1"/>
  <c r="J100" i="22"/>
  <c r="E100" i="22"/>
  <c r="F67" i="22"/>
  <c r="C50" i="22"/>
  <c r="E96" i="22"/>
  <c r="E132" i="22"/>
  <c r="E76" i="22"/>
  <c r="F74" i="22"/>
  <c r="C110" i="22"/>
  <c r="J78" i="22" l="1"/>
  <c r="D24" i="22"/>
  <c r="E95" i="22"/>
  <c r="K95" i="22" s="1"/>
  <c r="D25" i="22"/>
  <c r="J95" i="22"/>
  <c r="E98" i="22"/>
  <c r="B77" i="22" s="1"/>
  <c r="J98" i="22"/>
  <c r="E78" i="22"/>
  <c r="K78" i="22" s="1"/>
  <c r="B103" i="22"/>
  <c r="I96" i="22"/>
  <c r="F75" i="22" s="1"/>
  <c r="I75" i="22" s="1"/>
  <c r="K101" i="22"/>
  <c r="J76" i="22"/>
  <c r="K97" i="22"/>
  <c r="B80" i="22"/>
  <c r="J80" i="22" s="1"/>
  <c r="K76" i="22"/>
  <c r="B108" i="22"/>
  <c r="J6" i="22" s="1"/>
  <c r="J9" i="22" s="1"/>
  <c r="J24" i="22" s="1"/>
  <c r="E134" i="22"/>
  <c r="J106" i="22"/>
  <c r="K127" i="22"/>
  <c r="K134" i="22" s="1"/>
  <c r="C15" i="22"/>
  <c r="C18" i="22" s="1"/>
  <c r="C21" i="22" s="1"/>
  <c r="F103" i="22"/>
  <c r="F110" i="22" s="1"/>
  <c r="K99" i="22"/>
  <c r="F9" i="22"/>
  <c r="F12" i="22" s="1"/>
  <c r="F25" i="22" s="1"/>
  <c r="E102" i="22"/>
  <c r="I6" i="22"/>
  <c r="J102" i="22"/>
  <c r="G23" i="22"/>
  <c r="G9" i="22"/>
  <c r="E23" i="22"/>
  <c r="E9" i="22"/>
  <c r="B23" i="22"/>
  <c r="B9" i="22"/>
  <c r="C9" i="22"/>
  <c r="B75" i="22"/>
  <c r="K106" i="22"/>
  <c r="I74" i="22"/>
  <c r="F50" i="22"/>
  <c r="F54" i="22" s="1"/>
  <c r="C54" i="22"/>
  <c r="K100" i="22"/>
  <c r="B79" i="22"/>
  <c r="E107" i="22"/>
  <c r="K107" i="22" s="1"/>
  <c r="B86" i="22" s="1"/>
  <c r="J107" i="22"/>
  <c r="B74" i="22" l="1"/>
  <c r="J74" i="22" s="1"/>
  <c r="E103" i="22"/>
  <c r="J23" i="22"/>
  <c r="E80" i="22"/>
  <c r="K80" i="22" s="1"/>
  <c r="I82" i="22"/>
  <c r="I89" i="22" s="1"/>
  <c r="K96" i="22"/>
  <c r="K98" i="22"/>
  <c r="J103" i="22"/>
  <c r="B110" i="22"/>
  <c r="I103" i="22"/>
  <c r="I110" i="22" s="1"/>
  <c r="F82" i="22"/>
  <c r="F89" i="22" s="1"/>
  <c r="J108" i="22"/>
  <c r="C23" i="22"/>
  <c r="F24" i="22"/>
  <c r="I23" i="22"/>
  <c r="I9" i="22"/>
  <c r="B81" i="22"/>
  <c r="B82" i="22" s="1"/>
  <c r="K102" i="22"/>
  <c r="J79" i="22"/>
  <c r="E79" i="22"/>
  <c r="K79" i="22" s="1"/>
  <c r="K108" i="22"/>
  <c r="B85" i="22"/>
  <c r="E24" i="22"/>
  <c r="E12" i="22"/>
  <c r="E25" i="22" s="1"/>
  <c r="E74" i="22"/>
  <c r="G12" i="22"/>
  <c r="G25" i="22" s="1"/>
  <c r="G24" i="22"/>
  <c r="E108" i="22"/>
  <c r="J77" i="22"/>
  <c r="E77" i="22"/>
  <c r="K77" i="22" s="1"/>
  <c r="J12" i="22"/>
  <c r="E86" i="22"/>
  <c r="K86" i="22" s="1"/>
  <c r="J86" i="22"/>
  <c r="E75" i="22"/>
  <c r="K75" i="22" s="1"/>
  <c r="J75" i="22"/>
  <c r="C12" i="22"/>
  <c r="C25" i="22" s="1"/>
  <c r="C24" i="22"/>
  <c r="B24" i="22"/>
  <c r="B12" i="22"/>
  <c r="B25" i="22" s="1"/>
  <c r="E110" i="22" l="1"/>
  <c r="J110" i="22"/>
  <c r="K103" i="22"/>
  <c r="K110" i="22" s="1"/>
  <c r="I24" i="22"/>
  <c r="I12" i="22"/>
  <c r="I25" i="22" s="1"/>
  <c r="E81" i="22"/>
  <c r="K81" i="22" s="1"/>
  <c r="J81" i="22"/>
  <c r="J82" i="22" s="1"/>
  <c r="L12" i="22"/>
  <c r="J25" i="22"/>
  <c r="E85" i="22"/>
  <c r="B87" i="22"/>
  <c r="B89" i="22" s="1"/>
  <c r="J85" i="22"/>
  <c r="J87" i="22" s="1"/>
  <c r="K74" i="22"/>
  <c r="E82" i="22" l="1"/>
  <c r="K82" i="22"/>
  <c r="E87" i="22"/>
  <c r="K85" i="22"/>
  <c r="K87" i="22" s="1"/>
  <c r="J89" i="22"/>
  <c r="E89" i="22" l="1"/>
  <c r="K89" i="22"/>
  <c r="J61" i="15" l="1"/>
  <c r="I61" i="15"/>
  <c r="H61" i="15"/>
  <c r="L57" i="15"/>
  <c r="L51" i="15"/>
  <c r="L46" i="15"/>
  <c r="L45" i="15"/>
  <c r="L44" i="15"/>
  <c r="L39" i="15"/>
  <c r="L33" i="15"/>
  <c r="L29" i="15"/>
  <c r="L24" i="15"/>
  <c r="L1" i="17"/>
  <c r="M1" i="17"/>
  <c r="H1575" i="17"/>
  <c r="I1575" i="17"/>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I13" i="18"/>
  <c r="H13" i="18"/>
  <c r="I12" i="18"/>
  <c r="H12" i="18"/>
  <c r="I11" i="18"/>
  <c r="H11" i="18"/>
  <c r="I10" i="18"/>
  <c r="H10" i="18"/>
  <c r="I9" i="18"/>
  <c r="H9" i="18"/>
  <c r="I8" i="18"/>
  <c r="H8" i="18"/>
  <c r="I7" i="18"/>
  <c r="H7" i="18"/>
  <c r="I6" i="18"/>
  <c r="H6" i="18"/>
  <c r="I5" i="18"/>
  <c r="H5" i="18"/>
  <c r="I4" i="18"/>
  <c r="H4" i="18"/>
  <c r="I3" i="18"/>
  <c r="H3" i="18"/>
  <c r="I2" i="18"/>
  <c r="H2" i="18"/>
  <c r="D81" i="18"/>
  <c r="C81" i="18"/>
  <c r="M1579" i="17"/>
  <c r="L1579" i="17"/>
  <c r="G1579" i="17"/>
  <c r="I1578" i="17"/>
  <c r="H1578" i="17"/>
  <c r="I1577" i="17"/>
  <c r="H1577" i="17"/>
  <c r="I1576" i="17"/>
  <c r="H1576" i="17"/>
  <c r="J1574" i="17"/>
  <c r="H1574" i="17"/>
  <c r="I1573" i="17"/>
  <c r="H1573" i="17"/>
  <c r="I1572" i="17"/>
  <c r="H1572" i="17"/>
  <c r="I1571" i="17"/>
  <c r="H1571" i="17"/>
  <c r="I1570" i="17"/>
  <c r="H1570" i="17"/>
  <c r="I1569" i="17"/>
  <c r="H1569" i="17"/>
  <c r="I1568" i="17"/>
  <c r="H1568" i="17"/>
  <c r="I1567" i="17"/>
  <c r="H1567" i="17"/>
  <c r="I1566" i="17"/>
  <c r="H1566" i="17"/>
  <c r="I1565" i="17"/>
  <c r="H1565" i="17"/>
  <c r="I1564" i="17"/>
  <c r="H1564" i="17"/>
  <c r="I1563" i="17"/>
  <c r="H1563" i="17"/>
  <c r="I1562" i="17"/>
  <c r="H1562" i="17"/>
  <c r="I1561" i="17"/>
  <c r="H1561" i="17"/>
  <c r="I1560" i="17"/>
  <c r="H1560" i="17"/>
  <c r="I1559" i="17"/>
  <c r="H1559" i="17"/>
  <c r="I1558" i="17"/>
  <c r="H1558" i="17"/>
  <c r="I1557" i="17"/>
  <c r="H1557" i="17"/>
  <c r="I1556" i="17"/>
  <c r="H1556" i="17"/>
  <c r="I1555" i="17"/>
  <c r="H1555" i="17"/>
  <c r="I1554" i="17"/>
  <c r="H1554" i="17"/>
  <c r="I1553" i="17"/>
  <c r="H1553" i="17"/>
  <c r="I1552" i="17"/>
  <c r="H1552" i="17"/>
  <c r="I1551" i="17"/>
  <c r="H1551" i="17"/>
  <c r="I1550" i="17"/>
  <c r="H1550" i="17"/>
  <c r="I1549" i="17"/>
  <c r="H1549" i="17"/>
  <c r="I1548" i="17"/>
  <c r="H1548" i="17"/>
  <c r="I1547" i="17"/>
  <c r="H1547" i="17"/>
  <c r="I1546" i="17"/>
  <c r="H1546" i="17"/>
  <c r="I1545" i="17"/>
  <c r="H1545" i="17"/>
  <c r="I1544" i="17"/>
  <c r="H1544" i="17"/>
  <c r="I1543" i="17"/>
  <c r="H1543" i="17"/>
  <c r="I1542" i="17"/>
  <c r="H1542" i="17"/>
  <c r="I1541" i="17"/>
  <c r="H1541" i="17"/>
  <c r="I1540" i="17"/>
  <c r="H1540" i="17"/>
  <c r="I1539" i="17"/>
  <c r="H1539" i="17"/>
  <c r="I1538" i="17"/>
  <c r="H1538" i="17"/>
  <c r="I1537" i="17"/>
  <c r="H1537" i="17"/>
  <c r="I1536" i="17"/>
  <c r="H1536" i="17"/>
  <c r="I1535" i="17"/>
  <c r="H1535" i="17"/>
  <c r="I1534" i="17"/>
  <c r="H1534" i="17"/>
  <c r="I1533" i="17"/>
  <c r="H1533" i="17"/>
  <c r="I1532" i="17"/>
  <c r="H1532" i="17"/>
  <c r="I1531" i="17"/>
  <c r="H1531" i="17"/>
  <c r="I1530" i="17"/>
  <c r="H1530" i="17"/>
  <c r="I1529" i="17"/>
  <c r="H1529" i="17"/>
  <c r="I1528" i="17"/>
  <c r="H1528" i="17"/>
  <c r="I1527" i="17"/>
  <c r="H1527" i="17"/>
  <c r="I1526" i="17"/>
  <c r="H1526" i="17"/>
  <c r="I1525" i="17"/>
  <c r="H1525" i="17"/>
  <c r="I1524" i="17"/>
  <c r="H1524" i="17"/>
  <c r="I1523" i="17"/>
  <c r="H1523" i="17"/>
  <c r="I1522" i="17"/>
  <c r="H1522" i="17"/>
  <c r="I1521" i="17"/>
  <c r="H1521" i="17"/>
  <c r="I1520" i="17"/>
  <c r="H1520" i="17"/>
  <c r="I1519" i="17"/>
  <c r="H1519" i="17"/>
  <c r="I1518" i="17"/>
  <c r="H1518" i="17"/>
  <c r="I1517" i="17"/>
  <c r="H1517" i="17"/>
  <c r="I1516" i="17"/>
  <c r="H1516" i="17"/>
  <c r="I1515" i="17"/>
  <c r="H1515" i="17"/>
  <c r="I1514" i="17"/>
  <c r="H1514" i="17"/>
  <c r="I1513" i="17"/>
  <c r="H1513" i="17"/>
  <c r="I1512" i="17"/>
  <c r="H1512" i="17"/>
  <c r="I1511" i="17"/>
  <c r="H1511" i="17"/>
  <c r="I1510" i="17"/>
  <c r="H1510" i="17"/>
  <c r="I1509" i="17"/>
  <c r="H1509" i="17"/>
  <c r="I1508" i="17"/>
  <c r="H1508" i="17"/>
  <c r="I1507" i="17"/>
  <c r="H1507" i="17"/>
  <c r="I1506" i="17"/>
  <c r="H1506" i="17"/>
  <c r="I1505" i="17"/>
  <c r="H1505" i="17"/>
  <c r="I1504" i="17"/>
  <c r="H1504" i="17"/>
  <c r="I1503" i="17"/>
  <c r="H1503" i="17"/>
  <c r="I1502" i="17"/>
  <c r="H1502" i="17"/>
  <c r="I1501" i="17"/>
  <c r="H1501" i="17"/>
  <c r="I1500" i="17"/>
  <c r="H1500" i="17"/>
  <c r="I1499" i="17"/>
  <c r="H1499" i="17"/>
  <c r="I1498" i="17"/>
  <c r="H1498" i="17"/>
  <c r="I1497" i="17"/>
  <c r="H1497" i="17"/>
  <c r="I1496" i="17"/>
  <c r="H1496" i="17"/>
  <c r="I1495" i="17"/>
  <c r="H1495" i="17"/>
  <c r="I1494" i="17"/>
  <c r="H1494" i="17"/>
  <c r="I1493" i="17"/>
  <c r="H1493" i="17"/>
  <c r="I1492" i="17"/>
  <c r="H1492" i="17"/>
  <c r="I1491" i="17"/>
  <c r="H1491" i="17"/>
  <c r="I1490" i="17"/>
  <c r="H1490" i="17"/>
  <c r="I1489" i="17"/>
  <c r="H1489" i="17"/>
  <c r="I1488" i="17"/>
  <c r="H1488" i="17"/>
  <c r="I1487" i="17"/>
  <c r="H1487" i="17"/>
  <c r="I1486" i="17"/>
  <c r="H1486" i="17"/>
  <c r="I1485" i="17"/>
  <c r="H1485" i="17"/>
  <c r="I1484" i="17"/>
  <c r="H1484" i="17"/>
  <c r="I1483" i="17"/>
  <c r="H1483" i="17"/>
  <c r="I1482" i="17"/>
  <c r="H1482" i="17"/>
  <c r="I1481" i="17"/>
  <c r="H1481" i="17"/>
  <c r="I1480" i="17"/>
  <c r="H1480" i="17"/>
  <c r="I1479" i="17"/>
  <c r="H1479" i="17"/>
  <c r="I1478" i="17"/>
  <c r="H1478" i="17"/>
  <c r="I1477" i="17"/>
  <c r="H1477" i="17"/>
  <c r="I1476" i="17"/>
  <c r="H1476" i="17"/>
  <c r="I1475" i="17"/>
  <c r="H1475" i="17"/>
  <c r="I1474" i="17"/>
  <c r="H1474" i="17"/>
  <c r="I1473" i="17"/>
  <c r="H1473" i="17"/>
  <c r="I1472" i="17"/>
  <c r="H1472" i="17"/>
  <c r="I1471" i="17"/>
  <c r="H1471" i="17"/>
  <c r="I1470" i="17"/>
  <c r="H1470" i="17"/>
  <c r="I1469" i="17"/>
  <c r="H1469" i="17"/>
  <c r="I1468" i="17"/>
  <c r="H1468" i="17"/>
  <c r="I1467" i="17"/>
  <c r="H1467" i="17"/>
  <c r="I1466" i="17"/>
  <c r="H1466" i="17"/>
  <c r="I1465" i="17"/>
  <c r="H1465" i="17"/>
  <c r="I1464" i="17"/>
  <c r="H1464" i="17"/>
  <c r="I1463" i="17"/>
  <c r="H1463" i="17"/>
  <c r="I1462" i="17"/>
  <c r="H1462" i="17"/>
  <c r="I1461" i="17"/>
  <c r="H1461" i="17"/>
  <c r="I1460" i="17"/>
  <c r="H1460" i="17"/>
  <c r="I1459" i="17"/>
  <c r="H1459" i="17"/>
  <c r="I1458" i="17"/>
  <c r="H1458" i="17"/>
  <c r="I1457" i="17"/>
  <c r="H1457" i="17"/>
  <c r="I1456" i="17"/>
  <c r="H1456" i="17"/>
  <c r="I1455" i="17"/>
  <c r="H1455" i="17"/>
  <c r="I1454" i="17"/>
  <c r="H1454" i="17"/>
  <c r="I1453" i="17"/>
  <c r="H1453" i="17"/>
  <c r="I1452" i="17"/>
  <c r="H1452" i="17"/>
  <c r="I1451" i="17"/>
  <c r="H1451" i="17"/>
  <c r="I1450" i="17"/>
  <c r="H1450" i="17"/>
  <c r="I1449" i="17"/>
  <c r="H1449" i="17"/>
  <c r="I1448" i="17"/>
  <c r="H1448" i="17"/>
  <c r="I1447" i="17"/>
  <c r="H1447" i="17"/>
  <c r="I1446" i="17"/>
  <c r="H1446" i="17"/>
  <c r="I1445" i="17"/>
  <c r="H1445" i="17"/>
  <c r="I1444" i="17"/>
  <c r="H1444" i="17"/>
  <c r="I1443" i="17"/>
  <c r="H1443" i="17"/>
  <c r="I1442" i="17"/>
  <c r="H1442" i="17"/>
  <c r="I1441" i="17"/>
  <c r="H1441" i="17"/>
  <c r="I1440" i="17"/>
  <c r="H1440" i="17"/>
  <c r="I1439" i="17"/>
  <c r="H1439" i="17"/>
  <c r="I1438" i="17"/>
  <c r="H1438" i="17"/>
  <c r="I1437" i="17"/>
  <c r="H1437" i="17"/>
  <c r="I1436" i="17"/>
  <c r="H1436" i="17"/>
  <c r="I1435" i="17"/>
  <c r="H1435" i="17"/>
  <c r="J1434" i="17"/>
  <c r="H1434" i="17"/>
  <c r="J1433" i="17"/>
  <c r="H1433" i="17"/>
  <c r="J1432" i="17"/>
  <c r="H1432" i="17"/>
  <c r="J1431" i="17"/>
  <c r="H1431" i="17"/>
  <c r="J1430" i="17"/>
  <c r="H1430" i="17"/>
  <c r="J1429" i="17"/>
  <c r="H1429" i="17"/>
  <c r="J1428" i="17"/>
  <c r="H1428" i="17"/>
  <c r="I1427" i="17"/>
  <c r="H1427" i="17"/>
  <c r="I1426" i="17"/>
  <c r="H1426" i="17"/>
  <c r="I1425" i="17"/>
  <c r="H1425" i="17"/>
  <c r="I1424" i="17"/>
  <c r="H1424" i="17"/>
  <c r="I1423" i="17"/>
  <c r="H1423" i="17"/>
  <c r="I1422" i="17"/>
  <c r="H1422" i="17"/>
  <c r="I1421" i="17"/>
  <c r="H1421" i="17"/>
  <c r="I1420" i="17"/>
  <c r="H1420" i="17"/>
  <c r="I1419" i="17"/>
  <c r="H1419" i="17"/>
  <c r="I1418" i="17"/>
  <c r="H1418" i="17"/>
  <c r="I1417" i="17"/>
  <c r="H1417" i="17"/>
  <c r="I1416" i="17"/>
  <c r="H1416" i="17"/>
  <c r="I1415" i="17"/>
  <c r="H1415" i="17"/>
  <c r="I1414" i="17"/>
  <c r="H1414" i="17"/>
  <c r="I1413" i="17"/>
  <c r="H1413" i="17"/>
  <c r="I1412" i="17"/>
  <c r="H1412" i="17"/>
  <c r="I1411" i="17"/>
  <c r="H1411" i="17"/>
  <c r="I1410" i="17"/>
  <c r="H1410" i="17"/>
  <c r="I1409" i="17"/>
  <c r="H1409" i="17"/>
  <c r="I1408" i="17"/>
  <c r="H1408" i="17"/>
  <c r="I1407" i="17"/>
  <c r="H1407" i="17"/>
  <c r="I1406" i="17"/>
  <c r="H1406" i="17"/>
  <c r="K1405" i="17"/>
  <c r="K1579" i="17" s="1"/>
  <c r="H1405" i="17"/>
  <c r="I1404" i="17"/>
  <c r="H1404" i="17"/>
  <c r="I1403" i="17"/>
  <c r="H1403" i="17"/>
  <c r="I1402" i="17"/>
  <c r="H1402" i="17"/>
  <c r="I1401" i="17"/>
  <c r="H1401" i="17"/>
  <c r="I1400" i="17"/>
  <c r="H1400" i="17"/>
  <c r="I1399" i="17"/>
  <c r="H1399" i="17"/>
  <c r="I1398" i="17"/>
  <c r="H1398" i="17"/>
  <c r="I1397" i="17"/>
  <c r="H1397" i="17"/>
  <c r="I1396" i="17"/>
  <c r="H1396" i="17"/>
  <c r="I1395" i="17"/>
  <c r="H1395" i="17"/>
  <c r="I1394" i="17"/>
  <c r="H1394" i="17"/>
  <c r="I1393" i="17"/>
  <c r="H1393" i="17"/>
  <c r="I1392" i="17"/>
  <c r="H1392" i="17"/>
  <c r="I1391" i="17"/>
  <c r="H1391" i="17"/>
  <c r="I1390" i="17"/>
  <c r="H1390" i="17"/>
  <c r="I1389" i="17"/>
  <c r="H1389" i="17"/>
  <c r="I1388" i="17"/>
  <c r="H1388" i="17"/>
  <c r="I1387" i="17"/>
  <c r="H1387" i="17"/>
  <c r="I1386" i="17"/>
  <c r="H1386" i="17"/>
  <c r="I1385" i="17"/>
  <c r="H1385" i="17"/>
  <c r="I1384" i="17"/>
  <c r="H1384" i="17"/>
  <c r="I1383" i="17"/>
  <c r="H1383" i="17"/>
  <c r="I1382" i="17"/>
  <c r="H1382" i="17"/>
  <c r="I1381" i="17"/>
  <c r="H1381" i="17"/>
  <c r="I1380" i="17"/>
  <c r="H1380" i="17"/>
  <c r="I1379" i="17"/>
  <c r="H1379" i="17"/>
  <c r="I1378" i="17"/>
  <c r="H1378" i="17"/>
  <c r="I1377" i="17"/>
  <c r="H1377" i="17"/>
  <c r="I1376" i="17"/>
  <c r="H1376" i="17"/>
  <c r="I1375" i="17"/>
  <c r="H1375" i="17"/>
  <c r="I1374" i="17"/>
  <c r="H1374" i="17"/>
  <c r="I1373" i="17"/>
  <c r="H1373" i="17"/>
  <c r="I1372" i="17"/>
  <c r="H1372" i="17"/>
  <c r="I1371" i="17"/>
  <c r="H1371" i="17"/>
  <c r="I1370" i="17"/>
  <c r="H1370" i="17"/>
  <c r="I1369" i="17"/>
  <c r="H1369" i="17"/>
  <c r="I1368" i="17"/>
  <c r="H1368" i="17"/>
  <c r="I1367" i="17"/>
  <c r="H1367" i="17"/>
  <c r="I1366" i="17"/>
  <c r="H1366" i="17"/>
  <c r="I1365" i="17"/>
  <c r="H1365" i="17"/>
  <c r="I1364" i="17"/>
  <c r="H1364" i="17"/>
  <c r="I1363" i="17"/>
  <c r="H1363" i="17"/>
  <c r="I1362" i="17"/>
  <c r="H1362" i="17"/>
  <c r="I1361" i="17"/>
  <c r="H1361" i="17"/>
  <c r="I1360" i="17"/>
  <c r="H1360" i="17"/>
  <c r="I1359" i="17"/>
  <c r="H1359" i="17"/>
  <c r="I1358" i="17"/>
  <c r="H1358" i="17"/>
  <c r="I1357" i="17"/>
  <c r="H1357" i="17"/>
  <c r="I1356" i="17"/>
  <c r="H1356" i="17"/>
  <c r="I1355" i="17"/>
  <c r="H1355" i="17"/>
  <c r="I1354" i="17"/>
  <c r="H1354" i="17"/>
  <c r="I1353" i="17"/>
  <c r="H1353" i="17"/>
  <c r="I1352" i="17"/>
  <c r="H1352" i="17"/>
  <c r="I1351" i="17"/>
  <c r="H1351" i="17"/>
  <c r="I1350" i="17"/>
  <c r="H1350" i="17"/>
  <c r="I1349" i="17"/>
  <c r="H1349" i="17"/>
  <c r="I1348" i="17"/>
  <c r="H1348" i="17"/>
  <c r="I1347" i="17"/>
  <c r="H1347" i="17"/>
  <c r="I1346" i="17"/>
  <c r="H1346" i="17"/>
  <c r="I1345" i="17"/>
  <c r="H1345" i="17"/>
  <c r="I1344" i="17"/>
  <c r="H1344" i="17"/>
  <c r="I1343" i="17"/>
  <c r="H1343" i="17"/>
  <c r="I1342" i="17"/>
  <c r="H1342" i="17"/>
  <c r="I1341" i="17"/>
  <c r="H1341" i="17"/>
  <c r="I1340" i="17"/>
  <c r="H1340" i="17"/>
  <c r="I1339" i="17"/>
  <c r="H1339" i="17"/>
  <c r="I1338" i="17"/>
  <c r="H1338" i="17"/>
  <c r="I1337" i="17"/>
  <c r="H1337" i="17"/>
  <c r="I1336" i="17"/>
  <c r="H1336" i="17"/>
  <c r="I1335" i="17"/>
  <c r="H1335" i="17"/>
  <c r="I1334" i="17"/>
  <c r="H1334" i="17"/>
  <c r="I1333" i="17"/>
  <c r="H1333" i="17"/>
  <c r="I1332" i="17"/>
  <c r="H1332" i="17"/>
  <c r="I1331" i="17"/>
  <c r="H1331" i="17"/>
  <c r="I1330" i="17"/>
  <c r="H1330" i="17"/>
  <c r="I1329" i="17"/>
  <c r="H1329" i="17"/>
  <c r="I1328" i="17"/>
  <c r="H1328" i="17"/>
  <c r="I1327" i="17"/>
  <c r="H1327" i="17"/>
  <c r="I1326" i="17"/>
  <c r="H1326" i="17"/>
  <c r="I1325" i="17"/>
  <c r="H1325" i="17"/>
  <c r="I1324" i="17"/>
  <c r="H1324" i="17"/>
  <c r="I1323" i="17"/>
  <c r="H1323" i="17"/>
  <c r="I1322" i="17"/>
  <c r="H1322" i="17"/>
  <c r="I1321" i="17"/>
  <c r="H1321" i="17"/>
  <c r="I1320" i="17"/>
  <c r="H1320" i="17"/>
  <c r="I1319" i="17"/>
  <c r="H1319" i="17"/>
  <c r="I1318" i="17"/>
  <c r="H1318" i="17"/>
  <c r="I1317" i="17"/>
  <c r="H1317" i="17"/>
  <c r="I1316" i="17"/>
  <c r="H1316" i="17"/>
  <c r="I1315" i="17"/>
  <c r="H1315" i="17"/>
  <c r="I1314" i="17"/>
  <c r="H1314" i="17"/>
  <c r="I1313" i="17"/>
  <c r="H1313" i="17"/>
  <c r="I1312" i="17"/>
  <c r="H1312" i="17"/>
  <c r="I1311" i="17"/>
  <c r="H1311" i="17"/>
  <c r="I1310" i="17"/>
  <c r="H1310" i="17"/>
  <c r="I1309" i="17"/>
  <c r="H1309" i="17"/>
  <c r="I1308" i="17"/>
  <c r="H1308" i="17"/>
  <c r="I1307" i="17"/>
  <c r="H1307" i="17"/>
  <c r="I1306" i="17"/>
  <c r="H1306" i="17"/>
  <c r="I1305" i="17"/>
  <c r="H1305" i="17"/>
  <c r="I1304" i="17"/>
  <c r="H1304" i="17"/>
  <c r="I1303" i="17"/>
  <c r="H1303" i="17"/>
  <c r="I1302" i="17"/>
  <c r="H1302" i="17"/>
  <c r="I1301" i="17"/>
  <c r="H1301" i="17"/>
  <c r="I1300" i="17"/>
  <c r="H1300" i="17"/>
  <c r="I1299" i="17"/>
  <c r="H1299" i="17"/>
  <c r="I1298" i="17"/>
  <c r="H1298" i="17"/>
  <c r="I1297" i="17"/>
  <c r="H1297" i="17"/>
  <c r="I1296" i="17"/>
  <c r="H1296" i="17"/>
  <c r="I1295" i="17"/>
  <c r="H1295" i="17"/>
  <c r="I1294" i="17"/>
  <c r="H1294" i="17"/>
  <c r="I1293" i="17"/>
  <c r="H1293" i="17"/>
  <c r="I1292" i="17"/>
  <c r="H1292" i="17"/>
  <c r="I1291" i="17"/>
  <c r="H1291" i="17"/>
  <c r="I1290" i="17"/>
  <c r="H1290" i="17"/>
  <c r="I1289" i="17"/>
  <c r="H1289" i="17"/>
  <c r="I1288" i="17"/>
  <c r="H1288" i="17"/>
  <c r="I1287" i="17"/>
  <c r="H1287" i="17"/>
  <c r="I1286" i="17"/>
  <c r="H1286" i="17"/>
  <c r="I1285" i="17"/>
  <c r="H1285" i="17"/>
  <c r="I1284" i="17"/>
  <c r="H1284" i="17"/>
  <c r="I1283" i="17"/>
  <c r="H1283" i="17"/>
  <c r="I1282" i="17"/>
  <c r="H1282" i="17"/>
  <c r="I1281" i="17"/>
  <c r="H1281" i="17"/>
  <c r="I1280" i="17"/>
  <c r="H1280" i="17"/>
  <c r="I1279" i="17"/>
  <c r="H1279" i="17"/>
  <c r="I1278" i="17"/>
  <c r="H1278" i="17"/>
  <c r="I1277" i="17"/>
  <c r="H1277" i="17"/>
  <c r="I1276" i="17"/>
  <c r="H1276" i="17"/>
  <c r="I1275" i="17"/>
  <c r="H1275" i="17"/>
  <c r="I1274" i="17"/>
  <c r="H1274" i="17"/>
  <c r="I1273" i="17"/>
  <c r="H1273" i="17"/>
  <c r="I1272" i="17"/>
  <c r="H1272" i="17"/>
  <c r="I1271" i="17"/>
  <c r="H1271" i="17"/>
  <c r="I1270" i="17"/>
  <c r="H1270" i="17"/>
  <c r="I1269" i="17"/>
  <c r="H1269" i="17"/>
  <c r="I1268" i="17"/>
  <c r="H1268" i="17"/>
  <c r="I1267" i="17"/>
  <c r="H1267" i="17"/>
  <c r="I1266" i="17"/>
  <c r="H1266" i="17"/>
  <c r="I1265" i="17"/>
  <c r="H1265" i="17"/>
  <c r="I1264" i="17"/>
  <c r="H1264" i="17"/>
  <c r="I1263" i="17"/>
  <c r="H1263" i="17"/>
  <c r="I1262" i="17"/>
  <c r="H1262" i="17"/>
  <c r="I1261" i="17"/>
  <c r="H1261" i="17"/>
  <c r="I1260" i="17"/>
  <c r="H1260" i="17"/>
  <c r="I1259" i="17"/>
  <c r="H1259" i="17"/>
  <c r="I1258" i="17"/>
  <c r="H1258" i="17"/>
  <c r="I1257" i="17"/>
  <c r="H1257" i="17"/>
  <c r="I1256" i="17"/>
  <c r="H1256" i="17"/>
  <c r="I1255" i="17"/>
  <c r="H1255" i="17"/>
  <c r="I1254" i="17"/>
  <c r="H1254" i="17"/>
  <c r="I1253" i="17"/>
  <c r="H1253" i="17"/>
  <c r="I1252" i="17"/>
  <c r="H1252" i="17"/>
  <c r="I1251" i="17"/>
  <c r="H1251" i="17"/>
  <c r="I1250" i="17"/>
  <c r="H1250" i="17"/>
  <c r="I1249" i="17"/>
  <c r="H1249" i="17"/>
  <c r="I1248" i="17"/>
  <c r="H1248" i="17"/>
  <c r="I1247" i="17"/>
  <c r="H1247" i="17"/>
  <c r="I1246" i="17"/>
  <c r="H1246" i="17"/>
  <c r="I1245" i="17"/>
  <c r="H1245" i="17"/>
  <c r="I1244" i="17"/>
  <c r="H1244" i="17"/>
  <c r="I1243" i="17"/>
  <c r="H1243" i="17"/>
  <c r="I1242" i="17"/>
  <c r="H1242" i="17"/>
  <c r="I1241" i="17"/>
  <c r="H1241" i="17"/>
  <c r="I1240" i="17"/>
  <c r="H1240" i="17"/>
  <c r="I1239" i="17"/>
  <c r="H1239" i="17"/>
  <c r="I1238" i="17"/>
  <c r="H1238" i="17"/>
  <c r="I1237" i="17"/>
  <c r="H1237" i="17"/>
  <c r="I1236" i="17"/>
  <c r="H1236" i="17"/>
  <c r="I1235" i="17"/>
  <c r="H1235" i="17"/>
  <c r="I1234" i="17"/>
  <c r="H1234" i="17"/>
  <c r="I1233" i="17"/>
  <c r="H1233" i="17"/>
  <c r="I1232" i="17"/>
  <c r="H1232" i="17"/>
  <c r="I1231" i="17"/>
  <c r="H1231" i="17"/>
  <c r="I1230" i="17"/>
  <c r="H1230" i="17"/>
  <c r="I1229" i="17"/>
  <c r="H1229" i="17"/>
  <c r="I1228" i="17"/>
  <c r="H1228" i="17"/>
  <c r="I1227" i="17"/>
  <c r="H1227" i="17"/>
  <c r="I1226" i="17"/>
  <c r="H1226" i="17"/>
  <c r="I1225" i="17"/>
  <c r="H1225" i="17"/>
  <c r="I1224" i="17"/>
  <c r="H1224" i="17"/>
  <c r="I1223" i="17"/>
  <c r="H1223" i="17"/>
  <c r="I1222" i="17"/>
  <c r="H1222" i="17"/>
  <c r="I1221" i="17"/>
  <c r="H1221" i="17"/>
  <c r="I1220" i="17"/>
  <c r="H1220" i="17"/>
  <c r="I1219" i="17"/>
  <c r="H1219" i="17"/>
  <c r="I1218" i="17"/>
  <c r="H1218" i="17"/>
  <c r="I1217" i="17"/>
  <c r="H1217" i="17"/>
  <c r="I1216" i="17"/>
  <c r="H1216" i="17"/>
  <c r="I1215" i="17"/>
  <c r="H1215" i="17"/>
  <c r="I1214" i="17"/>
  <c r="H1214" i="17"/>
  <c r="I1213" i="17"/>
  <c r="H1213" i="17"/>
  <c r="I1212" i="17"/>
  <c r="H1212" i="17"/>
  <c r="I1211" i="17"/>
  <c r="H1211" i="17"/>
  <c r="I1210" i="17"/>
  <c r="H1210" i="17"/>
  <c r="I1209" i="17"/>
  <c r="H1209" i="17"/>
  <c r="I1208" i="17"/>
  <c r="H1208" i="17"/>
  <c r="I1207" i="17"/>
  <c r="H1207" i="17"/>
  <c r="I1206" i="17"/>
  <c r="H1206" i="17"/>
  <c r="I1205" i="17"/>
  <c r="H1205" i="17"/>
  <c r="I1204" i="17"/>
  <c r="H1204" i="17"/>
  <c r="I1203" i="17"/>
  <c r="H1203" i="17"/>
  <c r="I1202" i="17"/>
  <c r="H1202" i="17"/>
  <c r="I1201" i="17"/>
  <c r="H1201" i="17"/>
  <c r="I1200" i="17"/>
  <c r="H1200" i="17"/>
  <c r="I1199" i="17"/>
  <c r="H1199" i="17"/>
  <c r="I1198" i="17"/>
  <c r="H1198" i="17"/>
  <c r="I1197" i="17"/>
  <c r="H1197" i="17"/>
  <c r="I1196" i="17"/>
  <c r="H1196" i="17"/>
  <c r="I1195" i="17"/>
  <c r="H1195" i="17"/>
  <c r="I1194" i="17"/>
  <c r="H1194" i="17"/>
  <c r="I1193" i="17"/>
  <c r="H1193" i="17"/>
  <c r="I1192" i="17"/>
  <c r="H1192" i="17"/>
  <c r="I1191" i="17"/>
  <c r="H1191" i="17"/>
  <c r="I1190" i="17"/>
  <c r="H1190" i="17"/>
  <c r="I1189" i="17"/>
  <c r="H1189" i="17"/>
  <c r="I1188" i="17"/>
  <c r="H1188" i="17"/>
  <c r="I1187" i="17"/>
  <c r="H1187" i="17"/>
  <c r="I1186" i="17"/>
  <c r="H1186" i="17"/>
  <c r="I1185" i="17"/>
  <c r="H1185" i="17"/>
  <c r="I1184" i="17"/>
  <c r="H1184" i="17"/>
  <c r="I1183" i="17"/>
  <c r="H1183" i="17"/>
  <c r="I1182" i="17"/>
  <c r="H1182" i="17"/>
  <c r="I1181" i="17"/>
  <c r="H1181" i="17"/>
  <c r="I1180" i="17"/>
  <c r="H1180" i="17"/>
  <c r="I1179" i="17"/>
  <c r="H1179" i="17"/>
  <c r="I1178" i="17"/>
  <c r="H1178" i="17"/>
  <c r="I1177" i="17"/>
  <c r="H1177" i="17"/>
  <c r="I1176" i="17"/>
  <c r="H1176" i="17"/>
  <c r="I1175" i="17"/>
  <c r="H1175" i="17"/>
  <c r="I1174" i="17"/>
  <c r="H1174" i="17"/>
  <c r="I1173" i="17"/>
  <c r="H1173" i="17"/>
  <c r="I1172" i="17"/>
  <c r="H1172" i="17"/>
  <c r="I1171" i="17"/>
  <c r="H1171" i="17"/>
  <c r="I1170" i="17"/>
  <c r="H1170" i="17"/>
  <c r="I1169" i="17"/>
  <c r="H1169" i="17"/>
  <c r="I1168" i="17"/>
  <c r="H1168" i="17"/>
  <c r="I1167" i="17"/>
  <c r="H1167" i="17"/>
  <c r="I1166" i="17"/>
  <c r="H1166" i="17"/>
  <c r="I1165" i="17"/>
  <c r="H1165" i="17"/>
  <c r="I1164" i="17"/>
  <c r="H1164" i="17"/>
  <c r="I1163" i="17"/>
  <c r="H1163" i="17"/>
  <c r="I1162" i="17"/>
  <c r="H1162" i="17"/>
  <c r="I1161" i="17"/>
  <c r="H1161" i="17"/>
  <c r="I1160" i="17"/>
  <c r="H1160" i="17"/>
  <c r="I1159" i="17"/>
  <c r="H1159" i="17"/>
  <c r="I1158" i="17"/>
  <c r="H1158" i="17"/>
  <c r="I1157" i="17"/>
  <c r="H1157" i="17"/>
  <c r="I1156" i="17"/>
  <c r="H1156" i="17"/>
  <c r="I1155" i="17"/>
  <c r="H1155" i="17"/>
  <c r="I1154" i="17"/>
  <c r="H1154" i="17"/>
  <c r="I1153" i="17"/>
  <c r="H1153" i="17"/>
  <c r="I1152" i="17"/>
  <c r="H1152" i="17"/>
  <c r="I1151" i="17"/>
  <c r="H1151" i="17"/>
  <c r="I1150" i="17"/>
  <c r="H1150" i="17"/>
  <c r="I1149" i="17"/>
  <c r="H1149" i="17"/>
  <c r="I1148" i="17"/>
  <c r="H1148" i="17"/>
  <c r="I1147" i="17"/>
  <c r="H1147" i="17"/>
  <c r="I1146" i="17"/>
  <c r="H1146" i="17"/>
  <c r="I1145" i="17"/>
  <c r="H1145" i="17"/>
  <c r="I1144" i="17"/>
  <c r="H1144" i="17"/>
  <c r="I1143" i="17"/>
  <c r="H1143" i="17"/>
  <c r="I1142" i="17"/>
  <c r="H1142" i="17"/>
  <c r="I1141" i="17"/>
  <c r="H1141" i="17"/>
  <c r="I1140" i="17"/>
  <c r="H1140" i="17"/>
  <c r="I1139" i="17"/>
  <c r="H1139" i="17"/>
  <c r="I1138" i="17"/>
  <c r="H1138" i="17"/>
  <c r="I1137" i="17"/>
  <c r="H1137" i="17"/>
  <c r="I1136" i="17"/>
  <c r="H1136" i="17"/>
  <c r="I1135" i="17"/>
  <c r="H1135" i="17"/>
  <c r="I1134" i="17"/>
  <c r="H1134" i="17"/>
  <c r="I1133" i="17"/>
  <c r="H1133" i="17"/>
  <c r="I1132" i="17"/>
  <c r="H1132" i="17"/>
  <c r="I1131" i="17"/>
  <c r="H1131" i="17"/>
  <c r="I1130" i="17"/>
  <c r="H1130" i="17"/>
  <c r="I1129" i="17"/>
  <c r="H1129" i="17"/>
  <c r="I1128" i="17"/>
  <c r="H1128" i="17"/>
  <c r="I1127" i="17"/>
  <c r="H1127" i="17"/>
  <c r="I1126" i="17"/>
  <c r="H1126" i="17"/>
  <c r="I1125" i="17"/>
  <c r="H1125" i="17"/>
  <c r="I1124" i="17"/>
  <c r="H1124" i="17"/>
  <c r="I1123" i="17"/>
  <c r="H1123" i="17"/>
  <c r="I1122" i="17"/>
  <c r="H1122" i="17"/>
  <c r="I1121" i="17"/>
  <c r="H1121" i="17"/>
  <c r="I1120" i="17"/>
  <c r="H1120" i="17"/>
  <c r="I1119" i="17"/>
  <c r="H1119" i="17"/>
  <c r="I1118" i="17"/>
  <c r="H1118" i="17"/>
  <c r="I1117" i="17"/>
  <c r="H1117" i="17"/>
  <c r="I1116" i="17"/>
  <c r="H1116" i="17"/>
  <c r="I1115" i="17"/>
  <c r="H1115" i="17"/>
  <c r="I1114" i="17"/>
  <c r="H1114" i="17"/>
  <c r="I1113" i="17"/>
  <c r="H1113" i="17"/>
  <c r="I1112" i="17"/>
  <c r="H1112" i="17"/>
  <c r="I1111" i="17"/>
  <c r="H1111" i="17"/>
  <c r="I1110" i="17"/>
  <c r="H1110" i="17"/>
  <c r="I1109" i="17"/>
  <c r="H1109" i="17"/>
  <c r="I1108" i="17"/>
  <c r="H1108" i="17"/>
  <c r="I1107" i="17"/>
  <c r="H1107" i="17"/>
  <c r="I1106" i="17"/>
  <c r="H1106" i="17"/>
  <c r="I1105" i="17"/>
  <c r="H1105" i="17"/>
  <c r="I1104" i="17"/>
  <c r="H1104" i="17"/>
  <c r="I1103" i="17"/>
  <c r="H1103" i="17"/>
  <c r="I1102" i="17"/>
  <c r="H1102" i="17"/>
  <c r="I1101" i="17"/>
  <c r="H1101" i="17"/>
  <c r="I1100" i="17"/>
  <c r="H1100" i="17"/>
  <c r="I1099" i="17"/>
  <c r="H1099" i="17"/>
  <c r="I1098" i="17"/>
  <c r="H1098" i="17"/>
  <c r="I1097" i="17"/>
  <c r="H1097" i="17"/>
  <c r="I1096" i="17"/>
  <c r="H1096" i="17"/>
  <c r="I1095" i="17"/>
  <c r="H1095" i="17"/>
  <c r="I1094" i="17"/>
  <c r="H1094" i="17"/>
  <c r="I1093" i="17"/>
  <c r="H1093" i="17"/>
  <c r="I1092" i="17"/>
  <c r="H1092" i="17"/>
  <c r="I1091" i="17"/>
  <c r="H1091" i="17"/>
  <c r="I1090" i="17"/>
  <c r="H1090" i="17"/>
  <c r="I1089" i="17"/>
  <c r="H1089" i="17"/>
  <c r="I1088" i="17"/>
  <c r="H1088" i="17"/>
  <c r="I1087" i="17"/>
  <c r="H1087" i="17"/>
  <c r="I1086" i="17"/>
  <c r="H1086" i="17"/>
  <c r="I1085" i="17"/>
  <c r="H1085" i="17"/>
  <c r="I1084" i="17"/>
  <c r="H1084" i="17"/>
  <c r="I1083" i="17"/>
  <c r="H1083" i="17"/>
  <c r="I1082" i="17"/>
  <c r="H1082" i="17"/>
  <c r="I1081" i="17"/>
  <c r="H1081" i="17"/>
  <c r="I1080" i="17"/>
  <c r="H1080" i="17"/>
  <c r="I1079" i="17"/>
  <c r="H1079" i="17"/>
  <c r="I1078" i="17"/>
  <c r="H1078" i="17"/>
  <c r="I1077" i="17"/>
  <c r="H1077" i="17"/>
  <c r="I1076" i="17"/>
  <c r="H1076" i="17"/>
  <c r="I1075" i="17"/>
  <c r="H1075" i="17"/>
  <c r="I1074" i="17"/>
  <c r="H1074" i="17"/>
  <c r="I1073" i="17"/>
  <c r="H1073" i="17"/>
  <c r="I1072" i="17"/>
  <c r="H1072" i="17"/>
  <c r="I1071" i="17"/>
  <c r="H1071" i="17"/>
  <c r="I1070" i="17"/>
  <c r="H1070" i="17"/>
  <c r="I1069" i="17"/>
  <c r="H1069" i="17"/>
  <c r="I1068" i="17"/>
  <c r="H1068" i="17"/>
  <c r="I1067" i="17"/>
  <c r="H1067" i="17"/>
  <c r="I1066" i="17"/>
  <c r="H1066" i="17"/>
  <c r="I1065" i="17"/>
  <c r="H1065" i="17"/>
  <c r="I1064" i="17"/>
  <c r="H1064" i="17"/>
  <c r="I1063" i="17"/>
  <c r="H1063" i="17"/>
  <c r="I1062" i="17"/>
  <c r="H1062" i="17"/>
  <c r="I1061" i="17"/>
  <c r="H1061" i="17"/>
  <c r="I1060" i="17"/>
  <c r="H1060" i="17"/>
  <c r="I1059" i="17"/>
  <c r="H1059" i="17"/>
  <c r="I1058" i="17"/>
  <c r="H1058" i="17"/>
  <c r="I1057" i="17"/>
  <c r="H1057" i="17"/>
  <c r="I1056" i="17"/>
  <c r="H1056" i="17"/>
  <c r="I1055" i="17"/>
  <c r="H1055" i="17"/>
  <c r="I1054" i="17"/>
  <c r="H1054" i="17"/>
  <c r="I1053" i="17"/>
  <c r="H1053" i="17"/>
  <c r="I1052" i="17"/>
  <c r="H1052" i="17"/>
  <c r="I1051" i="17"/>
  <c r="H1051" i="17"/>
  <c r="I1050" i="17"/>
  <c r="H1050" i="17"/>
  <c r="I1049" i="17"/>
  <c r="H1049" i="17"/>
  <c r="I1048" i="17"/>
  <c r="H1048" i="17"/>
  <c r="I1047" i="17"/>
  <c r="H1047" i="17"/>
  <c r="I1046" i="17"/>
  <c r="H1046" i="17"/>
  <c r="I1045" i="17"/>
  <c r="H1045" i="17"/>
  <c r="I1044" i="17"/>
  <c r="H1044" i="17"/>
  <c r="I1043" i="17"/>
  <c r="H1043" i="17"/>
  <c r="I1042" i="17"/>
  <c r="H1042" i="17"/>
  <c r="I1041" i="17"/>
  <c r="H1041" i="17"/>
  <c r="I1040" i="17"/>
  <c r="H1040" i="17"/>
  <c r="I1039" i="17"/>
  <c r="H1039" i="17"/>
  <c r="I1038" i="17"/>
  <c r="H1038" i="17"/>
  <c r="I1037" i="17"/>
  <c r="H1037" i="17"/>
  <c r="I1036" i="17"/>
  <c r="H1036" i="17"/>
  <c r="I1035" i="17"/>
  <c r="H1035" i="17"/>
  <c r="I1034" i="17"/>
  <c r="H1034" i="17"/>
  <c r="I1033" i="17"/>
  <c r="H1033" i="17"/>
  <c r="I1032" i="17"/>
  <c r="H1032" i="17"/>
  <c r="I1031" i="17"/>
  <c r="H1031" i="17"/>
  <c r="I1030" i="17"/>
  <c r="H1030" i="17"/>
  <c r="I1029" i="17"/>
  <c r="H1029" i="17"/>
  <c r="I1028" i="17"/>
  <c r="H1028" i="17"/>
  <c r="I1027" i="17"/>
  <c r="H1027" i="17"/>
  <c r="I1026" i="17"/>
  <c r="H1026" i="17"/>
  <c r="I1025" i="17"/>
  <c r="H1025" i="17"/>
  <c r="I1024" i="17"/>
  <c r="H1024" i="17"/>
  <c r="I1023" i="17"/>
  <c r="H1023" i="17"/>
  <c r="I1022" i="17"/>
  <c r="H1022" i="17"/>
  <c r="I1021" i="17"/>
  <c r="H1021" i="17"/>
  <c r="I1020" i="17"/>
  <c r="H1020" i="17"/>
  <c r="I1019" i="17"/>
  <c r="H1019" i="17"/>
  <c r="I1018" i="17"/>
  <c r="H1018" i="17"/>
  <c r="I1017" i="17"/>
  <c r="H1017" i="17"/>
  <c r="I1016" i="17"/>
  <c r="H1016" i="17"/>
  <c r="I1015" i="17"/>
  <c r="H1015" i="17"/>
  <c r="I1014" i="17"/>
  <c r="H1014" i="17"/>
  <c r="I1013" i="17"/>
  <c r="H1013" i="17"/>
  <c r="I1012" i="17"/>
  <c r="H1012" i="17"/>
  <c r="I1011" i="17"/>
  <c r="H1011" i="17"/>
  <c r="I1010" i="17"/>
  <c r="H1010" i="17"/>
  <c r="I1009" i="17"/>
  <c r="H1009" i="17"/>
  <c r="I1008" i="17"/>
  <c r="H1008" i="17"/>
  <c r="I1007" i="17"/>
  <c r="H1007" i="17"/>
  <c r="I1006" i="17"/>
  <c r="H1006" i="17"/>
  <c r="I1005" i="17"/>
  <c r="H1005" i="17"/>
  <c r="I1004" i="17"/>
  <c r="H1004" i="17"/>
  <c r="I1003" i="17"/>
  <c r="H1003" i="17"/>
  <c r="I1002" i="17"/>
  <c r="H1002" i="17"/>
  <c r="I1001" i="17"/>
  <c r="H1001" i="17"/>
  <c r="I1000" i="17"/>
  <c r="H1000" i="17"/>
  <c r="I999" i="17"/>
  <c r="H999" i="17"/>
  <c r="I998" i="17"/>
  <c r="H998" i="17"/>
  <c r="I997" i="17"/>
  <c r="H997" i="17"/>
  <c r="I996" i="17"/>
  <c r="H996" i="17"/>
  <c r="I995" i="17"/>
  <c r="H995" i="17"/>
  <c r="I994" i="17"/>
  <c r="H994" i="17"/>
  <c r="I993" i="17"/>
  <c r="H993" i="17"/>
  <c r="I992" i="17"/>
  <c r="H992" i="17"/>
  <c r="I991" i="17"/>
  <c r="H991" i="17"/>
  <c r="I990" i="17"/>
  <c r="H990" i="17"/>
  <c r="I989" i="17"/>
  <c r="H989" i="17"/>
  <c r="I988" i="17"/>
  <c r="H988" i="17"/>
  <c r="I987" i="17"/>
  <c r="H987" i="17"/>
  <c r="I986" i="17"/>
  <c r="H986" i="17"/>
  <c r="I985" i="17"/>
  <c r="H985" i="17"/>
  <c r="I984" i="17"/>
  <c r="H984" i="17"/>
  <c r="I983" i="17"/>
  <c r="H983" i="17"/>
  <c r="I982" i="17"/>
  <c r="H982" i="17"/>
  <c r="I981" i="17"/>
  <c r="H981" i="17"/>
  <c r="I980" i="17"/>
  <c r="H980" i="17"/>
  <c r="I979" i="17"/>
  <c r="H979" i="17"/>
  <c r="I978" i="17"/>
  <c r="H978" i="17"/>
  <c r="I977" i="17"/>
  <c r="H977" i="17"/>
  <c r="I976" i="17"/>
  <c r="H976" i="17"/>
  <c r="I975" i="17"/>
  <c r="H975" i="17"/>
  <c r="I974" i="17"/>
  <c r="H974" i="17"/>
  <c r="I973" i="17"/>
  <c r="H973" i="17"/>
  <c r="I972" i="17"/>
  <c r="H972" i="17"/>
  <c r="I971" i="17"/>
  <c r="H971" i="17"/>
  <c r="I970" i="17"/>
  <c r="H970" i="17"/>
  <c r="I969" i="17"/>
  <c r="H969" i="17"/>
  <c r="I968" i="17"/>
  <c r="H968" i="17"/>
  <c r="I967" i="17"/>
  <c r="H967" i="17"/>
  <c r="I966" i="17"/>
  <c r="H966" i="17"/>
  <c r="I965" i="17"/>
  <c r="H965" i="17"/>
  <c r="I964" i="17"/>
  <c r="H964" i="17"/>
  <c r="I963" i="17"/>
  <c r="H963" i="17"/>
  <c r="I962" i="17"/>
  <c r="H962" i="17"/>
  <c r="I961" i="17"/>
  <c r="H961" i="17"/>
  <c r="I960" i="17"/>
  <c r="H960" i="17"/>
  <c r="I959" i="17"/>
  <c r="H959" i="17"/>
  <c r="I958" i="17"/>
  <c r="H958" i="17"/>
  <c r="I957" i="17"/>
  <c r="H957" i="17"/>
  <c r="I956" i="17"/>
  <c r="H956" i="17"/>
  <c r="I955" i="17"/>
  <c r="H955" i="17"/>
  <c r="I954" i="17"/>
  <c r="H954" i="17"/>
  <c r="I953" i="17"/>
  <c r="H953" i="17"/>
  <c r="I952" i="17"/>
  <c r="H952" i="17"/>
  <c r="I951" i="17"/>
  <c r="H951" i="17"/>
  <c r="I950" i="17"/>
  <c r="H950" i="17"/>
  <c r="I949" i="17"/>
  <c r="H949" i="17"/>
  <c r="I948" i="17"/>
  <c r="H948" i="17"/>
  <c r="I947" i="17"/>
  <c r="H947" i="17"/>
  <c r="I946" i="17"/>
  <c r="H946" i="17"/>
  <c r="I945" i="17"/>
  <c r="H945" i="17"/>
  <c r="I944" i="17"/>
  <c r="H944" i="17"/>
  <c r="I943" i="17"/>
  <c r="H943" i="17"/>
  <c r="I942" i="17"/>
  <c r="H942" i="17"/>
  <c r="I941" i="17"/>
  <c r="H941" i="17"/>
  <c r="I940" i="17"/>
  <c r="H940" i="17"/>
  <c r="I939" i="17"/>
  <c r="H939" i="17"/>
  <c r="I938" i="17"/>
  <c r="H938" i="17"/>
  <c r="I937" i="17"/>
  <c r="H937" i="17"/>
  <c r="I936" i="17"/>
  <c r="H936" i="17"/>
  <c r="I935" i="17"/>
  <c r="H935" i="17"/>
  <c r="I934" i="17"/>
  <c r="H934" i="17"/>
  <c r="I933" i="17"/>
  <c r="H933" i="17"/>
  <c r="I932" i="17"/>
  <c r="H932" i="17"/>
  <c r="I931" i="17"/>
  <c r="H931" i="17"/>
  <c r="I930" i="17"/>
  <c r="H930" i="17"/>
  <c r="I929" i="17"/>
  <c r="H929" i="17"/>
  <c r="I928" i="17"/>
  <c r="H928" i="17"/>
  <c r="I927" i="17"/>
  <c r="H927" i="17"/>
  <c r="I926" i="17"/>
  <c r="H926" i="17"/>
  <c r="I925" i="17"/>
  <c r="H925" i="17"/>
  <c r="I924" i="17"/>
  <c r="H924" i="17"/>
  <c r="I923" i="17"/>
  <c r="H923" i="17"/>
  <c r="I922" i="17"/>
  <c r="H922" i="17"/>
  <c r="I921" i="17"/>
  <c r="H921" i="17"/>
  <c r="I920" i="17"/>
  <c r="H920" i="17"/>
  <c r="I919" i="17"/>
  <c r="H919" i="17"/>
  <c r="I918" i="17"/>
  <c r="H918" i="17"/>
  <c r="I917" i="17"/>
  <c r="H917" i="17"/>
  <c r="I916" i="17"/>
  <c r="H916" i="17"/>
  <c r="I915" i="17"/>
  <c r="H915" i="17"/>
  <c r="I914" i="17"/>
  <c r="H914" i="17"/>
  <c r="I913" i="17"/>
  <c r="H913" i="17"/>
  <c r="I912" i="17"/>
  <c r="H912" i="17"/>
  <c r="I911" i="17"/>
  <c r="H911" i="17"/>
  <c r="I910" i="17"/>
  <c r="H910" i="17"/>
  <c r="I909" i="17"/>
  <c r="H909" i="17"/>
  <c r="I908" i="17"/>
  <c r="H908" i="17"/>
  <c r="I907" i="17"/>
  <c r="H907" i="17"/>
  <c r="I906" i="17"/>
  <c r="H906" i="17"/>
  <c r="I905" i="17"/>
  <c r="H905" i="17"/>
  <c r="I904" i="17"/>
  <c r="H904" i="17"/>
  <c r="I903" i="17"/>
  <c r="H903" i="17"/>
  <c r="I902" i="17"/>
  <c r="H902" i="17"/>
  <c r="I901" i="17"/>
  <c r="H901" i="17"/>
  <c r="I900" i="17"/>
  <c r="H900" i="17"/>
  <c r="I899" i="17"/>
  <c r="H899" i="17"/>
  <c r="I898" i="17"/>
  <c r="H898" i="17"/>
  <c r="I897" i="17"/>
  <c r="H897" i="17"/>
  <c r="I896" i="17"/>
  <c r="H896" i="17"/>
  <c r="I895" i="17"/>
  <c r="H895" i="17"/>
  <c r="I894" i="17"/>
  <c r="H894" i="17"/>
  <c r="I893" i="17"/>
  <c r="H893" i="17"/>
  <c r="I892" i="17"/>
  <c r="H892" i="17"/>
  <c r="I891" i="17"/>
  <c r="H891" i="17"/>
  <c r="I890" i="17"/>
  <c r="H890" i="17"/>
  <c r="I889" i="17"/>
  <c r="H889" i="17"/>
  <c r="I888" i="17"/>
  <c r="H888" i="17"/>
  <c r="I887" i="17"/>
  <c r="H887" i="17"/>
  <c r="I886" i="17"/>
  <c r="H886" i="17"/>
  <c r="I885" i="17"/>
  <c r="H885" i="17"/>
  <c r="I884" i="17"/>
  <c r="H884" i="17"/>
  <c r="I883" i="17"/>
  <c r="H883" i="17"/>
  <c r="I882" i="17"/>
  <c r="H882" i="17"/>
  <c r="I881" i="17"/>
  <c r="H881" i="17"/>
  <c r="I880" i="17"/>
  <c r="H880" i="17"/>
  <c r="I879" i="17"/>
  <c r="H879" i="17"/>
  <c r="I878" i="17"/>
  <c r="H878" i="17"/>
  <c r="I877" i="17"/>
  <c r="H877" i="17"/>
  <c r="I876" i="17"/>
  <c r="H876" i="17"/>
  <c r="I875" i="17"/>
  <c r="H875" i="17"/>
  <c r="I874" i="17"/>
  <c r="H874" i="17"/>
  <c r="I873" i="17"/>
  <c r="H873" i="17"/>
  <c r="I872" i="17"/>
  <c r="H872" i="17"/>
  <c r="I871" i="17"/>
  <c r="H871" i="17"/>
  <c r="I870" i="17"/>
  <c r="H870" i="17"/>
  <c r="I869" i="17"/>
  <c r="H869" i="17"/>
  <c r="I868" i="17"/>
  <c r="H868" i="17"/>
  <c r="I867" i="17"/>
  <c r="H867" i="17"/>
  <c r="I866" i="17"/>
  <c r="H866" i="17"/>
  <c r="I865" i="17"/>
  <c r="H865" i="17"/>
  <c r="I864" i="17"/>
  <c r="H864" i="17"/>
  <c r="I863" i="17"/>
  <c r="H863" i="17"/>
  <c r="I862" i="17"/>
  <c r="H862" i="17"/>
  <c r="I861" i="17"/>
  <c r="H861" i="17"/>
  <c r="I860" i="17"/>
  <c r="H860" i="17"/>
  <c r="I859" i="17"/>
  <c r="H859" i="17"/>
  <c r="I858" i="17"/>
  <c r="H858" i="17"/>
  <c r="I857" i="17"/>
  <c r="H857" i="17"/>
  <c r="I856" i="17"/>
  <c r="H856" i="17"/>
  <c r="I855" i="17"/>
  <c r="H855" i="17"/>
  <c r="I854" i="17"/>
  <c r="H854" i="17"/>
  <c r="I853" i="17"/>
  <c r="H853" i="17"/>
  <c r="I852" i="17"/>
  <c r="H852" i="17"/>
  <c r="I851" i="17"/>
  <c r="H851" i="17"/>
  <c r="I850" i="17"/>
  <c r="H850" i="17"/>
  <c r="I849" i="17"/>
  <c r="H849" i="17"/>
  <c r="I848" i="17"/>
  <c r="H848" i="17"/>
  <c r="I847" i="17"/>
  <c r="H847" i="17"/>
  <c r="I846" i="17"/>
  <c r="H846" i="17"/>
  <c r="I845" i="17"/>
  <c r="H845" i="17"/>
  <c r="I844" i="17"/>
  <c r="H844" i="17"/>
  <c r="I843" i="17"/>
  <c r="H843" i="17"/>
  <c r="I842" i="17"/>
  <c r="H842" i="17"/>
  <c r="I841" i="17"/>
  <c r="H841" i="17"/>
  <c r="I840" i="17"/>
  <c r="H840" i="17"/>
  <c r="I839" i="17"/>
  <c r="H839" i="17"/>
  <c r="I838" i="17"/>
  <c r="H838" i="17"/>
  <c r="I837" i="17"/>
  <c r="H837" i="17"/>
  <c r="I836" i="17"/>
  <c r="H836" i="17"/>
  <c r="I835" i="17"/>
  <c r="H835" i="17"/>
  <c r="I834" i="17"/>
  <c r="H834" i="17"/>
  <c r="I833" i="17"/>
  <c r="H833" i="17"/>
  <c r="I832" i="17"/>
  <c r="H832" i="17"/>
  <c r="I831" i="17"/>
  <c r="H831" i="17"/>
  <c r="I830" i="17"/>
  <c r="H830" i="17"/>
  <c r="I829" i="17"/>
  <c r="H829" i="17"/>
  <c r="I828" i="17"/>
  <c r="H828" i="17"/>
  <c r="I827" i="17"/>
  <c r="H827" i="17"/>
  <c r="I826" i="17"/>
  <c r="H826" i="17"/>
  <c r="I825" i="17"/>
  <c r="H825" i="17"/>
  <c r="I824" i="17"/>
  <c r="H824" i="17"/>
  <c r="I823" i="17"/>
  <c r="H823" i="17"/>
  <c r="I822" i="17"/>
  <c r="H822" i="17"/>
  <c r="I821" i="17"/>
  <c r="H821" i="17"/>
  <c r="I820" i="17"/>
  <c r="H820" i="17"/>
  <c r="I819" i="17"/>
  <c r="H819" i="17"/>
  <c r="I818" i="17"/>
  <c r="H818" i="17"/>
  <c r="I817" i="17"/>
  <c r="H817" i="17"/>
  <c r="I816" i="17"/>
  <c r="H816" i="17"/>
  <c r="I815" i="17"/>
  <c r="H815" i="17"/>
  <c r="I814" i="17"/>
  <c r="H814" i="17"/>
  <c r="I813" i="17"/>
  <c r="H813" i="17"/>
  <c r="I812" i="17"/>
  <c r="H812" i="17"/>
  <c r="I811" i="17"/>
  <c r="H811" i="17"/>
  <c r="I810" i="17"/>
  <c r="H810" i="17"/>
  <c r="I809" i="17"/>
  <c r="H809" i="17"/>
  <c r="I808" i="17"/>
  <c r="H808" i="17"/>
  <c r="I807" i="17"/>
  <c r="H807" i="17"/>
  <c r="I806" i="17"/>
  <c r="H806" i="17"/>
  <c r="I805" i="17"/>
  <c r="H805" i="17"/>
  <c r="I804" i="17"/>
  <c r="H804" i="17"/>
  <c r="I803" i="17"/>
  <c r="H803" i="17"/>
  <c r="I802" i="17"/>
  <c r="H802" i="17"/>
  <c r="I801" i="17"/>
  <c r="H801" i="17"/>
  <c r="I800" i="17"/>
  <c r="H800" i="17"/>
  <c r="I799" i="17"/>
  <c r="H799" i="17"/>
  <c r="I798" i="17"/>
  <c r="H798" i="17"/>
  <c r="I797" i="17"/>
  <c r="H797" i="17"/>
  <c r="I796" i="17"/>
  <c r="H796" i="17"/>
  <c r="I795" i="17"/>
  <c r="H795" i="17"/>
  <c r="I794" i="17"/>
  <c r="H794" i="17"/>
  <c r="I793" i="17"/>
  <c r="H793" i="17"/>
  <c r="I792" i="17"/>
  <c r="H792" i="17"/>
  <c r="I791" i="17"/>
  <c r="H791" i="17"/>
  <c r="I790" i="17"/>
  <c r="H790" i="17"/>
  <c r="I789" i="17"/>
  <c r="H789" i="17"/>
  <c r="I788" i="17"/>
  <c r="H788" i="17"/>
  <c r="I787" i="17"/>
  <c r="H787" i="17"/>
  <c r="I786" i="17"/>
  <c r="H786" i="17"/>
  <c r="I785" i="17"/>
  <c r="H785" i="17"/>
  <c r="I784" i="17"/>
  <c r="H784" i="17"/>
  <c r="I783" i="17"/>
  <c r="H783" i="17"/>
  <c r="I782" i="17"/>
  <c r="H782" i="17"/>
  <c r="I781" i="17"/>
  <c r="H781" i="17"/>
  <c r="I780" i="17"/>
  <c r="H780" i="17"/>
  <c r="I779" i="17"/>
  <c r="H779" i="17"/>
  <c r="I778" i="17"/>
  <c r="H778" i="17"/>
  <c r="I777" i="17"/>
  <c r="H777" i="17"/>
  <c r="I776" i="17"/>
  <c r="H776" i="17"/>
  <c r="I775" i="17"/>
  <c r="H775" i="17"/>
  <c r="I774" i="17"/>
  <c r="H774" i="17"/>
  <c r="I773" i="17"/>
  <c r="H773" i="17"/>
  <c r="I772" i="17"/>
  <c r="H772" i="17"/>
  <c r="I771" i="17"/>
  <c r="H771" i="17"/>
  <c r="I770" i="17"/>
  <c r="H770" i="17"/>
  <c r="I769" i="17"/>
  <c r="H769" i="17"/>
  <c r="I768" i="17"/>
  <c r="H768" i="17"/>
  <c r="I767" i="17"/>
  <c r="H767" i="17"/>
  <c r="I766" i="17"/>
  <c r="H766" i="17"/>
  <c r="I765" i="17"/>
  <c r="H765" i="17"/>
  <c r="I764" i="17"/>
  <c r="H764" i="17"/>
  <c r="I763" i="17"/>
  <c r="H763" i="17"/>
  <c r="I762" i="17"/>
  <c r="H762" i="17"/>
  <c r="I761" i="17"/>
  <c r="H761" i="17"/>
  <c r="I760" i="17"/>
  <c r="H760" i="17"/>
  <c r="I759" i="17"/>
  <c r="H759" i="17"/>
  <c r="I758" i="17"/>
  <c r="H758" i="17"/>
  <c r="I757" i="17"/>
  <c r="H757" i="17"/>
  <c r="I756" i="17"/>
  <c r="H756" i="17"/>
  <c r="I755" i="17"/>
  <c r="H755" i="17"/>
  <c r="I754" i="17"/>
  <c r="H754" i="17"/>
  <c r="I753" i="17"/>
  <c r="H753" i="17"/>
  <c r="I752" i="17"/>
  <c r="H752" i="17"/>
  <c r="I751" i="17"/>
  <c r="H751" i="17"/>
  <c r="I750" i="17"/>
  <c r="H750" i="17"/>
  <c r="I749" i="17"/>
  <c r="H749" i="17"/>
  <c r="I748" i="17"/>
  <c r="H748" i="17"/>
  <c r="I747" i="17"/>
  <c r="H747" i="17"/>
  <c r="I746" i="17"/>
  <c r="H746" i="17"/>
  <c r="I745" i="17"/>
  <c r="H745" i="17"/>
  <c r="I744" i="17"/>
  <c r="H744" i="17"/>
  <c r="I743" i="17"/>
  <c r="H743" i="17"/>
  <c r="I742" i="17"/>
  <c r="H742" i="17"/>
  <c r="I741" i="17"/>
  <c r="H741" i="17"/>
  <c r="I740" i="17"/>
  <c r="H740" i="17"/>
  <c r="I739" i="17"/>
  <c r="H739" i="17"/>
  <c r="I738" i="17"/>
  <c r="H738" i="17"/>
  <c r="I737" i="17"/>
  <c r="H737" i="17"/>
  <c r="I736" i="17"/>
  <c r="H736" i="17"/>
  <c r="I735" i="17"/>
  <c r="H735" i="17"/>
  <c r="I734" i="17"/>
  <c r="H734" i="17"/>
  <c r="I733" i="17"/>
  <c r="H733" i="17"/>
  <c r="I732" i="17"/>
  <c r="H732" i="17"/>
  <c r="I731" i="17"/>
  <c r="H731" i="17"/>
  <c r="I730" i="17"/>
  <c r="H730" i="17"/>
  <c r="I729" i="17"/>
  <c r="H729" i="17"/>
  <c r="I728" i="17"/>
  <c r="H728" i="17"/>
  <c r="I727" i="17"/>
  <c r="H727" i="17"/>
  <c r="I726" i="17"/>
  <c r="H726" i="17"/>
  <c r="I725" i="17"/>
  <c r="H725" i="17"/>
  <c r="I724" i="17"/>
  <c r="H724" i="17"/>
  <c r="I723" i="17"/>
  <c r="H723" i="17"/>
  <c r="I722" i="17"/>
  <c r="H722" i="17"/>
  <c r="I721" i="17"/>
  <c r="H721" i="17"/>
  <c r="I720" i="17"/>
  <c r="H720" i="17"/>
  <c r="I719" i="17"/>
  <c r="H719" i="17"/>
  <c r="I718" i="17"/>
  <c r="H718" i="17"/>
  <c r="I717" i="17"/>
  <c r="H717" i="17"/>
  <c r="I716" i="17"/>
  <c r="H716" i="17"/>
  <c r="I715" i="17"/>
  <c r="H715" i="17"/>
  <c r="I714" i="17"/>
  <c r="H714" i="17"/>
  <c r="I713" i="17"/>
  <c r="H713" i="17"/>
  <c r="I712" i="17"/>
  <c r="H712" i="17"/>
  <c r="I711" i="17"/>
  <c r="H711" i="17"/>
  <c r="I710" i="17"/>
  <c r="H710" i="17"/>
  <c r="I709" i="17"/>
  <c r="H709" i="17"/>
  <c r="I708" i="17"/>
  <c r="H708" i="17"/>
  <c r="I707" i="17"/>
  <c r="H707" i="17"/>
  <c r="I706" i="17"/>
  <c r="H706" i="17"/>
  <c r="I705" i="17"/>
  <c r="H705" i="17"/>
  <c r="I704" i="17"/>
  <c r="H704" i="17"/>
  <c r="I703" i="17"/>
  <c r="H703" i="17"/>
  <c r="I702" i="17"/>
  <c r="H702" i="17"/>
  <c r="I701" i="17"/>
  <c r="H701" i="17"/>
  <c r="I700" i="17"/>
  <c r="H700" i="17"/>
  <c r="I699" i="17"/>
  <c r="H699" i="17"/>
  <c r="I698" i="17"/>
  <c r="H698" i="17"/>
  <c r="I697" i="17"/>
  <c r="H697" i="17"/>
  <c r="I696" i="17"/>
  <c r="H696" i="17"/>
  <c r="I695" i="17"/>
  <c r="H695" i="17"/>
  <c r="I694" i="17"/>
  <c r="H694" i="17"/>
  <c r="I693" i="17"/>
  <c r="H693" i="17"/>
  <c r="I692" i="17"/>
  <c r="H692" i="17"/>
  <c r="I691" i="17"/>
  <c r="H691" i="17"/>
  <c r="I690" i="17"/>
  <c r="H690" i="17"/>
  <c r="I689" i="17"/>
  <c r="H689" i="17"/>
  <c r="I688" i="17"/>
  <c r="H688" i="17"/>
  <c r="I687" i="17"/>
  <c r="H687" i="17"/>
  <c r="I686" i="17"/>
  <c r="H686" i="17"/>
  <c r="I685" i="17"/>
  <c r="H685" i="17"/>
  <c r="I684" i="17"/>
  <c r="H684" i="17"/>
  <c r="I683" i="17"/>
  <c r="H683" i="17"/>
  <c r="I682" i="17"/>
  <c r="H682" i="17"/>
  <c r="I681" i="17"/>
  <c r="H681" i="17"/>
  <c r="I680" i="17"/>
  <c r="H680" i="17"/>
  <c r="I679" i="17"/>
  <c r="H679" i="17"/>
  <c r="I678" i="17"/>
  <c r="H678" i="17"/>
  <c r="I677" i="17"/>
  <c r="H677" i="17"/>
  <c r="I676" i="17"/>
  <c r="H676" i="17"/>
  <c r="I675" i="17"/>
  <c r="H675" i="17"/>
  <c r="I674" i="17"/>
  <c r="H674" i="17"/>
  <c r="I673" i="17"/>
  <c r="H673" i="17"/>
  <c r="I672" i="17"/>
  <c r="H672" i="17"/>
  <c r="I671" i="17"/>
  <c r="H671" i="17"/>
  <c r="I670" i="17"/>
  <c r="H670" i="17"/>
  <c r="I669" i="17"/>
  <c r="H669" i="17"/>
  <c r="I668" i="17"/>
  <c r="H668" i="17"/>
  <c r="I667" i="17"/>
  <c r="H667" i="17"/>
  <c r="I666" i="17"/>
  <c r="H666" i="17"/>
  <c r="I665" i="17"/>
  <c r="H665" i="17"/>
  <c r="I664" i="17"/>
  <c r="H664" i="17"/>
  <c r="I663" i="17"/>
  <c r="H663" i="17"/>
  <c r="I662" i="17"/>
  <c r="H662" i="17"/>
  <c r="I661" i="17"/>
  <c r="H661" i="17"/>
  <c r="I660" i="17"/>
  <c r="H660" i="17"/>
  <c r="I659" i="17"/>
  <c r="H659" i="17"/>
  <c r="I658" i="17"/>
  <c r="H658" i="17"/>
  <c r="I657" i="17"/>
  <c r="H657" i="17"/>
  <c r="I656" i="17"/>
  <c r="H656" i="17"/>
  <c r="I655" i="17"/>
  <c r="H655" i="17"/>
  <c r="I654" i="17"/>
  <c r="H654" i="17"/>
  <c r="I653" i="17"/>
  <c r="H653" i="17"/>
  <c r="I652" i="17"/>
  <c r="H652" i="17"/>
  <c r="I651" i="17"/>
  <c r="H651" i="17"/>
  <c r="I650" i="17"/>
  <c r="H650" i="17"/>
  <c r="I649" i="17"/>
  <c r="H649" i="17"/>
  <c r="I648" i="17"/>
  <c r="H648" i="17"/>
  <c r="I647" i="17"/>
  <c r="H647" i="17"/>
  <c r="I646" i="17"/>
  <c r="H646" i="17"/>
  <c r="I645" i="17"/>
  <c r="H645" i="17"/>
  <c r="I644" i="17"/>
  <c r="H644" i="17"/>
  <c r="I643" i="17"/>
  <c r="H643" i="17"/>
  <c r="I642" i="17"/>
  <c r="H642" i="17"/>
  <c r="I641" i="17"/>
  <c r="H641" i="17"/>
  <c r="I640" i="17"/>
  <c r="H640" i="17"/>
  <c r="I639" i="17"/>
  <c r="H639" i="17"/>
  <c r="I638" i="17"/>
  <c r="H638" i="17"/>
  <c r="I637" i="17"/>
  <c r="H637" i="17"/>
  <c r="I636" i="17"/>
  <c r="H636" i="17"/>
  <c r="I635" i="17"/>
  <c r="H635" i="17"/>
  <c r="I634" i="17"/>
  <c r="H634" i="17"/>
  <c r="I633" i="17"/>
  <c r="H633" i="17"/>
  <c r="I632" i="17"/>
  <c r="H632" i="17"/>
  <c r="I631" i="17"/>
  <c r="H631" i="17"/>
  <c r="I630" i="17"/>
  <c r="H630" i="17"/>
  <c r="I629" i="17"/>
  <c r="H629" i="17"/>
  <c r="I628" i="17"/>
  <c r="H628" i="17"/>
  <c r="I627" i="17"/>
  <c r="H627" i="17"/>
  <c r="I626" i="17"/>
  <c r="H626" i="17"/>
  <c r="I625" i="17"/>
  <c r="H625" i="17"/>
  <c r="I624" i="17"/>
  <c r="H624" i="17"/>
  <c r="I623" i="17"/>
  <c r="H623" i="17"/>
  <c r="I622" i="17"/>
  <c r="H622" i="17"/>
  <c r="I621" i="17"/>
  <c r="H621" i="17"/>
  <c r="I620" i="17"/>
  <c r="H620" i="17"/>
  <c r="I619" i="17"/>
  <c r="H619" i="17"/>
  <c r="I618" i="17"/>
  <c r="H618" i="17"/>
  <c r="I617" i="17"/>
  <c r="H617" i="17"/>
  <c r="I616" i="17"/>
  <c r="H616" i="17"/>
  <c r="I615" i="17"/>
  <c r="H615" i="17"/>
  <c r="I614" i="17"/>
  <c r="H614" i="17"/>
  <c r="I613" i="17"/>
  <c r="H613" i="17"/>
  <c r="I612" i="17"/>
  <c r="H612" i="17"/>
  <c r="I611" i="17"/>
  <c r="H611" i="17"/>
  <c r="I610" i="17"/>
  <c r="H610" i="17"/>
  <c r="I609" i="17"/>
  <c r="H609" i="17"/>
  <c r="I608" i="17"/>
  <c r="H608" i="17"/>
  <c r="I607" i="17"/>
  <c r="H607" i="17"/>
  <c r="I606" i="17"/>
  <c r="H606" i="17"/>
  <c r="I605" i="17"/>
  <c r="H605" i="17"/>
  <c r="I604" i="17"/>
  <c r="H604" i="17"/>
  <c r="I603" i="17"/>
  <c r="H603" i="17"/>
  <c r="I602" i="17"/>
  <c r="H602" i="17"/>
  <c r="I601" i="17"/>
  <c r="H601" i="17"/>
  <c r="I600" i="17"/>
  <c r="H600" i="17"/>
  <c r="I599" i="17"/>
  <c r="H599" i="17"/>
  <c r="I598" i="17"/>
  <c r="H598" i="17"/>
  <c r="I597" i="17"/>
  <c r="H597" i="17"/>
  <c r="I596" i="17"/>
  <c r="H596" i="17"/>
  <c r="I595" i="17"/>
  <c r="H595" i="17"/>
  <c r="I594" i="17"/>
  <c r="H594" i="17"/>
  <c r="I593" i="17"/>
  <c r="H593" i="17"/>
  <c r="I592" i="17"/>
  <c r="H592" i="17"/>
  <c r="I591" i="17"/>
  <c r="H591" i="17"/>
  <c r="I590" i="17"/>
  <c r="H590" i="17"/>
  <c r="I589" i="17"/>
  <c r="H589" i="17"/>
  <c r="I588" i="17"/>
  <c r="H588" i="17"/>
  <c r="I587" i="17"/>
  <c r="H587" i="17"/>
  <c r="I586" i="17"/>
  <c r="H586" i="17"/>
  <c r="I585" i="17"/>
  <c r="H585" i="17"/>
  <c r="I584" i="17"/>
  <c r="H584" i="17"/>
  <c r="I583" i="17"/>
  <c r="H583" i="17"/>
  <c r="I582" i="17"/>
  <c r="H582" i="17"/>
  <c r="I581" i="17"/>
  <c r="H581" i="17"/>
  <c r="I580" i="17"/>
  <c r="H580" i="17"/>
  <c r="I579" i="17"/>
  <c r="H579" i="17"/>
  <c r="I578" i="17"/>
  <c r="H578" i="17"/>
  <c r="I577" i="17"/>
  <c r="H577" i="17"/>
  <c r="I576" i="17"/>
  <c r="H576" i="17"/>
  <c r="I575" i="17"/>
  <c r="H575" i="17"/>
  <c r="I574" i="17"/>
  <c r="H574" i="17"/>
  <c r="I573" i="17"/>
  <c r="H573" i="17"/>
  <c r="I572" i="17"/>
  <c r="H572" i="17"/>
  <c r="I571" i="17"/>
  <c r="H571" i="17"/>
  <c r="I570" i="17"/>
  <c r="H570" i="17"/>
  <c r="I569" i="17"/>
  <c r="H569" i="17"/>
  <c r="I568" i="17"/>
  <c r="H568" i="17"/>
  <c r="I567" i="17"/>
  <c r="H567" i="17"/>
  <c r="I566" i="17"/>
  <c r="H566" i="17"/>
  <c r="I565" i="17"/>
  <c r="H565" i="17"/>
  <c r="I564" i="17"/>
  <c r="H564" i="17"/>
  <c r="I563" i="17"/>
  <c r="H563" i="17"/>
  <c r="I562" i="17"/>
  <c r="H562" i="17"/>
  <c r="I561" i="17"/>
  <c r="H561" i="17"/>
  <c r="I560" i="17"/>
  <c r="H560" i="17"/>
  <c r="I559" i="17"/>
  <c r="H559" i="17"/>
  <c r="I558" i="17"/>
  <c r="H558" i="17"/>
  <c r="I557" i="17"/>
  <c r="H557" i="17"/>
  <c r="I556" i="17"/>
  <c r="H556" i="17"/>
  <c r="I555" i="17"/>
  <c r="H555" i="17"/>
  <c r="I554" i="17"/>
  <c r="H554" i="17"/>
  <c r="I553" i="17"/>
  <c r="H553" i="17"/>
  <c r="I552" i="17"/>
  <c r="H552" i="17"/>
  <c r="I551" i="17"/>
  <c r="H551" i="17"/>
  <c r="I550" i="17"/>
  <c r="H550" i="17"/>
  <c r="I549" i="17"/>
  <c r="H549" i="17"/>
  <c r="I548" i="17"/>
  <c r="H548" i="17"/>
  <c r="I547" i="17"/>
  <c r="H547" i="17"/>
  <c r="I546" i="17"/>
  <c r="H546" i="17"/>
  <c r="I545" i="17"/>
  <c r="H545" i="17"/>
  <c r="I544" i="17"/>
  <c r="H544" i="17"/>
  <c r="I543" i="17"/>
  <c r="H543" i="17"/>
  <c r="I542" i="17"/>
  <c r="H542" i="17"/>
  <c r="I541" i="17"/>
  <c r="H541" i="17"/>
  <c r="I540" i="17"/>
  <c r="H540" i="17"/>
  <c r="I539" i="17"/>
  <c r="H539" i="17"/>
  <c r="I538" i="17"/>
  <c r="H538" i="17"/>
  <c r="I537" i="17"/>
  <c r="H537" i="17"/>
  <c r="I536" i="17"/>
  <c r="H536" i="17"/>
  <c r="I535" i="17"/>
  <c r="H535" i="17"/>
  <c r="I534" i="17"/>
  <c r="H534" i="17"/>
  <c r="I533" i="17"/>
  <c r="H533" i="17"/>
  <c r="I532" i="17"/>
  <c r="H532" i="17"/>
  <c r="I531" i="17"/>
  <c r="H531" i="17"/>
  <c r="I530" i="17"/>
  <c r="H530" i="17"/>
  <c r="I529" i="17"/>
  <c r="H529" i="17"/>
  <c r="I528" i="17"/>
  <c r="H528" i="17"/>
  <c r="I527" i="17"/>
  <c r="H527" i="17"/>
  <c r="I526" i="17"/>
  <c r="H526" i="17"/>
  <c r="I525" i="17"/>
  <c r="H525" i="17"/>
  <c r="I524" i="17"/>
  <c r="H524" i="17"/>
  <c r="I523" i="17"/>
  <c r="H523" i="17"/>
  <c r="I522" i="17"/>
  <c r="H522" i="17"/>
  <c r="I521" i="17"/>
  <c r="H521" i="17"/>
  <c r="I520" i="17"/>
  <c r="H520" i="17"/>
  <c r="I519" i="17"/>
  <c r="H519" i="17"/>
  <c r="I518" i="17"/>
  <c r="H518" i="17"/>
  <c r="I517" i="17"/>
  <c r="H517" i="17"/>
  <c r="I516" i="17"/>
  <c r="H516" i="17"/>
  <c r="I515" i="17"/>
  <c r="H515" i="17"/>
  <c r="I514" i="17"/>
  <c r="H514" i="17"/>
  <c r="I513" i="17"/>
  <c r="H513" i="17"/>
  <c r="I512" i="17"/>
  <c r="H512" i="17"/>
  <c r="I511" i="17"/>
  <c r="H511" i="17"/>
  <c r="I510" i="17"/>
  <c r="H510" i="17"/>
  <c r="I509" i="17"/>
  <c r="H509" i="17"/>
  <c r="I508" i="17"/>
  <c r="H508" i="17"/>
  <c r="I507" i="17"/>
  <c r="H507" i="17"/>
  <c r="I506" i="17"/>
  <c r="H506" i="17"/>
  <c r="I505" i="17"/>
  <c r="H505" i="17"/>
  <c r="I504" i="17"/>
  <c r="H504" i="17"/>
  <c r="I503" i="17"/>
  <c r="H503" i="17"/>
  <c r="I502" i="17"/>
  <c r="H502" i="17"/>
  <c r="I501" i="17"/>
  <c r="H501" i="17"/>
  <c r="I500" i="17"/>
  <c r="H500" i="17"/>
  <c r="I499" i="17"/>
  <c r="H499" i="17"/>
  <c r="I498" i="17"/>
  <c r="H498" i="17"/>
  <c r="I497" i="17"/>
  <c r="H497" i="17"/>
  <c r="I496" i="17"/>
  <c r="H496" i="17"/>
  <c r="I495" i="17"/>
  <c r="H495" i="17"/>
  <c r="I494" i="17"/>
  <c r="H494" i="17"/>
  <c r="I493" i="17"/>
  <c r="H493" i="17"/>
  <c r="I492" i="17"/>
  <c r="H492" i="17"/>
  <c r="I491" i="17"/>
  <c r="H491" i="17"/>
  <c r="I490" i="17"/>
  <c r="H490" i="17"/>
  <c r="I489" i="17"/>
  <c r="H489" i="17"/>
  <c r="I488" i="17"/>
  <c r="H488" i="17"/>
  <c r="I487" i="17"/>
  <c r="H487" i="17"/>
  <c r="I486" i="17"/>
  <c r="H486" i="17"/>
  <c r="I485" i="17"/>
  <c r="H485" i="17"/>
  <c r="I484" i="17"/>
  <c r="H484" i="17"/>
  <c r="I483" i="17"/>
  <c r="H483" i="17"/>
  <c r="I482" i="17"/>
  <c r="H482" i="17"/>
  <c r="I481" i="17"/>
  <c r="H481" i="17"/>
  <c r="I480" i="17"/>
  <c r="H480" i="17"/>
  <c r="I479" i="17"/>
  <c r="H479" i="17"/>
  <c r="I478" i="17"/>
  <c r="H478" i="17"/>
  <c r="I477" i="17"/>
  <c r="H477" i="17"/>
  <c r="I476" i="17"/>
  <c r="H476" i="17"/>
  <c r="I475" i="17"/>
  <c r="H475" i="17"/>
  <c r="I474" i="17"/>
  <c r="H474" i="17"/>
  <c r="I473" i="17"/>
  <c r="H473" i="17"/>
  <c r="I472" i="17"/>
  <c r="H472" i="17"/>
  <c r="I471" i="17"/>
  <c r="H471" i="17"/>
  <c r="I470" i="17"/>
  <c r="H470" i="17"/>
  <c r="I469" i="17"/>
  <c r="H469" i="17"/>
  <c r="I468" i="17"/>
  <c r="H468" i="17"/>
  <c r="I467" i="17"/>
  <c r="H467" i="17"/>
  <c r="I466" i="17"/>
  <c r="H466" i="17"/>
  <c r="I465" i="17"/>
  <c r="H465" i="17"/>
  <c r="I464" i="17"/>
  <c r="H464" i="17"/>
  <c r="I463" i="17"/>
  <c r="H463" i="17"/>
  <c r="I462" i="17"/>
  <c r="H462" i="17"/>
  <c r="I461" i="17"/>
  <c r="H461" i="17"/>
  <c r="I460" i="17"/>
  <c r="H460" i="17"/>
  <c r="I459" i="17"/>
  <c r="H459" i="17"/>
  <c r="I458" i="17"/>
  <c r="H458" i="17"/>
  <c r="I457" i="17"/>
  <c r="H457" i="17"/>
  <c r="I456" i="17"/>
  <c r="H456" i="17"/>
  <c r="I455" i="17"/>
  <c r="H455" i="17"/>
  <c r="I454" i="17"/>
  <c r="H454" i="17"/>
  <c r="I453" i="17"/>
  <c r="H453" i="17"/>
  <c r="I452" i="17"/>
  <c r="H452" i="17"/>
  <c r="I451" i="17"/>
  <c r="H451" i="17"/>
  <c r="I450" i="17"/>
  <c r="H450" i="17"/>
  <c r="I449" i="17"/>
  <c r="H449" i="17"/>
  <c r="I448" i="17"/>
  <c r="H448" i="17"/>
  <c r="I447" i="17"/>
  <c r="H447" i="17"/>
  <c r="I446" i="17"/>
  <c r="H446" i="17"/>
  <c r="I445" i="17"/>
  <c r="H445" i="17"/>
  <c r="I444" i="17"/>
  <c r="H444" i="17"/>
  <c r="I443" i="17"/>
  <c r="H443" i="17"/>
  <c r="I442" i="17"/>
  <c r="H442" i="17"/>
  <c r="I441" i="17"/>
  <c r="H441" i="17"/>
  <c r="I440" i="17"/>
  <c r="H440" i="17"/>
  <c r="I439" i="17"/>
  <c r="H439" i="17"/>
  <c r="I438" i="17"/>
  <c r="H438" i="17"/>
  <c r="I437" i="17"/>
  <c r="H437" i="17"/>
  <c r="I436" i="17"/>
  <c r="H436" i="17"/>
  <c r="I435" i="17"/>
  <c r="H435" i="17"/>
  <c r="I434" i="17"/>
  <c r="H434" i="17"/>
  <c r="I433" i="17"/>
  <c r="H433" i="17"/>
  <c r="I432" i="17"/>
  <c r="H432" i="17"/>
  <c r="I431" i="17"/>
  <c r="H431" i="17"/>
  <c r="I430" i="17"/>
  <c r="H430" i="17"/>
  <c r="I429" i="17"/>
  <c r="H429" i="17"/>
  <c r="I428" i="17"/>
  <c r="H428" i="17"/>
  <c r="I427" i="17"/>
  <c r="H427" i="17"/>
  <c r="I426" i="17"/>
  <c r="H426" i="17"/>
  <c r="I425" i="17"/>
  <c r="H425" i="17"/>
  <c r="I424" i="17"/>
  <c r="H424" i="17"/>
  <c r="I423" i="17"/>
  <c r="H423" i="17"/>
  <c r="I422" i="17"/>
  <c r="H422" i="17"/>
  <c r="I421" i="17"/>
  <c r="H421" i="17"/>
  <c r="I420" i="17"/>
  <c r="H420" i="17"/>
  <c r="I419" i="17"/>
  <c r="H419" i="17"/>
  <c r="I418" i="17"/>
  <c r="H418" i="17"/>
  <c r="I417" i="17"/>
  <c r="H417" i="17"/>
  <c r="I416" i="17"/>
  <c r="H416" i="17"/>
  <c r="I415" i="17"/>
  <c r="H415" i="17"/>
  <c r="I414" i="17"/>
  <c r="H414" i="17"/>
  <c r="I413" i="17"/>
  <c r="H413" i="17"/>
  <c r="I412" i="17"/>
  <c r="H412" i="17"/>
  <c r="I411" i="17"/>
  <c r="H411" i="17"/>
  <c r="I410" i="17"/>
  <c r="H410" i="17"/>
  <c r="I409" i="17"/>
  <c r="H409" i="17"/>
  <c r="I408" i="17"/>
  <c r="H408" i="17"/>
  <c r="I407" i="17"/>
  <c r="H407" i="17"/>
  <c r="I406" i="17"/>
  <c r="H406" i="17"/>
  <c r="I405" i="17"/>
  <c r="H405" i="17"/>
  <c r="I404" i="17"/>
  <c r="H404" i="17"/>
  <c r="I403" i="17"/>
  <c r="H403" i="17"/>
  <c r="I402" i="17"/>
  <c r="H402" i="17"/>
  <c r="I401" i="17"/>
  <c r="H401" i="17"/>
  <c r="I400" i="17"/>
  <c r="H400" i="17"/>
  <c r="I399" i="17"/>
  <c r="H399" i="17"/>
  <c r="I398" i="17"/>
  <c r="H398" i="17"/>
  <c r="I397" i="17"/>
  <c r="H397" i="17"/>
  <c r="I396" i="17"/>
  <c r="H396" i="17"/>
  <c r="I395" i="17"/>
  <c r="H395" i="17"/>
  <c r="I394" i="17"/>
  <c r="H394" i="17"/>
  <c r="I393" i="17"/>
  <c r="H393" i="17"/>
  <c r="I392" i="17"/>
  <c r="H392" i="17"/>
  <c r="I391" i="17"/>
  <c r="H391" i="17"/>
  <c r="I390" i="17"/>
  <c r="H390" i="17"/>
  <c r="I389" i="17"/>
  <c r="H389" i="17"/>
  <c r="I388" i="17"/>
  <c r="H388" i="17"/>
  <c r="I387" i="17"/>
  <c r="H387" i="17"/>
  <c r="I386" i="17"/>
  <c r="H386" i="17"/>
  <c r="I385" i="17"/>
  <c r="H385" i="17"/>
  <c r="I384" i="17"/>
  <c r="H384" i="17"/>
  <c r="I383" i="17"/>
  <c r="H383" i="17"/>
  <c r="I382" i="17"/>
  <c r="H382" i="17"/>
  <c r="I381" i="17"/>
  <c r="H381" i="17"/>
  <c r="I380" i="17"/>
  <c r="H380" i="17"/>
  <c r="I379" i="17"/>
  <c r="H379" i="17"/>
  <c r="I378" i="17"/>
  <c r="H378" i="17"/>
  <c r="I377" i="17"/>
  <c r="H377" i="17"/>
  <c r="I376" i="17"/>
  <c r="H376" i="17"/>
  <c r="I375" i="17"/>
  <c r="H375" i="17"/>
  <c r="I374" i="17"/>
  <c r="H374" i="17"/>
  <c r="I373" i="17"/>
  <c r="H373" i="17"/>
  <c r="I372" i="17"/>
  <c r="H372" i="17"/>
  <c r="I371" i="17"/>
  <c r="H371" i="17"/>
  <c r="I370" i="17"/>
  <c r="H370" i="17"/>
  <c r="I369" i="17"/>
  <c r="H369" i="17"/>
  <c r="I368" i="17"/>
  <c r="H368" i="17"/>
  <c r="I367" i="17"/>
  <c r="H367" i="17"/>
  <c r="I366" i="17"/>
  <c r="H366" i="17"/>
  <c r="I365" i="17"/>
  <c r="H365" i="17"/>
  <c r="I364" i="17"/>
  <c r="H364" i="17"/>
  <c r="I363" i="17"/>
  <c r="H363" i="17"/>
  <c r="I362" i="17"/>
  <c r="H362" i="17"/>
  <c r="I361" i="17"/>
  <c r="H361" i="17"/>
  <c r="I360" i="17"/>
  <c r="H360" i="17"/>
  <c r="I359" i="17"/>
  <c r="H359" i="17"/>
  <c r="I358" i="17"/>
  <c r="H358" i="17"/>
  <c r="I357" i="17"/>
  <c r="H357" i="17"/>
  <c r="I356" i="17"/>
  <c r="H356" i="17"/>
  <c r="I355" i="17"/>
  <c r="H355" i="17"/>
  <c r="I354" i="17"/>
  <c r="H354" i="17"/>
  <c r="I353" i="17"/>
  <c r="H353" i="17"/>
  <c r="I352" i="17"/>
  <c r="H352" i="17"/>
  <c r="I351" i="17"/>
  <c r="H351" i="17"/>
  <c r="I350" i="17"/>
  <c r="H350" i="17"/>
  <c r="I349" i="17"/>
  <c r="H349" i="17"/>
  <c r="I348" i="17"/>
  <c r="H348" i="17"/>
  <c r="I347" i="17"/>
  <c r="H347" i="17"/>
  <c r="I346" i="17"/>
  <c r="H346" i="17"/>
  <c r="I345" i="17"/>
  <c r="H345" i="17"/>
  <c r="I344" i="17"/>
  <c r="H344" i="17"/>
  <c r="I343" i="17"/>
  <c r="H343" i="17"/>
  <c r="I342" i="17"/>
  <c r="H342" i="17"/>
  <c r="I341" i="17"/>
  <c r="H341" i="17"/>
  <c r="I340" i="17"/>
  <c r="H340" i="17"/>
  <c r="I339" i="17"/>
  <c r="H339" i="17"/>
  <c r="I338" i="17"/>
  <c r="H338" i="17"/>
  <c r="I337" i="17"/>
  <c r="H337" i="17"/>
  <c r="I336" i="17"/>
  <c r="H336" i="17"/>
  <c r="I335" i="17"/>
  <c r="H335" i="17"/>
  <c r="I334" i="17"/>
  <c r="H334" i="17"/>
  <c r="I333" i="17"/>
  <c r="H333" i="17"/>
  <c r="I332" i="17"/>
  <c r="H332" i="17"/>
  <c r="I331" i="17"/>
  <c r="H331" i="17"/>
  <c r="I330" i="17"/>
  <c r="H330" i="17"/>
  <c r="I329" i="17"/>
  <c r="H329" i="17"/>
  <c r="I328" i="17"/>
  <c r="H328" i="17"/>
  <c r="I327" i="17"/>
  <c r="H327" i="17"/>
  <c r="I326" i="17"/>
  <c r="H326" i="17"/>
  <c r="I325" i="17"/>
  <c r="H325" i="17"/>
  <c r="I324" i="17"/>
  <c r="H324" i="17"/>
  <c r="I323" i="17"/>
  <c r="H323" i="17"/>
  <c r="I322" i="17"/>
  <c r="H322" i="17"/>
  <c r="I321" i="17"/>
  <c r="H321" i="17"/>
  <c r="I320" i="17"/>
  <c r="H320" i="17"/>
  <c r="I319" i="17"/>
  <c r="H319" i="17"/>
  <c r="I318" i="17"/>
  <c r="H318" i="17"/>
  <c r="I317" i="17"/>
  <c r="H317" i="17"/>
  <c r="I316" i="17"/>
  <c r="H316" i="17"/>
  <c r="I315" i="17"/>
  <c r="H315" i="17"/>
  <c r="I314" i="17"/>
  <c r="H314" i="17"/>
  <c r="I313" i="17"/>
  <c r="H313" i="17"/>
  <c r="I312" i="17"/>
  <c r="H312" i="17"/>
  <c r="I311" i="17"/>
  <c r="H311" i="17"/>
  <c r="I310" i="17"/>
  <c r="H310" i="17"/>
  <c r="I309" i="17"/>
  <c r="H309" i="17"/>
  <c r="I308" i="17"/>
  <c r="H308" i="17"/>
  <c r="I307" i="17"/>
  <c r="H307" i="17"/>
  <c r="I306" i="17"/>
  <c r="H306" i="17"/>
  <c r="I305" i="17"/>
  <c r="H305" i="17"/>
  <c r="I304" i="17"/>
  <c r="H304" i="17"/>
  <c r="I303" i="17"/>
  <c r="H303" i="17"/>
  <c r="I302" i="17"/>
  <c r="H302" i="17"/>
  <c r="I301" i="17"/>
  <c r="H301" i="17"/>
  <c r="I300" i="17"/>
  <c r="H300" i="17"/>
  <c r="I299" i="17"/>
  <c r="H299" i="17"/>
  <c r="I298" i="17"/>
  <c r="H298" i="17"/>
  <c r="I297" i="17"/>
  <c r="H297" i="17"/>
  <c r="I296" i="17"/>
  <c r="H296" i="17"/>
  <c r="I295" i="17"/>
  <c r="H295" i="17"/>
  <c r="I294" i="17"/>
  <c r="H294" i="17"/>
  <c r="I293" i="17"/>
  <c r="H293" i="17"/>
  <c r="I292" i="17"/>
  <c r="H292" i="17"/>
  <c r="I291" i="17"/>
  <c r="H291" i="17"/>
  <c r="I290" i="17"/>
  <c r="H290" i="17"/>
  <c r="I289" i="17"/>
  <c r="H289" i="17"/>
  <c r="I288" i="17"/>
  <c r="H288" i="17"/>
  <c r="I287" i="17"/>
  <c r="H287" i="17"/>
  <c r="I286" i="17"/>
  <c r="H286" i="17"/>
  <c r="I285" i="17"/>
  <c r="H285" i="17"/>
  <c r="I284" i="17"/>
  <c r="H284" i="17"/>
  <c r="I283" i="17"/>
  <c r="H283" i="17"/>
  <c r="I282" i="17"/>
  <c r="H282" i="17"/>
  <c r="I281" i="17"/>
  <c r="H281" i="17"/>
  <c r="I280" i="17"/>
  <c r="H280" i="17"/>
  <c r="I279" i="17"/>
  <c r="H279" i="17"/>
  <c r="I278" i="17"/>
  <c r="H278" i="17"/>
  <c r="I277" i="17"/>
  <c r="H277" i="17"/>
  <c r="I276" i="17"/>
  <c r="H276" i="17"/>
  <c r="I275" i="17"/>
  <c r="H275" i="17"/>
  <c r="I274" i="17"/>
  <c r="H274" i="17"/>
  <c r="I273" i="17"/>
  <c r="H273" i="17"/>
  <c r="I272" i="17"/>
  <c r="H272" i="17"/>
  <c r="I271" i="17"/>
  <c r="H271" i="17"/>
  <c r="I270" i="17"/>
  <c r="H270" i="17"/>
  <c r="I269" i="17"/>
  <c r="H269" i="17"/>
  <c r="I268" i="17"/>
  <c r="H268" i="17"/>
  <c r="I267" i="17"/>
  <c r="H267" i="17"/>
  <c r="I266" i="17"/>
  <c r="H266" i="17"/>
  <c r="I265" i="17"/>
  <c r="H265" i="17"/>
  <c r="I264" i="17"/>
  <c r="H264" i="17"/>
  <c r="I263" i="17"/>
  <c r="H263" i="17"/>
  <c r="I262" i="17"/>
  <c r="H262" i="17"/>
  <c r="I261" i="17"/>
  <c r="H261" i="17"/>
  <c r="I260" i="17"/>
  <c r="H260" i="17"/>
  <c r="I259" i="17"/>
  <c r="H259" i="17"/>
  <c r="I258" i="17"/>
  <c r="H258" i="17"/>
  <c r="I257" i="17"/>
  <c r="H257" i="17"/>
  <c r="I256" i="17"/>
  <c r="H256" i="17"/>
  <c r="I255" i="17"/>
  <c r="H255" i="17"/>
  <c r="I254" i="17"/>
  <c r="H254" i="17"/>
  <c r="I253" i="17"/>
  <c r="H253" i="17"/>
  <c r="I252" i="17"/>
  <c r="H252" i="17"/>
  <c r="I251" i="17"/>
  <c r="H251" i="17"/>
  <c r="I250" i="17"/>
  <c r="H250" i="17"/>
  <c r="I249" i="17"/>
  <c r="H249" i="17"/>
  <c r="I248" i="17"/>
  <c r="H248" i="17"/>
  <c r="I247" i="17"/>
  <c r="H247" i="17"/>
  <c r="I246" i="17"/>
  <c r="H246" i="17"/>
  <c r="I245" i="17"/>
  <c r="H245" i="17"/>
  <c r="I244" i="17"/>
  <c r="H244" i="17"/>
  <c r="I243" i="17"/>
  <c r="H243" i="17"/>
  <c r="I242" i="17"/>
  <c r="H242" i="17"/>
  <c r="I241" i="17"/>
  <c r="H241" i="17"/>
  <c r="I240" i="17"/>
  <c r="H240" i="17"/>
  <c r="I239" i="17"/>
  <c r="H239" i="17"/>
  <c r="I238" i="17"/>
  <c r="H238" i="17"/>
  <c r="I237" i="17"/>
  <c r="H237" i="17"/>
  <c r="I236" i="17"/>
  <c r="H236" i="17"/>
  <c r="I235" i="17"/>
  <c r="H235" i="17"/>
  <c r="I234" i="17"/>
  <c r="H234" i="17"/>
  <c r="I233" i="17"/>
  <c r="H233" i="17"/>
  <c r="I232" i="17"/>
  <c r="H232" i="17"/>
  <c r="I231" i="17"/>
  <c r="H231" i="17"/>
  <c r="I230" i="17"/>
  <c r="H230" i="17"/>
  <c r="I229" i="17"/>
  <c r="H229" i="17"/>
  <c r="I228" i="17"/>
  <c r="H228" i="17"/>
  <c r="I227" i="17"/>
  <c r="H227" i="17"/>
  <c r="I226" i="17"/>
  <c r="H226" i="17"/>
  <c r="I225" i="17"/>
  <c r="H225" i="17"/>
  <c r="I224" i="17"/>
  <c r="H224" i="17"/>
  <c r="I223" i="17"/>
  <c r="H223" i="17"/>
  <c r="I222" i="17"/>
  <c r="H222" i="17"/>
  <c r="I221" i="17"/>
  <c r="H221" i="17"/>
  <c r="I220" i="17"/>
  <c r="H220" i="17"/>
  <c r="I219" i="17"/>
  <c r="H219" i="17"/>
  <c r="I218" i="17"/>
  <c r="H218" i="17"/>
  <c r="I217" i="17"/>
  <c r="H217" i="17"/>
  <c r="I216" i="17"/>
  <c r="H216" i="17"/>
  <c r="I215" i="17"/>
  <c r="H215" i="17"/>
  <c r="I214" i="17"/>
  <c r="H214" i="17"/>
  <c r="I213" i="17"/>
  <c r="H213" i="17"/>
  <c r="I212" i="17"/>
  <c r="H212" i="17"/>
  <c r="I211" i="17"/>
  <c r="H211" i="17"/>
  <c r="I210" i="17"/>
  <c r="H210" i="17"/>
  <c r="I209" i="17"/>
  <c r="H209" i="17"/>
  <c r="I208" i="17"/>
  <c r="H208" i="17"/>
  <c r="I207" i="17"/>
  <c r="H207" i="17"/>
  <c r="I206" i="17"/>
  <c r="H206" i="17"/>
  <c r="I205" i="17"/>
  <c r="H205" i="17"/>
  <c r="I204" i="17"/>
  <c r="H204" i="17"/>
  <c r="I203" i="17"/>
  <c r="H203" i="17"/>
  <c r="I202" i="17"/>
  <c r="H202" i="17"/>
  <c r="I201" i="17"/>
  <c r="H201" i="17"/>
  <c r="I200" i="17"/>
  <c r="H200" i="17"/>
  <c r="I199" i="17"/>
  <c r="H199" i="17"/>
  <c r="I198" i="17"/>
  <c r="H198" i="17"/>
  <c r="I197" i="17"/>
  <c r="H197" i="17"/>
  <c r="I196" i="17"/>
  <c r="H196" i="17"/>
  <c r="I195" i="17"/>
  <c r="H195" i="17"/>
  <c r="I194" i="17"/>
  <c r="H194" i="17"/>
  <c r="I193" i="17"/>
  <c r="H193" i="17"/>
  <c r="I192" i="17"/>
  <c r="H192" i="17"/>
  <c r="I191" i="17"/>
  <c r="H191" i="17"/>
  <c r="I190" i="17"/>
  <c r="H190" i="17"/>
  <c r="I189" i="17"/>
  <c r="H189" i="17"/>
  <c r="I188" i="17"/>
  <c r="H188" i="17"/>
  <c r="I187" i="17"/>
  <c r="H187" i="17"/>
  <c r="I186" i="17"/>
  <c r="H186" i="17"/>
  <c r="I185" i="17"/>
  <c r="H185" i="17"/>
  <c r="I184" i="17"/>
  <c r="H184" i="17"/>
  <c r="I183" i="17"/>
  <c r="H183" i="17"/>
  <c r="I182" i="17"/>
  <c r="H182" i="17"/>
  <c r="I181" i="17"/>
  <c r="H181" i="17"/>
  <c r="I180" i="17"/>
  <c r="H180" i="17"/>
  <c r="I179" i="17"/>
  <c r="H179" i="17"/>
  <c r="I178" i="17"/>
  <c r="H178" i="17"/>
  <c r="I177" i="17"/>
  <c r="H177" i="17"/>
  <c r="I176" i="17"/>
  <c r="H176" i="17"/>
  <c r="I175" i="17"/>
  <c r="H175" i="17"/>
  <c r="I174" i="17"/>
  <c r="H174" i="17"/>
  <c r="I173" i="17"/>
  <c r="H173" i="17"/>
  <c r="I172" i="17"/>
  <c r="H172" i="17"/>
  <c r="I171" i="17"/>
  <c r="H171" i="17"/>
  <c r="I170" i="17"/>
  <c r="H170" i="17"/>
  <c r="I169" i="17"/>
  <c r="H169" i="17"/>
  <c r="I168" i="17"/>
  <c r="H168" i="17"/>
  <c r="I167" i="17"/>
  <c r="H167" i="17"/>
  <c r="I166" i="17"/>
  <c r="H166" i="17"/>
  <c r="I165" i="17"/>
  <c r="H165" i="17"/>
  <c r="I164" i="17"/>
  <c r="H164" i="17"/>
  <c r="I163" i="17"/>
  <c r="H163" i="17"/>
  <c r="I162" i="17"/>
  <c r="H162" i="17"/>
  <c r="I161" i="17"/>
  <c r="H161" i="17"/>
  <c r="I160" i="17"/>
  <c r="H160" i="17"/>
  <c r="I159" i="17"/>
  <c r="H159" i="17"/>
  <c r="I158" i="17"/>
  <c r="H158" i="17"/>
  <c r="I157" i="17"/>
  <c r="H157" i="17"/>
  <c r="I156" i="17"/>
  <c r="H156" i="17"/>
  <c r="I155" i="17"/>
  <c r="H155" i="17"/>
  <c r="I154" i="17"/>
  <c r="H154" i="17"/>
  <c r="I153" i="17"/>
  <c r="H153" i="17"/>
  <c r="I152" i="17"/>
  <c r="H152" i="17"/>
  <c r="I151" i="17"/>
  <c r="H151" i="17"/>
  <c r="I150" i="17"/>
  <c r="H150" i="17"/>
  <c r="I149" i="17"/>
  <c r="H149" i="17"/>
  <c r="I148" i="17"/>
  <c r="H148" i="17"/>
  <c r="I147" i="17"/>
  <c r="H147" i="17"/>
  <c r="I146" i="17"/>
  <c r="H146" i="17"/>
  <c r="I145" i="17"/>
  <c r="H145" i="17"/>
  <c r="I144" i="17"/>
  <c r="H144" i="17"/>
  <c r="I143" i="17"/>
  <c r="H143" i="17"/>
  <c r="I142" i="17"/>
  <c r="H142" i="17"/>
  <c r="I141" i="17"/>
  <c r="H141" i="17"/>
  <c r="I140" i="17"/>
  <c r="H140" i="17"/>
  <c r="I139" i="17"/>
  <c r="H139" i="17"/>
  <c r="I138" i="17"/>
  <c r="H138" i="17"/>
  <c r="I137" i="17"/>
  <c r="H137" i="17"/>
  <c r="I136" i="17"/>
  <c r="H136" i="17"/>
  <c r="I135" i="17"/>
  <c r="H135" i="17"/>
  <c r="I134" i="17"/>
  <c r="H134" i="17"/>
  <c r="I133" i="17"/>
  <c r="H133" i="17"/>
  <c r="I132" i="17"/>
  <c r="H132" i="17"/>
  <c r="I131" i="17"/>
  <c r="H131" i="17"/>
  <c r="I130" i="17"/>
  <c r="H130" i="17"/>
  <c r="I129" i="17"/>
  <c r="H129" i="17"/>
  <c r="I128" i="17"/>
  <c r="H128" i="17"/>
  <c r="I127" i="17"/>
  <c r="H127" i="17"/>
  <c r="I126" i="17"/>
  <c r="H126" i="17"/>
  <c r="I125" i="17"/>
  <c r="H125" i="17"/>
  <c r="I124" i="17"/>
  <c r="H124" i="17"/>
  <c r="I123" i="17"/>
  <c r="H123" i="17"/>
  <c r="I122" i="17"/>
  <c r="H122" i="17"/>
  <c r="I121" i="17"/>
  <c r="H121" i="17"/>
  <c r="I120" i="17"/>
  <c r="H120" i="17"/>
  <c r="I119" i="17"/>
  <c r="H119" i="17"/>
  <c r="I118" i="17"/>
  <c r="H118" i="17"/>
  <c r="I117" i="17"/>
  <c r="H117" i="17"/>
  <c r="I116" i="17"/>
  <c r="H116" i="17"/>
  <c r="I115" i="17"/>
  <c r="H115" i="17"/>
  <c r="I114" i="17"/>
  <c r="H114" i="17"/>
  <c r="I113" i="17"/>
  <c r="H113" i="17"/>
  <c r="I112" i="17"/>
  <c r="H112" i="17"/>
  <c r="I111" i="17"/>
  <c r="H111" i="17"/>
  <c r="I110" i="17"/>
  <c r="H110" i="17"/>
  <c r="I109" i="17"/>
  <c r="H109" i="17"/>
  <c r="I108" i="17"/>
  <c r="H108" i="17"/>
  <c r="I107" i="17"/>
  <c r="H107" i="17"/>
  <c r="I106" i="17"/>
  <c r="H106" i="17"/>
  <c r="I105" i="17"/>
  <c r="H105" i="17"/>
  <c r="I104" i="17"/>
  <c r="H104" i="17"/>
  <c r="I103" i="17"/>
  <c r="H103" i="17"/>
  <c r="I102" i="17"/>
  <c r="H102" i="17"/>
  <c r="I101" i="17"/>
  <c r="H101" i="17"/>
  <c r="I100" i="17"/>
  <c r="H100" i="17"/>
  <c r="I99" i="17"/>
  <c r="H99" i="17"/>
  <c r="I98" i="17"/>
  <c r="H98" i="17"/>
  <c r="I97" i="17"/>
  <c r="H97" i="17"/>
  <c r="I96" i="17"/>
  <c r="H96" i="17"/>
  <c r="I95" i="17"/>
  <c r="H95" i="17"/>
  <c r="I94" i="17"/>
  <c r="H94" i="17"/>
  <c r="I93" i="17"/>
  <c r="H93" i="17"/>
  <c r="I92" i="17"/>
  <c r="H92" i="17"/>
  <c r="I91" i="17"/>
  <c r="H91" i="17"/>
  <c r="I90" i="17"/>
  <c r="H90" i="17"/>
  <c r="I89" i="17"/>
  <c r="H89" i="17"/>
  <c r="I88" i="17"/>
  <c r="H88" i="17"/>
  <c r="I87" i="17"/>
  <c r="H87" i="17"/>
  <c r="I86" i="17"/>
  <c r="H86" i="17"/>
  <c r="I85" i="17"/>
  <c r="H85" i="17"/>
  <c r="I84" i="17"/>
  <c r="H84" i="17"/>
  <c r="I83" i="17"/>
  <c r="H83" i="17"/>
  <c r="I82" i="17"/>
  <c r="H82" i="17"/>
  <c r="I81" i="17"/>
  <c r="H81" i="17"/>
  <c r="I80" i="17"/>
  <c r="H80" i="17"/>
  <c r="I79" i="17"/>
  <c r="H79" i="17"/>
  <c r="I78" i="17"/>
  <c r="H78" i="17"/>
  <c r="I77" i="17"/>
  <c r="H77" i="17"/>
  <c r="I76" i="17"/>
  <c r="H76" i="17"/>
  <c r="I75" i="17"/>
  <c r="H75" i="17"/>
  <c r="I74" i="17"/>
  <c r="H74" i="17"/>
  <c r="I73" i="17"/>
  <c r="H73" i="17"/>
  <c r="I72" i="17"/>
  <c r="H72" i="17"/>
  <c r="I71" i="17"/>
  <c r="H71" i="17"/>
  <c r="I70" i="17"/>
  <c r="H70" i="17"/>
  <c r="I69" i="17"/>
  <c r="H69" i="17"/>
  <c r="I68" i="17"/>
  <c r="H68" i="17"/>
  <c r="I67" i="17"/>
  <c r="H67" i="17"/>
  <c r="I66" i="17"/>
  <c r="H66" i="17"/>
  <c r="I65" i="17"/>
  <c r="H65" i="17"/>
  <c r="I64" i="17"/>
  <c r="H64" i="17"/>
  <c r="I63" i="17"/>
  <c r="H63" i="17"/>
  <c r="I62" i="17"/>
  <c r="H62" i="17"/>
  <c r="I61" i="17"/>
  <c r="H61" i="17"/>
  <c r="I60" i="17"/>
  <c r="H60" i="17"/>
  <c r="I59" i="17"/>
  <c r="H59" i="17"/>
  <c r="I58" i="17"/>
  <c r="H58" i="17"/>
  <c r="I57" i="17"/>
  <c r="H57" i="17"/>
  <c r="I56" i="17"/>
  <c r="H56" i="17"/>
  <c r="I55" i="17"/>
  <c r="H55" i="17"/>
  <c r="I54" i="17"/>
  <c r="H54" i="17"/>
  <c r="I53" i="17"/>
  <c r="H53" i="17"/>
  <c r="I52" i="17"/>
  <c r="H52" i="17"/>
  <c r="I51" i="17"/>
  <c r="H51" i="17"/>
  <c r="I50" i="17"/>
  <c r="H50" i="17"/>
  <c r="I49" i="17"/>
  <c r="H49" i="17"/>
  <c r="I48" i="17"/>
  <c r="H48" i="17"/>
  <c r="I47" i="17"/>
  <c r="H47" i="17"/>
  <c r="I46" i="17"/>
  <c r="H46" i="17"/>
  <c r="I45" i="17"/>
  <c r="H45" i="17"/>
  <c r="I44" i="17"/>
  <c r="H44" i="17"/>
  <c r="I43" i="17"/>
  <c r="H43" i="17"/>
  <c r="I42" i="17"/>
  <c r="H42" i="17"/>
  <c r="I41" i="17"/>
  <c r="H41" i="17"/>
  <c r="I40" i="17"/>
  <c r="H40" i="17"/>
  <c r="I39" i="17"/>
  <c r="H39" i="17"/>
  <c r="I38" i="17"/>
  <c r="H38" i="17"/>
  <c r="I37" i="17"/>
  <c r="H37" i="17"/>
  <c r="I36" i="17"/>
  <c r="H36" i="17"/>
  <c r="I35" i="17"/>
  <c r="H35" i="17"/>
  <c r="I34" i="17"/>
  <c r="H34" i="17"/>
  <c r="I33" i="17"/>
  <c r="H33" i="17"/>
  <c r="I32" i="17"/>
  <c r="H32" i="17"/>
  <c r="I31" i="17"/>
  <c r="H31" i="17"/>
  <c r="I30" i="17"/>
  <c r="H30" i="17"/>
  <c r="I29" i="17"/>
  <c r="H29" i="17"/>
  <c r="I28" i="17"/>
  <c r="H28" i="17"/>
  <c r="I27" i="17"/>
  <c r="H27" i="17"/>
  <c r="I26" i="17"/>
  <c r="H26" i="17"/>
  <c r="I25" i="17"/>
  <c r="H25" i="17"/>
  <c r="I24" i="17"/>
  <c r="H24" i="17"/>
  <c r="I23" i="17"/>
  <c r="H23" i="17"/>
  <c r="I22" i="17"/>
  <c r="H22" i="17"/>
  <c r="I21" i="17"/>
  <c r="H21" i="17"/>
  <c r="I20" i="17"/>
  <c r="H20" i="17"/>
  <c r="I19" i="17"/>
  <c r="H19" i="17"/>
  <c r="I18" i="17"/>
  <c r="H18" i="17"/>
  <c r="I17" i="17"/>
  <c r="H17" i="17"/>
  <c r="I16" i="17"/>
  <c r="H16" i="17"/>
  <c r="I15" i="17"/>
  <c r="H15" i="17"/>
  <c r="I14" i="17"/>
  <c r="H14" i="17"/>
  <c r="I13" i="17"/>
  <c r="H13" i="17"/>
  <c r="I12" i="17"/>
  <c r="H12" i="17"/>
  <c r="I11" i="17"/>
  <c r="H11" i="17"/>
  <c r="I10" i="17"/>
  <c r="H10" i="17"/>
  <c r="I9" i="17"/>
  <c r="H9" i="17"/>
  <c r="I8" i="17"/>
  <c r="H8" i="17"/>
  <c r="I7" i="17"/>
  <c r="H7" i="17"/>
  <c r="I6" i="17"/>
  <c r="H6" i="17"/>
  <c r="I5" i="17"/>
  <c r="H5" i="17"/>
  <c r="B5" i="17"/>
  <c r="B6" i="17" s="1"/>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B124" i="17" s="1"/>
  <c r="B125" i="17" s="1"/>
  <c r="B126" i="17" s="1"/>
  <c r="B127" i="17" s="1"/>
  <c r="B128" i="17" s="1"/>
  <c r="B129" i="17" s="1"/>
  <c r="B130" i="17" s="1"/>
  <c r="B131" i="17" s="1"/>
  <c r="B132" i="17" s="1"/>
  <c r="B133" i="17" s="1"/>
  <c r="B134" i="17" s="1"/>
  <c r="B135" i="17" s="1"/>
  <c r="B136" i="17" s="1"/>
  <c r="B137" i="17" s="1"/>
  <c r="B138" i="17" s="1"/>
  <c r="B139" i="17" s="1"/>
  <c r="B140" i="17" s="1"/>
  <c r="B141" i="17" s="1"/>
  <c r="B142" i="17" s="1"/>
  <c r="B143" i="17" s="1"/>
  <c r="B144" i="17" s="1"/>
  <c r="B145" i="17" s="1"/>
  <c r="B146" i="17" s="1"/>
  <c r="B147" i="17" s="1"/>
  <c r="B148" i="17" s="1"/>
  <c r="B149" i="17" s="1"/>
  <c r="B150" i="17" s="1"/>
  <c r="B151" i="17" s="1"/>
  <c r="B152" i="17" s="1"/>
  <c r="B153" i="17" s="1"/>
  <c r="B154" i="17" s="1"/>
  <c r="B155" i="17" s="1"/>
  <c r="B156" i="17" s="1"/>
  <c r="B157" i="17" s="1"/>
  <c r="B158" i="17" s="1"/>
  <c r="B159" i="17" s="1"/>
  <c r="B160" i="17" s="1"/>
  <c r="B161" i="17" s="1"/>
  <c r="B162" i="17" s="1"/>
  <c r="B163" i="17" s="1"/>
  <c r="B164" i="17" s="1"/>
  <c r="B165" i="17" s="1"/>
  <c r="B166" i="17" s="1"/>
  <c r="B167" i="17" s="1"/>
  <c r="B168" i="17" s="1"/>
  <c r="B169" i="17" s="1"/>
  <c r="B170" i="17" s="1"/>
  <c r="B171" i="17" s="1"/>
  <c r="B172" i="17" s="1"/>
  <c r="B173" i="17" s="1"/>
  <c r="B174" i="17" s="1"/>
  <c r="B175" i="17" s="1"/>
  <c r="B176" i="17" s="1"/>
  <c r="B177" i="17" s="1"/>
  <c r="B178" i="17" s="1"/>
  <c r="B179" i="17" s="1"/>
  <c r="B180" i="17" s="1"/>
  <c r="B181" i="17" s="1"/>
  <c r="B182" i="17" s="1"/>
  <c r="B183" i="17" s="1"/>
  <c r="B184" i="17" s="1"/>
  <c r="B185" i="17" s="1"/>
  <c r="B186" i="17" s="1"/>
  <c r="B187" i="17" s="1"/>
  <c r="B188" i="17" s="1"/>
  <c r="B189" i="17" s="1"/>
  <c r="B190" i="17" s="1"/>
  <c r="B191" i="17" s="1"/>
  <c r="B192" i="17" s="1"/>
  <c r="B193" i="17" s="1"/>
  <c r="B194" i="17" s="1"/>
  <c r="B195" i="17" s="1"/>
  <c r="B196" i="17" s="1"/>
  <c r="B197" i="17" s="1"/>
  <c r="B198" i="17" s="1"/>
  <c r="B199" i="17" s="1"/>
  <c r="B200" i="17" s="1"/>
  <c r="B201" i="17" s="1"/>
  <c r="B202" i="17" s="1"/>
  <c r="B203" i="17" s="1"/>
  <c r="B204" i="17" s="1"/>
  <c r="B205" i="17" s="1"/>
  <c r="B206" i="17" s="1"/>
  <c r="B207" i="17" s="1"/>
  <c r="B208" i="17" s="1"/>
  <c r="B209" i="17" s="1"/>
  <c r="B210" i="17" s="1"/>
  <c r="B211" i="17" s="1"/>
  <c r="B212" i="17" s="1"/>
  <c r="B213" i="17" s="1"/>
  <c r="B214" i="17" s="1"/>
  <c r="B215" i="17" s="1"/>
  <c r="B216" i="17" s="1"/>
  <c r="B217" i="17" s="1"/>
  <c r="B218" i="17" s="1"/>
  <c r="B219" i="17" s="1"/>
  <c r="B220" i="17" s="1"/>
  <c r="B221" i="17" s="1"/>
  <c r="B222" i="17" s="1"/>
  <c r="B223" i="17" s="1"/>
  <c r="B224" i="17" s="1"/>
  <c r="B225" i="17" s="1"/>
  <c r="B226" i="17" s="1"/>
  <c r="B227" i="17" s="1"/>
  <c r="B228" i="17" s="1"/>
  <c r="B229" i="17" s="1"/>
  <c r="B230" i="17" s="1"/>
  <c r="B231" i="17" s="1"/>
  <c r="B232" i="17" s="1"/>
  <c r="B233" i="17" s="1"/>
  <c r="B234" i="17" s="1"/>
  <c r="B235" i="17" s="1"/>
  <c r="B236" i="17" s="1"/>
  <c r="B237" i="17" s="1"/>
  <c r="B238" i="17" s="1"/>
  <c r="B239" i="17" s="1"/>
  <c r="B240" i="17" s="1"/>
  <c r="B241" i="17" s="1"/>
  <c r="B242" i="17" s="1"/>
  <c r="B243" i="17" s="1"/>
  <c r="B244" i="17" s="1"/>
  <c r="B245" i="17" s="1"/>
  <c r="B246" i="17" s="1"/>
  <c r="B247" i="17" s="1"/>
  <c r="B248" i="17" s="1"/>
  <c r="B249" i="17" s="1"/>
  <c r="B250" i="17" s="1"/>
  <c r="B251" i="17" s="1"/>
  <c r="B252" i="17" s="1"/>
  <c r="B253" i="17" s="1"/>
  <c r="B254" i="17" s="1"/>
  <c r="B255" i="17" s="1"/>
  <c r="B256" i="17" s="1"/>
  <c r="B257" i="17" s="1"/>
  <c r="B258" i="17" s="1"/>
  <c r="B259" i="17" s="1"/>
  <c r="B260" i="17" s="1"/>
  <c r="B261" i="17" s="1"/>
  <c r="B262" i="17" s="1"/>
  <c r="B263" i="17" s="1"/>
  <c r="B264" i="17" s="1"/>
  <c r="B265" i="17" s="1"/>
  <c r="B266" i="17" s="1"/>
  <c r="B267" i="17" s="1"/>
  <c r="B268" i="17" s="1"/>
  <c r="B269" i="17" s="1"/>
  <c r="B270" i="17" s="1"/>
  <c r="B271" i="17" s="1"/>
  <c r="B272" i="17" s="1"/>
  <c r="B273" i="17" s="1"/>
  <c r="B274" i="17" s="1"/>
  <c r="B275" i="17" s="1"/>
  <c r="B276" i="17" s="1"/>
  <c r="B277" i="17" s="1"/>
  <c r="B278" i="17" s="1"/>
  <c r="B279" i="17" s="1"/>
  <c r="B280" i="17" s="1"/>
  <c r="B281" i="17" s="1"/>
  <c r="B282" i="17" s="1"/>
  <c r="B283" i="17" s="1"/>
  <c r="B284" i="17" s="1"/>
  <c r="B285" i="17" s="1"/>
  <c r="B286" i="17" s="1"/>
  <c r="B287" i="17" s="1"/>
  <c r="B288" i="17" s="1"/>
  <c r="B289" i="17" s="1"/>
  <c r="B290" i="17" s="1"/>
  <c r="B291" i="17" s="1"/>
  <c r="B292" i="17" s="1"/>
  <c r="B293" i="17" s="1"/>
  <c r="B294" i="17" s="1"/>
  <c r="B295" i="17" s="1"/>
  <c r="B296" i="17" s="1"/>
  <c r="B297" i="17" s="1"/>
  <c r="B298" i="17" s="1"/>
  <c r="B299" i="17" s="1"/>
  <c r="B300" i="17" s="1"/>
  <c r="B301" i="17" s="1"/>
  <c r="B302" i="17" s="1"/>
  <c r="B303" i="17" s="1"/>
  <c r="B304" i="17" s="1"/>
  <c r="B305" i="17" s="1"/>
  <c r="B306" i="17" s="1"/>
  <c r="B307" i="17" s="1"/>
  <c r="B308" i="17" s="1"/>
  <c r="B309" i="17" s="1"/>
  <c r="B310" i="17" s="1"/>
  <c r="B311" i="17" s="1"/>
  <c r="B312" i="17" s="1"/>
  <c r="B313" i="17" s="1"/>
  <c r="B314" i="17" s="1"/>
  <c r="B315" i="17" s="1"/>
  <c r="B316" i="17" s="1"/>
  <c r="B317" i="17" s="1"/>
  <c r="B318" i="17" s="1"/>
  <c r="B319" i="17" s="1"/>
  <c r="B320" i="17" s="1"/>
  <c r="B321" i="17" s="1"/>
  <c r="B322" i="17" s="1"/>
  <c r="B323" i="17" s="1"/>
  <c r="B324" i="17" s="1"/>
  <c r="B325" i="17" s="1"/>
  <c r="B326" i="17" s="1"/>
  <c r="B327" i="17" s="1"/>
  <c r="B328" i="17" s="1"/>
  <c r="B329" i="17" s="1"/>
  <c r="B330" i="17" s="1"/>
  <c r="B331" i="17" s="1"/>
  <c r="B332" i="17" s="1"/>
  <c r="B333" i="17" s="1"/>
  <c r="B334" i="17" s="1"/>
  <c r="B335" i="17" s="1"/>
  <c r="B336" i="17" s="1"/>
  <c r="B337" i="17" s="1"/>
  <c r="B338" i="17" s="1"/>
  <c r="B339" i="17" s="1"/>
  <c r="B340" i="17" s="1"/>
  <c r="B341" i="17" s="1"/>
  <c r="B342" i="17" s="1"/>
  <c r="B343" i="17" s="1"/>
  <c r="B344" i="17" s="1"/>
  <c r="B345" i="17" s="1"/>
  <c r="B346" i="17" s="1"/>
  <c r="B347" i="17" s="1"/>
  <c r="B348" i="17" s="1"/>
  <c r="B349" i="17" s="1"/>
  <c r="B350" i="17" s="1"/>
  <c r="B351" i="17" s="1"/>
  <c r="B352" i="17" s="1"/>
  <c r="B353" i="17" s="1"/>
  <c r="B354" i="17" s="1"/>
  <c r="B355" i="17" s="1"/>
  <c r="B356" i="17" s="1"/>
  <c r="B357" i="17" s="1"/>
  <c r="B358" i="17" s="1"/>
  <c r="B359" i="17" s="1"/>
  <c r="B360" i="17" s="1"/>
  <c r="B361" i="17" s="1"/>
  <c r="B362" i="17" s="1"/>
  <c r="B363" i="17" s="1"/>
  <c r="B364" i="17" s="1"/>
  <c r="B365" i="17" s="1"/>
  <c r="B366" i="17" s="1"/>
  <c r="B367" i="17" s="1"/>
  <c r="B368" i="17" s="1"/>
  <c r="B369" i="17" s="1"/>
  <c r="B370" i="17" s="1"/>
  <c r="B371" i="17" s="1"/>
  <c r="B372" i="17" s="1"/>
  <c r="B373" i="17" s="1"/>
  <c r="B374" i="17" s="1"/>
  <c r="B375" i="17" s="1"/>
  <c r="B376" i="17" s="1"/>
  <c r="B377" i="17" s="1"/>
  <c r="B378" i="17" s="1"/>
  <c r="B379" i="17" s="1"/>
  <c r="B380" i="17" s="1"/>
  <c r="B381" i="17" s="1"/>
  <c r="B382" i="17" s="1"/>
  <c r="B383" i="17" s="1"/>
  <c r="B384" i="17" s="1"/>
  <c r="B385" i="17" s="1"/>
  <c r="B386" i="17" s="1"/>
  <c r="B387" i="17" s="1"/>
  <c r="B388" i="17" s="1"/>
  <c r="B389" i="17" s="1"/>
  <c r="B390" i="17" s="1"/>
  <c r="B391" i="17" s="1"/>
  <c r="B392" i="17" s="1"/>
  <c r="B393" i="17" s="1"/>
  <c r="B394" i="17" s="1"/>
  <c r="B395" i="17" s="1"/>
  <c r="B396" i="17" s="1"/>
  <c r="B397" i="17" s="1"/>
  <c r="B398" i="17" s="1"/>
  <c r="B399" i="17" s="1"/>
  <c r="B400" i="17" s="1"/>
  <c r="B401" i="17" s="1"/>
  <c r="B402" i="17" s="1"/>
  <c r="B403" i="17" s="1"/>
  <c r="B404" i="17" s="1"/>
  <c r="B405" i="17" s="1"/>
  <c r="B406" i="17" s="1"/>
  <c r="B407" i="17" s="1"/>
  <c r="B408" i="17" s="1"/>
  <c r="B409" i="17" s="1"/>
  <c r="B410" i="17" s="1"/>
  <c r="B411" i="17" s="1"/>
  <c r="B412" i="17" s="1"/>
  <c r="B413" i="17" s="1"/>
  <c r="B414" i="17" s="1"/>
  <c r="B415" i="17" s="1"/>
  <c r="B416" i="17" s="1"/>
  <c r="B417" i="17" s="1"/>
  <c r="B418" i="17" s="1"/>
  <c r="B419" i="17" s="1"/>
  <c r="B420" i="17" s="1"/>
  <c r="B421" i="17" s="1"/>
  <c r="B422" i="17" s="1"/>
  <c r="B423" i="17" s="1"/>
  <c r="B424" i="17" s="1"/>
  <c r="B425" i="17" s="1"/>
  <c r="B426" i="17" s="1"/>
  <c r="B427" i="17" s="1"/>
  <c r="B428" i="17" s="1"/>
  <c r="B429" i="17" s="1"/>
  <c r="B430" i="17" s="1"/>
  <c r="B431" i="17" s="1"/>
  <c r="B432" i="17" s="1"/>
  <c r="B433" i="17" s="1"/>
  <c r="B434" i="17" s="1"/>
  <c r="B435" i="17" s="1"/>
  <c r="B436" i="17" s="1"/>
  <c r="B437" i="17" s="1"/>
  <c r="B438" i="17" s="1"/>
  <c r="B439" i="17" s="1"/>
  <c r="B440" i="17" s="1"/>
  <c r="B441" i="17" s="1"/>
  <c r="B442" i="17" s="1"/>
  <c r="B443" i="17" s="1"/>
  <c r="B444" i="17" s="1"/>
  <c r="B445" i="17" s="1"/>
  <c r="B446" i="17" s="1"/>
  <c r="B447" i="17" s="1"/>
  <c r="B448" i="17" s="1"/>
  <c r="B449" i="17" s="1"/>
  <c r="B450" i="17" s="1"/>
  <c r="B451" i="17" s="1"/>
  <c r="B452" i="17" s="1"/>
  <c r="B453" i="17" s="1"/>
  <c r="B454" i="17" s="1"/>
  <c r="B455" i="17" s="1"/>
  <c r="B456" i="17" s="1"/>
  <c r="B457" i="17" s="1"/>
  <c r="B458" i="17" s="1"/>
  <c r="B459" i="17" s="1"/>
  <c r="B460" i="17" s="1"/>
  <c r="B461" i="17" s="1"/>
  <c r="B462" i="17" s="1"/>
  <c r="B463" i="17" s="1"/>
  <c r="B464" i="17" s="1"/>
  <c r="B465" i="17" s="1"/>
  <c r="B466" i="17" s="1"/>
  <c r="B467" i="17" s="1"/>
  <c r="B468" i="17" s="1"/>
  <c r="B469" i="17" s="1"/>
  <c r="B470" i="17" s="1"/>
  <c r="B471" i="17" s="1"/>
  <c r="B472" i="17" s="1"/>
  <c r="B473" i="17" s="1"/>
  <c r="B474" i="17" s="1"/>
  <c r="B475" i="17" s="1"/>
  <c r="B476" i="17" s="1"/>
  <c r="B477" i="17" s="1"/>
  <c r="B478" i="17" s="1"/>
  <c r="B479" i="17" s="1"/>
  <c r="B480" i="17" s="1"/>
  <c r="B481" i="17" s="1"/>
  <c r="B482" i="17" s="1"/>
  <c r="B483" i="17" s="1"/>
  <c r="B484" i="17" s="1"/>
  <c r="B485" i="17" s="1"/>
  <c r="B486" i="17" s="1"/>
  <c r="B487" i="17" s="1"/>
  <c r="B488" i="17" s="1"/>
  <c r="B489" i="17" s="1"/>
  <c r="B490" i="17" s="1"/>
  <c r="B491" i="17" s="1"/>
  <c r="B492" i="17" s="1"/>
  <c r="B493" i="17" s="1"/>
  <c r="B494" i="17" s="1"/>
  <c r="B495" i="17" s="1"/>
  <c r="B496" i="17" s="1"/>
  <c r="B497" i="17" s="1"/>
  <c r="B498" i="17" s="1"/>
  <c r="B499" i="17" s="1"/>
  <c r="B500" i="17" s="1"/>
  <c r="B501" i="17" s="1"/>
  <c r="B502" i="17" s="1"/>
  <c r="B503" i="17" s="1"/>
  <c r="B504" i="17" s="1"/>
  <c r="B505" i="17" s="1"/>
  <c r="B506" i="17" s="1"/>
  <c r="B507" i="17" s="1"/>
  <c r="B508" i="17" s="1"/>
  <c r="B509" i="17" s="1"/>
  <c r="B510" i="17" s="1"/>
  <c r="B511" i="17" s="1"/>
  <c r="B512" i="17" s="1"/>
  <c r="B513" i="17" s="1"/>
  <c r="B514" i="17" s="1"/>
  <c r="B515" i="17" s="1"/>
  <c r="B516" i="17" s="1"/>
  <c r="B517" i="17" s="1"/>
  <c r="B518" i="17" s="1"/>
  <c r="B519" i="17" s="1"/>
  <c r="B520" i="17" s="1"/>
  <c r="B521" i="17" s="1"/>
  <c r="B522" i="17" s="1"/>
  <c r="B523" i="17" s="1"/>
  <c r="B524" i="17" s="1"/>
  <c r="B525" i="17" s="1"/>
  <c r="B526" i="17" s="1"/>
  <c r="B527" i="17" s="1"/>
  <c r="B528" i="17" s="1"/>
  <c r="B529" i="17" s="1"/>
  <c r="B530" i="17" s="1"/>
  <c r="B531" i="17" s="1"/>
  <c r="B532" i="17" s="1"/>
  <c r="B533" i="17" s="1"/>
  <c r="B534" i="17" s="1"/>
  <c r="B535" i="17" s="1"/>
  <c r="B536" i="17" s="1"/>
  <c r="B537" i="17" s="1"/>
  <c r="B538" i="17" s="1"/>
  <c r="B539" i="17" s="1"/>
  <c r="B540" i="17" s="1"/>
  <c r="B541" i="17" s="1"/>
  <c r="B542" i="17" s="1"/>
  <c r="B543" i="17" s="1"/>
  <c r="B544" i="17" s="1"/>
  <c r="B545" i="17" s="1"/>
  <c r="B546" i="17" s="1"/>
  <c r="B547" i="17" s="1"/>
  <c r="B548" i="17" s="1"/>
  <c r="B549" i="17" s="1"/>
  <c r="B550" i="17" s="1"/>
  <c r="B551" i="17" s="1"/>
  <c r="B552" i="17" s="1"/>
  <c r="B553" i="17" s="1"/>
  <c r="B554" i="17" s="1"/>
  <c r="B555" i="17" s="1"/>
  <c r="B556" i="17" s="1"/>
  <c r="B557" i="17" s="1"/>
  <c r="B558" i="17" s="1"/>
  <c r="B559" i="17" s="1"/>
  <c r="B560" i="17" s="1"/>
  <c r="B561" i="17" s="1"/>
  <c r="B562" i="17" s="1"/>
  <c r="B563" i="17" s="1"/>
  <c r="B564" i="17" s="1"/>
  <c r="B565" i="17" s="1"/>
  <c r="B566" i="17" s="1"/>
  <c r="B567" i="17" s="1"/>
  <c r="B568" i="17" s="1"/>
  <c r="B569" i="17" s="1"/>
  <c r="B570" i="17" s="1"/>
  <c r="B571" i="17" s="1"/>
  <c r="B572" i="17" s="1"/>
  <c r="B573" i="17" s="1"/>
  <c r="B574" i="17" s="1"/>
  <c r="B575" i="17" s="1"/>
  <c r="B576" i="17" s="1"/>
  <c r="B577" i="17" s="1"/>
  <c r="B578" i="17" s="1"/>
  <c r="B579" i="17" s="1"/>
  <c r="B580" i="17" s="1"/>
  <c r="B581" i="17" s="1"/>
  <c r="B582" i="17" s="1"/>
  <c r="B583" i="17" s="1"/>
  <c r="B584" i="17" s="1"/>
  <c r="B585" i="17" s="1"/>
  <c r="B586" i="17" s="1"/>
  <c r="B587" i="17" s="1"/>
  <c r="B588" i="17" s="1"/>
  <c r="B589" i="17" s="1"/>
  <c r="B590" i="17" s="1"/>
  <c r="B591" i="17" s="1"/>
  <c r="B592" i="17" s="1"/>
  <c r="B593" i="17" s="1"/>
  <c r="B594" i="17" s="1"/>
  <c r="B595" i="17" s="1"/>
  <c r="B596" i="17" s="1"/>
  <c r="B597" i="17" s="1"/>
  <c r="B598" i="17" s="1"/>
  <c r="B599" i="17" s="1"/>
  <c r="B600" i="17" s="1"/>
  <c r="B601" i="17" s="1"/>
  <c r="B602" i="17" s="1"/>
  <c r="B603" i="17" s="1"/>
  <c r="B604" i="17" s="1"/>
  <c r="B605" i="17" s="1"/>
  <c r="B606" i="17" s="1"/>
  <c r="B607" i="17" s="1"/>
  <c r="B608" i="17" s="1"/>
  <c r="B609" i="17" s="1"/>
  <c r="B610" i="17" s="1"/>
  <c r="B611" i="17" s="1"/>
  <c r="B612" i="17" s="1"/>
  <c r="B613" i="17" s="1"/>
  <c r="B614" i="17" s="1"/>
  <c r="B615" i="17" s="1"/>
  <c r="B616" i="17" s="1"/>
  <c r="B617" i="17" s="1"/>
  <c r="B618" i="17" s="1"/>
  <c r="B619" i="17" s="1"/>
  <c r="B620" i="17" s="1"/>
  <c r="B621" i="17" s="1"/>
  <c r="B622" i="17" s="1"/>
  <c r="B623" i="17" s="1"/>
  <c r="B624" i="17" s="1"/>
  <c r="B625" i="17" s="1"/>
  <c r="B626" i="17" s="1"/>
  <c r="B627" i="17" s="1"/>
  <c r="B628" i="17" s="1"/>
  <c r="B629" i="17" s="1"/>
  <c r="B630" i="17" s="1"/>
  <c r="B631" i="17" s="1"/>
  <c r="B632" i="17" s="1"/>
  <c r="B633" i="17" s="1"/>
  <c r="B634" i="17" s="1"/>
  <c r="B635" i="17" s="1"/>
  <c r="B636" i="17" s="1"/>
  <c r="B637" i="17" s="1"/>
  <c r="B638" i="17" s="1"/>
  <c r="B639" i="17" s="1"/>
  <c r="B640" i="17" s="1"/>
  <c r="B641" i="17" s="1"/>
  <c r="B642" i="17" s="1"/>
  <c r="B643" i="17" s="1"/>
  <c r="B644" i="17" s="1"/>
  <c r="B645" i="17" s="1"/>
  <c r="B646" i="17" s="1"/>
  <c r="B647" i="17" s="1"/>
  <c r="B648" i="17" s="1"/>
  <c r="B649" i="17" s="1"/>
  <c r="B650" i="17" s="1"/>
  <c r="B651" i="17" s="1"/>
  <c r="B652" i="17" s="1"/>
  <c r="B653" i="17" s="1"/>
  <c r="B654" i="17" s="1"/>
  <c r="B655" i="17" s="1"/>
  <c r="B656" i="17" s="1"/>
  <c r="B657" i="17" s="1"/>
  <c r="B658" i="17" s="1"/>
  <c r="B659" i="17" s="1"/>
  <c r="B660" i="17" s="1"/>
  <c r="B661" i="17" s="1"/>
  <c r="B662" i="17" s="1"/>
  <c r="B663" i="17" s="1"/>
  <c r="B664" i="17" s="1"/>
  <c r="B665" i="17" s="1"/>
  <c r="B666" i="17" s="1"/>
  <c r="B667" i="17" s="1"/>
  <c r="B668" i="17" s="1"/>
  <c r="B669" i="17" s="1"/>
  <c r="B670" i="17" s="1"/>
  <c r="B671" i="17" s="1"/>
  <c r="B672" i="17" s="1"/>
  <c r="B673" i="17" s="1"/>
  <c r="B674" i="17" s="1"/>
  <c r="B675" i="17" s="1"/>
  <c r="B676" i="17" s="1"/>
  <c r="B677" i="17" s="1"/>
  <c r="B678" i="17" s="1"/>
  <c r="B679" i="17" s="1"/>
  <c r="B680" i="17" s="1"/>
  <c r="B681" i="17" s="1"/>
  <c r="B682" i="17" s="1"/>
  <c r="B683" i="17" s="1"/>
  <c r="B684" i="17" s="1"/>
  <c r="B685" i="17" s="1"/>
  <c r="B686" i="17" s="1"/>
  <c r="B687" i="17" s="1"/>
  <c r="B688" i="17" s="1"/>
  <c r="B689" i="17" s="1"/>
  <c r="B690" i="17" s="1"/>
  <c r="B691" i="17" s="1"/>
  <c r="B692" i="17" s="1"/>
  <c r="B693" i="17" s="1"/>
  <c r="B694" i="17" s="1"/>
  <c r="B695" i="17" s="1"/>
  <c r="B696" i="17" s="1"/>
  <c r="B697" i="17" s="1"/>
  <c r="B698" i="17" s="1"/>
  <c r="B699" i="17" s="1"/>
  <c r="B700" i="17" s="1"/>
  <c r="B701" i="17" s="1"/>
  <c r="B702" i="17" s="1"/>
  <c r="B703" i="17" s="1"/>
  <c r="B704" i="17" s="1"/>
  <c r="B705" i="17" s="1"/>
  <c r="B706" i="17" s="1"/>
  <c r="B707" i="17" s="1"/>
  <c r="B708" i="17" s="1"/>
  <c r="B709" i="17" s="1"/>
  <c r="B710" i="17" s="1"/>
  <c r="B711" i="17" s="1"/>
  <c r="B712" i="17" s="1"/>
  <c r="B713" i="17" s="1"/>
  <c r="B714" i="17" s="1"/>
  <c r="B715" i="17" s="1"/>
  <c r="B716" i="17" s="1"/>
  <c r="B717" i="17" s="1"/>
  <c r="B718" i="17" s="1"/>
  <c r="B719" i="17" s="1"/>
  <c r="B720" i="17" s="1"/>
  <c r="B721" i="17" s="1"/>
  <c r="B722" i="17" s="1"/>
  <c r="B723" i="17" s="1"/>
  <c r="B724" i="17" s="1"/>
  <c r="B725" i="17" s="1"/>
  <c r="B726" i="17" s="1"/>
  <c r="B727" i="17" s="1"/>
  <c r="B728" i="17" s="1"/>
  <c r="B729" i="17" s="1"/>
  <c r="B730" i="17" s="1"/>
  <c r="B731" i="17" s="1"/>
  <c r="B732" i="17" s="1"/>
  <c r="B733" i="17" s="1"/>
  <c r="B734" i="17" s="1"/>
  <c r="B735" i="17" s="1"/>
  <c r="B736" i="17" s="1"/>
  <c r="B737" i="17" s="1"/>
  <c r="B738" i="17" s="1"/>
  <c r="B739" i="17" s="1"/>
  <c r="B740" i="17" s="1"/>
  <c r="B741" i="17" s="1"/>
  <c r="B742" i="17" s="1"/>
  <c r="B743" i="17" s="1"/>
  <c r="B744" i="17" s="1"/>
  <c r="B745" i="17" s="1"/>
  <c r="B746" i="17" s="1"/>
  <c r="B747" i="17" s="1"/>
  <c r="B748" i="17" s="1"/>
  <c r="B749" i="17" s="1"/>
  <c r="B750" i="17" s="1"/>
  <c r="B751" i="17" s="1"/>
  <c r="B752" i="17" s="1"/>
  <c r="B753" i="17" s="1"/>
  <c r="B754" i="17" s="1"/>
  <c r="B755" i="17" s="1"/>
  <c r="B756" i="17" s="1"/>
  <c r="B757" i="17" s="1"/>
  <c r="B758" i="17" s="1"/>
  <c r="B759" i="17" s="1"/>
  <c r="B760" i="17" s="1"/>
  <c r="B761" i="17" s="1"/>
  <c r="B762" i="17" s="1"/>
  <c r="B763" i="17" s="1"/>
  <c r="B764" i="17" s="1"/>
  <c r="B765" i="17" s="1"/>
  <c r="B766" i="17" s="1"/>
  <c r="B767" i="17" s="1"/>
  <c r="B768" i="17" s="1"/>
  <c r="B769" i="17" s="1"/>
  <c r="B770" i="17" s="1"/>
  <c r="B771" i="17" s="1"/>
  <c r="B772" i="17" s="1"/>
  <c r="B773" i="17" s="1"/>
  <c r="B774" i="17" s="1"/>
  <c r="B775" i="17" s="1"/>
  <c r="B776" i="17" s="1"/>
  <c r="B777" i="17" s="1"/>
  <c r="B778" i="17" s="1"/>
  <c r="B779" i="17" s="1"/>
  <c r="B780" i="17" s="1"/>
  <c r="B781" i="17" s="1"/>
  <c r="B782" i="17" s="1"/>
  <c r="B783" i="17" s="1"/>
  <c r="B784" i="17" s="1"/>
  <c r="B785" i="17" s="1"/>
  <c r="B786" i="17" s="1"/>
  <c r="B787" i="17" s="1"/>
  <c r="B788" i="17" s="1"/>
  <c r="B789" i="17" s="1"/>
  <c r="B790" i="17" s="1"/>
  <c r="B791" i="17" s="1"/>
  <c r="B792" i="17" s="1"/>
  <c r="B793" i="17" s="1"/>
  <c r="B794" i="17" s="1"/>
  <c r="B795" i="17" s="1"/>
  <c r="B796" i="17" s="1"/>
  <c r="B797" i="17" s="1"/>
  <c r="B798" i="17" s="1"/>
  <c r="B799" i="17" s="1"/>
  <c r="B800" i="17" s="1"/>
  <c r="B801" i="17" s="1"/>
  <c r="B802" i="17" s="1"/>
  <c r="B803" i="17" s="1"/>
  <c r="B804" i="17" s="1"/>
  <c r="B805" i="17" s="1"/>
  <c r="B806" i="17" s="1"/>
  <c r="B807" i="17" s="1"/>
  <c r="B808" i="17" s="1"/>
  <c r="B809" i="17" s="1"/>
  <c r="B810" i="17" s="1"/>
  <c r="B811" i="17" s="1"/>
  <c r="B812" i="17" s="1"/>
  <c r="B813" i="17" s="1"/>
  <c r="B814" i="17" s="1"/>
  <c r="B815" i="17" s="1"/>
  <c r="B816" i="17" s="1"/>
  <c r="B817" i="17" s="1"/>
  <c r="B818" i="17" s="1"/>
  <c r="B819" i="17" s="1"/>
  <c r="B820" i="17" s="1"/>
  <c r="B821" i="17" s="1"/>
  <c r="B822" i="17" s="1"/>
  <c r="B823" i="17" s="1"/>
  <c r="B824" i="17" s="1"/>
  <c r="B825" i="17" s="1"/>
  <c r="B826" i="17" s="1"/>
  <c r="B827" i="17" s="1"/>
  <c r="B828" i="17" s="1"/>
  <c r="B829" i="17" s="1"/>
  <c r="B830" i="17" s="1"/>
  <c r="B831" i="17" s="1"/>
  <c r="B832" i="17" s="1"/>
  <c r="B833" i="17" s="1"/>
  <c r="B834" i="17" s="1"/>
  <c r="B835" i="17" s="1"/>
  <c r="B836" i="17" s="1"/>
  <c r="B837" i="17" s="1"/>
  <c r="B838" i="17" s="1"/>
  <c r="B839" i="17" s="1"/>
  <c r="B840" i="17" s="1"/>
  <c r="B841" i="17" s="1"/>
  <c r="B842" i="17" s="1"/>
  <c r="B843" i="17" s="1"/>
  <c r="B844" i="17" s="1"/>
  <c r="B845" i="17" s="1"/>
  <c r="B846" i="17" s="1"/>
  <c r="B847" i="17" s="1"/>
  <c r="B848" i="17" s="1"/>
  <c r="B849" i="17" s="1"/>
  <c r="B850" i="17" s="1"/>
  <c r="B851" i="17" s="1"/>
  <c r="B852" i="17" s="1"/>
  <c r="B853" i="17" s="1"/>
  <c r="B854" i="17" s="1"/>
  <c r="B855" i="17" s="1"/>
  <c r="B856" i="17" s="1"/>
  <c r="B857" i="17" s="1"/>
  <c r="B858" i="17" s="1"/>
  <c r="B859" i="17" s="1"/>
  <c r="B860" i="17" s="1"/>
  <c r="B861" i="17" s="1"/>
  <c r="B862" i="17" s="1"/>
  <c r="B863" i="17" s="1"/>
  <c r="B864" i="17" s="1"/>
  <c r="B865" i="17" s="1"/>
  <c r="B866" i="17" s="1"/>
  <c r="B867" i="17" s="1"/>
  <c r="B868" i="17" s="1"/>
  <c r="B869" i="17" s="1"/>
  <c r="B870" i="17" s="1"/>
  <c r="B871" i="17" s="1"/>
  <c r="B872" i="17" s="1"/>
  <c r="B873" i="17" s="1"/>
  <c r="B874" i="17" s="1"/>
  <c r="B875" i="17" s="1"/>
  <c r="B876" i="17" s="1"/>
  <c r="B877" i="17" s="1"/>
  <c r="B878" i="17" s="1"/>
  <c r="B879" i="17" s="1"/>
  <c r="B880" i="17" s="1"/>
  <c r="B881" i="17" s="1"/>
  <c r="B882" i="17" s="1"/>
  <c r="B883" i="17" s="1"/>
  <c r="B884" i="17" s="1"/>
  <c r="B885" i="17" s="1"/>
  <c r="B886" i="17" s="1"/>
  <c r="B887" i="17" s="1"/>
  <c r="B888" i="17" s="1"/>
  <c r="B889" i="17" s="1"/>
  <c r="B890" i="17" s="1"/>
  <c r="B891" i="17" s="1"/>
  <c r="B892" i="17" s="1"/>
  <c r="B893" i="17" s="1"/>
  <c r="B894" i="17" s="1"/>
  <c r="B895" i="17" s="1"/>
  <c r="B896" i="17" s="1"/>
  <c r="B897" i="17" s="1"/>
  <c r="B898" i="17" s="1"/>
  <c r="B899" i="17" s="1"/>
  <c r="B900" i="17" s="1"/>
  <c r="B901" i="17" s="1"/>
  <c r="B902" i="17" s="1"/>
  <c r="B903" i="17" s="1"/>
  <c r="B904" i="17" s="1"/>
  <c r="B905" i="17" s="1"/>
  <c r="B906" i="17" s="1"/>
  <c r="B907" i="17" s="1"/>
  <c r="B908" i="17" s="1"/>
  <c r="B909" i="17" s="1"/>
  <c r="B910" i="17" s="1"/>
  <c r="B911" i="17" s="1"/>
  <c r="B912" i="17" s="1"/>
  <c r="B913" i="17" s="1"/>
  <c r="B914" i="17" s="1"/>
  <c r="B915" i="17" s="1"/>
  <c r="B916" i="17" s="1"/>
  <c r="B917" i="17" s="1"/>
  <c r="B918" i="17" s="1"/>
  <c r="B919" i="17" s="1"/>
  <c r="B920" i="17" s="1"/>
  <c r="B921" i="17" s="1"/>
  <c r="B922" i="17" s="1"/>
  <c r="B923" i="17" s="1"/>
  <c r="B924" i="17" s="1"/>
  <c r="B925" i="17" s="1"/>
  <c r="B926" i="17" s="1"/>
  <c r="B927" i="17" s="1"/>
  <c r="B928" i="17" s="1"/>
  <c r="B929" i="17" s="1"/>
  <c r="B930" i="17" s="1"/>
  <c r="B931" i="17" s="1"/>
  <c r="B932" i="17" s="1"/>
  <c r="B933" i="17" s="1"/>
  <c r="B934" i="17" s="1"/>
  <c r="B935" i="17" s="1"/>
  <c r="B936" i="17" s="1"/>
  <c r="B937" i="17" s="1"/>
  <c r="B938" i="17" s="1"/>
  <c r="B939" i="17" s="1"/>
  <c r="B940" i="17" s="1"/>
  <c r="B941" i="17" s="1"/>
  <c r="B942" i="17" s="1"/>
  <c r="B943" i="17" s="1"/>
  <c r="B944" i="17" s="1"/>
  <c r="B945" i="17" s="1"/>
  <c r="B946" i="17" s="1"/>
  <c r="B947" i="17" s="1"/>
  <c r="B948" i="17" s="1"/>
  <c r="B949" i="17" s="1"/>
  <c r="B950" i="17" s="1"/>
  <c r="B951" i="17" s="1"/>
  <c r="B952" i="17" s="1"/>
  <c r="B953" i="17" s="1"/>
  <c r="B954" i="17" s="1"/>
  <c r="B955" i="17" s="1"/>
  <c r="B956" i="17" s="1"/>
  <c r="B957" i="17" s="1"/>
  <c r="B958" i="17" s="1"/>
  <c r="B959" i="17" s="1"/>
  <c r="B960" i="17" s="1"/>
  <c r="B961" i="17" s="1"/>
  <c r="B962" i="17" s="1"/>
  <c r="B963" i="17" s="1"/>
  <c r="B964" i="17" s="1"/>
  <c r="B965" i="17" s="1"/>
  <c r="B966" i="17" s="1"/>
  <c r="B967" i="17" s="1"/>
  <c r="B968" i="17" s="1"/>
  <c r="B969" i="17" s="1"/>
  <c r="B970" i="17" s="1"/>
  <c r="B971" i="17" s="1"/>
  <c r="B972" i="17" s="1"/>
  <c r="B973" i="17" s="1"/>
  <c r="B974" i="17" s="1"/>
  <c r="B975" i="17" s="1"/>
  <c r="B976" i="17" s="1"/>
  <c r="B977" i="17" s="1"/>
  <c r="B978" i="17" s="1"/>
  <c r="B979" i="17" s="1"/>
  <c r="B980" i="17" s="1"/>
  <c r="B981" i="17" s="1"/>
  <c r="B982" i="17" s="1"/>
  <c r="B983" i="17" s="1"/>
  <c r="B984" i="17" s="1"/>
  <c r="B985" i="17" s="1"/>
  <c r="B986" i="17" s="1"/>
  <c r="B987" i="17" s="1"/>
  <c r="B988" i="17" s="1"/>
  <c r="B989" i="17" s="1"/>
  <c r="B990" i="17" s="1"/>
  <c r="B991" i="17" s="1"/>
  <c r="B992" i="17" s="1"/>
  <c r="B993" i="17" s="1"/>
  <c r="B994" i="17" s="1"/>
  <c r="B995" i="17" s="1"/>
  <c r="B996" i="17" s="1"/>
  <c r="B997" i="17" s="1"/>
  <c r="B998" i="17" s="1"/>
  <c r="B999" i="17" s="1"/>
  <c r="B1000" i="17" s="1"/>
  <c r="B1001" i="17" s="1"/>
  <c r="B1002" i="17" s="1"/>
  <c r="B1003" i="17" s="1"/>
  <c r="B1004" i="17" s="1"/>
  <c r="B1005" i="17" s="1"/>
  <c r="B1006" i="17" s="1"/>
  <c r="B1007" i="17" s="1"/>
  <c r="B1008" i="17" s="1"/>
  <c r="B1009" i="17" s="1"/>
  <c r="B1010" i="17" s="1"/>
  <c r="B1011" i="17" s="1"/>
  <c r="B1012" i="17" s="1"/>
  <c r="B1013" i="17" s="1"/>
  <c r="B1014" i="17" s="1"/>
  <c r="B1015" i="17" s="1"/>
  <c r="B1016" i="17" s="1"/>
  <c r="B1017" i="17" s="1"/>
  <c r="B1018" i="17" s="1"/>
  <c r="B1019" i="17" s="1"/>
  <c r="B1020" i="17" s="1"/>
  <c r="B1021" i="17" s="1"/>
  <c r="B1022" i="17" s="1"/>
  <c r="B1023" i="17" s="1"/>
  <c r="B1024" i="17" s="1"/>
  <c r="B1025" i="17" s="1"/>
  <c r="B1026" i="17" s="1"/>
  <c r="B1027" i="17" s="1"/>
  <c r="B1028" i="17" s="1"/>
  <c r="B1029" i="17" s="1"/>
  <c r="B1030" i="17" s="1"/>
  <c r="B1031" i="17" s="1"/>
  <c r="B1032" i="17" s="1"/>
  <c r="B1033" i="17" s="1"/>
  <c r="B1034" i="17" s="1"/>
  <c r="B1035" i="17" s="1"/>
  <c r="B1036" i="17" s="1"/>
  <c r="B1037" i="17" s="1"/>
  <c r="B1038" i="17" s="1"/>
  <c r="B1039" i="17" s="1"/>
  <c r="B1040" i="17" s="1"/>
  <c r="B1041" i="17" s="1"/>
  <c r="B1042" i="17" s="1"/>
  <c r="B1043" i="17" s="1"/>
  <c r="B1044" i="17" s="1"/>
  <c r="B1045" i="17" s="1"/>
  <c r="B1046" i="17" s="1"/>
  <c r="B1047" i="17" s="1"/>
  <c r="B1048" i="17" s="1"/>
  <c r="B1049" i="17" s="1"/>
  <c r="B1050" i="17" s="1"/>
  <c r="B1051" i="17" s="1"/>
  <c r="B1052" i="17" s="1"/>
  <c r="B1053" i="17" s="1"/>
  <c r="B1054" i="17" s="1"/>
  <c r="B1055" i="17" s="1"/>
  <c r="B1056" i="17" s="1"/>
  <c r="B1057" i="17" s="1"/>
  <c r="B1058" i="17" s="1"/>
  <c r="B1059" i="17" s="1"/>
  <c r="B1060" i="17" s="1"/>
  <c r="B1061" i="17" s="1"/>
  <c r="B1062" i="17" s="1"/>
  <c r="B1063" i="17" s="1"/>
  <c r="B1064" i="17" s="1"/>
  <c r="B1065" i="17" s="1"/>
  <c r="B1066" i="17" s="1"/>
  <c r="B1067" i="17" s="1"/>
  <c r="B1068" i="17" s="1"/>
  <c r="B1069" i="17" s="1"/>
  <c r="B1070" i="17" s="1"/>
  <c r="B1071" i="17" s="1"/>
  <c r="B1072" i="17" s="1"/>
  <c r="B1073" i="17" s="1"/>
  <c r="B1074" i="17" s="1"/>
  <c r="B1075" i="17" s="1"/>
  <c r="B1076" i="17" s="1"/>
  <c r="B1077" i="17" s="1"/>
  <c r="B1078" i="17" s="1"/>
  <c r="B1079" i="17" s="1"/>
  <c r="B1080" i="17" s="1"/>
  <c r="B1081" i="17" s="1"/>
  <c r="B1082" i="17" s="1"/>
  <c r="B1083" i="17" s="1"/>
  <c r="B1084" i="17" s="1"/>
  <c r="B1085" i="17" s="1"/>
  <c r="B1086" i="17" s="1"/>
  <c r="B1087" i="17" s="1"/>
  <c r="B1088" i="17" s="1"/>
  <c r="B1089" i="17" s="1"/>
  <c r="B1090" i="17" s="1"/>
  <c r="B1091" i="17" s="1"/>
  <c r="B1092" i="17" s="1"/>
  <c r="B1093" i="17" s="1"/>
  <c r="B1094" i="17" s="1"/>
  <c r="B1095" i="17" s="1"/>
  <c r="B1096" i="17" s="1"/>
  <c r="B1097" i="17" s="1"/>
  <c r="B1098" i="17" s="1"/>
  <c r="B1099" i="17" s="1"/>
  <c r="B1100" i="17" s="1"/>
  <c r="B1101" i="17" s="1"/>
  <c r="B1102" i="17" s="1"/>
  <c r="B1103" i="17" s="1"/>
  <c r="B1104" i="17" s="1"/>
  <c r="B1105" i="17" s="1"/>
  <c r="B1106" i="17" s="1"/>
  <c r="B1107" i="17" s="1"/>
  <c r="B1108" i="17" s="1"/>
  <c r="B1109" i="17" s="1"/>
  <c r="B1110" i="17" s="1"/>
  <c r="B1111" i="17" s="1"/>
  <c r="B1112" i="17" s="1"/>
  <c r="B1113" i="17" s="1"/>
  <c r="B1114" i="17" s="1"/>
  <c r="B1115" i="17" s="1"/>
  <c r="B1116" i="17" s="1"/>
  <c r="B1117" i="17" s="1"/>
  <c r="B1118" i="17" s="1"/>
  <c r="B1119" i="17" s="1"/>
  <c r="B1120" i="17" s="1"/>
  <c r="B1121" i="17" s="1"/>
  <c r="B1122" i="17" s="1"/>
  <c r="B1123" i="17" s="1"/>
  <c r="B1124" i="17" s="1"/>
  <c r="B1125" i="17" s="1"/>
  <c r="B1126" i="17" s="1"/>
  <c r="B1127" i="17" s="1"/>
  <c r="B1128" i="17" s="1"/>
  <c r="B1129" i="17" s="1"/>
  <c r="B1130" i="17" s="1"/>
  <c r="B1131" i="17" s="1"/>
  <c r="B1132" i="17" s="1"/>
  <c r="B1133" i="17" s="1"/>
  <c r="B1134" i="17" s="1"/>
  <c r="B1135" i="17" s="1"/>
  <c r="B1136" i="17" s="1"/>
  <c r="B1137" i="17" s="1"/>
  <c r="B1138" i="17" s="1"/>
  <c r="B1139" i="17" s="1"/>
  <c r="B1140" i="17" s="1"/>
  <c r="B1141" i="17" s="1"/>
  <c r="B1142" i="17" s="1"/>
  <c r="B1143" i="17" s="1"/>
  <c r="B1144" i="17" s="1"/>
  <c r="B1145" i="17" s="1"/>
  <c r="B1146" i="17" s="1"/>
  <c r="B1147" i="17" s="1"/>
  <c r="B1148" i="17" s="1"/>
  <c r="B1149" i="17" s="1"/>
  <c r="B1150" i="17" s="1"/>
  <c r="B1151" i="17" s="1"/>
  <c r="B1152" i="17" s="1"/>
  <c r="B1153" i="17" s="1"/>
  <c r="B1154" i="17" s="1"/>
  <c r="B1155" i="17" s="1"/>
  <c r="B1156" i="17" s="1"/>
  <c r="B1157" i="17" s="1"/>
  <c r="B1158" i="17" s="1"/>
  <c r="B1159" i="17" s="1"/>
  <c r="B1160" i="17" s="1"/>
  <c r="B1161" i="17" s="1"/>
  <c r="B1162" i="17" s="1"/>
  <c r="B1163" i="17" s="1"/>
  <c r="B1164" i="17" s="1"/>
  <c r="B1165" i="17" s="1"/>
  <c r="B1166" i="17" s="1"/>
  <c r="B1167" i="17" s="1"/>
  <c r="B1168" i="17" s="1"/>
  <c r="B1169" i="17" s="1"/>
  <c r="B1170" i="17" s="1"/>
  <c r="B1171" i="17" s="1"/>
  <c r="B1172" i="17" s="1"/>
  <c r="B1173" i="17" s="1"/>
  <c r="B1174" i="17" s="1"/>
  <c r="B1175" i="17" s="1"/>
  <c r="B1176" i="17" s="1"/>
  <c r="B1177" i="17" s="1"/>
  <c r="B1178" i="17" s="1"/>
  <c r="B1179" i="17" s="1"/>
  <c r="B1180" i="17" s="1"/>
  <c r="B1181" i="17" s="1"/>
  <c r="B1182" i="17" s="1"/>
  <c r="B1183" i="17" s="1"/>
  <c r="B1184" i="17" s="1"/>
  <c r="B1185" i="17" s="1"/>
  <c r="B1186" i="17" s="1"/>
  <c r="B1187" i="17" s="1"/>
  <c r="B1188" i="17" s="1"/>
  <c r="B1189" i="17" s="1"/>
  <c r="B1190" i="17" s="1"/>
  <c r="B1191" i="17" s="1"/>
  <c r="B1192" i="17" s="1"/>
  <c r="B1193" i="17" s="1"/>
  <c r="B1194" i="17" s="1"/>
  <c r="B1195" i="17" s="1"/>
  <c r="B1196" i="17" s="1"/>
  <c r="B1197" i="17" s="1"/>
  <c r="B1198" i="17" s="1"/>
  <c r="B1199" i="17" s="1"/>
  <c r="B1200" i="17" s="1"/>
  <c r="B1201" i="17" s="1"/>
  <c r="B1202" i="17" s="1"/>
  <c r="B1203" i="17" s="1"/>
  <c r="B1204" i="17" s="1"/>
  <c r="B1205" i="17" s="1"/>
  <c r="B1206" i="17" s="1"/>
  <c r="B1207" i="17" s="1"/>
  <c r="B1208" i="17" s="1"/>
  <c r="B1209" i="17" s="1"/>
  <c r="B1210" i="17" s="1"/>
  <c r="B1211" i="17" s="1"/>
  <c r="B1212" i="17" s="1"/>
  <c r="B1213" i="17" s="1"/>
  <c r="B1214" i="17" s="1"/>
  <c r="B1215" i="17" s="1"/>
  <c r="B1216" i="17" s="1"/>
  <c r="B1217" i="17" s="1"/>
  <c r="B1218" i="17" s="1"/>
  <c r="B1219" i="17" s="1"/>
  <c r="B1220" i="17" s="1"/>
  <c r="B1221" i="17" s="1"/>
  <c r="B1222" i="17" s="1"/>
  <c r="B1223" i="17" s="1"/>
  <c r="B1224" i="17" s="1"/>
  <c r="B1225" i="17" s="1"/>
  <c r="B1226" i="17" s="1"/>
  <c r="B1227" i="17" s="1"/>
  <c r="B1228" i="17" s="1"/>
  <c r="B1229" i="17" s="1"/>
  <c r="B1230" i="17" s="1"/>
  <c r="B1231" i="17" s="1"/>
  <c r="B1232" i="17" s="1"/>
  <c r="B1233" i="17" s="1"/>
  <c r="B1234" i="17" s="1"/>
  <c r="B1235" i="17" s="1"/>
  <c r="B1236" i="17" s="1"/>
  <c r="B1237" i="17" s="1"/>
  <c r="B1238" i="17" s="1"/>
  <c r="B1239" i="17" s="1"/>
  <c r="B1240" i="17" s="1"/>
  <c r="B1241" i="17" s="1"/>
  <c r="B1242" i="17" s="1"/>
  <c r="B1243" i="17" s="1"/>
  <c r="B1244" i="17" s="1"/>
  <c r="B1245" i="17" s="1"/>
  <c r="B1246" i="17" s="1"/>
  <c r="B1247" i="17" s="1"/>
  <c r="B1248" i="17" s="1"/>
  <c r="B1249" i="17" s="1"/>
  <c r="B1250" i="17" s="1"/>
  <c r="B1251" i="17" s="1"/>
  <c r="B1252" i="17" s="1"/>
  <c r="B1253" i="17" s="1"/>
  <c r="B1254" i="17" s="1"/>
  <c r="B1255" i="17" s="1"/>
  <c r="B1256" i="17" s="1"/>
  <c r="B1257" i="17" s="1"/>
  <c r="B1258" i="17" s="1"/>
  <c r="B1259" i="17" s="1"/>
  <c r="B1260" i="17" s="1"/>
  <c r="B1261" i="17" s="1"/>
  <c r="B1262" i="17" s="1"/>
  <c r="B1263" i="17" s="1"/>
  <c r="B1264" i="17" s="1"/>
  <c r="B1265" i="17" s="1"/>
  <c r="B1266" i="17" s="1"/>
  <c r="B1267" i="17" s="1"/>
  <c r="B1268" i="17" s="1"/>
  <c r="B1269" i="17" s="1"/>
  <c r="B1270" i="17" s="1"/>
  <c r="B1271" i="17" s="1"/>
  <c r="B1272" i="17" s="1"/>
  <c r="B1273" i="17" s="1"/>
  <c r="B1274" i="17" s="1"/>
  <c r="B1275" i="17" s="1"/>
  <c r="B1276" i="17" s="1"/>
  <c r="B1277" i="17" s="1"/>
  <c r="B1278" i="17" s="1"/>
  <c r="B1279" i="17" s="1"/>
  <c r="B1280" i="17" s="1"/>
  <c r="B1281" i="17" s="1"/>
  <c r="B1282" i="17" s="1"/>
  <c r="B1283" i="17" s="1"/>
  <c r="B1284" i="17" s="1"/>
  <c r="B1285" i="17" s="1"/>
  <c r="B1286" i="17" s="1"/>
  <c r="B1287" i="17" s="1"/>
  <c r="B1288" i="17" s="1"/>
  <c r="B1289" i="17" s="1"/>
  <c r="B1290" i="17" s="1"/>
  <c r="B1291" i="17" s="1"/>
  <c r="B1292" i="17" s="1"/>
  <c r="B1293" i="17" s="1"/>
  <c r="B1294" i="17" s="1"/>
  <c r="B1295" i="17" s="1"/>
  <c r="B1296" i="17" s="1"/>
  <c r="B1297" i="17" s="1"/>
  <c r="B1298" i="17" s="1"/>
  <c r="B1299" i="17" s="1"/>
  <c r="B1300" i="17" s="1"/>
  <c r="B1301" i="17" s="1"/>
  <c r="B1302" i="17" s="1"/>
  <c r="B1303" i="17" s="1"/>
  <c r="B1304" i="17" s="1"/>
  <c r="B1305" i="17" s="1"/>
  <c r="B1306" i="17" s="1"/>
  <c r="B1307" i="17" s="1"/>
  <c r="B1308" i="17" s="1"/>
  <c r="B1309" i="17" s="1"/>
  <c r="B1310" i="17" s="1"/>
  <c r="B1311" i="17" s="1"/>
  <c r="B1312" i="17" s="1"/>
  <c r="B1313" i="17" s="1"/>
  <c r="B1314" i="17" s="1"/>
  <c r="B1315" i="17" s="1"/>
  <c r="B1316" i="17" s="1"/>
  <c r="B1317" i="17" s="1"/>
  <c r="B1318" i="17" s="1"/>
  <c r="B1319" i="17" s="1"/>
  <c r="B1320" i="17" s="1"/>
  <c r="B1321" i="17" s="1"/>
  <c r="B1322" i="17" s="1"/>
  <c r="B1323" i="17" s="1"/>
  <c r="B1324" i="17" s="1"/>
  <c r="B1325" i="17" s="1"/>
  <c r="B1326" i="17" s="1"/>
  <c r="B1327" i="17" s="1"/>
  <c r="B1328" i="17" s="1"/>
  <c r="B1329" i="17" s="1"/>
  <c r="B1330" i="17" s="1"/>
  <c r="B1331" i="17" s="1"/>
  <c r="B1332" i="17" s="1"/>
  <c r="B1333" i="17" s="1"/>
  <c r="B1334" i="17" s="1"/>
  <c r="B1335" i="17" s="1"/>
  <c r="B1336" i="17" s="1"/>
  <c r="B1337" i="17" s="1"/>
  <c r="B1338" i="17" s="1"/>
  <c r="B1339" i="17" s="1"/>
  <c r="B1340" i="17" s="1"/>
  <c r="B1341" i="17" s="1"/>
  <c r="B1342" i="17" s="1"/>
  <c r="B1343" i="17" s="1"/>
  <c r="B1344" i="17" s="1"/>
  <c r="B1345" i="17" s="1"/>
  <c r="B1346" i="17" s="1"/>
  <c r="B1347" i="17" s="1"/>
  <c r="B1348" i="17" s="1"/>
  <c r="B1349" i="17" s="1"/>
  <c r="B1350" i="17" s="1"/>
  <c r="B1351" i="17" s="1"/>
  <c r="B1352" i="17" s="1"/>
  <c r="B1353" i="17" s="1"/>
  <c r="B1354" i="17" s="1"/>
  <c r="B1355" i="17" s="1"/>
  <c r="B1356" i="17" s="1"/>
  <c r="B1357" i="17" s="1"/>
  <c r="B1358" i="17" s="1"/>
  <c r="B1359" i="17" s="1"/>
  <c r="B1360" i="17" s="1"/>
  <c r="B1361" i="17" s="1"/>
  <c r="B1362" i="17" s="1"/>
  <c r="B1363" i="17" s="1"/>
  <c r="B1364" i="17" s="1"/>
  <c r="B1365" i="17" s="1"/>
  <c r="B1366" i="17" s="1"/>
  <c r="B1367" i="17" s="1"/>
  <c r="B1368" i="17" s="1"/>
  <c r="B1369" i="17" s="1"/>
  <c r="B1370" i="17" s="1"/>
  <c r="B1371" i="17" s="1"/>
  <c r="B1372" i="17" s="1"/>
  <c r="B1373" i="17" s="1"/>
  <c r="B1374" i="17" s="1"/>
  <c r="B1375" i="17" s="1"/>
  <c r="B1376" i="17" s="1"/>
  <c r="B1377" i="17" s="1"/>
  <c r="B1378" i="17" s="1"/>
  <c r="B1379" i="17" s="1"/>
  <c r="B1380" i="17" s="1"/>
  <c r="B1381" i="17" s="1"/>
  <c r="B1382" i="17" s="1"/>
  <c r="B1383" i="17" s="1"/>
  <c r="B1384" i="17" s="1"/>
  <c r="B1385" i="17" s="1"/>
  <c r="B1386" i="17" s="1"/>
  <c r="B1387" i="17" s="1"/>
  <c r="B1388" i="17" s="1"/>
  <c r="B1389" i="17" s="1"/>
  <c r="B1390" i="17" s="1"/>
  <c r="B1391" i="17" s="1"/>
  <c r="B1392" i="17" s="1"/>
  <c r="B1393" i="17" s="1"/>
  <c r="B1394" i="17" s="1"/>
  <c r="B1395" i="17" s="1"/>
  <c r="B1396" i="17" s="1"/>
  <c r="B1397" i="17" s="1"/>
  <c r="B1398" i="17" s="1"/>
  <c r="B1399" i="17" s="1"/>
  <c r="B1400" i="17" s="1"/>
  <c r="B1401" i="17" s="1"/>
  <c r="B1402" i="17" s="1"/>
  <c r="B1403" i="17" s="1"/>
  <c r="B1404" i="17" s="1"/>
  <c r="B1405" i="17" s="1"/>
  <c r="B1406" i="17" s="1"/>
  <c r="B1407" i="17" s="1"/>
  <c r="B1408" i="17" s="1"/>
  <c r="B1409" i="17" s="1"/>
  <c r="B1410" i="17" s="1"/>
  <c r="B1411" i="17" s="1"/>
  <c r="B1412" i="17" s="1"/>
  <c r="B1413" i="17" s="1"/>
  <c r="B1414" i="17" s="1"/>
  <c r="B1415" i="17" s="1"/>
  <c r="B1416" i="17" s="1"/>
  <c r="B1417" i="17" s="1"/>
  <c r="B1418" i="17" s="1"/>
  <c r="B1419" i="17" s="1"/>
  <c r="B1420" i="17" s="1"/>
  <c r="B1421" i="17" s="1"/>
  <c r="B1422" i="17" s="1"/>
  <c r="B1423" i="17" s="1"/>
  <c r="B1424" i="17" s="1"/>
  <c r="B1425" i="17" s="1"/>
  <c r="B1426" i="17" s="1"/>
  <c r="B1427" i="17" s="1"/>
  <c r="B1428" i="17" s="1"/>
  <c r="B1429" i="17" s="1"/>
  <c r="B1430" i="17" s="1"/>
  <c r="B1431" i="17" s="1"/>
  <c r="B1432" i="17" s="1"/>
  <c r="B1433" i="17" s="1"/>
  <c r="B1434" i="17" s="1"/>
  <c r="B1435" i="17" s="1"/>
  <c r="B1436" i="17" s="1"/>
  <c r="B1437" i="17" s="1"/>
  <c r="B1438" i="17" s="1"/>
  <c r="B1439" i="17" s="1"/>
  <c r="B1440" i="17" s="1"/>
  <c r="B1441" i="17" s="1"/>
  <c r="B1442" i="17" s="1"/>
  <c r="B1443" i="17" s="1"/>
  <c r="B1444" i="17" s="1"/>
  <c r="B1445" i="17" s="1"/>
  <c r="B1446" i="17" s="1"/>
  <c r="B1447" i="17" s="1"/>
  <c r="B1448" i="17" s="1"/>
  <c r="B1449" i="17" s="1"/>
  <c r="B1450" i="17" s="1"/>
  <c r="B1451" i="17" s="1"/>
  <c r="B1452" i="17" s="1"/>
  <c r="B1453" i="17" s="1"/>
  <c r="B1454" i="17" s="1"/>
  <c r="B1455" i="17" s="1"/>
  <c r="B1456" i="17" s="1"/>
  <c r="B1457" i="17" s="1"/>
  <c r="B1458" i="17" s="1"/>
  <c r="B1459" i="17" s="1"/>
  <c r="B1460" i="17" s="1"/>
  <c r="B1461" i="17" s="1"/>
  <c r="B1462" i="17" s="1"/>
  <c r="B1463" i="17" s="1"/>
  <c r="B1464" i="17" s="1"/>
  <c r="B1465" i="17" s="1"/>
  <c r="B1466" i="17" s="1"/>
  <c r="B1467" i="17" s="1"/>
  <c r="B1468" i="17" s="1"/>
  <c r="B1469" i="17" s="1"/>
  <c r="B1470" i="17" s="1"/>
  <c r="B1471" i="17" s="1"/>
  <c r="B1472" i="17" s="1"/>
  <c r="B1473" i="17" s="1"/>
  <c r="B1474" i="17" s="1"/>
  <c r="B1475" i="17" s="1"/>
  <c r="B1476" i="17" s="1"/>
  <c r="B1477" i="17" s="1"/>
  <c r="B1478" i="17" s="1"/>
  <c r="B1479" i="17" s="1"/>
  <c r="B1480" i="17" s="1"/>
  <c r="B1481" i="17" s="1"/>
  <c r="B1482" i="17" s="1"/>
  <c r="B1483" i="17" s="1"/>
  <c r="B1484" i="17" s="1"/>
  <c r="B1485" i="17" s="1"/>
  <c r="B1486" i="17" s="1"/>
  <c r="B1487" i="17" s="1"/>
  <c r="B1488" i="17" s="1"/>
  <c r="B1489" i="17" s="1"/>
  <c r="B1490" i="17" s="1"/>
  <c r="B1491" i="17" s="1"/>
  <c r="B1492" i="17" s="1"/>
  <c r="B1493" i="17" s="1"/>
  <c r="B1494" i="17" s="1"/>
  <c r="B1495" i="17" s="1"/>
  <c r="B1496" i="17" s="1"/>
  <c r="B1497" i="17" s="1"/>
  <c r="B1498" i="17" s="1"/>
  <c r="B1499" i="17" s="1"/>
  <c r="B1500" i="17" s="1"/>
  <c r="B1501" i="17" s="1"/>
  <c r="B1502" i="17" s="1"/>
  <c r="B1503" i="17" s="1"/>
  <c r="B1504" i="17" s="1"/>
  <c r="B1505" i="17" s="1"/>
  <c r="B1506" i="17" s="1"/>
  <c r="B1507" i="17" s="1"/>
  <c r="B1508" i="17" s="1"/>
  <c r="B1509" i="17" s="1"/>
  <c r="B1510" i="17" s="1"/>
  <c r="B1511" i="17" s="1"/>
  <c r="B1512" i="17" s="1"/>
  <c r="B1513" i="17" s="1"/>
  <c r="B1514" i="17" s="1"/>
  <c r="B1515" i="17" s="1"/>
  <c r="B1516" i="17" s="1"/>
  <c r="B1517" i="17" s="1"/>
  <c r="B1518" i="17" s="1"/>
  <c r="B1519" i="17" s="1"/>
  <c r="B1520" i="17" s="1"/>
  <c r="B1521" i="17" s="1"/>
  <c r="B1522" i="17" s="1"/>
  <c r="B1523" i="17" s="1"/>
  <c r="B1524" i="17" s="1"/>
  <c r="B1525" i="17" s="1"/>
  <c r="B1526" i="17" s="1"/>
  <c r="B1527" i="17" s="1"/>
  <c r="B1528" i="17" s="1"/>
  <c r="B1529" i="17" s="1"/>
  <c r="B1530" i="17" s="1"/>
  <c r="B1531" i="17" s="1"/>
  <c r="B1532" i="17" s="1"/>
  <c r="B1533" i="17" s="1"/>
  <c r="B1534" i="17" s="1"/>
  <c r="B1535" i="17" s="1"/>
  <c r="B1536" i="17" s="1"/>
  <c r="B1537" i="17" s="1"/>
  <c r="B1538" i="17" s="1"/>
  <c r="B1539" i="17" s="1"/>
  <c r="B1540" i="17" s="1"/>
  <c r="B1541" i="17" s="1"/>
  <c r="B1542" i="17" s="1"/>
  <c r="B1543" i="17" s="1"/>
  <c r="B1544" i="17" s="1"/>
  <c r="B1545" i="17" s="1"/>
  <c r="B1546" i="17" s="1"/>
  <c r="B1547" i="17" s="1"/>
  <c r="B1548" i="17" s="1"/>
  <c r="B1549" i="17" s="1"/>
  <c r="B1550" i="17" s="1"/>
  <c r="B1551" i="17" s="1"/>
  <c r="B1552" i="17" s="1"/>
  <c r="B1553" i="17" s="1"/>
  <c r="B1554" i="17" s="1"/>
  <c r="B1555" i="17" s="1"/>
  <c r="B1556" i="17" s="1"/>
  <c r="B1557" i="17" s="1"/>
  <c r="B1558" i="17" s="1"/>
  <c r="B1559" i="17" s="1"/>
  <c r="B1560" i="17" s="1"/>
  <c r="B1561" i="17" s="1"/>
  <c r="B1562" i="17" s="1"/>
  <c r="B1563" i="17" s="1"/>
  <c r="B1564" i="17" s="1"/>
  <c r="B1565" i="17" s="1"/>
  <c r="B1566" i="17" s="1"/>
  <c r="B1567" i="17" s="1"/>
  <c r="B1568" i="17" s="1"/>
  <c r="B1569" i="17" s="1"/>
  <c r="B1570" i="17" s="1"/>
  <c r="B1571" i="17" s="1"/>
  <c r="B1572" i="17" s="1"/>
  <c r="B1573" i="17" s="1"/>
  <c r="B1574" i="17" s="1"/>
  <c r="I4" i="17"/>
  <c r="H4" i="17"/>
  <c r="I1" i="17" l="1"/>
  <c r="J1" i="17"/>
  <c r="K1" i="17"/>
  <c r="B1575" i="17"/>
  <c r="B1576" i="17" s="1"/>
  <c r="B1577" i="17" s="1"/>
  <c r="B1578" i="17" s="1"/>
  <c r="J1579" i="17"/>
  <c r="E81" i="18"/>
  <c r="I1579" i="17"/>
  <c r="G421" i="4" l="1"/>
  <c r="G420" i="4"/>
  <c r="E29" i="38"/>
  <c r="E27" i="38"/>
  <c r="I9" i="38"/>
  <c r="I12" i="38" s="1"/>
  <c r="L6" i="38"/>
  <c r="L7" i="38" s="1"/>
  <c r="L8" i="38" s="1"/>
  <c r="L9" i="38" s="1"/>
  <c r="L10" i="38" s="1"/>
  <c r="L11" i="38" s="1"/>
  <c r="L12" i="38" s="1"/>
  <c r="L13" i="38" s="1"/>
  <c r="L14" i="38" s="1"/>
  <c r="K17" i="38"/>
  <c r="K16" i="38"/>
  <c r="K14" i="38"/>
  <c r="K13" i="38"/>
  <c r="I11" i="38"/>
  <c r="K11" i="38" s="1"/>
  <c r="K10" i="38"/>
  <c r="I8" i="38"/>
  <c r="K7" i="38"/>
  <c r="K6" i="38"/>
  <c r="F6" i="38"/>
  <c r="F7" i="38" s="1"/>
  <c r="E6" i="38"/>
  <c r="C7" i="38"/>
  <c r="E7" i="38" s="1"/>
  <c r="H332" i="4"/>
  <c r="G332" i="4"/>
  <c r="I58" i="19"/>
  <c r="J58" i="19" s="1"/>
  <c r="N10" i="24"/>
  <c r="C27" i="38"/>
  <c r="C29" i="38"/>
  <c r="C26" i="38"/>
  <c r="C25" i="38"/>
  <c r="C28" i="38"/>
  <c r="H297" i="4"/>
  <c r="H424" i="4"/>
  <c r="G295" i="4"/>
  <c r="H301" i="4"/>
  <c r="H286" i="4"/>
  <c r="G424" i="4"/>
  <c r="H298" i="4"/>
  <c r="H290" i="4"/>
  <c r="G301" i="4"/>
  <c r="G290" i="4"/>
  <c r="H296" i="4"/>
  <c r="H295" i="4"/>
  <c r="H249" i="4"/>
  <c r="D28" i="38" l="1"/>
  <c r="C30" i="38"/>
  <c r="D29" i="38"/>
  <c r="D27" i="38"/>
  <c r="I15" i="38"/>
  <c r="K15" i="38" s="1"/>
  <c r="K12" i="38"/>
  <c r="C8" i="38"/>
  <c r="K9" i="38"/>
  <c r="K8" i="38"/>
  <c r="G289" i="4"/>
  <c r="H289" i="4"/>
  <c r="H246" i="4"/>
  <c r="H293" i="4" l="1"/>
  <c r="H21" i="4" s="1"/>
  <c r="C9" i="38"/>
  <c r="E8" i="38"/>
  <c r="F8" i="38"/>
  <c r="F9" i="38" s="1"/>
  <c r="L15" i="38"/>
  <c r="L16" i="38" s="1"/>
  <c r="L17" i="38" s="1"/>
  <c r="I18" i="38"/>
  <c r="E26" i="38" s="1"/>
  <c r="D26" i="38" s="1"/>
  <c r="G376" i="4" s="1"/>
  <c r="H789" i="4"/>
  <c r="G789" i="4"/>
  <c r="E9" i="38" l="1"/>
  <c r="C10" i="38"/>
  <c r="G708" i="4"/>
  <c r="T631" i="4"/>
  <c r="T614" i="4"/>
  <c r="G608" i="4"/>
  <c r="C350" i="4"/>
  <c r="C349" i="4"/>
  <c r="C348" i="4"/>
  <c r="G325" i="4"/>
  <c r="G324" i="4"/>
  <c r="G322" i="4"/>
  <c r="G321" i="4"/>
  <c r="G409" i="19"/>
  <c r="H404" i="19" s="1"/>
  <c r="D409" i="19"/>
  <c r="I53" i="19" s="1"/>
  <c r="E407" i="19"/>
  <c r="F406" i="19"/>
  <c r="E406" i="19"/>
  <c r="F405" i="19"/>
  <c r="E405" i="19"/>
  <c r="F404" i="19"/>
  <c r="E404" i="19"/>
  <c r="F403" i="19"/>
  <c r="E403" i="19"/>
  <c r="F402" i="19"/>
  <c r="E402" i="19"/>
  <c r="F401" i="19"/>
  <c r="E401" i="19"/>
  <c r="F400" i="19"/>
  <c r="E400" i="19"/>
  <c r="F399" i="19"/>
  <c r="E399" i="19"/>
  <c r="F398" i="19"/>
  <c r="E398" i="19"/>
  <c r="F397" i="19"/>
  <c r="E397" i="19"/>
  <c r="F396" i="19"/>
  <c r="E396" i="19"/>
  <c r="F395" i="19"/>
  <c r="E395" i="19"/>
  <c r="F394" i="19"/>
  <c r="E394" i="19"/>
  <c r="F393" i="19"/>
  <c r="E393" i="19"/>
  <c r="F392" i="19"/>
  <c r="E392" i="19"/>
  <c r="F391" i="19"/>
  <c r="E391" i="19"/>
  <c r="F390" i="19"/>
  <c r="E390" i="19"/>
  <c r="F389" i="19"/>
  <c r="E389" i="19"/>
  <c r="F388" i="19"/>
  <c r="E388" i="19"/>
  <c r="F387" i="19"/>
  <c r="E387" i="19"/>
  <c r="F386" i="19"/>
  <c r="E386" i="19"/>
  <c r="F385" i="19"/>
  <c r="E385" i="19"/>
  <c r="F384" i="19"/>
  <c r="E384" i="19"/>
  <c r="F383" i="19"/>
  <c r="E383" i="19"/>
  <c r="F382" i="19"/>
  <c r="E382" i="19"/>
  <c r="F381" i="19"/>
  <c r="E381" i="19"/>
  <c r="F380" i="19"/>
  <c r="E380" i="19"/>
  <c r="F379" i="19"/>
  <c r="E379" i="19"/>
  <c r="F378" i="19"/>
  <c r="E378" i="19"/>
  <c r="F377" i="19"/>
  <c r="E377" i="19"/>
  <c r="F376" i="19"/>
  <c r="E376" i="19"/>
  <c r="F375" i="19"/>
  <c r="E375" i="19"/>
  <c r="F374" i="19"/>
  <c r="E374" i="19"/>
  <c r="F373" i="19"/>
  <c r="E373" i="19"/>
  <c r="F372" i="19"/>
  <c r="E372" i="19"/>
  <c r="F371" i="19"/>
  <c r="E371" i="19"/>
  <c r="F370" i="19"/>
  <c r="E370" i="19"/>
  <c r="F369" i="19"/>
  <c r="E369" i="19"/>
  <c r="F368" i="19"/>
  <c r="E368" i="19"/>
  <c r="F367" i="19"/>
  <c r="E367" i="19"/>
  <c r="F366" i="19"/>
  <c r="E366" i="19"/>
  <c r="F365" i="19"/>
  <c r="E365" i="19"/>
  <c r="F364" i="19"/>
  <c r="E364" i="19"/>
  <c r="F363" i="19"/>
  <c r="E363" i="19"/>
  <c r="F362" i="19"/>
  <c r="E362" i="19"/>
  <c r="F361" i="19"/>
  <c r="E361" i="19"/>
  <c r="F360" i="19"/>
  <c r="E360" i="19"/>
  <c r="F359" i="19"/>
  <c r="E359" i="19"/>
  <c r="F358" i="19"/>
  <c r="E358" i="19"/>
  <c r="F357" i="19"/>
  <c r="E357" i="19"/>
  <c r="F356" i="19"/>
  <c r="E356" i="19"/>
  <c r="F355" i="19"/>
  <c r="E355" i="19"/>
  <c r="F354" i="19"/>
  <c r="E354" i="19"/>
  <c r="F353" i="19"/>
  <c r="E353" i="19"/>
  <c r="F352" i="19"/>
  <c r="E352" i="19"/>
  <c r="F351" i="19"/>
  <c r="E351" i="19"/>
  <c r="F350" i="19"/>
  <c r="E350" i="19"/>
  <c r="F349" i="19"/>
  <c r="E349" i="19"/>
  <c r="F348" i="19"/>
  <c r="E348" i="19"/>
  <c r="F347" i="19"/>
  <c r="E347" i="19"/>
  <c r="F346" i="19"/>
  <c r="E346" i="19"/>
  <c r="F345" i="19"/>
  <c r="E345" i="19"/>
  <c r="F344" i="19"/>
  <c r="E344" i="19"/>
  <c r="F343" i="19"/>
  <c r="E343" i="19"/>
  <c r="F342" i="19"/>
  <c r="E342" i="19"/>
  <c r="F341" i="19"/>
  <c r="E341" i="19"/>
  <c r="F340" i="19"/>
  <c r="E340" i="19"/>
  <c r="F339" i="19"/>
  <c r="E339" i="19"/>
  <c r="F338" i="19"/>
  <c r="E338" i="19"/>
  <c r="F337" i="19"/>
  <c r="E337" i="19"/>
  <c r="F336" i="19"/>
  <c r="E336" i="19"/>
  <c r="F335" i="19"/>
  <c r="E335" i="19"/>
  <c r="F334" i="19"/>
  <c r="E334" i="19"/>
  <c r="F333" i="19"/>
  <c r="E333" i="19"/>
  <c r="F332" i="19"/>
  <c r="E332" i="19"/>
  <c r="F331" i="19"/>
  <c r="E331" i="19"/>
  <c r="F330" i="19"/>
  <c r="E330" i="19"/>
  <c r="F329" i="19"/>
  <c r="E329" i="19"/>
  <c r="F328" i="19"/>
  <c r="E328" i="19"/>
  <c r="F327" i="19"/>
  <c r="E327" i="19"/>
  <c r="F326" i="19"/>
  <c r="E326" i="19"/>
  <c r="F325" i="19"/>
  <c r="E325" i="19"/>
  <c r="F324" i="19"/>
  <c r="E324" i="19"/>
  <c r="F323" i="19"/>
  <c r="E323" i="19"/>
  <c r="F322" i="19"/>
  <c r="E322" i="19"/>
  <c r="F321" i="19"/>
  <c r="E321" i="19"/>
  <c r="F320" i="19"/>
  <c r="E320" i="19"/>
  <c r="F319" i="19"/>
  <c r="E319" i="19"/>
  <c r="F318" i="19"/>
  <c r="E318" i="19"/>
  <c r="F317" i="19"/>
  <c r="E317" i="19"/>
  <c r="F316" i="19"/>
  <c r="E316" i="19"/>
  <c r="F315" i="19"/>
  <c r="E315" i="19"/>
  <c r="F314" i="19"/>
  <c r="E314" i="19"/>
  <c r="F313" i="19"/>
  <c r="E313" i="19"/>
  <c r="F312" i="19"/>
  <c r="E312" i="19"/>
  <c r="F311" i="19"/>
  <c r="E311" i="19"/>
  <c r="F310" i="19"/>
  <c r="E310" i="19"/>
  <c r="F309" i="19"/>
  <c r="E309" i="19"/>
  <c r="F308" i="19"/>
  <c r="E308" i="19"/>
  <c r="F307" i="19"/>
  <c r="E307" i="19"/>
  <c r="F306" i="19"/>
  <c r="E306" i="19"/>
  <c r="F305" i="19"/>
  <c r="E305" i="19"/>
  <c r="F304" i="19"/>
  <c r="E304" i="19"/>
  <c r="F303" i="19"/>
  <c r="E303" i="19"/>
  <c r="F302" i="19"/>
  <c r="E302" i="19"/>
  <c r="F301" i="19"/>
  <c r="E301" i="19"/>
  <c r="F300" i="19"/>
  <c r="E300" i="19"/>
  <c r="F299" i="19"/>
  <c r="E299" i="19"/>
  <c r="F298" i="19"/>
  <c r="E298" i="19"/>
  <c r="F297" i="19"/>
  <c r="E297" i="19"/>
  <c r="F296" i="19"/>
  <c r="E296" i="19"/>
  <c r="F295" i="19"/>
  <c r="E295" i="19"/>
  <c r="F294" i="19"/>
  <c r="E294" i="19"/>
  <c r="F293" i="19"/>
  <c r="E293" i="19"/>
  <c r="F292" i="19"/>
  <c r="E292" i="19"/>
  <c r="F291" i="19"/>
  <c r="E291" i="19"/>
  <c r="F290" i="19"/>
  <c r="E290" i="19"/>
  <c r="F289" i="19"/>
  <c r="E289" i="19"/>
  <c r="F288" i="19"/>
  <c r="E288" i="19"/>
  <c r="F287" i="19"/>
  <c r="E287" i="19"/>
  <c r="F286" i="19"/>
  <c r="E286" i="19"/>
  <c r="F285" i="19"/>
  <c r="E285" i="19"/>
  <c r="F284" i="19"/>
  <c r="E284" i="19"/>
  <c r="F283" i="19"/>
  <c r="E283" i="19"/>
  <c r="F282" i="19"/>
  <c r="E282" i="19"/>
  <c r="F281" i="19"/>
  <c r="E281" i="19"/>
  <c r="F280" i="19"/>
  <c r="E280" i="19"/>
  <c r="F279" i="19"/>
  <c r="E279" i="19"/>
  <c r="F278" i="19"/>
  <c r="E278" i="19"/>
  <c r="F277" i="19"/>
  <c r="E277" i="19"/>
  <c r="F276" i="19"/>
  <c r="E276" i="19"/>
  <c r="F275" i="19"/>
  <c r="E275" i="19"/>
  <c r="F274" i="19"/>
  <c r="E274" i="19"/>
  <c r="F273" i="19"/>
  <c r="E273" i="19"/>
  <c r="F272" i="19"/>
  <c r="E272" i="19"/>
  <c r="F271" i="19"/>
  <c r="E271" i="19"/>
  <c r="F270" i="19"/>
  <c r="E270" i="19"/>
  <c r="F269" i="19"/>
  <c r="E269" i="19"/>
  <c r="F268" i="19"/>
  <c r="E268" i="19"/>
  <c r="F267" i="19"/>
  <c r="E267" i="19"/>
  <c r="F266" i="19"/>
  <c r="E266" i="19"/>
  <c r="F265" i="19"/>
  <c r="E265" i="19"/>
  <c r="F264" i="19"/>
  <c r="E264" i="19"/>
  <c r="F263" i="19"/>
  <c r="E263" i="19"/>
  <c r="F262" i="19"/>
  <c r="E262" i="19"/>
  <c r="F261" i="19"/>
  <c r="E261" i="19"/>
  <c r="F260" i="19"/>
  <c r="E260" i="19"/>
  <c r="F259" i="19"/>
  <c r="E259" i="19"/>
  <c r="F258" i="19"/>
  <c r="E258" i="19"/>
  <c r="F257" i="19"/>
  <c r="E257" i="19"/>
  <c r="F256" i="19"/>
  <c r="E256" i="19"/>
  <c r="F255" i="19"/>
  <c r="E255" i="19"/>
  <c r="F254" i="19"/>
  <c r="E254" i="19"/>
  <c r="F253" i="19"/>
  <c r="E253" i="19"/>
  <c r="F252" i="19"/>
  <c r="E252" i="19"/>
  <c r="F251" i="19"/>
  <c r="E251" i="19"/>
  <c r="F250" i="19"/>
  <c r="E250" i="19"/>
  <c r="F249" i="19"/>
  <c r="E249" i="19"/>
  <c r="F248" i="19"/>
  <c r="E248" i="19"/>
  <c r="F247" i="19"/>
  <c r="E247" i="19"/>
  <c r="F246" i="19"/>
  <c r="E246" i="19"/>
  <c r="F245" i="19"/>
  <c r="E245" i="19"/>
  <c r="F244" i="19"/>
  <c r="E244" i="19"/>
  <c r="F243" i="19"/>
  <c r="E243" i="19"/>
  <c r="F242" i="19"/>
  <c r="E242" i="19"/>
  <c r="F241" i="19"/>
  <c r="E241" i="19"/>
  <c r="F240" i="19"/>
  <c r="E240" i="19"/>
  <c r="F239" i="19"/>
  <c r="E239" i="19"/>
  <c r="F238" i="19"/>
  <c r="E238" i="19"/>
  <c r="F237" i="19"/>
  <c r="E237" i="19"/>
  <c r="F236" i="19"/>
  <c r="E236" i="19"/>
  <c r="F235" i="19"/>
  <c r="E235" i="19"/>
  <c r="F234" i="19"/>
  <c r="E234" i="19"/>
  <c r="F233" i="19"/>
  <c r="E233" i="19"/>
  <c r="F232" i="19"/>
  <c r="E232" i="19"/>
  <c r="F231" i="19"/>
  <c r="E231" i="19"/>
  <c r="F230" i="19"/>
  <c r="E230" i="19"/>
  <c r="F229" i="19"/>
  <c r="E229" i="19"/>
  <c r="F228" i="19"/>
  <c r="E228" i="19"/>
  <c r="E227" i="19"/>
  <c r="F226" i="19"/>
  <c r="E226" i="19"/>
  <c r="F225" i="19"/>
  <c r="E225" i="19"/>
  <c r="F224" i="19"/>
  <c r="E224" i="19"/>
  <c r="F223" i="19"/>
  <c r="E223" i="19"/>
  <c r="F222" i="19"/>
  <c r="E222" i="19"/>
  <c r="F221" i="19"/>
  <c r="E221" i="19"/>
  <c r="F220" i="19"/>
  <c r="E220" i="19"/>
  <c r="F219" i="19"/>
  <c r="E219" i="19"/>
  <c r="F218" i="19"/>
  <c r="E218" i="19"/>
  <c r="F217" i="19"/>
  <c r="E217" i="19"/>
  <c r="F216" i="19"/>
  <c r="E216" i="19"/>
  <c r="F215" i="19"/>
  <c r="E215" i="19"/>
  <c r="F214" i="19"/>
  <c r="E214" i="19"/>
  <c r="E213" i="19"/>
  <c r="F212" i="19"/>
  <c r="E212" i="19"/>
  <c r="F211" i="19"/>
  <c r="E211" i="19"/>
  <c r="F210" i="19"/>
  <c r="E210" i="19"/>
  <c r="F209" i="19"/>
  <c r="E209" i="19"/>
  <c r="F208" i="19"/>
  <c r="E208" i="19"/>
  <c r="F207" i="19"/>
  <c r="E207" i="19"/>
  <c r="F206" i="19"/>
  <c r="E206" i="19"/>
  <c r="F205" i="19"/>
  <c r="E205" i="19"/>
  <c r="F204" i="19"/>
  <c r="E204" i="19"/>
  <c r="F203" i="19"/>
  <c r="E203" i="19"/>
  <c r="F202" i="19"/>
  <c r="E202" i="19"/>
  <c r="F201" i="19"/>
  <c r="E201" i="19"/>
  <c r="F200" i="19"/>
  <c r="E200" i="19"/>
  <c r="F199" i="19"/>
  <c r="E199" i="19"/>
  <c r="F198" i="19"/>
  <c r="E198" i="19"/>
  <c r="F197" i="19"/>
  <c r="E197" i="19"/>
  <c r="F196" i="19"/>
  <c r="E196" i="19"/>
  <c r="F195" i="19"/>
  <c r="E195" i="19"/>
  <c r="F194" i="19"/>
  <c r="E194" i="19"/>
  <c r="F193" i="19"/>
  <c r="E193" i="19"/>
  <c r="F192" i="19"/>
  <c r="E192" i="19"/>
  <c r="F191" i="19"/>
  <c r="E191" i="19"/>
  <c r="F190" i="19"/>
  <c r="E190" i="19"/>
  <c r="F189" i="19"/>
  <c r="F188" i="19"/>
  <c r="E188" i="19"/>
  <c r="F187" i="19"/>
  <c r="E187" i="19"/>
  <c r="F186" i="19"/>
  <c r="E186" i="19"/>
  <c r="F185" i="19"/>
  <c r="E185" i="19"/>
  <c r="F184" i="19"/>
  <c r="E184" i="19"/>
  <c r="E183" i="19"/>
  <c r="E182" i="19"/>
  <c r="F181" i="19"/>
  <c r="E181" i="19"/>
  <c r="E180" i="19"/>
  <c r="F179" i="19"/>
  <c r="E179" i="19"/>
  <c r="F178" i="19"/>
  <c r="E178" i="19"/>
  <c r="F177" i="19"/>
  <c r="F176" i="19"/>
  <c r="E176" i="19"/>
  <c r="F175" i="19"/>
  <c r="E175" i="19"/>
  <c r="F174" i="19"/>
  <c r="E174" i="19"/>
  <c r="F173" i="19"/>
  <c r="E173" i="19"/>
  <c r="F172" i="19"/>
  <c r="E172" i="19"/>
  <c r="F171" i="19"/>
  <c r="E171" i="19"/>
  <c r="F170" i="19"/>
  <c r="E170" i="19"/>
  <c r="F169" i="19"/>
  <c r="E169" i="19"/>
  <c r="F168" i="19"/>
  <c r="E168" i="19"/>
  <c r="F167" i="19"/>
  <c r="E167" i="19"/>
  <c r="F166" i="19"/>
  <c r="E165" i="19"/>
  <c r="F164" i="19"/>
  <c r="E164" i="19"/>
  <c r="F163" i="19"/>
  <c r="E163" i="19"/>
  <c r="F162" i="19"/>
  <c r="E162" i="19"/>
  <c r="F161" i="19"/>
  <c r="E161" i="19"/>
  <c r="F160" i="19"/>
  <c r="E160" i="19"/>
  <c r="F159" i="19"/>
  <c r="E159" i="19"/>
  <c r="F158" i="19"/>
  <c r="E158" i="19"/>
  <c r="F157" i="19"/>
  <c r="E157" i="19"/>
  <c r="F156" i="19"/>
  <c r="E156" i="19"/>
  <c r="F155" i="19"/>
  <c r="E155" i="19"/>
  <c r="F154" i="19"/>
  <c r="E154" i="19"/>
  <c r="F153" i="19"/>
  <c r="E153" i="19"/>
  <c r="F152" i="19"/>
  <c r="E152" i="19"/>
  <c r="F151" i="19"/>
  <c r="E151" i="19"/>
  <c r="F150" i="19"/>
  <c r="E150" i="19"/>
  <c r="F149" i="19"/>
  <c r="E149" i="19"/>
  <c r="F148" i="19"/>
  <c r="E148" i="19"/>
  <c r="F147" i="19"/>
  <c r="E147" i="19"/>
  <c r="F146" i="19"/>
  <c r="E146" i="19"/>
  <c r="F145" i="19"/>
  <c r="E145" i="19"/>
  <c r="F144" i="19"/>
  <c r="E144" i="19"/>
  <c r="F143" i="19"/>
  <c r="E143" i="19"/>
  <c r="F142" i="19"/>
  <c r="E142" i="19"/>
  <c r="F141" i="19"/>
  <c r="E141" i="19"/>
  <c r="F140" i="19"/>
  <c r="E140" i="19"/>
  <c r="F139" i="19"/>
  <c r="E139" i="19"/>
  <c r="F138" i="19"/>
  <c r="E138" i="19"/>
  <c r="F137" i="19"/>
  <c r="E137" i="19"/>
  <c r="F136" i="19"/>
  <c r="E136" i="19"/>
  <c r="F135" i="19"/>
  <c r="E135" i="19"/>
  <c r="F134" i="19"/>
  <c r="E134" i="19"/>
  <c r="F133" i="19"/>
  <c r="E133" i="19"/>
  <c r="F132" i="19"/>
  <c r="E132" i="19"/>
  <c r="F131" i="19"/>
  <c r="E131" i="19"/>
  <c r="F130" i="19"/>
  <c r="E130" i="19"/>
  <c r="F129" i="19"/>
  <c r="E129" i="19"/>
  <c r="F128" i="19"/>
  <c r="E128" i="19"/>
  <c r="F127" i="19"/>
  <c r="E127" i="19"/>
  <c r="F126" i="19"/>
  <c r="E126" i="19"/>
  <c r="F125" i="19"/>
  <c r="E125" i="19"/>
  <c r="F124" i="19"/>
  <c r="E124" i="19"/>
  <c r="F123" i="19"/>
  <c r="E123" i="19"/>
  <c r="F122" i="19"/>
  <c r="E122" i="19"/>
  <c r="F121" i="19"/>
  <c r="E121" i="19"/>
  <c r="F120" i="19"/>
  <c r="E120" i="19"/>
  <c r="F119" i="19"/>
  <c r="E119" i="19"/>
  <c r="F118" i="19"/>
  <c r="E118" i="19"/>
  <c r="F117" i="19"/>
  <c r="E117" i="19"/>
  <c r="F116" i="19"/>
  <c r="E116" i="19"/>
  <c r="F115" i="19"/>
  <c r="E115" i="19"/>
  <c r="F114" i="19"/>
  <c r="E114" i="19"/>
  <c r="F113" i="19"/>
  <c r="E113" i="19"/>
  <c r="F112" i="19"/>
  <c r="E112" i="19"/>
  <c r="F111" i="19"/>
  <c r="E111" i="19"/>
  <c r="F110" i="19"/>
  <c r="E110" i="19"/>
  <c r="F109" i="19"/>
  <c r="E109" i="19"/>
  <c r="F108" i="19"/>
  <c r="E108" i="19"/>
  <c r="F107" i="19"/>
  <c r="E107" i="19"/>
  <c r="F106" i="19"/>
  <c r="E106" i="19"/>
  <c r="F105" i="19"/>
  <c r="E105" i="19"/>
  <c r="F104" i="19"/>
  <c r="E104" i="19"/>
  <c r="F103" i="19"/>
  <c r="E103" i="19"/>
  <c r="F102" i="19"/>
  <c r="E102" i="19"/>
  <c r="F101" i="19"/>
  <c r="E101" i="19"/>
  <c r="F100" i="19"/>
  <c r="E100" i="19"/>
  <c r="F99" i="19"/>
  <c r="E99" i="19"/>
  <c r="F98" i="19"/>
  <c r="E98" i="19"/>
  <c r="F97" i="19"/>
  <c r="E97" i="19"/>
  <c r="F96" i="19"/>
  <c r="E96" i="19"/>
  <c r="F95" i="19"/>
  <c r="E95" i="19"/>
  <c r="F94" i="19"/>
  <c r="E94" i="19"/>
  <c r="F93" i="19"/>
  <c r="E93" i="19"/>
  <c r="F92" i="19"/>
  <c r="E92" i="19"/>
  <c r="F91" i="19"/>
  <c r="E91" i="19"/>
  <c r="F90" i="19"/>
  <c r="E90" i="19"/>
  <c r="F89" i="19"/>
  <c r="E89" i="19"/>
  <c r="F88" i="19"/>
  <c r="E88" i="19"/>
  <c r="F87" i="19"/>
  <c r="E87" i="19"/>
  <c r="F86" i="19"/>
  <c r="E86" i="19"/>
  <c r="F85" i="19"/>
  <c r="E85" i="19"/>
  <c r="F84" i="19"/>
  <c r="E84" i="19"/>
  <c r="F83" i="19"/>
  <c r="E83" i="19"/>
  <c r="F82" i="19"/>
  <c r="E82" i="19"/>
  <c r="F81" i="19"/>
  <c r="E81" i="19"/>
  <c r="F80" i="19"/>
  <c r="F79" i="19"/>
  <c r="F78" i="19"/>
  <c r="F77" i="19"/>
  <c r="E77" i="19"/>
  <c r="F76" i="19"/>
  <c r="E76" i="19"/>
  <c r="F75" i="19"/>
  <c r="E75" i="19"/>
  <c r="F74" i="19"/>
  <c r="E74" i="19"/>
  <c r="F73" i="19"/>
  <c r="E73" i="19"/>
  <c r="F72" i="19"/>
  <c r="E72" i="19"/>
  <c r="F71" i="19"/>
  <c r="E71" i="19"/>
  <c r="F70" i="19"/>
  <c r="E70" i="19"/>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F56" i="19"/>
  <c r="E56" i="19"/>
  <c r="F55" i="19"/>
  <c r="E55" i="19"/>
  <c r="F54" i="19"/>
  <c r="E54" i="19"/>
  <c r="F53" i="19"/>
  <c r="E53" i="19"/>
  <c r="F52" i="19"/>
  <c r="E52" i="19"/>
  <c r="F51" i="19"/>
  <c r="E51" i="19"/>
  <c r="F50" i="19"/>
  <c r="E50" i="19"/>
  <c r="F49" i="19"/>
  <c r="E49" i="19"/>
  <c r="F48" i="19"/>
  <c r="E48" i="19"/>
  <c r="F47" i="19"/>
  <c r="F46" i="19"/>
  <c r="F45" i="19"/>
  <c r="E45" i="19"/>
  <c r="F44" i="19"/>
  <c r="E44" i="19"/>
  <c r="F43" i="19"/>
  <c r="E43" i="19"/>
  <c r="F42" i="19"/>
  <c r="E42" i="19"/>
  <c r="F41" i="19"/>
  <c r="E41" i="19"/>
  <c r="F40" i="19"/>
  <c r="E40" i="19"/>
  <c r="F39" i="19"/>
  <c r="E39" i="19"/>
  <c r="F38" i="19"/>
  <c r="E38" i="19"/>
  <c r="F37" i="19"/>
  <c r="E37" i="19"/>
  <c r="F36" i="19"/>
  <c r="E36" i="19"/>
  <c r="F35" i="19"/>
  <c r="E35" i="19"/>
  <c r="F34" i="19"/>
  <c r="E34" i="19"/>
  <c r="F33" i="19"/>
  <c r="E33" i="19"/>
  <c r="F32" i="19"/>
  <c r="E32" i="19"/>
  <c r="F31" i="19"/>
  <c r="E31" i="19"/>
  <c r="F30" i="19"/>
  <c r="E30" i="19"/>
  <c r="F29" i="19"/>
  <c r="E29" i="19"/>
  <c r="F28" i="19"/>
  <c r="E28" i="19"/>
  <c r="F27" i="19"/>
  <c r="E27" i="19"/>
  <c r="F26" i="19"/>
  <c r="E26" i="19"/>
  <c r="F25" i="19"/>
  <c r="E25" i="19"/>
  <c r="F24" i="19"/>
  <c r="E24" i="19"/>
  <c r="F23" i="19"/>
  <c r="E23" i="19"/>
  <c r="F22" i="19"/>
  <c r="E22" i="19"/>
  <c r="F21" i="19"/>
  <c r="E21" i="19"/>
  <c r="F20" i="19"/>
  <c r="E20" i="19"/>
  <c r="F19" i="19"/>
  <c r="E19" i="19"/>
  <c r="F18" i="19"/>
  <c r="E18" i="19"/>
  <c r="F17" i="19"/>
  <c r="E17" i="19"/>
  <c r="F16" i="19"/>
  <c r="E16" i="19"/>
  <c r="E15" i="19"/>
  <c r="E14" i="19"/>
  <c r="F13" i="19"/>
  <c r="E13" i="19"/>
  <c r="F12" i="19"/>
  <c r="E12" i="19"/>
  <c r="F11" i="19"/>
  <c r="E11" i="19"/>
  <c r="F10" i="19"/>
  <c r="E10" i="19"/>
  <c r="F9" i="19"/>
  <c r="E9" i="19"/>
  <c r="F8" i="19"/>
  <c r="E8" i="19"/>
  <c r="F7" i="19"/>
  <c r="E7" i="19"/>
  <c r="F6" i="19"/>
  <c r="E6" i="19"/>
  <c r="F5" i="19"/>
  <c r="E5" i="19"/>
  <c r="F4" i="19"/>
  <c r="E4" i="19"/>
  <c r="T632" i="4"/>
  <c r="T626" i="4"/>
  <c r="C11" i="38" l="1"/>
  <c r="E10" i="38"/>
  <c r="F10" i="38"/>
  <c r="F11" i="38" s="1"/>
  <c r="T615" i="4"/>
  <c r="H30" i="19"/>
  <c r="H62" i="19"/>
  <c r="H120" i="19"/>
  <c r="H184" i="19"/>
  <c r="H248" i="19"/>
  <c r="H312" i="19"/>
  <c r="H376" i="19"/>
  <c r="H10" i="19"/>
  <c r="H42" i="19"/>
  <c r="H80" i="19"/>
  <c r="H144" i="19"/>
  <c r="H208" i="19"/>
  <c r="H272" i="19"/>
  <c r="H336" i="19"/>
  <c r="H400" i="19"/>
  <c r="H14" i="19"/>
  <c r="H46" i="19"/>
  <c r="H88" i="19"/>
  <c r="H152" i="19"/>
  <c r="H216" i="19"/>
  <c r="H280" i="19"/>
  <c r="H344" i="19"/>
  <c r="I177" i="19"/>
  <c r="H26" i="19"/>
  <c r="H58" i="19"/>
  <c r="H112" i="19"/>
  <c r="H176" i="19"/>
  <c r="H240" i="19"/>
  <c r="H304" i="19"/>
  <c r="H368" i="19"/>
  <c r="I43" i="19"/>
  <c r="I178" i="19"/>
  <c r="H18" i="19"/>
  <c r="H34" i="19"/>
  <c r="H50" i="19"/>
  <c r="H66" i="19"/>
  <c r="H96" i="19"/>
  <c r="H128" i="19"/>
  <c r="H160" i="19"/>
  <c r="H192" i="19"/>
  <c r="H224" i="19"/>
  <c r="H256" i="19"/>
  <c r="H288" i="19"/>
  <c r="H320" i="19"/>
  <c r="H352" i="19"/>
  <c r="H384" i="19"/>
  <c r="I179" i="19"/>
  <c r="H6" i="19"/>
  <c r="H22" i="19"/>
  <c r="H38" i="19"/>
  <c r="H54" i="19"/>
  <c r="H72" i="19"/>
  <c r="H104" i="19"/>
  <c r="H136" i="19"/>
  <c r="H168" i="19"/>
  <c r="H200" i="19"/>
  <c r="H232" i="19"/>
  <c r="H264" i="19"/>
  <c r="H296" i="19"/>
  <c r="H328" i="19"/>
  <c r="H360" i="19"/>
  <c r="H392" i="19"/>
  <c r="H7" i="19"/>
  <c r="H15" i="19"/>
  <c r="H23" i="19"/>
  <c r="H31" i="19"/>
  <c r="H39" i="19"/>
  <c r="H47" i="19"/>
  <c r="H55" i="19"/>
  <c r="H63" i="19"/>
  <c r="H73" i="19"/>
  <c r="H89" i="19"/>
  <c r="H105" i="19"/>
  <c r="H121" i="19"/>
  <c r="H137" i="19"/>
  <c r="H153" i="19"/>
  <c r="H169" i="19"/>
  <c r="H185" i="19"/>
  <c r="H201" i="19"/>
  <c r="H217" i="19"/>
  <c r="H233" i="19"/>
  <c r="H249" i="19"/>
  <c r="H265" i="19"/>
  <c r="H281" i="19"/>
  <c r="H297" i="19"/>
  <c r="H313" i="19"/>
  <c r="H329" i="19"/>
  <c r="H345" i="19"/>
  <c r="H369" i="19"/>
  <c r="H385" i="19"/>
  <c r="H393" i="19"/>
  <c r="F409" i="19"/>
  <c r="H4" i="19"/>
  <c r="H8" i="19"/>
  <c r="H12" i="19"/>
  <c r="H16" i="19"/>
  <c r="H20" i="19"/>
  <c r="H24" i="19"/>
  <c r="H28" i="19"/>
  <c r="H32" i="19"/>
  <c r="H36" i="19"/>
  <c r="H40" i="19"/>
  <c r="H44" i="19"/>
  <c r="H48" i="19"/>
  <c r="H52" i="19"/>
  <c r="H56" i="19"/>
  <c r="H60" i="19"/>
  <c r="H64" i="19"/>
  <c r="H68" i="19"/>
  <c r="H76" i="19"/>
  <c r="H84" i="19"/>
  <c r="H92" i="19"/>
  <c r="H100" i="19"/>
  <c r="H108" i="19"/>
  <c r="H116" i="19"/>
  <c r="H124" i="19"/>
  <c r="H132" i="19"/>
  <c r="H140" i="19"/>
  <c r="H148" i="19"/>
  <c r="H156" i="19"/>
  <c r="H164" i="19"/>
  <c r="H172" i="19"/>
  <c r="H180" i="19"/>
  <c r="H188" i="19"/>
  <c r="H196" i="19"/>
  <c r="H204" i="19"/>
  <c r="H212" i="19"/>
  <c r="H220" i="19"/>
  <c r="H228" i="19"/>
  <c r="H236" i="19"/>
  <c r="H244" i="19"/>
  <c r="H252" i="19"/>
  <c r="H260" i="19"/>
  <c r="H268" i="19"/>
  <c r="H276" i="19"/>
  <c r="H284" i="19"/>
  <c r="H292" i="19"/>
  <c r="H300" i="19"/>
  <c r="H308" i="19"/>
  <c r="H316" i="19"/>
  <c r="H324" i="19"/>
  <c r="H332" i="19"/>
  <c r="H340" i="19"/>
  <c r="H348" i="19"/>
  <c r="H356" i="19"/>
  <c r="H364" i="19"/>
  <c r="H372" i="19"/>
  <c r="H380" i="19"/>
  <c r="H388" i="19"/>
  <c r="H396" i="19"/>
  <c r="E409" i="19"/>
  <c r="H407" i="19"/>
  <c r="H403" i="19"/>
  <c r="H399" i="19"/>
  <c r="H395" i="19"/>
  <c r="H391" i="19"/>
  <c r="H387" i="19"/>
  <c r="H383" i="19"/>
  <c r="H379" i="19"/>
  <c r="H375" i="19"/>
  <c r="H371" i="19"/>
  <c r="H367" i="19"/>
  <c r="H363" i="19"/>
  <c r="H359" i="19"/>
  <c r="H355" i="19"/>
  <c r="H351" i="19"/>
  <c r="H347" i="19"/>
  <c r="H343" i="19"/>
  <c r="H339" i="19"/>
  <c r="H335" i="19"/>
  <c r="H331" i="19"/>
  <c r="H327" i="19"/>
  <c r="H323" i="19"/>
  <c r="H319" i="19"/>
  <c r="H315" i="19"/>
  <c r="H311" i="19"/>
  <c r="H307" i="19"/>
  <c r="H303" i="19"/>
  <c r="H299" i="19"/>
  <c r="H295" i="19"/>
  <c r="H291" i="19"/>
  <c r="H287" i="19"/>
  <c r="H283" i="19"/>
  <c r="H279" i="19"/>
  <c r="H275" i="19"/>
  <c r="H271" i="19"/>
  <c r="H267" i="19"/>
  <c r="H263" i="19"/>
  <c r="H259" i="19"/>
  <c r="H255" i="19"/>
  <c r="H251" i="19"/>
  <c r="H247" i="19"/>
  <c r="H243" i="19"/>
  <c r="H239" i="19"/>
  <c r="H235" i="19"/>
  <c r="H231" i="19"/>
  <c r="H227" i="19"/>
  <c r="H223" i="19"/>
  <c r="H219" i="19"/>
  <c r="H215" i="19"/>
  <c r="H211" i="19"/>
  <c r="H207" i="19"/>
  <c r="H203" i="19"/>
  <c r="H199" i="19"/>
  <c r="H195" i="19"/>
  <c r="H191" i="19"/>
  <c r="H187" i="19"/>
  <c r="H183" i="19"/>
  <c r="H179" i="19"/>
  <c r="H175" i="19"/>
  <c r="H171" i="19"/>
  <c r="H167" i="19"/>
  <c r="H163" i="19"/>
  <c r="H159" i="19"/>
  <c r="H155" i="19"/>
  <c r="H151" i="19"/>
  <c r="H147" i="19"/>
  <c r="H143" i="19"/>
  <c r="H139" i="19"/>
  <c r="H135" i="19"/>
  <c r="H131" i="19"/>
  <c r="H127" i="19"/>
  <c r="H123" i="19"/>
  <c r="H119" i="19"/>
  <c r="H115" i="19"/>
  <c r="H111" i="19"/>
  <c r="H107" i="19"/>
  <c r="H103" i="19"/>
  <c r="H99" i="19"/>
  <c r="H95" i="19"/>
  <c r="H91" i="19"/>
  <c r="H87" i="19"/>
  <c r="H83" i="19"/>
  <c r="H79" i="19"/>
  <c r="H75" i="19"/>
  <c r="H71" i="19"/>
  <c r="H406" i="19"/>
  <c r="H402" i="19"/>
  <c r="H398" i="19"/>
  <c r="H394" i="19"/>
  <c r="H390" i="19"/>
  <c r="H386" i="19"/>
  <c r="H382" i="19"/>
  <c r="H378" i="19"/>
  <c r="H374" i="19"/>
  <c r="H370" i="19"/>
  <c r="H366" i="19"/>
  <c r="H362" i="19"/>
  <c r="H358" i="19"/>
  <c r="H354" i="19"/>
  <c r="H350" i="19"/>
  <c r="H346" i="19"/>
  <c r="H342" i="19"/>
  <c r="H338" i="19"/>
  <c r="H334" i="19"/>
  <c r="H330" i="19"/>
  <c r="H326" i="19"/>
  <c r="H322" i="19"/>
  <c r="H318" i="19"/>
  <c r="H314" i="19"/>
  <c r="H310" i="19"/>
  <c r="H306" i="19"/>
  <c r="H302" i="19"/>
  <c r="H298" i="19"/>
  <c r="H294" i="19"/>
  <c r="H290" i="19"/>
  <c r="H286" i="19"/>
  <c r="H282" i="19"/>
  <c r="H278" i="19"/>
  <c r="H274" i="19"/>
  <c r="H270" i="19"/>
  <c r="H266" i="19"/>
  <c r="H262" i="19"/>
  <c r="H258" i="19"/>
  <c r="H254" i="19"/>
  <c r="H250" i="19"/>
  <c r="H246" i="19"/>
  <c r="H242" i="19"/>
  <c r="H238" i="19"/>
  <c r="H234" i="19"/>
  <c r="H230" i="19"/>
  <c r="H226" i="19"/>
  <c r="H222" i="19"/>
  <c r="H218" i="19"/>
  <c r="H214" i="19"/>
  <c r="H210" i="19"/>
  <c r="H206" i="19"/>
  <c r="H202" i="19"/>
  <c r="H198" i="19"/>
  <c r="H194" i="19"/>
  <c r="H190" i="19"/>
  <c r="H186" i="19"/>
  <c r="H182" i="19"/>
  <c r="H178" i="19"/>
  <c r="H174" i="19"/>
  <c r="H170" i="19"/>
  <c r="H166" i="19"/>
  <c r="H162" i="19"/>
  <c r="H158" i="19"/>
  <c r="H154" i="19"/>
  <c r="H150" i="19"/>
  <c r="H146" i="19"/>
  <c r="H142" i="19"/>
  <c r="H138" i="19"/>
  <c r="H134" i="19"/>
  <c r="H130" i="19"/>
  <c r="H126" i="19"/>
  <c r="H122" i="19"/>
  <c r="H118" i="19"/>
  <c r="H114" i="19"/>
  <c r="H110" i="19"/>
  <c r="H106" i="19"/>
  <c r="H102" i="19"/>
  <c r="H98" i="19"/>
  <c r="H94" i="19"/>
  <c r="H90" i="19"/>
  <c r="H86" i="19"/>
  <c r="H82" i="19"/>
  <c r="H78" i="19"/>
  <c r="H74" i="19"/>
  <c r="H70" i="19"/>
  <c r="H11" i="19"/>
  <c r="H19" i="19"/>
  <c r="H27" i="19"/>
  <c r="H35" i="19"/>
  <c r="H43" i="19"/>
  <c r="H51" i="19"/>
  <c r="H59" i="19"/>
  <c r="H67" i="19"/>
  <c r="H81" i="19"/>
  <c r="H97" i="19"/>
  <c r="H113" i="19"/>
  <c r="H129" i="19"/>
  <c r="H145" i="19"/>
  <c r="H161" i="19"/>
  <c r="H177" i="19"/>
  <c r="H193" i="19"/>
  <c r="H209" i="19"/>
  <c r="H225" i="19"/>
  <c r="H241" i="19"/>
  <c r="H257" i="19"/>
  <c r="H273" i="19"/>
  <c r="H289" i="19"/>
  <c r="H305" i="19"/>
  <c r="H321" i="19"/>
  <c r="H337" i="19"/>
  <c r="H353" i="19"/>
  <c r="H361" i="19"/>
  <c r="H377" i="19"/>
  <c r="H401" i="19"/>
  <c r="H5" i="19"/>
  <c r="H9" i="19"/>
  <c r="H13" i="19"/>
  <c r="H17" i="19"/>
  <c r="H21" i="19"/>
  <c r="H25" i="19"/>
  <c r="H29" i="19"/>
  <c r="H33" i="19"/>
  <c r="H37" i="19"/>
  <c r="H41" i="19"/>
  <c r="H45" i="19"/>
  <c r="H49" i="19"/>
  <c r="H53" i="19"/>
  <c r="H57" i="19"/>
  <c r="H61" i="19"/>
  <c r="H65" i="19"/>
  <c r="H69" i="19"/>
  <c r="H77" i="19"/>
  <c r="H85" i="19"/>
  <c r="H93" i="19"/>
  <c r="H101" i="19"/>
  <c r="H109" i="19"/>
  <c r="H117" i="19"/>
  <c r="H125" i="19"/>
  <c r="H133" i="19"/>
  <c r="H141" i="19"/>
  <c r="H149" i="19"/>
  <c r="H157" i="19"/>
  <c r="H165" i="19"/>
  <c r="H173" i="19"/>
  <c r="H181" i="19"/>
  <c r="H189" i="19"/>
  <c r="H197" i="19"/>
  <c r="H205" i="19"/>
  <c r="H213" i="19"/>
  <c r="H221" i="19"/>
  <c r="H229" i="19"/>
  <c r="H237" i="19"/>
  <c r="H245" i="19"/>
  <c r="H253" i="19"/>
  <c r="H261" i="19"/>
  <c r="H269" i="19"/>
  <c r="H277" i="19"/>
  <c r="H285" i="19"/>
  <c r="H293" i="19"/>
  <c r="H301" i="19"/>
  <c r="H309" i="19"/>
  <c r="H317" i="19"/>
  <c r="H325" i="19"/>
  <c r="H333" i="19"/>
  <c r="H341" i="19"/>
  <c r="H349" i="19"/>
  <c r="H357" i="19"/>
  <c r="H365" i="19"/>
  <c r="H373" i="19"/>
  <c r="H381" i="19"/>
  <c r="H389" i="19"/>
  <c r="H397" i="19"/>
  <c r="H405" i="19"/>
  <c r="C256" i="4"/>
  <c r="F360" i="43"/>
  <c r="F312" i="43"/>
  <c r="N357" i="43"/>
  <c r="J357" i="43"/>
  <c r="N354" i="43"/>
  <c r="M354" i="43"/>
  <c r="L354" i="43"/>
  <c r="K354" i="43"/>
  <c r="J354" i="43"/>
  <c r="F353" i="43"/>
  <c r="I352" i="43"/>
  <c r="H352" i="43"/>
  <c r="L351" i="43"/>
  <c r="H351" i="43"/>
  <c r="I351" i="43" s="1"/>
  <c r="K350" i="43"/>
  <c r="I350" i="43"/>
  <c r="N350" i="43" s="1"/>
  <c r="H350" i="43"/>
  <c r="H349" i="43"/>
  <c r="I349" i="43" s="1"/>
  <c r="M348" i="43"/>
  <c r="I348" i="43"/>
  <c r="H348" i="43"/>
  <c r="H347" i="43"/>
  <c r="I347" i="43" s="1"/>
  <c r="K346" i="43"/>
  <c r="I346" i="43"/>
  <c r="N346" i="43" s="1"/>
  <c r="H346" i="43"/>
  <c r="N345" i="43"/>
  <c r="H345" i="43"/>
  <c r="I345" i="43" s="1"/>
  <c r="I344" i="43"/>
  <c r="H344" i="43"/>
  <c r="H343" i="43"/>
  <c r="I343" i="43" s="1"/>
  <c r="K342" i="43"/>
  <c r="I342" i="43"/>
  <c r="N342" i="43" s="1"/>
  <c r="H342" i="43"/>
  <c r="N341" i="43"/>
  <c r="J341" i="43"/>
  <c r="H341" i="43"/>
  <c r="I341" i="43" s="1"/>
  <c r="I340" i="43"/>
  <c r="H340" i="43"/>
  <c r="H339" i="43"/>
  <c r="I339" i="43" s="1"/>
  <c r="K338" i="43"/>
  <c r="I338" i="43"/>
  <c r="N338" i="43" s="1"/>
  <c r="H338" i="43"/>
  <c r="H337" i="43"/>
  <c r="I337" i="43" s="1"/>
  <c r="I336" i="43"/>
  <c r="H336" i="43"/>
  <c r="L335" i="43"/>
  <c r="H335" i="43"/>
  <c r="I335" i="43" s="1"/>
  <c r="K334" i="43"/>
  <c r="I334" i="43"/>
  <c r="N334" i="43" s="1"/>
  <c r="H334" i="43"/>
  <c r="H333" i="43"/>
  <c r="I333" i="43" s="1"/>
  <c r="M332" i="43"/>
  <c r="I332" i="43"/>
  <c r="H332" i="43"/>
  <c r="L331" i="43"/>
  <c r="H331" i="43"/>
  <c r="I331" i="43" s="1"/>
  <c r="K330" i="43"/>
  <c r="I330" i="43"/>
  <c r="N330" i="43" s="1"/>
  <c r="H330" i="43"/>
  <c r="N329" i="43"/>
  <c r="J329" i="43"/>
  <c r="H329" i="43"/>
  <c r="I329" i="43" s="1"/>
  <c r="M328" i="43"/>
  <c r="I328" i="43"/>
  <c r="H328" i="43"/>
  <c r="H327" i="43"/>
  <c r="I327" i="43" s="1"/>
  <c r="K326" i="43"/>
  <c r="H326" i="43"/>
  <c r="I326" i="43" s="1"/>
  <c r="H325" i="43"/>
  <c r="I325" i="43" s="1"/>
  <c r="M324" i="43"/>
  <c r="I324" i="43"/>
  <c r="H324" i="43"/>
  <c r="L323" i="43"/>
  <c r="H323" i="43"/>
  <c r="I323" i="43" s="1"/>
  <c r="H322" i="43"/>
  <c r="I322" i="43" s="1"/>
  <c r="N321" i="43"/>
  <c r="J321" i="43"/>
  <c r="I321" i="43"/>
  <c r="M321" i="43" s="1"/>
  <c r="H321" i="43"/>
  <c r="M320" i="43"/>
  <c r="I320" i="43"/>
  <c r="H320" i="43"/>
  <c r="L319" i="43"/>
  <c r="H319" i="43"/>
  <c r="I319" i="43" s="1"/>
  <c r="K318" i="43"/>
  <c r="H318" i="43"/>
  <c r="I318" i="43" s="1"/>
  <c r="N317" i="43"/>
  <c r="J317" i="43"/>
  <c r="I317" i="43"/>
  <c r="M317" i="43" s="1"/>
  <c r="H317" i="43"/>
  <c r="M316" i="43"/>
  <c r="I316" i="43"/>
  <c r="H316" i="43"/>
  <c r="H315" i="43"/>
  <c r="I315" i="43" s="1"/>
  <c r="K312" i="43"/>
  <c r="K314" i="43" s="1"/>
  <c r="I312" i="43"/>
  <c r="N312" i="43" s="1"/>
  <c r="N314" i="43" s="1"/>
  <c r="H312" i="43"/>
  <c r="F314" i="43"/>
  <c r="F311" i="43"/>
  <c r="K309" i="43"/>
  <c r="K311" i="43" s="1"/>
  <c r="I309" i="43"/>
  <c r="N309" i="43" s="1"/>
  <c r="N311" i="43" s="1"/>
  <c r="H309" i="43"/>
  <c r="F308" i="43"/>
  <c r="N306" i="43"/>
  <c r="J306" i="43"/>
  <c r="I306" i="43"/>
  <c r="M306" i="43" s="1"/>
  <c r="H306" i="43"/>
  <c r="I305" i="43"/>
  <c r="H305" i="43"/>
  <c r="L304" i="43"/>
  <c r="H304" i="43"/>
  <c r="I304" i="43" s="1"/>
  <c r="F303" i="43"/>
  <c r="K302" i="43"/>
  <c r="H302" i="43"/>
  <c r="I302" i="43" s="1"/>
  <c r="N301" i="43"/>
  <c r="J301" i="43"/>
  <c r="I301" i="43"/>
  <c r="M301" i="43" s="1"/>
  <c r="H301" i="43"/>
  <c r="M300" i="43"/>
  <c r="I300" i="43"/>
  <c r="H300" i="43"/>
  <c r="H299" i="43"/>
  <c r="I299" i="43" s="1"/>
  <c r="K298" i="43"/>
  <c r="H298" i="43"/>
  <c r="I298" i="43" s="1"/>
  <c r="N297" i="43"/>
  <c r="J297" i="43"/>
  <c r="I297" i="43"/>
  <c r="M297" i="43" s="1"/>
  <c r="H297" i="43"/>
  <c r="I296" i="43"/>
  <c r="H296" i="43"/>
  <c r="I295" i="43"/>
  <c r="H295" i="43"/>
  <c r="I294" i="43"/>
  <c r="H294" i="43"/>
  <c r="H293" i="43"/>
  <c r="I293" i="43" s="1"/>
  <c r="H292" i="43"/>
  <c r="I292" i="43" s="1"/>
  <c r="N291" i="43"/>
  <c r="K291" i="43"/>
  <c r="J291" i="43"/>
  <c r="I291" i="43"/>
  <c r="M291" i="43" s="1"/>
  <c r="H291" i="43"/>
  <c r="I290" i="43"/>
  <c r="H290" i="43"/>
  <c r="I289" i="43"/>
  <c r="H289" i="43"/>
  <c r="K288" i="43"/>
  <c r="H288" i="43"/>
  <c r="I288" i="43" s="1"/>
  <c r="N287" i="43"/>
  <c r="K287" i="43"/>
  <c r="J287" i="43"/>
  <c r="I287" i="43"/>
  <c r="M287" i="43" s="1"/>
  <c r="H287" i="43"/>
  <c r="N286" i="43"/>
  <c r="M286" i="43"/>
  <c r="J286" i="43"/>
  <c r="I286" i="43"/>
  <c r="H286" i="43"/>
  <c r="M285" i="43"/>
  <c r="H285" i="43"/>
  <c r="I285" i="43" s="1"/>
  <c r="L284" i="43"/>
  <c r="K284" i="43"/>
  <c r="H284" i="43"/>
  <c r="I284" i="43" s="1"/>
  <c r="N283" i="43"/>
  <c r="K283" i="43"/>
  <c r="J283" i="43"/>
  <c r="I283" i="43"/>
  <c r="M283" i="43" s="1"/>
  <c r="H283" i="43"/>
  <c r="N282" i="43"/>
  <c r="M282" i="43"/>
  <c r="I282" i="43"/>
  <c r="H282" i="43"/>
  <c r="M281" i="43"/>
  <c r="H281" i="43"/>
  <c r="I281" i="43" s="1"/>
  <c r="L280" i="43"/>
  <c r="H280" i="43"/>
  <c r="I280" i="43" s="1"/>
  <c r="N279" i="43"/>
  <c r="K279" i="43"/>
  <c r="J279" i="43"/>
  <c r="I279" i="43"/>
  <c r="M279" i="43" s="1"/>
  <c r="H279" i="43"/>
  <c r="N278" i="43"/>
  <c r="I278" i="43"/>
  <c r="H278" i="43"/>
  <c r="I277" i="43"/>
  <c r="H277" i="43"/>
  <c r="H276" i="43"/>
  <c r="I276" i="43" s="1"/>
  <c r="N275" i="43"/>
  <c r="K275" i="43"/>
  <c r="J275" i="43"/>
  <c r="I275" i="43"/>
  <c r="M275" i="43" s="1"/>
  <c r="H275" i="43"/>
  <c r="J274" i="43"/>
  <c r="I274" i="43"/>
  <c r="H274" i="43"/>
  <c r="I273" i="43"/>
  <c r="H273" i="43"/>
  <c r="H272" i="43"/>
  <c r="I272" i="43" s="1"/>
  <c r="H271" i="43"/>
  <c r="I271" i="43" s="1"/>
  <c r="I270" i="43"/>
  <c r="H270" i="43"/>
  <c r="L269" i="43"/>
  <c r="I269" i="43"/>
  <c r="H269" i="43"/>
  <c r="H268" i="43"/>
  <c r="I268" i="43" s="1"/>
  <c r="H267" i="43"/>
  <c r="I267" i="43" s="1"/>
  <c r="J266" i="43"/>
  <c r="I266" i="43"/>
  <c r="H266" i="43"/>
  <c r="I265" i="43"/>
  <c r="H265" i="43"/>
  <c r="H264" i="43"/>
  <c r="I264" i="43" s="1"/>
  <c r="N263" i="43"/>
  <c r="K263" i="43"/>
  <c r="J263" i="43"/>
  <c r="I263" i="43"/>
  <c r="M263" i="43" s="1"/>
  <c r="H263" i="43"/>
  <c r="M262" i="43"/>
  <c r="J262" i="43"/>
  <c r="I262" i="43"/>
  <c r="N262" i="43" s="1"/>
  <c r="H262" i="43"/>
  <c r="M261" i="43"/>
  <c r="L261" i="43"/>
  <c r="I261" i="43"/>
  <c r="H261" i="43"/>
  <c r="L260" i="43"/>
  <c r="K260" i="43"/>
  <c r="H260" i="43"/>
  <c r="I260" i="43" s="1"/>
  <c r="N259" i="43"/>
  <c r="K259" i="43"/>
  <c r="J259" i="43"/>
  <c r="I259" i="43"/>
  <c r="M259" i="43" s="1"/>
  <c r="H259" i="43"/>
  <c r="N258" i="43"/>
  <c r="M258" i="43"/>
  <c r="J258" i="43"/>
  <c r="I258" i="43"/>
  <c r="H258" i="43"/>
  <c r="H257" i="43"/>
  <c r="I257" i="43" s="1"/>
  <c r="L256" i="43"/>
  <c r="K256" i="43"/>
  <c r="H256" i="43"/>
  <c r="I256" i="43" s="1"/>
  <c r="M255" i="43"/>
  <c r="F255" i="43"/>
  <c r="N253" i="43"/>
  <c r="N255" i="43" s="1"/>
  <c r="K253" i="43"/>
  <c r="K255" i="43" s="1"/>
  <c r="J253" i="43"/>
  <c r="J255" i="43" s="1"/>
  <c r="I253" i="43"/>
  <c r="M253" i="43" s="1"/>
  <c r="H253" i="43"/>
  <c r="F252" i="43"/>
  <c r="N251" i="43"/>
  <c r="M251" i="43"/>
  <c r="L251" i="43"/>
  <c r="K251" i="43"/>
  <c r="J251" i="43"/>
  <c r="N250" i="43"/>
  <c r="K250" i="43"/>
  <c r="K252" i="43" s="1"/>
  <c r="J250" i="43"/>
  <c r="J252" i="43" s="1"/>
  <c r="I250" i="43"/>
  <c r="M250" i="43" s="1"/>
  <c r="M252" i="43" s="1"/>
  <c r="H250" i="43"/>
  <c r="F249" i="43"/>
  <c r="I248" i="43"/>
  <c r="H248" i="43"/>
  <c r="I247" i="43"/>
  <c r="H247" i="43"/>
  <c r="L246" i="43"/>
  <c r="K246" i="43"/>
  <c r="I246" i="43"/>
  <c r="M246" i="43" s="1"/>
  <c r="H246" i="43"/>
  <c r="I245" i="43"/>
  <c r="H245" i="43"/>
  <c r="H244" i="43"/>
  <c r="I244" i="43" s="1"/>
  <c r="H243" i="43"/>
  <c r="I243" i="43" s="1"/>
  <c r="N242" i="43"/>
  <c r="K242" i="43"/>
  <c r="J242" i="43"/>
  <c r="I242" i="43"/>
  <c r="M242" i="43" s="1"/>
  <c r="H242" i="43"/>
  <c r="I241" i="43"/>
  <c r="H241" i="43"/>
  <c r="L240" i="43"/>
  <c r="I240" i="43"/>
  <c r="H240" i="43"/>
  <c r="K239" i="43"/>
  <c r="H239" i="43"/>
  <c r="I239" i="43" s="1"/>
  <c r="N238" i="43"/>
  <c r="K238" i="43"/>
  <c r="J238" i="43"/>
  <c r="I238" i="43"/>
  <c r="M238" i="43" s="1"/>
  <c r="H238" i="43"/>
  <c r="N237" i="43"/>
  <c r="M237" i="43"/>
  <c r="J237" i="43"/>
  <c r="I237" i="43"/>
  <c r="H237" i="43"/>
  <c r="M236" i="43"/>
  <c r="L236" i="43"/>
  <c r="H236" i="43"/>
  <c r="I236" i="43" s="1"/>
  <c r="L235" i="43"/>
  <c r="K235" i="43"/>
  <c r="H235" i="43"/>
  <c r="I235" i="43" s="1"/>
  <c r="N234" i="43"/>
  <c r="K234" i="43"/>
  <c r="J234" i="43"/>
  <c r="I234" i="43"/>
  <c r="M234" i="43" s="1"/>
  <c r="H234" i="43"/>
  <c r="N233" i="43"/>
  <c r="M233" i="43"/>
  <c r="I233" i="43"/>
  <c r="H233" i="43"/>
  <c r="H232" i="43"/>
  <c r="I232" i="43" s="1"/>
  <c r="L231" i="43"/>
  <c r="H231" i="43"/>
  <c r="I231" i="43" s="1"/>
  <c r="N230" i="43"/>
  <c r="K230" i="43"/>
  <c r="J230" i="43"/>
  <c r="I230" i="43"/>
  <c r="M230" i="43" s="1"/>
  <c r="H230" i="43"/>
  <c r="N229" i="43"/>
  <c r="I229" i="43"/>
  <c r="H229" i="43"/>
  <c r="H228" i="43"/>
  <c r="I228" i="43" s="1"/>
  <c r="H227" i="43"/>
  <c r="I227" i="43" s="1"/>
  <c r="N226" i="43"/>
  <c r="K226" i="43"/>
  <c r="J226" i="43"/>
  <c r="I226" i="43"/>
  <c r="M226" i="43" s="1"/>
  <c r="H226" i="43"/>
  <c r="I225" i="43"/>
  <c r="H225" i="43"/>
  <c r="I224" i="43"/>
  <c r="H224" i="43"/>
  <c r="K223" i="43"/>
  <c r="H223" i="43"/>
  <c r="I223" i="43" s="1"/>
  <c r="N222" i="43"/>
  <c r="K222" i="43"/>
  <c r="J222" i="43"/>
  <c r="I222" i="43"/>
  <c r="M222" i="43" s="1"/>
  <c r="H222" i="43"/>
  <c r="N221" i="43"/>
  <c r="M221" i="43"/>
  <c r="J221" i="43"/>
  <c r="I221" i="43"/>
  <c r="H221" i="43"/>
  <c r="H220" i="43"/>
  <c r="I220" i="43" s="1"/>
  <c r="L219" i="43"/>
  <c r="K219" i="43"/>
  <c r="H219" i="43"/>
  <c r="I219" i="43" s="1"/>
  <c r="N218" i="43"/>
  <c r="K218" i="43"/>
  <c r="J218" i="43"/>
  <c r="I218" i="43"/>
  <c r="M218" i="43" s="1"/>
  <c r="H218" i="43"/>
  <c r="N217" i="43"/>
  <c r="M217" i="43"/>
  <c r="I217" i="43"/>
  <c r="H217" i="43"/>
  <c r="M216" i="43"/>
  <c r="H216" i="43"/>
  <c r="I216" i="43" s="1"/>
  <c r="L215" i="43"/>
  <c r="H215" i="43"/>
  <c r="I215" i="43" s="1"/>
  <c r="N214" i="43"/>
  <c r="K214" i="43"/>
  <c r="J214" i="43"/>
  <c r="I214" i="43"/>
  <c r="M214" i="43" s="1"/>
  <c r="H214" i="43"/>
  <c r="N213" i="43"/>
  <c r="I213" i="43"/>
  <c r="H213" i="43"/>
  <c r="I212" i="43"/>
  <c r="H212" i="43"/>
  <c r="H211" i="43"/>
  <c r="I211" i="43" s="1"/>
  <c r="N210" i="43"/>
  <c r="K210" i="43"/>
  <c r="J210" i="43"/>
  <c r="I210" i="43"/>
  <c r="M210" i="43" s="1"/>
  <c r="H210" i="43"/>
  <c r="J209" i="43"/>
  <c r="I209" i="43"/>
  <c r="H209" i="43"/>
  <c r="I208" i="43"/>
  <c r="H208" i="43"/>
  <c r="H207" i="43"/>
  <c r="I207" i="43" s="1"/>
  <c r="N206" i="43"/>
  <c r="K206" i="43"/>
  <c r="J206" i="43"/>
  <c r="I206" i="43"/>
  <c r="M206" i="43" s="1"/>
  <c r="H206" i="43"/>
  <c r="N205" i="43"/>
  <c r="M205" i="43"/>
  <c r="J205" i="43"/>
  <c r="I205" i="43"/>
  <c r="H205" i="43"/>
  <c r="H204" i="43"/>
  <c r="I204" i="43" s="1"/>
  <c r="L203" i="43"/>
  <c r="K203" i="43"/>
  <c r="H203" i="43"/>
  <c r="I203" i="43" s="1"/>
  <c r="N202" i="43"/>
  <c r="K202" i="43"/>
  <c r="J202" i="43"/>
  <c r="I202" i="43"/>
  <c r="M202" i="43" s="1"/>
  <c r="H202" i="43"/>
  <c r="N201" i="43"/>
  <c r="M201" i="43"/>
  <c r="I201" i="43"/>
  <c r="H201" i="43"/>
  <c r="M200" i="43"/>
  <c r="H200" i="43"/>
  <c r="I200" i="43" s="1"/>
  <c r="L199" i="43"/>
  <c r="H199" i="43"/>
  <c r="I199" i="43" s="1"/>
  <c r="N198" i="43"/>
  <c r="K198" i="43"/>
  <c r="J198" i="43"/>
  <c r="I198" i="43"/>
  <c r="M198" i="43" s="1"/>
  <c r="H198" i="43"/>
  <c r="I197" i="43"/>
  <c r="H197" i="43"/>
  <c r="I196" i="43"/>
  <c r="H196" i="43"/>
  <c r="L195" i="43"/>
  <c r="K195" i="43"/>
  <c r="J195" i="43"/>
  <c r="H195" i="43"/>
  <c r="I195" i="43" s="1"/>
  <c r="M195" i="43" s="1"/>
  <c r="F194" i="43"/>
  <c r="I193" i="43"/>
  <c r="H193" i="43"/>
  <c r="H192" i="43"/>
  <c r="I192" i="43" s="1"/>
  <c r="H191" i="43"/>
  <c r="I191" i="43" s="1"/>
  <c r="L190" i="43"/>
  <c r="K190" i="43"/>
  <c r="J190" i="43"/>
  <c r="H190" i="43"/>
  <c r="I190" i="43" s="1"/>
  <c r="M190" i="43" s="1"/>
  <c r="M189" i="43"/>
  <c r="K189" i="43"/>
  <c r="I189" i="43"/>
  <c r="L189" i="43" s="1"/>
  <c r="H189" i="43"/>
  <c r="N188" i="43"/>
  <c r="J188" i="43"/>
  <c r="I188" i="43"/>
  <c r="H188" i="43"/>
  <c r="L187" i="43"/>
  <c r="K187" i="43"/>
  <c r="H187" i="43"/>
  <c r="I187" i="43" s="1"/>
  <c r="N186" i="43"/>
  <c r="L186" i="43"/>
  <c r="H186" i="43"/>
  <c r="I186" i="43" s="1"/>
  <c r="I185" i="43"/>
  <c r="H185" i="43"/>
  <c r="H184" i="43"/>
  <c r="I184" i="43" s="1"/>
  <c r="H183" i="43"/>
  <c r="I183" i="43" s="1"/>
  <c r="L182" i="43"/>
  <c r="K182" i="43"/>
  <c r="J182" i="43"/>
  <c r="H182" i="43"/>
  <c r="I182" i="43" s="1"/>
  <c r="M182" i="43" s="1"/>
  <c r="M181" i="43"/>
  <c r="K181" i="43"/>
  <c r="I181" i="43"/>
  <c r="L181" i="43" s="1"/>
  <c r="H181" i="43"/>
  <c r="N180" i="43"/>
  <c r="J180" i="43"/>
  <c r="I180" i="43"/>
  <c r="H180" i="43"/>
  <c r="L179" i="43"/>
  <c r="K179" i="43"/>
  <c r="H179" i="43"/>
  <c r="I179" i="43" s="1"/>
  <c r="N178" i="43"/>
  <c r="L178" i="43"/>
  <c r="H178" i="43"/>
  <c r="I178" i="43" s="1"/>
  <c r="I177" i="43"/>
  <c r="H177" i="43"/>
  <c r="H176" i="43"/>
  <c r="I176" i="43" s="1"/>
  <c r="H175" i="43"/>
  <c r="I175" i="43" s="1"/>
  <c r="L174" i="43"/>
  <c r="K174" i="43"/>
  <c r="J174" i="43"/>
  <c r="H174" i="43"/>
  <c r="I174" i="43" s="1"/>
  <c r="M174" i="43" s="1"/>
  <c r="M173" i="43"/>
  <c r="K173" i="43"/>
  <c r="I173" i="43"/>
  <c r="L173" i="43" s="1"/>
  <c r="H173" i="43"/>
  <c r="N172" i="43"/>
  <c r="J172" i="43"/>
  <c r="I172" i="43"/>
  <c r="H172" i="43"/>
  <c r="L171" i="43"/>
  <c r="K171" i="43"/>
  <c r="H171" i="43"/>
  <c r="I171" i="43" s="1"/>
  <c r="N170" i="43"/>
  <c r="L170" i="43"/>
  <c r="H170" i="43"/>
  <c r="I170" i="43" s="1"/>
  <c r="I169" i="43"/>
  <c r="H169" i="43"/>
  <c r="H168" i="43"/>
  <c r="I168" i="43" s="1"/>
  <c r="H167" i="43"/>
  <c r="I167" i="43" s="1"/>
  <c r="L166" i="43"/>
  <c r="K166" i="43"/>
  <c r="J166" i="43"/>
  <c r="H166" i="43"/>
  <c r="I166" i="43" s="1"/>
  <c r="M166" i="43" s="1"/>
  <c r="M165" i="43"/>
  <c r="K165" i="43"/>
  <c r="I165" i="43"/>
  <c r="L165" i="43" s="1"/>
  <c r="H165" i="43"/>
  <c r="N164" i="43"/>
  <c r="J164" i="43"/>
  <c r="I164" i="43"/>
  <c r="H164" i="43"/>
  <c r="L163" i="43"/>
  <c r="K163" i="43"/>
  <c r="H163" i="43"/>
  <c r="I163" i="43" s="1"/>
  <c r="N162" i="43"/>
  <c r="L162" i="43"/>
  <c r="H162" i="43"/>
  <c r="I162" i="43" s="1"/>
  <c r="I161" i="43"/>
  <c r="H161" i="43"/>
  <c r="H160" i="43"/>
  <c r="I160" i="43" s="1"/>
  <c r="H159" i="43"/>
  <c r="I159" i="43" s="1"/>
  <c r="L158" i="43"/>
  <c r="K158" i="43"/>
  <c r="J158" i="43"/>
  <c r="H158" i="43"/>
  <c r="I158" i="43" s="1"/>
  <c r="M158" i="43" s="1"/>
  <c r="M157" i="43"/>
  <c r="K157" i="43"/>
  <c r="I157" i="43"/>
  <c r="L157" i="43" s="1"/>
  <c r="H157" i="43"/>
  <c r="N156" i="43"/>
  <c r="J156" i="43"/>
  <c r="I156" i="43"/>
  <c r="H156" i="43"/>
  <c r="H155" i="43"/>
  <c r="I155" i="43" s="1"/>
  <c r="L154" i="43"/>
  <c r="K154" i="43"/>
  <c r="H154" i="43"/>
  <c r="I154" i="43" s="1"/>
  <c r="N153" i="43"/>
  <c r="K153" i="43"/>
  <c r="J153" i="43"/>
  <c r="H153" i="43"/>
  <c r="I153" i="43" s="1"/>
  <c r="N152" i="43"/>
  <c r="M152" i="43"/>
  <c r="J152" i="43"/>
  <c r="I152" i="43"/>
  <c r="H152" i="43"/>
  <c r="H151" i="43"/>
  <c r="I151" i="43" s="1"/>
  <c r="L150" i="43"/>
  <c r="K150" i="43"/>
  <c r="H150" i="43"/>
  <c r="I150" i="43" s="1"/>
  <c r="N149" i="43"/>
  <c r="K149" i="43"/>
  <c r="J149" i="43"/>
  <c r="H149" i="43"/>
  <c r="I149" i="43" s="1"/>
  <c r="N148" i="43"/>
  <c r="M148" i="43"/>
  <c r="J148" i="43"/>
  <c r="I148" i="43"/>
  <c r="H148" i="43"/>
  <c r="H147" i="43"/>
  <c r="I147" i="43" s="1"/>
  <c r="L146" i="43"/>
  <c r="K146" i="43"/>
  <c r="H146" i="43"/>
  <c r="I146" i="43" s="1"/>
  <c r="N145" i="43"/>
  <c r="K145" i="43"/>
  <c r="J145" i="43"/>
  <c r="H145" i="43"/>
  <c r="I145" i="43" s="1"/>
  <c r="N144" i="43"/>
  <c r="M144" i="43"/>
  <c r="J144" i="43"/>
  <c r="I144" i="43"/>
  <c r="H144" i="43"/>
  <c r="H143" i="43"/>
  <c r="I143" i="43" s="1"/>
  <c r="L142" i="43"/>
  <c r="K142" i="43"/>
  <c r="H142" i="43"/>
  <c r="I142" i="43" s="1"/>
  <c r="N141" i="43"/>
  <c r="K141" i="43"/>
  <c r="J141" i="43"/>
  <c r="H141" i="43"/>
  <c r="I141" i="43" s="1"/>
  <c r="N140" i="43"/>
  <c r="M140" i="43"/>
  <c r="J140" i="43"/>
  <c r="I140" i="43"/>
  <c r="H140" i="43"/>
  <c r="H139" i="43"/>
  <c r="I139" i="43" s="1"/>
  <c r="L138" i="43"/>
  <c r="K138" i="43"/>
  <c r="H138" i="43"/>
  <c r="I138" i="43" s="1"/>
  <c r="N137" i="43"/>
  <c r="K137" i="43"/>
  <c r="J137" i="43"/>
  <c r="H137" i="43"/>
  <c r="I137" i="43" s="1"/>
  <c r="N136" i="43"/>
  <c r="M136" i="43"/>
  <c r="J136" i="43"/>
  <c r="I136" i="43"/>
  <c r="H136" i="43"/>
  <c r="H135" i="43"/>
  <c r="I135" i="43" s="1"/>
  <c r="L134" i="43"/>
  <c r="K134" i="43"/>
  <c r="H134" i="43"/>
  <c r="I134" i="43" s="1"/>
  <c r="N133" i="43"/>
  <c r="K133" i="43"/>
  <c r="J133" i="43"/>
  <c r="H133" i="43"/>
  <c r="I133" i="43" s="1"/>
  <c r="N132" i="43"/>
  <c r="M132" i="43"/>
  <c r="J132" i="43"/>
  <c r="I132" i="43"/>
  <c r="H132" i="43"/>
  <c r="F131" i="43"/>
  <c r="H130" i="43"/>
  <c r="I130" i="43" s="1"/>
  <c r="H129" i="43"/>
  <c r="I129" i="43" s="1"/>
  <c r="N128" i="43"/>
  <c r="H128" i="43"/>
  <c r="I128" i="43" s="1"/>
  <c r="N127" i="43"/>
  <c r="I127" i="43"/>
  <c r="H127" i="43"/>
  <c r="H126" i="43"/>
  <c r="I126" i="43" s="1"/>
  <c r="F125" i="43"/>
  <c r="H124" i="43"/>
  <c r="I124" i="43" s="1"/>
  <c r="N123" i="43"/>
  <c r="H123" i="43"/>
  <c r="I123" i="43" s="1"/>
  <c r="F122" i="43"/>
  <c r="N121" i="43"/>
  <c r="M121" i="43"/>
  <c r="L121" i="43"/>
  <c r="K121" i="43"/>
  <c r="J121" i="43"/>
  <c r="K120" i="43"/>
  <c r="K122" i="43" s="1"/>
  <c r="J120" i="43"/>
  <c r="J122" i="43" s="1"/>
  <c r="H120" i="43"/>
  <c r="I120" i="43" s="1"/>
  <c r="N120" i="43" s="1"/>
  <c r="N122" i="43" s="1"/>
  <c r="F119" i="43"/>
  <c r="N118" i="43"/>
  <c r="M118" i="43"/>
  <c r="J118" i="43"/>
  <c r="I118" i="43"/>
  <c r="H118" i="43"/>
  <c r="H117" i="43"/>
  <c r="I117" i="43" s="1"/>
  <c r="F116" i="43"/>
  <c r="L114" i="43"/>
  <c r="K114" i="43"/>
  <c r="H114" i="43"/>
  <c r="I114" i="43" s="1"/>
  <c r="N113" i="43"/>
  <c r="K113" i="43"/>
  <c r="J113" i="43"/>
  <c r="H113" i="43"/>
  <c r="I113" i="43" s="1"/>
  <c r="N112" i="43"/>
  <c r="M112" i="43"/>
  <c r="J112" i="43"/>
  <c r="I112" i="43"/>
  <c r="H112" i="43"/>
  <c r="F111" i="43"/>
  <c r="I110" i="43"/>
  <c r="N109" i="43"/>
  <c r="K109" i="43"/>
  <c r="J109" i="43"/>
  <c r="I109" i="43"/>
  <c r="M109" i="43" s="1"/>
  <c r="H109" i="43"/>
  <c r="I108" i="43"/>
  <c r="H108" i="43"/>
  <c r="I107" i="43"/>
  <c r="H107" i="43"/>
  <c r="H106" i="43"/>
  <c r="I106" i="43" s="1"/>
  <c r="N105" i="43"/>
  <c r="K105" i="43"/>
  <c r="J105" i="43"/>
  <c r="I105" i="43"/>
  <c r="M105" i="43" s="1"/>
  <c r="H105" i="43"/>
  <c r="M104" i="43"/>
  <c r="J104" i="43"/>
  <c r="I104" i="43"/>
  <c r="N104" i="43" s="1"/>
  <c r="H104" i="43"/>
  <c r="M103" i="43"/>
  <c r="L103" i="43"/>
  <c r="I103" i="43"/>
  <c r="H103" i="43"/>
  <c r="L102" i="43"/>
  <c r="K102" i="43"/>
  <c r="H102" i="43"/>
  <c r="I102" i="43" s="1"/>
  <c r="N101" i="43"/>
  <c r="K101" i="43"/>
  <c r="J101" i="43"/>
  <c r="I101" i="43"/>
  <c r="M101" i="43" s="1"/>
  <c r="H101" i="43"/>
  <c r="N100" i="43"/>
  <c r="M100" i="43"/>
  <c r="J100" i="43"/>
  <c r="I100" i="43"/>
  <c r="H100" i="43"/>
  <c r="H99" i="43"/>
  <c r="I99" i="43" s="1"/>
  <c r="L98" i="43"/>
  <c r="K98" i="43"/>
  <c r="H98" i="43"/>
  <c r="I98" i="43" s="1"/>
  <c r="N97" i="43"/>
  <c r="K97" i="43"/>
  <c r="J97" i="43"/>
  <c r="I97" i="43"/>
  <c r="M97" i="43" s="1"/>
  <c r="H97" i="43"/>
  <c r="N96" i="43"/>
  <c r="I96" i="43"/>
  <c r="H96" i="43"/>
  <c r="H95" i="43"/>
  <c r="I95" i="43" s="1"/>
  <c r="H94" i="43"/>
  <c r="I94" i="43" s="1"/>
  <c r="N93" i="43"/>
  <c r="K93" i="43"/>
  <c r="J93" i="43"/>
  <c r="I93" i="43"/>
  <c r="M93" i="43" s="1"/>
  <c r="H93" i="43"/>
  <c r="I92" i="43"/>
  <c r="H92" i="43"/>
  <c r="I91" i="43"/>
  <c r="H91" i="43"/>
  <c r="K90" i="43"/>
  <c r="J90" i="43"/>
  <c r="H90" i="43"/>
  <c r="I90" i="43" s="1"/>
  <c r="L90" i="43" s="1"/>
  <c r="M89" i="43"/>
  <c r="K89" i="43"/>
  <c r="J89" i="43"/>
  <c r="I89" i="43"/>
  <c r="L89" i="43" s="1"/>
  <c r="H89" i="43"/>
  <c r="N88" i="43"/>
  <c r="K88" i="43"/>
  <c r="J88" i="43"/>
  <c r="I88" i="43"/>
  <c r="M88" i="43" s="1"/>
  <c r="H88" i="43"/>
  <c r="I87" i="43"/>
  <c r="H87" i="43"/>
  <c r="H86" i="43"/>
  <c r="I86" i="43" s="1"/>
  <c r="H85" i="43"/>
  <c r="I85" i="43" s="1"/>
  <c r="N84" i="43"/>
  <c r="K84" i="43"/>
  <c r="J84" i="43"/>
  <c r="I84" i="43"/>
  <c r="M84" i="43" s="1"/>
  <c r="H84" i="43"/>
  <c r="I83" i="43"/>
  <c r="H83" i="43"/>
  <c r="H82" i="43"/>
  <c r="I82" i="43" s="1"/>
  <c r="H81" i="43"/>
  <c r="I81" i="43" s="1"/>
  <c r="N80" i="43"/>
  <c r="K80" i="43"/>
  <c r="J80" i="43"/>
  <c r="I80" i="43"/>
  <c r="M80" i="43" s="1"/>
  <c r="H80" i="43"/>
  <c r="I79" i="43"/>
  <c r="H79" i="43"/>
  <c r="H78" i="43"/>
  <c r="I78" i="43" s="1"/>
  <c r="H77" i="43"/>
  <c r="I77" i="43" s="1"/>
  <c r="N76" i="43"/>
  <c r="K76" i="43"/>
  <c r="J76" i="43"/>
  <c r="I76" i="43"/>
  <c r="M76" i="43" s="1"/>
  <c r="H76" i="43"/>
  <c r="I75" i="43"/>
  <c r="H75" i="43"/>
  <c r="H74" i="43"/>
  <c r="I74" i="43" s="1"/>
  <c r="H73" i="43"/>
  <c r="I73" i="43" s="1"/>
  <c r="N72" i="43"/>
  <c r="K72" i="43"/>
  <c r="J72" i="43"/>
  <c r="I72" i="43"/>
  <c r="M72" i="43" s="1"/>
  <c r="H72" i="43"/>
  <c r="I71" i="43"/>
  <c r="H71" i="43"/>
  <c r="H70" i="43"/>
  <c r="I70" i="43" s="1"/>
  <c r="H69" i="43"/>
  <c r="I69" i="43" s="1"/>
  <c r="N68" i="43"/>
  <c r="K68" i="43"/>
  <c r="J68" i="43"/>
  <c r="I68" i="43"/>
  <c r="M68" i="43" s="1"/>
  <c r="H68" i="43"/>
  <c r="I67" i="43"/>
  <c r="H67" i="43"/>
  <c r="H66" i="43"/>
  <c r="I66" i="43" s="1"/>
  <c r="H65" i="43"/>
  <c r="I65" i="43" s="1"/>
  <c r="N64" i="43"/>
  <c r="K64" i="43"/>
  <c r="J64" i="43"/>
  <c r="I64" i="43"/>
  <c r="M64" i="43" s="1"/>
  <c r="H64" i="43"/>
  <c r="I63" i="43"/>
  <c r="H63" i="43"/>
  <c r="H62" i="43"/>
  <c r="I62" i="43" s="1"/>
  <c r="H61" i="43"/>
  <c r="I61" i="43" s="1"/>
  <c r="N60" i="43"/>
  <c r="K60" i="43"/>
  <c r="J60" i="43"/>
  <c r="I60" i="43"/>
  <c r="M60" i="43" s="1"/>
  <c r="H60" i="43"/>
  <c r="I59" i="43"/>
  <c r="H59" i="43"/>
  <c r="H58" i="43"/>
  <c r="I58" i="43" s="1"/>
  <c r="H57" i="43"/>
  <c r="I57" i="43" s="1"/>
  <c r="N56" i="43"/>
  <c r="K56" i="43"/>
  <c r="J56" i="43"/>
  <c r="I56" i="43"/>
  <c r="M56" i="43" s="1"/>
  <c r="H56" i="43"/>
  <c r="I55" i="43"/>
  <c r="H55" i="43"/>
  <c r="H54" i="43"/>
  <c r="I54" i="43" s="1"/>
  <c r="N53" i="43"/>
  <c r="K53" i="43"/>
  <c r="H53" i="43"/>
  <c r="I53" i="43" s="1"/>
  <c r="N52" i="43"/>
  <c r="M52" i="43"/>
  <c r="I52" i="43"/>
  <c r="H52" i="43"/>
  <c r="H51" i="43"/>
  <c r="I51" i="43" s="1"/>
  <c r="L50" i="43"/>
  <c r="H50" i="43"/>
  <c r="I50" i="43" s="1"/>
  <c r="N49" i="43"/>
  <c r="K49" i="43"/>
  <c r="H49" i="43"/>
  <c r="I49" i="43" s="1"/>
  <c r="N48" i="43"/>
  <c r="M48" i="43"/>
  <c r="I48" i="43"/>
  <c r="H48" i="43"/>
  <c r="H47" i="43"/>
  <c r="I47" i="43" s="1"/>
  <c r="L46" i="43"/>
  <c r="H46" i="43"/>
  <c r="I46" i="43" s="1"/>
  <c r="N45" i="43"/>
  <c r="K45" i="43"/>
  <c r="H45" i="43"/>
  <c r="I45" i="43" s="1"/>
  <c r="N44" i="43"/>
  <c r="M44" i="43"/>
  <c r="I44" i="43"/>
  <c r="H44" i="43"/>
  <c r="H43" i="43"/>
  <c r="I43" i="43" s="1"/>
  <c r="L42" i="43"/>
  <c r="H42" i="43"/>
  <c r="I42" i="43" s="1"/>
  <c r="N41" i="43"/>
  <c r="K41" i="43"/>
  <c r="H41" i="43"/>
  <c r="I41" i="43" s="1"/>
  <c r="N40" i="43"/>
  <c r="M40" i="43"/>
  <c r="I40" i="43"/>
  <c r="H40" i="43"/>
  <c r="F39" i="43"/>
  <c r="H37" i="43"/>
  <c r="I37" i="43" s="1"/>
  <c r="F36" i="43"/>
  <c r="N35" i="43"/>
  <c r="M35" i="43"/>
  <c r="L35" i="43"/>
  <c r="K35" i="43"/>
  <c r="J35" i="43"/>
  <c r="I34" i="43"/>
  <c r="H34" i="43"/>
  <c r="F33" i="43"/>
  <c r="H31" i="43"/>
  <c r="I31" i="43" s="1"/>
  <c r="F30" i="43"/>
  <c r="H28" i="43"/>
  <c r="I28" i="43" s="1"/>
  <c r="F27" i="43"/>
  <c r="N26" i="43"/>
  <c r="M26" i="43"/>
  <c r="L26" i="43"/>
  <c r="K26" i="43"/>
  <c r="J26" i="43"/>
  <c r="N25" i="43"/>
  <c r="L25" i="43"/>
  <c r="K25" i="43"/>
  <c r="J25" i="43"/>
  <c r="I25" i="43"/>
  <c r="M25" i="43" s="1"/>
  <c r="N24" i="43"/>
  <c r="M24" i="43"/>
  <c r="L24" i="43"/>
  <c r="K24" i="43"/>
  <c r="J24" i="43"/>
  <c r="I23" i="43"/>
  <c r="H23" i="43"/>
  <c r="I22" i="43"/>
  <c r="H22" i="43"/>
  <c r="H21" i="43"/>
  <c r="I21" i="43" s="1"/>
  <c r="H20" i="43"/>
  <c r="I20" i="43" s="1"/>
  <c r="I19" i="43"/>
  <c r="H19" i="43"/>
  <c r="I18" i="43"/>
  <c r="H18" i="43"/>
  <c r="F17" i="43"/>
  <c r="H16" i="43"/>
  <c r="I16" i="43" s="1"/>
  <c r="H15" i="43"/>
  <c r="I15" i="43" s="1"/>
  <c r="I13" i="43"/>
  <c r="H13" i="43"/>
  <c r="I12" i="43"/>
  <c r="H12" i="43"/>
  <c r="H11" i="43"/>
  <c r="I11" i="43" s="1"/>
  <c r="H10" i="43"/>
  <c r="I10" i="43" s="1"/>
  <c r="F10" i="43"/>
  <c r="F14" i="43" s="1"/>
  <c r="N9" i="43"/>
  <c r="K9" i="43"/>
  <c r="J9" i="43"/>
  <c r="H9" i="43"/>
  <c r="I9" i="43" s="1"/>
  <c r="N8" i="43"/>
  <c r="M8" i="43"/>
  <c r="J8" i="43"/>
  <c r="I8" i="43"/>
  <c r="H8" i="43"/>
  <c r="H7" i="43"/>
  <c r="I7" i="43" s="1"/>
  <c r="E11" i="38" l="1"/>
  <c r="C12" i="38"/>
  <c r="K7" i="43"/>
  <c r="N7" i="43"/>
  <c r="J7" i="43"/>
  <c r="M7" i="43"/>
  <c r="L7" i="43"/>
  <c r="K51" i="43"/>
  <c r="N51" i="43"/>
  <c r="J51" i="43"/>
  <c r="L51" i="43"/>
  <c r="M51" i="43"/>
  <c r="K47" i="43"/>
  <c r="N47" i="43"/>
  <c r="J47" i="43"/>
  <c r="L47" i="43"/>
  <c r="M47" i="43"/>
  <c r="K43" i="43"/>
  <c r="N43" i="43"/>
  <c r="J43" i="43"/>
  <c r="L43" i="43"/>
  <c r="M43" i="43"/>
  <c r="K37" i="43"/>
  <c r="K39" i="43" s="1"/>
  <c r="N37" i="43"/>
  <c r="N39" i="43" s="1"/>
  <c r="J37" i="43"/>
  <c r="J39" i="43" s="1"/>
  <c r="M37" i="43"/>
  <c r="M39" i="43" s="1"/>
  <c r="L37" i="43"/>
  <c r="L39" i="43" s="1"/>
  <c r="M10" i="43"/>
  <c r="L10" i="43"/>
  <c r="N11" i="43"/>
  <c r="J11" i="43"/>
  <c r="M11" i="43"/>
  <c r="K12" i="43"/>
  <c r="N12" i="43"/>
  <c r="J12" i="43"/>
  <c r="L13" i="43"/>
  <c r="K13" i="43"/>
  <c r="M15" i="43"/>
  <c r="L15" i="43"/>
  <c r="N16" i="43"/>
  <c r="J16" i="43"/>
  <c r="M16" i="43"/>
  <c r="K18" i="43"/>
  <c r="N18" i="43"/>
  <c r="J18" i="43"/>
  <c r="L19" i="43"/>
  <c r="K19" i="43"/>
  <c r="M20" i="43"/>
  <c r="L20" i="43"/>
  <c r="N21" i="43"/>
  <c r="J21" i="43"/>
  <c r="M21" i="43"/>
  <c r="K22" i="43"/>
  <c r="N22" i="43"/>
  <c r="J22" i="43"/>
  <c r="L23" i="43"/>
  <c r="K23" i="43"/>
  <c r="M28" i="43"/>
  <c r="M30" i="43" s="1"/>
  <c r="L28" i="43"/>
  <c r="L30" i="43" s="1"/>
  <c r="N31" i="43"/>
  <c r="N33" i="43" s="1"/>
  <c r="J31" i="43"/>
  <c r="J33" i="43" s="1"/>
  <c r="M31" i="43"/>
  <c r="M33" i="43" s="1"/>
  <c r="K34" i="43"/>
  <c r="K36" i="43" s="1"/>
  <c r="N34" i="43"/>
  <c r="N36" i="43" s="1"/>
  <c r="J34" i="43"/>
  <c r="J36" i="43" s="1"/>
  <c r="N57" i="43"/>
  <c r="J57" i="43"/>
  <c r="M57" i="43"/>
  <c r="L57" i="43"/>
  <c r="N61" i="43"/>
  <c r="J61" i="43"/>
  <c r="M61" i="43"/>
  <c r="L61" i="43"/>
  <c r="N65" i="43"/>
  <c r="J65" i="43"/>
  <c r="M65" i="43"/>
  <c r="L65" i="43"/>
  <c r="N69" i="43"/>
  <c r="J69" i="43"/>
  <c r="M69" i="43"/>
  <c r="L69" i="43"/>
  <c r="N73" i="43"/>
  <c r="J73" i="43"/>
  <c r="M73" i="43"/>
  <c r="L73" i="43"/>
  <c r="N77" i="43"/>
  <c r="J77" i="43"/>
  <c r="M77" i="43"/>
  <c r="L77" i="43"/>
  <c r="N81" i="43"/>
  <c r="J81" i="43"/>
  <c r="M81" i="43"/>
  <c r="L81" i="43"/>
  <c r="N85" i="43"/>
  <c r="J85" i="43"/>
  <c r="M85" i="43"/>
  <c r="L85" i="43"/>
  <c r="K107" i="43"/>
  <c r="N107" i="43"/>
  <c r="J107" i="43"/>
  <c r="M107" i="43"/>
  <c r="L107" i="43"/>
  <c r="K126" i="43"/>
  <c r="N126" i="43"/>
  <c r="J126" i="43"/>
  <c r="M126" i="43"/>
  <c r="L126" i="43"/>
  <c r="K139" i="43"/>
  <c r="N139" i="43"/>
  <c r="J139" i="43"/>
  <c r="L139" i="43"/>
  <c r="K147" i="43"/>
  <c r="N147" i="43"/>
  <c r="J147" i="43"/>
  <c r="L147" i="43"/>
  <c r="K155" i="43"/>
  <c r="N155" i="43"/>
  <c r="J155" i="43"/>
  <c r="L155" i="43"/>
  <c r="N167" i="43"/>
  <c r="J167" i="43"/>
  <c r="L167" i="43"/>
  <c r="K167" i="43"/>
  <c r="M167" i="43"/>
  <c r="N183" i="43"/>
  <c r="J183" i="43"/>
  <c r="L183" i="43"/>
  <c r="K183" i="43"/>
  <c r="M183" i="43"/>
  <c r="K232" i="43"/>
  <c r="N232" i="43"/>
  <c r="J232" i="43"/>
  <c r="L232" i="43"/>
  <c r="M232" i="43"/>
  <c r="J10" i="43"/>
  <c r="K11" i="43"/>
  <c r="L12" i="43"/>
  <c r="J13" i="43"/>
  <c r="J15" i="43"/>
  <c r="J17" i="43" s="1"/>
  <c r="K16" i="43"/>
  <c r="L18" i="43"/>
  <c r="J19" i="43"/>
  <c r="J20" i="43"/>
  <c r="K21" i="43"/>
  <c r="L22" i="43"/>
  <c r="J23" i="43"/>
  <c r="J28" i="43"/>
  <c r="J30" i="43" s="1"/>
  <c r="K31" i="43"/>
  <c r="K33" i="43" s="1"/>
  <c r="L34" i="43"/>
  <c r="L36" i="43" s="1"/>
  <c r="L55" i="43"/>
  <c r="K55" i="43"/>
  <c r="N55" i="43"/>
  <c r="J55" i="43"/>
  <c r="K57" i="43"/>
  <c r="L59" i="43"/>
  <c r="K59" i="43"/>
  <c r="N59" i="43"/>
  <c r="J59" i="43"/>
  <c r="K61" i="43"/>
  <c r="L63" i="43"/>
  <c r="K63" i="43"/>
  <c r="N63" i="43"/>
  <c r="J63" i="43"/>
  <c r="K65" i="43"/>
  <c r="L67" i="43"/>
  <c r="K67" i="43"/>
  <c r="N67" i="43"/>
  <c r="J67" i="43"/>
  <c r="K69" i="43"/>
  <c r="L71" i="43"/>
  <c r="K71" i="43"/>
  <c r="N71" i="43"/>
  <c r="J71" i="43"/>
  <c r="K73" i="43"/>
  <c r="L75" i="43"/>
  <c r="K75" i="43"/>
  <c r="N75" i="43"/>
  <c r="J75" i="43"/>
  <c r="K77" i="43"/>
  <c r="L79" i="43"/>
  <c r="K79" i="43"/>
  <c r="N79" i="43"/>
  <c r="J79" i="43"/>
  <c r="K81" i="43"/>
  <c r="L83" i="43"/>
  <c r="K83" i="43"/>
  <c r="N83" i="43"/>
  <c r="J83" i="43"/>
  <c r="K85" i="43"/>
  <c r="L87" i="43"/>
  <c r="K87" i="43"/>
  <c r="N87" i="43"/>
  <c r="J87" i="43"/>
  <c r="K91" i="43"/>
  <c r="N91" i="43"/>
  <c r="J91" i="43"/>
  <c r="M91" i="43"/>
  <c r="L91" i="43"/>
  <c r="J116" i="43"/>
  <c r="K117" i="43"/>
  <c r="N117" i="43"/>
  <c r="N119" i="43" s="1"/>
  <c r="J117" i="43"/>
  <c r="J119" i="43" s="1"/>
  <c r="L117" i="43"/>
  <c r="N125" i="43"/>
  <c r="M139" i="43"/>
  <c r="M147" i="43"/>
  <c r="M155" i="43"/>
  <c r="L161" i="43"/>
  <c r="M161" i="43"/>
  <c r="K161" i="43"/>
  <c r="N161" i="43"/>
  <c r="J161" i="43"/>
  <c r="K168" i="43"/>
  <c r="J168" i="43"/>
  <c r="N168" i="43"/>
  <c r="M168" i="43"/>
  <c r="L168" i="43"/>
  <c r="L177" i="43"/>
  <c r="M177" i="43"/>
  <c r="K177" i="43"/>
  <c r="N177" i="43"/>
  <c r="J177" i="43"/>
  <c r="K184" i="43"/>
  <c r="J184" i="43"/>
  <c r="N184" i="43"/>
  <c r="M184" i="43"/>
  <c r="L184" i="43"/>
  <c r="L193" i="43"/>
  <c r="M193" i="43"/>
  <c r="K193" i="43"/>
  <c r="N193" i="43"/>
  <c r="J193" i="43"/>
  <c r="K204" i="43"/>
  <c r="N204" i="43"/>
  <c r="J204" i="43"/>
  <c r="M204" i="43"/>
  <c r="L204" i="43"/>
  <c r="K228" i="43"/>
  <c r="N228" i="43"/>
  <c r="J228" i="43"/>
  <c r="M228" i="43"/>
  <c r="L228" i="43"/>
  <c r="K10" i="43"/>
  <c r="M12" i="43"/>
  <c r="M13" i="43"/>
  <c r="K15" i="43"/>
  <c r="K17" i="43" s="1"/>
  <c r="K20" i="43"/>
  <c r="K212" i="43"/>
  <c r="N212" i="43"/>
  <c r="J212" i="43"/>
  <c r="M212" i="43"/>
  <c r="L212" i="43"/>
  <c r="L245" i="43"/>
  <c r="K245" i="43"/>
  <c r="M245" i="43"/>
  <c r="J245" i="43"/>
  <c r="N245" i="43"/>
  <c r="L11" i="43"/>
  <c r="L16" i="43"/>
  <c r="M18" i="43"/>
  <c r="M27" i="43" s="1"/>
  <c r="M19" i="43"/>
  <c r="L21" i="43"/>
  <c r="M22" i="43"/>
  <c r="M23" i="43"/>
  <c r="K28" i="43"/>
  <c r="K30" i="43" s="1"/>
  <c r="L31" i="43"/>
  <c r="L33" i="43" s="1"/>
  <c r="M34" i="43"/>
  <c r="M36" i="43" s="1"/>
  <c r="L40" i="43"/>
  <c r="K40" i="43"/>
  <c r="M41" i="43"/>
  <c r="L41" i="43"/>
  <c r="N42" i="43"/>
  <c r="N111" i="43" s="1"/>
  <c r="J42" i="43"/>
  <c r="M42" i="43"/>
  <c r="L44" i="43"/>
  <c r="K44" i="43"/>
  <c r="M45" i="43"/>
  <c r="L45" i="43"/>
  <c r="N46" i="43"/>
  <c r="J46" i="43"/>
  <c r="M46" i="43"/>
  <c r="L48" i="43"/>
  <c r="K48" i="43"/>
  <c r="M49" i="43"/>
  <c r="M111" i="43" s="1"/>
  <c r="L49" i="43"/>
  <c r="N50" i="43"/>
  <c r="J50" i="43"/>
  <c r="M50" i="43"/>
  <c r="L52" i="43"/>
  <c r="K52" i="43"/>
  <c r="M53" i="43"/>
  <c r="L53" i="43"/>
  <c r="K54" i="43"/>
  <c r="N54" i="43"/>
  <c r="J54" i="43"/>
  <c r="M54" i="43"/>
  <c r="M55" i="43"/>
  <c r="K58" i="43"/>
  <c r="N58" i="43"/>
  <c r="J58" i="43"/>
  <c r="M58" i="43"/>
  <c r="M59" i="43"/>
  <c r="K62" i="43"/>
  <c r="N62" i="43"/>
  <c r="J62" i="43"/>
  <c r="M62" i="43"/>
  <c r="M63" i="43"/>
  <c r="K66" i="43"/>
  <c r="N66" i="43"/>
  <c r="J66" i="43"/>
  <c r="M66" i="43"/>
  <c r="M67" i="43"/>
  <c r="K70" i="43"/>
  <c r="N70" i="43"/>
  <c r="J70" i="43"/>
  <c r="M70" i="43"/>
  <c r="M71" i="43"/>
  <c r="K74" i="43"/>
  <c r="N74" i="43"/>
  <c r="J74" i="43"/>
  <c r="M74" i="43"/>
  <c r="M75" i="43"/>
  <c r="K78" i="43"/>
  <c r="N78" i="43"/>
  <c r="J78" i="43"/>
  <c r="M78" i="43"/>
  <c r="M79" i="43"/>
  <c r="K82" i="43"/>
  <c r="N82" i="43"/>
  <c r="J82" i="43"/>
  <c r="M82" i="43"/>
  <c r="M83" i="43"/>
  <c r="K86" i="43"/>
  <c r="N86" i="43"/>
  <c r="J86" i="43"/>
  <c r="M86" i="43"/>
  <c r="M87" i="43"/>
  <c r="K95" i="43"/>
  <c r="N95" i="43"/>
  <c r="J95" i="43"/>
  <c r="M95" i="43"/>
  <c r="L95" i="43"/>
  <c r="K99" i="43"/>
  <c r="N99" i="43"/>
  <c r="J99" i="43"/>
  <c r="L99" i="43"/>
  <c r="N106" i="43"/>
  <c r="J106" i="43"/>
  <c r="M106" i="43"/>
  <c r="L106" i="43"/>
  <c r="K106" i="43"/>
  <c r="L108" i="43"/>
  <c r="K108" i="43"/>
  <c r="N108" i="43"/>
  <c r="M108" i="43"/>
  <c r="J108" i="43"/>
  <c r="M117" i="43"/>
  <c r="M119" i="43" s="1"/>
  <c r="K135" i="43"/>
  <c r="N135" i="43"/>
  <c r="N194" i="43" s="1"/>
  <c r="J135" i="43"/>
  <c r="L135" i="43"/>
  <c r="K143" i="43"/>
  <c r="N143" i="43"/>
  <c r="J143" i="43"/>
  <c r="L143" i="43"/>
  <c r="K151" i="43"/>
  <c r="N151" i="43"/>
  <c r="J151" i="43"/>
  <c r="L151" i="43"/>
  <c r="N159" i="43"/>
  <c r="J159" i="43"/>
  <c r="L159" i="43"/>
  <c r="K159" i="43"/>
  <c r="M159" i="43"/>
  <c r="N175" i="43"/>
  <c r="J175" i="43"/>
  <c r="L175" i="43"/>
  <c r="K175" i="43"/>
  <c r="M175" i="43"/>
  <c r="N191" i="43"/>
  <c r="J191" i="43"/>
  <c r="L191" i="43"/>
  <c r="K191" i="43"/>
  <c r="M191" i="43"/>
  <c r="K208" i="43"/>
  <c r="N208" i="43"/>
  <c r="J208" i="43"/>
  <c r="M208" i="43"/>
  <c r="L208" i="43"/>
  <c r="L225" i="43"/>
  <c r="K225" i="43"/>
  <c r="N225" i="43"/>
  <c r="M225" i="43"/>
  <c r="J225" i="43"/>
  <c r="N243" i="43"/>
  <c r="J243" i="43"/>
  <c r="M243" i="43"/>
  <c r="L243" i="43"/>
  <c r="K243" i="43"/>
  <c r="L8" i="43"/>
  <c r="K8" i="43"/>
  <c r="M9" i="43"/>
  <c r="L9" i="43"/>
  <c r="F355" i="43"/>
  <c r="F361" i="43" s="1"/>
  <c r="N10" i="43"/>
  <c r="N13" i="43"/>
  <c r="N15" i="43"/>
  <c r="N19" i="43"/>
  <c r="N20" i="43"/>
  <c r="N23" i="43"/>
  <c r="N28" i="43"/>
  <c r="N30" i="43" s="1"/>
  <c r="J40" i="43"/>
  <c r="J41" i="43"/>
  <c r="K42" i="43"/>
  <c r="J44" i="43"/>
  <c r="J45" i="43"/>
  <c r="K46" i="43"/>
  <c r="J48" i="43"/>
  <c r="J49" i="43"/>
  <c r="K50" i="43"/>
  <c r="J52" i="43"/>
  <c r="J53" i="43"/>
  <c r="L54" i="43"/>
  <c r="L58" i="43"/>
  <c r="L62" i="43"/>
  <c r="L66" i="43"/>
  <c r="L70" i="43"/>
  <c r="L74" i="43"/>
  <c r="L78" i="43"/>
  <c r="L82" i="43"/>
  <c r="L86" i="43"/>
  <c r="L92" i="43"/>
  <c r="K92" i="43"/>
  <c r="N92" i="43"/>
  <c r="M92" i="43"/>
  <c r="J92" i="43"/>
  <c r="M99" i="43"/>
  <c r="K130" i="43"/>
  <c r="N130" i="43"/>
  <c r="J130" i="43"/>
  <c r="M130" i="43"/>
  <c r="L130" i="43"/>
  <c r="M135" i="43"/>
  <c r="M143" i="43"/>
  <c r="M151" i="43"/>
  <c r="K160" i="43"/>
  <c r="J160" i="43"/>
  <c r="N160" i="43"/>
  <c r="M160" i="43"/>
  <c r="L160" i="43"/>
  <c r="L169" i="43"/>
  <c r="M169" i="43"/>
  <c r="K169" i="43"/>
  <c r="N169" i="43"/>
  <c r="J169" i="43"/>
  <c r="K176" i="43"/>
  <c r="J176" i="43"/>
  <c r="N176" i="43"/>
  <c r="M176" i="43"/>
  <c r="L176" i="43"/>
  <c r="L185" i="43"/>
  <c r="M185" i="43"/>
  <c r="K185" i="43"/>
  <c r="N185" i="43"/>
  <c r="J185" i="43"/>
  <c r="K192" i="43"/>
  <c r="J192" i="43"/>
  <c r="N192" i="43"/>
  <c r="M192" i="43"/>
  <c r="L192" i="43"/>
  <c r="K244" i="43"/>
  <c r="N244" i="43"/>
  <c r="J244" i="43"/>
  <c r="M244" i="43"/>
  <c r="L244" i="43"/>
  <c r="K265" i="43"/>
  <c r="N265" i="43"/>
  <c r="J265" i="43"/>
  <c r="M265" i="43"/>
  <c r="L265" i="43"/>
  <c r="M271" i="43"/>
  <c r="L271" i="43"/>
  <c r="N271" i="43"/>
  <c r="K271" i="43"/>
  <c r="K273" i="43"/>
  <c r="N273" i="43"/>
  <c r="J273" i="43"/>
  <c r="M273" i="43"/>
  <c r="L273" i="43"/>
  <c r="K293" i="43"/>
  <c r="N293" i="43"/>
  <c r="J293" i="43"/>
  <c r="M293" i="43"/>
  <c r="L293" i="43"/>
  <c r="N94" i="43"/>
  <c r="J94" i="43"/>
  <c r="M94" i="43"/>
  <c r="L96" i="43"/>
  <c r="K96" i="43"/>
  <c r="K110" i="43"/>
  <c r="N110" i="43"/>
  <c r="J110" i="43"/>
  <c r="M123" i="43"/>
  <c r="L123" i="43"/>
  <c r="L125" i="43" s="1"/>
  <c r="N124" i="43"/>
  <c r="J124" i="43"/>
  <c r="M124" i="43"/>
  <c r="L127" i="43"/>
  <c r="K127" i="43"/>
  <c r="M128" i="43"/>
  <c r="L128" i="43"/>
  <c r="N129" i="43"/>
  <c r="J129" i="43"/>
  <c r="M129" i="43"/>
  <c r="L197" i="43"/>
  <c r="K197" i="43"/>
  <c r="M197" i="43"/>
  <c r="J197" i="43"/>
  <c r="N207" i="43"/>
  <c r="J207" i="43"/>
  <c r="M207" i="43"/>
  <c r="L207" i="43"/>
  <c r="K220" i="43"/>
  <c r="N220" i="43"/>
  <c r="J220" i="43"/>
  <c r="K224" i="43"/>
  <c r="N224" i="43"/>
  <c r="J224" i="43"/>
  <c r="M224" i="43"/>
  <c r="L241" i="43"/>
  <c r="K241" i="43"/>
  <c r="N241" i="43"/>
  <c r="M241" i="43"/>
  <c r="L248" i="43"/>
  <c r="K248" i="43"/>
  <c r="M248" i="43"/>
  <c r="J248" i="43"/>
  <c r="N248" i="43"/>
  <c r="N268" i="43"/>
  <c r="J268" i="43"/>
  <c r="M268" i="43"/>
  <c r="L268" i="43"/>
  <c r="J271" i="43"/>
  <c r="L290" i="43"/>
  <c r="K290" i="43"/>
  <c r="N290" i="43"/>
  <c r="M290" i="43"/>
  <c r="J290" i="43"/>
  <c r="N322" i="43"/>
  <c r="J322" i="43"/>
  <c r="M322" i="43"/>
  <c r="L322" i="43"/>
  <c r="K322" i="43"/>
  <c r="M333" i="43"/>
  <c r="L333" i="43"/>
  <c r="K333" i="43"/>
  <c r="N333" i="43"/>
  <c r="J333" i="43"/>
  <c r="M337" i="43"/>
  <c r="L337" i="43"/>
  <c r="K337" i="43"/>
  <c r="N337" i="43"/>
  <c r="J337" i="43"/>
  <c r="L56" i="43"/>
  <c r="L60" i="43"/>
  <c r="L64" i="43"/>
  <c r="L68" i="43"/>
  <c r="L72" i="43"/>
  <c r="L76" i="43"/>
  <c r="L80" i="43"/>
  <c r="L84" i="43"/>
  <c r="L88" i="43"/>
  <c r="N89" i="43"/>
  <c r="K94" i="43"/>
  <c r="J96" i="43"/>
  <c r="N98" i="43"/>
  <c r="J98" i="43"/>
  <c r="M98" i="43"/>
  <c r="L100" i="43"/>
  <c r="K100" i="43"/>
  <c r="L110" i="43"/>
  <c r="L112" i="43"/>
  <c r="L116" i="43" s="1"/>
  <c r="K112" i="43"/>
  <c r="K116" i="43" s="1"/>
  <c r="M113" i="43"/>
  <c r="M116" i="43" s="1"/>
  <c r="L113" i="43"/>
  <c r="N114" i="43"/>
  <c r="N116" i="43" s="1"/>
  <c r="J114" i="43"/>
  <c r="M114" i="43"/>
  <c r="L118" i="43"/>
  <c r="K118" i="43"/>
  <c r="J123" i="43"/>
  <c r="K124" i="43"/>
  <c r="J127" i="43"/>
  <c r="J128" i="43"/>
  <c r="K129" i="43"/>
  <c r="L132" i="43"/>
  <c r="K132" i="43"/>
  <c r="M133" i="43"/>
  <c r="M194" i="43" s="1"/>
  <c r="L133" i="43"/>
  <c r="N134" i="43"/>
  <c r="J134" i="43"/>
  <c r="J194" i="43" s="1"/>
  <c r="M134" i="43"/>
  <c r="L136" i="43"/>
  <c r="K136" i="43"/>
  <c r="M137" i="43"/>
  <c r="L137" i="43"/>
  <c r="N138" i="43"/>
  <c r="J138" i="43"/>
  <c r="M138" i="43"/>
  <c r="L140" i="43"/>
  <c r="K140" i="43"/>
  <c r="M141" i="43"/>
  <c r="L141" i="43"/>
  <c r="N142" i="43"/>
  <c r="J142" i="43"/>
  <c r="M142" i="43"/>
  <c r="L144" i="43"/>
  <c r="K144" i="43"/>
  <c r="M145" i="43"/>
  <c r="L145" i="43"/>
  <c r="N146" i="43"/>
  <c r="J146" i="43"/>
  <c r="M146" i="43"/>
  <c r="L148" i="43"/>
  <c r="K148" i="43"/>
  <c r="M149" i="43"/>
  <c r="L149" i="43"/>
  <c r="N150" i="43"/>
  <c r="J150" i="43"/>
  <c r="M150" i="43"/>
  <c r="L152" i="43"/>
  <c r="K152" i="43"/>
  <c r="M153" i="43"/>
  <c r="L153" i="43"/>
  <c r="N154" i="43"/>
  <c r="J154" i="43"/>
  <c r="M154" i="43"/>
  <c r="K156" i="43"/>
  <c r="M156" i="43"/>
  <c r="L156" i="43"/>
  <c r="N163" i="43"/>
  <c r="J163" i="43"/>
  <c r="M163" i="43"/>
  <c r="K164" i="43"/>
  <c r="M164" i="43"/>
  <c r="L164" i="43"/>
  <c r="N171" i="43"/>
  <c r="J171" i="43"/>
  <c r="M171" i="43"/>
  <c r="K172" i="43"/>
  <c r="M172" i="43"/>
  <c r="L172" i="43"/>
  <c r="N179" i="43"/>
  <c r="J179" i="43"/>
  <c r="M179" i="43"/>
  <c r="K180" i="43"/>
  <c r="M180" i="43"/>
  <c r="L180" i="43"/>
  <c r="N187" i="43"/>
  <c r="J187" i="43"/>
  <c r="M187" i="43"/>
  <c r="K188" i="43"/>
  <c r="M188" i="43"/>
  <c r="L188" i="43"/>
  <c r="N197" i="43"/>
  <c r="K200" i="43"/>
  <c r="N200" i="43"/>
  <c r="J200" i="43"/>
  <c r="L200" i="43"/>
  <c r="K207" i="43"/>
  <c r="N211" i="43"/>
  <c r="J211" i="43"/>
  <c r="M211" i="43"/>
  <c r="L211" i="43"/>
  <c r="K211" i="43"/>
  <c r="L213" i="43"/>
  <c r="K213" i="43"/>
  <c r="M213" i="43"/>
  <c r="J213" i="43"/>
  <c r="L220" i="43"/>
  <c r="N223" i="43"/>
  <c r="J223" i="43"/>
  <c r="M223" i="43"/>
  <c r="L223" i="43"/>
  <c r="L224" i="43"/>
  <c r="K236" i="43"/>
  <c r="N236" i="43"/>
  <c r="J236" i="43"/>
  <c r="K240" i="43"/>
  <c r="N240" i="43"/>
  <c r="J240" i="43"/>
  <c r="M240" i="43"/>
  <c r="J241" i="43"/>
  <c r="L266" i="43"/>
  <c r="K266" i="43"/>
  <c r="N266" i="43"/>
  <c r="M266" i="43"/>
  <c r="K268" i="43"/>
  <c r="L274" i="43"/>
  <c r="K274" i="43"/>
  <c r="N274" i="43"/>
  <c r="M274" i="43"/>
  <c r="K281" i="43"/>
  <c r="N281" i="43"/>
  <c r="J281" i="43"/>
  <c r="L281" i="43"/>
  <c r="N294" i="43"/>
  <c r="M294" i="43"/>
  <c r="L294" i="43"/>
  <c r="K294" i="43"/>
  <c r="J294" i="43"/>
  <c r="K315" i="43"/>
  <c r="N315" i="43"/>
  <c r="J315" i="43"/>
  <c r="M315" i="43"/>
  <c r="L315" i="43"/>
  <c r="K347" i="43"/>
  <c r="N347" i="43"/>
  <c r="J347" i="43"/>
  <c r="M347" i="43"/>
  <c r="L347" i="43"/>
  <c r="N90" i="43"/>
  <c r="M90" i="43"/>
  <c r="L94" i="43"/>
  <c r="M96" i="43"/>
  <c r="N102" i="43"/>
  <c r="J102" i="43"/>
  <c r="M102" i="43"/>
  <c r="K103" i="43"/>
  <c r="N103" i="43"/>
  <c r="J103" i="43"/>
  <c r="L104" i="43"/>
  <c r="K104" i="43"/>
  <c r="M110" i="43"/>
  <c r="M120" i="43"/>
  <c r="M122" i="43" s="1"/>
  <c r="L120" i="43"/>
  <c r="L122" i="43" s="1"/>
  <c r="O122" i="43" s="1"/>
  <c r="P122" i="43" s="1"/>
  <c r="K123" i="43"/>
  <c r="K125" i="43" s="1"/>
  <c r="L124" i="43"/>
  <c r="M127" i="43"/>
  <c r="K128" i="43"/>
  <c r="L129" i="43"/>
  <c r="M162" i="43"/>
  <c r="K162" i="43"/>
  <c r="J162" i="43"/>
  <c r="M170" i="43"/>
  <c r="K170" i="43"/>
  <c r="J170" i="43"/>
  <c r="M178" i="43"/>
  <c r="K178" i="43"/>
  <c r="J178" i="43"/>
  <c r="M186" i="43"/>
  <c r="K186" i="43"/>
  <c r="J186" i="43"/>
  <c r="K196" i="43"/>
  <c r="K249" i="43" s="1"/>
  <c r="N196" i="43"/>
  <c r="J196" i="43"/>
  <c r="M196" i="43"/>
  <c r="M249" i="43" s="1"/>
  <c r="L196" i="43"/>
  <c r="L209" i="43"/>
  <c r="K209" i="43"/>
  <c r="N209" i="43"/>
  <c r="M209" i="43"/>
  <c r="K216" i="43"/>
  <c r="N216" i="43"/>
  <c r="J216" i="43"/>
  <c r="L216" i="43"/>
  <c r="M220" i="43"/>
  <c r="N227" i="43"/>
  <c r="J227" i="43"/>
  <c r="M227" i="43"/>
  <c r="L227" i="43"/>
  <c r="K227" i="43"/>
  <c r="L229" i="43"/>
  <c r="K229" i="43"/>
  <c r="M229" i="43"/>
  <c r="J229" i="43"/>
  <c r="N239" i="43"/>
  <c r="J239" i="43"/>
  <c r="M239" i="43"/>
  <c r="L239" i="43"/>
  <c r="K277" i="43"/>
  <c r="N277" i="43"/>
  <c r="J277" i="43"/>
  <c r="M277" i="43"/>
  <c r="L277" i="43"/>
  <c r="N292" i="43"/>
  <c r="J292" i="43"/>
  <c r="M292" i="43"/>
  <c r="L292" i="43"/>
  <c r="K292" i="43"/>
  <c r="L93" i="43"/>
  <c r="L97" i="43"/>
  <c r="L101" i="43"/>
  <c r="L105" i="43"/>
  <c r="L109" i="43"/>
  <c r="N157" i="43"/>
  <c r="N165" i="43"/>
  <c r="N173" i="43"/>
  <c r="N181" i="43"/>
  <c r="N189" i="43"/>
  <c r="N199" i="43"/>
  <c r="J199" i="43"/>
  <c r="M199" i="43"/>
  <c r="L201" i="43"/>
  <c r="K201" i="43"/>
  <c r="N215" i="43"/>
  <c r="J215" i="43"/>
  <c r="M215" i="43"/>
  <c r="L217" i="43"/>
  <c r="K217" i="43"/>
  <c r="N231" i="43"/>
  <c r="J231" i="43"/>
  <c r="M231" i="43"/>
  <c r="L233" i="43"/>
  <c r="K233" i="43"/>
  <c r="K247" i="43"/>
  <c r="N247" i="43"/>
  <c r="M247" i="43"/>
  <c r="L247" i="43"/>
  <c r="K257" i="43"/>
  <c r="N257" i="43"/>
  <c r="J257" i="43"/>
  <c r="L257" i="43"/>
  <c r="N264" i="43"/>
  <c r="J264" i="43"/>
  <c r="M264" i="43"/>
  <c r="L264" i="43"/>
  <c r="M267" i="43"/>
  <c r="L267" i="43"/>
  <c r="N267" i="43"/>
  <c r="K267" i="43"/>
  <c r="L270" i="43"/>
  <c r="K270" i="43"/>
  <c r="N270" i="43"/>
  <c r="M270" i="43"/>
  <c r="N272" i="43"/>
  <c r="J272" i="43"/>
  <c r="M272" i="43"/>
  <c r="L272" i="43"/>
  <c r="K285" i="43"/>
  <c r="N285" i="43"/>
  <c r="J285" i="43"/>
  <c r="K289" i="43"/>
  <c r="N289" i="43"/>
  <c r="J289" i="43"/>
  <c r="M289" i="43"/>
  <c r="K295" i="43"/>
  <c r="N295" i="43"/>
  <c r="J295" i="43"/>
  <c r="M295" i="43"/>
  <c r="L295" i="43"/>
  <c r="L305" i="43"/>
  <c r="L308" i="43" s="1"/>
  <c r="K305" i="43"/>
  <c r="N305" i="43"/>
  <c r="J305" i="43"/>
  <c r="M305" i="43"/>
  <c r="L340" i="43"/>
  <c r="K340" i="43"/>
  <c r="N340" i="43"/>
  <c r="J340" i="43"/>
  <c r="M340" i="43"/>
  <c r="M349" i="43"/>
  <c r="L349" i="43"/>
  <c r="K349" i="43"/>
  <c r="N349" i="43"/>
  <c r="J349" i="43"/>
  <c r="J157" i="43"/>
  <c r="N158" i="43"/>
  <c r="J165" i="43"/>
  <c r="N166" i="43"/>
  <c r="J173" i="43"/>
  <c r="N174" i="43"/>
  <c r="J181" i="43"/>
  <c r="N182" i="43"/>
  <c r="J189" i="43"/>
  <c r="N190" i="43"/>
  <c r="N195" i="43"/>
  <c r="K199" i="43"/>
  <c r="J201" i="43"/>
  <c r="N203" i="43"/>
  <c r="J203" i="43"/>
  <c r="J249" i="43" s="1"/>
  <c r="M203" i="43"/>
  <c r="L205" i="43"/>
  <c r="K205" i="43"/>
  <c r="K215" i="43"/>
  <c r="J217" i="43"/>
  <c r="N219" i="43"/>
  <c r="J219" i="43"/>
  <c r="M219" i="43"/>
  <c r="L221" i="43"/>
  <c r="K221" i="43"/>
  <c r="K231" i="43"/>
  <c r="J233" i="43"/>
  <c r="N235" i="43"/>
  <c r="J235" i="43"/>
  <c r="M235" i="43"/>
  <c r="L237" i="43"/>
  <c r="K237" i="43"/>
  <c r="J247" i="43"/>
  <c r="M257" i="43"/>
  <c r="K264" i="43"/>
  <c r="J267" i="43"/>
  <c r="K269" i="43"/>
  <c r="N269" i="43"/>
  <c r="J269" i="43"/>
  <c r="M269" i="43"/>
  <c r="J270" i="43"/>
  <c r="K272" i="43"/>
  <c r="N276" i="43"/>
  <c r="J276" i="43"/>
  <c r="M276" i="43"/>
  <c r="L276" i="43"/>
  <c r="K276" i="43"/>
  <c r="L278" i="43"/>
  <c r="K278" i="43"/>
  <c r="M278" i="43"/>
  <c r="J278" i="43"/>
  <c r="L285" i="43"/>
  <c r="N288" i="43"/>
  <c r="J288" i="43"/>
  <c r="M288" i="43"/>
  <c r="L288" i="43"/>
  <c r="L289" i="43"/>
  <c r="K299" i="43"/>
  <c r="N299" i="43"/>
  <c r="J299" i="43"/>
  <c r="M299" i="43"/>
  <c r="L299" i="43"/>
  <c r="L328" i="43"/>
  <c r="K328" i="43"/>
  <c r="N328" i="43"/>
  <c r="J328" i="43"/>
  <c r="K331" i="43"/>
  <c r="N331" i="43"/>
  <c r="J331" i="43"/>
  <c r="M331" i="43"/>
  <c r="L344" i="43"/>
  <c r="K344" i="43"/>
  <c r="N344" i="43"/>
  <c r="J344" i="43"/>
  <c r="M344" i="43"/>
  <c r="L198" i="43"/>
  <c r="L249" i="43" s="1"/>
  <c r="L202" i="43"/>
  <c r="L206" i="43"/>
  <c r="L210" i="43"/>
  <c r="L214" i="43"/>
  <c r="L218" i="43"/>
  <c r="L222" i="43"/>
  <c r="L226" i="43"/>
  <c r="L230" i="43"/>
  <c r="L234" i="43"/>
  <c r="L238" i="43"/>
  <c r="L242" i="43"/>
  <c r="N252" i="43"/>
  <c r="N256" i="43"/>
  <c r="J256" i="43"/>
  <c r="M256" i="43"/>
  <c r="L258" i="43"/>
  <c r="L303" i="43" s="1"/>
  <c r="K258" i="43"/>
  <c r="N280" i="43"/>
  <c r="J280" i="43"/>
  <c r="M280" i="43"/>
  <c r="L282" i="43"/>
  <c r="K282" i="43"/>
  <c r="L296" i="43"/>
  <c r="K296" i="43"/>
  <c r="N296" i="43"/>
  <c r="J296" i="43"/>
  <c r="M296" i="43"/>
  <c r="M325" i="43"/>
  <c r="L325" i="43"/>
  <c r="K325" i="43"/>
  <c r="N325" i="43"/>
  <c r="K327" i="43"/>
  <c r="N327" i="43"/>
  <c r="J327" i="43"/>
  <c r="M327" i="43"/>
  <c r="L327" i="43"/>
  <c r="N246" i="43"/>
  <c r="J246" i="43"/>
  <c r="O255" i="43"/>
  <c r="P255" i="43" s="1"/>
  <c r="N260" i="43"/>
  <c r="J260" i="43"/>
  <c r="M260" i="43"/>
  <c r="K261" i="43"/>
  <c r="K303" i="43" s="1"/>
  <c r="N261" i="43"/>
  <c r="J261" i="43"/>
  <c r="L262" i="43"/>
  <c r="K262" i="43"/>
  <c r="K280" i="43"/>
  <c r="J282" i="43"/>
  <c r="N284" i="43"/>
  <c r="J284" i="43"/>
  <c r="M284" i="43"/>
  <c r="L286" i="43"/>
  <c r="K286" i="43"/>
  <c r="L300" i="43"/>
  <c r="K300" i="43"/>
  <c r="N300" i="43"/>
  <c r="J300" i="43"/>
  <c r="L316" i="43"/>
  <c r="K316" i="43"/>
  <c r="N316" i="43"/>
  <c r="J316" i="43"/>
  <c r="K319" i="43"/>
  <c r="N319" i="43"/>
  <c r="J319" i="43"/>
  <c r="M319" i="43"/>
  <c r="J325" i="43"/>
  <c r="K343" i="43"/>
  <c r="N343" i="43"/>
  <c r="J343" i="43"/>
  <c r="M343" i="43"/>
  <c r="L343" i="43"/>
  <c r="L250" i="43"/>
  <c r="L252" i="43" s="1"/>
  <c r="O252" i="43" s="1"/>
  <c r="P252" i="43" s="1"/>
  <c r="L253" i="43"/>
  <c r="L255" i="43" s="1"/>
  <c r="L259" i="43"/>
  <c r="L263" i="43"/>
  <c r="L275" i="43"/>
  <c r="L279" i="43"/>
  <c r="L283" i="43"/>
  <c r="L287" i="43"/>
  <c r="L291" i="43"/>
  <c r="N302" i="43"/>
  <c r="J302" i="43"/>
  <c r="M302" i="43"/>
  <c r="L302" i="43"/>
  <c r="K304" i="43"/>
  <c r="N304" i="43"/>
  <c r="N308" i="43" s="1"/>
  <c r="J304" i="43"/>
  <c r="J308" i="43" s="1"/>
  <c r="M304" i="43"/>
  <c r="M308" i="43" s="1"/>
  <c r="N318" i="43"/>
  <c r="J318" i="43"/>
  <c r="M318" i="43"/>
  <c r="L318" i="43"/>
  <c r="L324" i="43"/>
  <c r="K324" i="43"/>
  <c r="N324" i="43"/>
  <c r="J324" i="43"/>
  <c r="M329" i="43"/>
  <c r="L329" i="43"/>
  <c r="K329" i="43"/>
  <c r="L336" i="43"/>
  <c r="K336" i="43"/>
  <c r="N336" i="43"/>
  <c r="J336" i="43"/>
  <c r="K339" i="43"/>
  <c r="N339" i="43"/>
  <c r="J339" i="43"/>
  <c r="M339" i="43"/>
  <c r="M345" i="43"/>
  <c r="L345" i="43"/>
  <c r="K345" i="43"/>
  <c r="L352" i="43"/>
  <c r="K352" i="43"/>
  <c r="N352" i="43"/>
  <c r="J352" i="43"/>
  <c r="N298" i="43"/>
  <c r="J298" i="43"/>
  <c r="M298" i="43"/>
  <c r="L298" i="43"/>
  <c r="L320" i="43"/>
  <c r="K320" i="43"/>
  <c r="N320" i="43"/>
  <c r="J320" i="43"/>
  <c r="K323" i="43"/>
  <c r="N323" i="43"/>
  <c r="J323" i="43"/>
  <c r="M323" i="43"/>
  <c r="N326" i="43"/>
  <c r="J326" i="43"/>
  <c r="M326" i="43"/>
  <c r="L326" i="43"/>
  <c r="L332" i="43"/>
  <c r="K332" i="43"/>
  <c r="N332" i="43"/>
  <c r="J332" i="43"/>
  <c r="K335" i="43"/>
  <c r="N335" i="43"/>
  <c r="J335" i="43"/>
  <c r="M335" i="43"/>
  <c r="M336" i="43"/>
  <c r="L339" i="43"/>
  <c r="M341" i="43"/>
  <c r="L341" i="43"/>
  <c r="K341" i="43"/>
  <c r="J345" i="43"/>
  <c r="L348" i="43"/>
  <c r="K348" i="43"/>
  <c r="N348" i="43"/>
  <c r="J348" i="43"/>
  <c r="K351" i="43"/>
  <c r="N351" i="43"/>
  <c r="J351" i="43"/>
  <c r="M351" i="43"/>
  <c r="M352" i="43"/>
  <c r="K297" i="43"/>
  <c r="K301" i="43"/>
  <c r="K306" i="43"/>
  <c r="L309" i="43"/>
  <c r="L311" i="43" s="1"/>
  <c r="L312" i="43"/>
  <c r="L314" i="43" s="1"/>
  <c r="K317" i="43"/>
  <c r="K321" i="43"/>
  <c r="L330" i="43"/>
  <c r="L334" i="43"/>
  <c r="L338" i="43"/>
  <c r="L342" i="43"/>
  <c r="L346" i="43"/>
  <c r="L350" i="43"/>
  <c r="L297" i="43"/>
  <c r="L301" i="43"/>
  <c r="L306" i="43"/>
  <c r="M309" i="43"/>
  <c r="M311" i="43" s="1"/>
  <c r="M312" i="43"/>
  <c r="M314" i="43" s="1"/>
  <c r="L317" i="43"/>
  <c r="L321" i="43"/>
  <c r="M330" i="43"/>
  <c r="M334" i="43"/>
  <c r="M338" i="43"/>
  <c r="M342" i="43"/>
  <c r="M346" i="43"/>
  <c r="M350" i="43"/>
  <c r="J309" i="43"/>
  <c r="J311" i="43" s="1"/>
  <c r="O311" i="43" s="1"/>
  <c r="P311" i="43" s="1"/>
  <c r="J312" i="43"/>
  <c r="J314" i="43" s="1"/>
  <c r="J330" i="43"/>
  <c r="J334" i="43"/>
  <c r="J338" i="43"/>
  <c r="J342" i="43"/>
  <c r="J346" i="43"/>
  <c r="J350" i="43"/>
  <c r="C13" i="38" l="1"/>
  <c r="E12" i="38"/>
  <c r="F12" i="38"/>
  <c r="F13" i="38" s="1"/>
  <c r="O308" i="43"/>
  <c r="P308" i="43" s="1"/>
  <c r="M303" i="43"/>
  <c r="N249" i="43"/>
  <c r="O249" i="43" s="1"/>
  <c r="P249" i="43" s="1"/>
  <c r="K353" i="43"/>
  <c r="L119" i="43"/>
  <c r="J131" i="43"/>
  <c r="K27" i="43"/>
  <c r="J303" i="43"/>
  <c r="N353" i="43"/>
  <c r="L111" i="43"/>
  <c r="K119" i="43"/>
  <c r="M131" i="43"/>
  <c r="N27" i="43"/>
  <c r="J14" i="43"/>
  <c r="L353" i="43"/>
  <c r="K194" i="43"/>
  <c r="O194" i="43" s="1"/>
  <c r="P194" i="43" s="1"/>
  <c r="M125" i="43"/>
  <c r="O116" i="43"/>
  <c r="P116" i="43" s="1"/>
  <c r="L27" i="43"/>
  <c r="L17" i="43"/>
  <c r="N14" i="43"/>
  <c r="M353" i="43"/>
  <c r="L194" i="43"/>
  <c r="N17" i="43"/>
  <c r="O119" i="43"/>
  <c r="P119" i="43" s="1"/>
  <c r="N131" i="43"/>
  <c r="M17" i="43"/>
  <c r="L14" i="43"/>
  <c r="K14" i="43"/>
  <c r="K355" i="43" s="1"/>
  <c r="O314" i="43"/>
  <c r="P314" i="43" s="1"/>
  <c r="K308" i="43"/>
  <c r="N303" i="43"/>
  <c r="J353" i="43"/>
  <c r="J125" i="43"/>
  <c r="O125" i="43" s="1"/>
  <c r="P125" i="43" s="1"/>
  <c r="J111" i="43"/>
  <c r="K111" i="43"/>
  <c r="O30" i="43"/>
  <c r="P30" i="43" s="1"/>
  <c r="O17" i="43"/>
  <c r="P17" i="43" s="1"/>
  <c r="L131" i="43"/>
  <c r="K131" i="43"/>
  <c r="O36" i="43"/>
  <c r="P36" i="43" s="1"/>
  <c r="O33" i="43"/>
  <c r="P33" i="43" s="1"/>
  <c r="J27" i="43"/>
  <c r="O39" i="43"/>
  <c r="P39" i="43" s="1"/>
  <c r="M14" i="43"/>
  <c r="E13" i="38" l="1"/>
  <c r="C14" i="38"/>
  <c r="O131" i="43"/>
  <c r="P131" i="43" s="1"/>
  <c r="M355" i="43"/>
  <c r="O353" i="43"/>
  <c r="P353" i="43" s="1"/>
  <c r="N355" i="43"/>
  <c r="L355" i="43"/>
  <c r="O303" i="43"/>
  <c r="P303" i="43" s="1"/>
  <c r="J355" i="43"/>
  <c r="O14" i="43"/>
  <c r="P14" i="43" s="1"/>
  <c r="O27" i="43"/>
  <c r="P27" i="43" s="1"/>
  <c r="O111" i="43"/>
  <c r="P111" i="43" s="1"/>
  <c r="C15" i="38" l="1"/>
  <c r="E14" i="38"/>
  <c r="F14" i="38"/>
  <c r="F15" i="38" s="1"/>
  <c r="H251" i="4"/>
  <c r="H19" i="4" s="1"/>
  <c r="D28" i="42"/>
  <c r="H24" i="42"/>
  <c r="I28" i="42" s="1"/>
  <c r="D24" i="42"/>
  <c r="D29" i="42" s="1"/>
  <c r="C24" i="42"/>
  <c r="J23" i="42"/>
  <c r="E23" i="42"/>
  <c r="J22" i="42"/>
  <c r="I22" i="42"/>
  <c r="D22" i="42"/>
  <c r="E22" i="42" s="1"/>
  <c r="J21" i="42"/>
  <c r="I21" i="42"/>
  <c r="D21" i="42"/>
  <c r="E21" i="42" s="1"/>
  <c r="J20" i="42"/>
  <c r="I20" i="42"/>
  <c r="D20" i="42"/>
  <c r="E20" i="42" s="1"/>
  <c r="J19" i="42"/>
  <c r="I19" i="42"/>
  <c r="D19" i="42"/>
  <c r="E19" i="42" s="1"/>
  <c r="J18" i="42"/>
  <c r="I18" i="42"/>
  <c r="D18" i="42"/>
  <c r="E18" i="42" s="1"/>
  <c r="J16" i="42"/>
  <c r="E16" i="42"/>
  <c r="J15" i="42"/>
  <c r="E15" i="42"/>
  <c r="J14" i="42"/>
  <c r="E14" i="42"/>
  <c r="I13" i="42"/>
  <c r="J13" i="42" s="1"/>
  <c r="E13" i="42"/>
  <c r="D13" i="42"/>
  <c r="I12" i="42"/>
  <c r="J12" i="42" s="1"/>
  <c r="E12" i="42"/>
  <c r="D12" i="42"/>
  <c r="I11" i="42"/>
  <c r="J11" i="42" s="1"/>
  <c r="E11" i="42"/>
  <c r="D11" i="42"/>
  <c r="I10" i="42"/>
  <c r="J10" i="42" s="1"/>
  <c r="E10" i="42"/>
  <c r="D10" i="42"/>
  <c r="J9" i="42"/>
  <c r="E9" i="42"/>
  <c r="J8" i="42"/>
  <c r="I8" i="42"/>
  <c r="I24" i="42" s="1"/>
  <c r="I29" i="42" s="1"/>
  <c r="D8" i="42"/>
  <c r="E8" i="42" s="1"/>
  <c r="J7" i="42"/>
  <c r="E7" i="42"/>
  <c r="J6" i="42"/>
  <c r="E6" i="42"/>
  <c r="E24" i="42" s="1"/>
  <c r="H278" i="4"/>
  <c r="H281" i="4"/>
  <c r="G286" i="4"/>
  <c r="G281" i="4"/>
  <c r="E15" i="38" l="1"/>
  <c r="C16" i="38"/>
  <c r="I31" i="42"/>
  <c r="J24" i="42"/>
  <c r="D31" i="42"/>
  <c r="D32" i="42" s="1"/>
  <c r="C17" i="38" l="1"/>
  <c r="E17" i="38" s="1"/>
  <c r="E16" i="38"/>
  <c r="E25" i="38"/>
  <c r="F16" i="38"/>
  <c r="F17" i="38" s="1"/>
  <c r="F13" i="20"/>
  <c r="F19" i="20" s="1"/>
  <c r="F20" i="20" s="1"/>
  <c r="F23" i="20" s="1"/>
  <c r="F24" i="20" s="1"/>
  <c r="H38" i="20"/>
  <c r="G574" i="24"/>
  <c r="J574" i="24"/>
  <c r="D20" i="14"/>
  <c r="D11" i="14"/>
  <c r="H68" i="24"/>
  <c r="H83" i="14"/>
  <c r="I11" i="14"/>
  <c r="H67" i="24"/>
  <c r="G550" i="4"/>
  <c r="H233" i="4"/>
  <c r="H234" i="4"/>
  <c r="H235" i="4"/>
  <c r="G235" i="4"/>
  <c r="G551" i="4"/>
  <c r="J25" i="6" l="1"/>
  <c r="L25" i="6" s="1"/>
  <c r="D176" i="31"/>
  <c r="F176" i="31" s="1"/>
  <c r="D176" i="23"/>
  <c r="F176" i="23" s="1"/>
  <c r="D228" i="31"/>
  <c r="F228" i="31" s="1"/>
  <c r="D228" i="23"/>
  <c r="F228" i="23" s="1"/>
  <c r="I20" i="14"/>
  <c r="D83" i="14"/>
  <c r="S3" i="4"/>
  <c r="D25" i="38"/>
  <c r="E30" i="38"/>
  <c r="H236" i="4"/>
  <c r="H13" i="4" s="1"/>
  <c r="E8" i="21"/>
  <c r="E10" i="21" s="1"/>
  <c r="E11" i="21" s="1"/>
  <c r="E12" i="21" s="1"/>
  <c r="E7" i="21"/>
  <c r="E6" i="21"/>
  <c r="D11" i="21"/>
  <c r="D12" i="21" s="1"/>
  <c r="D30" i="38" l="1"/>
  <c r="G384" i="4"/>
  <c r="S79" i="4"/>
  <c r="G638" i="4" l="1"/>
  <c r="G70" i="9"/>
  <c r="G69" i="9"/>
  <c r="G68" i="9"/>
  <c r="G67" i="9"/>
  <c r="G66" i="9"/>
  <c r="G65" i="9"/>
  <c r="G64" i="9"/>
  <c r="G62" i="9"/>
  <c r="G61" i="9"/>
  <c r="G51" i="9"/>
  <c r="G60" i="9" s="1"/>
  <c r="G40" i="9"/>
  <c r="G12" i="9"/>
  <c r="G99" i="14"/>
  <c r="G98" i="14"/>
  <c r="D16" i="14" s="1"/>
  <c r="G97" i="14"/>
  <c r="C16" i="14" s="1"/>
  <c r="B19" i="14"/>
  <c r="I16" i="14"/>
  <c r="H16" i="14"/>
  <c r="G16" i="14"/>
  <c r="F16" i="14"/>
  <c r="I88" i="14"/>
  <c r="H88" i="14"/>
  <c r="H90" i="14" s="1"/>
  <c r="G88" i="14"/>
  <c r="F88" i="14"/>
  <c r="D88" i="14"/>
  <c r="D90" i="14" s="1"/>
  <c r="I10" i="14"/>
  <c r="H10" i="14"/>
  <c r="G10" i="14"/>
  <c r="F10" i="14"/>
  <c r="E10" i="14"/>
  <c r="D10" i="14"/>
  <c r="C10" i="14"/>
  <c r="B10" i="14"/>
  <c r="I8" i="14"/>
  <c r="H8" i="14"/>
  <c r="G8" i="14"/>
  <c r="F8" i="14"/>
  <c r="E8" i="14"/>
  <c r="D8" i="14"/>
  <c r="C8" i="14"/>
  <c r="B8" i="14"/>
  <c r="C83" i="14"/>
  <c r="E373" i="25"/>
  <c r="E372" i="25"/>
  <c r="G372" i="25" s="1"/>
  <c r="E371" i="25"/>
  <c r="G371" i="25" s="1"/>
  <c r="E370" i="25"/>
  <c r="E369" i="25"/>
  <c r="G369" i="25" s="1"/>
  <c r="E368" i="25"/>
  <c r="G368" i="25" s="1"/>
  <c r="E367" i="25"/>
  <c r="E366" i="25"/>
  <c r="E365" i="25"/>
  <c r="G365" i="25" s="1"/>
  <c r="E364" i="25"/>
  <c r="G364" i="25" s="1"/>
  <c r="E363" i="25"/>
  <c r="E362" i="25"/>
  <c r="E361" i="25"/>
  <c r="G361" i="25" s="1"/>
  <c r="E360" i="25"/>
  <c r="G360" i="25" s="1"/>
  <c r="E359" i="25"/>
  <c r="E358" i="25"/>
  <c r="E357" i="25"/>
  <c r="G357" i="25" s="1"/>
  <c r="E356" i="25"/>
  <c r="G356" i="25" s="1"/>
  <c r="E355" i="25"/>
  <c r="E354" i="25"/>
  <c r="E353" i="25"/>
  <c r="G353" i="25" s="1"/>
  <c r="E352" i="25"/>
  <c r="G352" i="25" s="1"/>
  <c r="E351" i="25"/>
  <c r="E350" i="25"/>
  <c r="E349" i="25"/>
  <c r="G349" i="25" s="1"/>
  <c r="E348" i="25"/>
  <c r="G348" i="25" s="1"/>
  <c r="E347" i="25"/>
  <c r="E346" i="25"/>
  <c r="E345" i="25"/>
  <c r="G345" i="25" s="1"/>
  <c r="E344" i="25"/>
  <c r="G344" i="25" s="1"/>
  <c r="E343" i="25"/>
  <c r="E342" i="25"/>
  <c r="E341" i="25"/>
  <c r="G341" i="25" s="1"/>
  <c r="E340" i="25"/>
  <c r="G340" i="25" s="1"/>
  <c r="E339" i="25"/>
  <c r="E338" i="25"/>
  <c r="E337" i="25"/>
  <c r="G337" i="25" s="1"/>
  <c r="E336" i="25"/>
  <c r="G336" i="25" s="1"/>
  <c r="E335" i="25"/>
  <c r="G335" i="25" s="1"/>
  <c r="E334" i="25"/>
  <c r="E333" i="25"/>
  <c r="G333" i="25" s="1"/>
  <c r="E332" i="25"/>
  <c r="G332" i="25" s="1"/>
  <c r="E331" i="25"/>
  <c r="G331" i="25" s="1"/>
  <c r="E330" i="25"/>
  <c r="E329" i="25"/>
  <c r="G329" i="25" s="1"/>
  <c r="E328" i="25"/>
  <c r="G328" i="25" s="1"/>
  <c r="E327" i="25"/>
  <c r="G327" i="25" s="1"/>
  <c r="E326" i="25"/>
  <c r="E325" i="25"/>
  <c r="G325" i="25" s="1"/>
  <c r="E324" i="25"/>
  <c r="G324" i="25" s="1"/>
  <c r="E323" i="25"/>
  <c r="E322" i="25"/>
  <c r="E321" i="25"/>
  <c r="G321" i="25" s="1"/>
  <c r="E320" i="25"/>
  <c r="G320" i="25" s="1"/>
  <c r="E319" i="25"/>
  <c r="G319" i="25" s="1"/>
  <c r="E318" i="25"/>
  <c r="E317" i="25"/>
  <c r="G317" i="25" s="1"/>
  <c r="E316" i="25"/>
  <c r="G316" i="25" s="1"/>
  <c r="E315" i="25"/>
  <c r="G315" i="25" s="1"/>
  <c r="E314" i="25"/>
  <c r="E313" i="25"/>
  <c r="G313" i="25" s="1"/>
  <c r="E312" i="25"/>
  <c r="G312" i="25" s="1"/>
  <c r="E311" i="25"/>
  <c r="E310" i="25"/>
  <c r="E309" i="25"/>
  <c r="E308" i="25"/>
  <c r="G308" i="25" s="1"/>
  <c r="E307" i="25"/>
  <c r="G307" i="25" s="1"/>
  <c r="E306" i="25"/>
  <c r="E305" i="25"/>
  <c r="E304" i="25"/>
  <c r="G304" i="25" s="1"/>
  <c r="E303" i="25"/>
  <c r="G303" i="25" s="1"/>
  <c r="E302" i="25"/>
  <c r="E301" i="25"/>
  <c r="E300" i="25"/>
  <c r="G300" i="25" s="1"/>
  <c r="E299" i="25"/>
  <c r="G299" i="25" s="1"/>
  <c r="E298" i="25"/>
  <c r="E297" i="25"/>
  <c r="E296" i="25"/>
  <c r="G296" i="25" s="1"/>
  <c r="E295" i="25"/>
  <c r="G295" i="25" s="1"/>
  <c r="E294" i="25"/>
  <c r="G294" i="25" s="1"/>
  <c r="E293" i="25"/>
  <c r="E292" i="25"/>
  <c r="G292" i="25" s="1"/>
  <c r="E291" i="25"/>
  <c r="G291" i="25" s="1"/>
  <c r="E290" i="25"/>
  <c r="E289" i="25"/>
  <c r="E288" i="25"/>
  <c r="G288" i="25" s="1"/>
  <c r="E287" i="25"/>
  <c r="G287" i="25" s="1"/>
  <c r="E286" i="25"/>
  <c r="E285" i="25"/>
  <c r="E284" i="25"/>
  <c r="G284" i="25" s="1"/>
  <c r="E283" i="25"/>
  <c r="G283" i="25" s="1"/>
  <c r="E282" i="25"/>
  <c r="E281" i="25"/>
  <c r="E280" i="25"/>
  <c r="G280" i="25" s="1"/>
  <c r="E279" i="25"/>
  <c r="G279" i="25" s="1"/>
  <c r="E278" i="25"/>
  <c r="G278" i="25" s="1"/>
  <c r="E277" i="25"/>
  <c r="E276" i="25"/>
  <c r="G276" i="25" s="1"/>
  <c r="E275" i="25"/>
  <c r="G275" i="25" s="1"/>
  <c r="E274" i="25"/>
  <c r="E273" i="25"/>
  <c r="E272" i="25"/>
  <c r="G272" i="25" s="1"/>
  <c r="E271" i="25"/>
  <c r="E270" i="25"/>
  <c r="G270" i="25" s="1"/>
  <c r="E269" i="25"/>
  <c r="E268" i="25"/>
  <c r="E267" i="25"/>
  <c r="G267" i="25" s="1"/>
  <c r="E266" i="25"/>
  <c r="G266" i="25" s="1"/>
  <c r="E265" i="25"/>
  <c r="E264" i="25"/>
  <c r="E263" i="25"/>
  <c r="E262" i="25"/>
  <c r="G262" i="25" s="1"/>
  <c r="E261" i="25"/>
  <c r="G261" i="25" s="1"/>
  <c r="E260" i="25"/>
  <c r="E259" i="25"/>
  <c r="E258" i="25"/>
  <c r="G258" i="25" s="1"/>
  <c r="E257" i="25"/>
  <c r="G257" i="25" s="1"/>
  <c r="E256" i="25"/>
  <c r="G256" i="25" s="1"/>
  <c r="E255" i="25"/>
  <c r="E254" i="25"/>
  <c r="G254" i="25" s="1"/>
  <c r="E253" i="25"/>
  <c r="G253" i="25" s="1"/>
  <c r="E252" i="25"/>
  <c r="G252" i="25" s="1"/>
  <c r="E251" i="25"/>
  <c r="E250" i="25"/>
  <c r="G250" i="25" s="1"/>
  <c r="E249" i="25"/>
  <c r="G249" i="25" s="1"/>
  <c r="E248" i="25"/>
  <c r="E247" i="25"/>
  <c r="E246" i="25"/>
  <c r="G246" i="25" s="1"/>
  <c r="E245" i="25"/>
  <c r="G245" i="25" s="1"/>
  <c r="E244" i="25"/>
  <c r="E243" i="25"/>
  <c r="E242" i="25"/>
  <c r="G242" i="25" s="1"/>
  <c r="E241" i="25"/>
  <c r="G241" i="25" s="1"/>
  <c r="E240" i="25"/>
  <c r="E239" i="25"/>
  <c r="E238" i="25"/>
  <c r="G238" i="25" s="1"/>
  <c r="E237" i="25"/>
  <c r="G237" i="25" s="1"/>
  <c r="E236" i="25"/>
  <c r="E235" i="25"/>
  <c r="E234" i="25"/>
  <c r="G234" i="25" s="1"/>
  <c r="E233" i="25"/>
  <c r="G233" i="25" s="1"/>
  <c r="E232" i="25"/>
  <c r="E231" i="25"/>
  <c r="E230" i="25"/>
  <c r="G230" i="25" s="1"/>
  <c r="E229" i="25"/>
  <c r="G229" i="25" s="1"/>
  <c r="E228" i="25"/>
  <c r="E227" i="25"/>
  <c r="E226" i="25"/>
  <c r="G226" i="25" s="1"/>
  <c r="E225" i="25"/>
  <c r="G225" i="25" s="1"/>
  <c r="E224" i="25"/>
  <c r="G224" i="25" s="1"/>
  <c r="E223" i="25"/>
  <c r="G223" i="25" s="1"/>
  <c r="E222" i="25"/>
  <c r="E221" i="25"/>
  <c r="G221" i="25" s="1"/>
  <c r="E220" i="25"/>
  <c r="G220" i="25" s="1"/>
  <c r="E219" i="25"/>
  <c r="G219" i="25" s="1"/>
  <c r="E218" i="25"/>
  <c r="E217" i="25"/>
  <c r="G217" i="25" s="1"/>
  <c r="E216" i="25"/>
  <c r="G216" i="25" s="1"/>
  <c r="E215" i="25"/>
  <c r="E214" i="25"/>
  <c r="E213" i="25"/>
  <c r="G213" i="25" s="1"/>
  <c r="E212" i="25"/>
  <c r="G212" i="25" s="1"/>
  <c r="E211" i="25"/>
  <c r="E210" i="25"/>
  <c r="E209" i="25"/>
  <c r="G209" i="25" s="1"/>
  <c r="E208" i="25"/>
  <c r="G208" i="25" s="1"/>
  <c r="E207" i="25"/>
  <c r="E206" i="25"/>
  <c r="G206" i="25" s="1"/>
  <c r="E205" i="25"/>
  <c r="G205" i="25" s="1"/>
  <c r="E204" i="25"/>
  <c r="E203" i="25"/>
  <c r="E202" i="25"/>
  <c r="G202" i="25" s="1"/>
  <c r="E201" i="25"/>
  <c r="G201" i="25" s="1"/>
  <c r="E200" i="25"/>
  <c r="G200" i="25" s="1"/>
  <c r="E199" i="25"/>
  <c r="E198" i="25"/>
  <c r="G198" i="25" s="1"/>
  <c r="E197" i="25"/>
  <c r="E196" i="25"/>
  <c r="E195" i="25"/>
  <c r="G195" i="25" s="1"/>
  <c r="E194" i="25"/>
  <c r="G194" i="25" s="1"/>
  <c r="E193" i="25"/>
  <c r="E192" i="25"/>
  <c r="E191" i="25"/>
  <c r="G191" i="25" s="1"/>
  <c r="E190" i="25"/>
  <c r="G190" i="25" s="1"/>
  <c r="E189" i="25"/>
  <c r="E188" i="25"/>
  <c r="E187" i="25"/>
  <c r="G187" i="25" s="1"/>
  <c r="E186" i="25"/>
  <c r="G186" i="25" s="1"/>
  <c r="E185" i="25"/>
  <c r="G185" i="25" s="1"/>
  <c r="E184" i="25"/>
  <c r="E183" i="25"/>
  <c r="G183" i="25" s="1"/>
  <c r="E182" i="25"/>
  <c r="G182" i="25" s="1"/>
  <c r="E181" i="25"/>
  <c r="G181" i="25" s="1"/>
  <c r="E180" i="25"/>
  <c r="E179" i="25"/>
  <c r="G179" i="25" s="1"/>
  <c r="E178" i="25"/>
  <c r="G178" i="25" s="1"/>
  <c r="E177" i="25"/>
  <c r="G177" i="25" s="1"/>
  <c r="E176" i="25"/>
  <c r="E175" i="25"/>
  <c r="G175" i="25" s="1"/>
  <c r="E174" i="25"/>
  <c r="G174" i="25" s="1"/>
  <c r="E173" i="25"/>
  <c r="E172" i="25"/>
  <c r="E171" i="25"/>
  <c r="G171" i="25" s="1"/>
  <c r="E170" i="25"/>
  <c r="G170" i="25" s="1"/>
  <c r="E169" i="25"/>
  <c r="E168" i="25"/>
  <c r="E167" i="25"/>
  <c r="G167" i="25" s="1"/>
  <c r="E166" i="25"/>
  <c r="G166" i="25" s="1"/>
  <c r="E165" i="25"/>
  <c r="E164" i="25"/>
  <c r="G164" i="25" s="1"/>
  <c r="E163" i="25"/>
  <c r="G163" i="25" s="1"/>
  <c r="E162" i="25"/>
  <c r="E161" i="25"/>
  <c r="G161" i="25" s="1"/>
  <c r="E160" i="25"/>
  <c r="E159" i="25"/>
  <c r="G159" i="25" s="1"/>
  <c r="E158" i="25"/>
  <c r="E157" i="25"/>
  <c r="G157" i="25" s="1"/>
  <c r="E156" i="25"/>
  <c r="G156" i="25" s="1"/>
  <c r="E155" i="25"/>
  <c r="E154" i="25"/>
  <c r="E153" i="25"/>
  <c r="E152" i="25"/>
  <c r="G152" i="25" s="1"/>
  <c r="E151" i="25"/>
  <c r="G151" i="25" s="1"/>
  <c r="E150" i="25"/>
  <c r="E149" i="25"/>
  <c r="E148" i="25"/>
  <c r="G148" i="25" s="1"/>
  <c r="E147" i="25"/>
  <c r="G147" i="25" s="1"/>
  <c r="E146" i="25"/>
  <c r="E145" i="25"/>
  <c r="E144" i="25"/>
  <c r="G144" i="25" s="1"/>
  <c r="E143" i="25"/>
  <c r="G143" i="25" s="1"/>
  <c r="E142" i="25"/>
  <c r="G142" i="25" s="1"/>
  <c r="E141" i="25"/>
  <c r="E140" i="25"/>
  <c r="G140" i="25" s="1"/>
  <c r="E139" i="25"/>
  <c r="G139" i="25" s="1"/>
  <c r="E138" i="25"/>
  <c r="G138" i="25" s="1"/>
  <c r="E137" i="25"/>
  <c r="E136" i="25"/>
  <c r="G136" i="25" s="1"/>
  <c r="E135" i="25"/>
  <c r="E134" i="25"/>
  <c r="G134" i="25" s="1"/>
  <c r="E133" i="25"/>
  <c r="E132" i="25"/>
  <c r="E131" i="25"/>
  <c r="G131" i="25" s="1"/>
  <c r="E130" i="25"/>
  <c r="G130" i="25" s="1"/>
  <c r="E129" i="25"/>
  <c r="E128" i="25"/>
  <c r="E127" i="25"/>
  <c r="G127" i="25" s="1"/>
  <c r="E126" i="25"/>
  <c r="G126" i="25" s="1"/>
  <c r="E125" i="25"/>
  <c r="E124" i="25"/>
  <c r="G124" i="25" s="1"/>
  <c r="E123" i="25"/>
  <c r="G123" i="25" s="1"/>
  <c r="E122" i="25"/>
  <c r="E121" i="25"/>
  <c r="E120" i="25"/>
  <c r="G120" i="25" s="1"/>
  <c r="E119" i="25"/>
  <c r="G119" i="25" s="1"/>
  <c r="E118" i="25"/>
  <c r="E117" i="25"/>
  <c r="E116" i="25"/>
  <c r="G116" i="25" s="1"/>
  <c r="E115" i="25"/>
  <c r="G115" i="25" s="1"/>
  <c r="E114" i="25"/>
  <c r="E113" i="25"/>
  <c r="E112" i="25"/>
  <c r="G112" i="25" s="1"/>
  <c r="E111" i="25"/>
  <c r="G111" i="25" s="1"/>
  <c r="E110" i="25"/>
  <c r="E109" i="25"/>
  <c r="E108" i="25"/>
  <c r="G108" i="25" s="1"/>
  <c r="E107" i="25"/>
  <c r="G107" i="25" s="1"/>
  <c r="E106" i="25"/>
  <c r="E105" i="25"/>
  <c r="E104" i="25"/>
  <c r="G104" i="25" s="1"/>
  <c r="E103" i="25"/>
  <c r="G103" i="25" s="1"/>
  <c r="E102" i="25"/>
  <c r="E101" i="25"/>
  <c r="E100" i="25"/>
  <c r="G100" i="25" s="1"/>
  <c r="E99" i="25"/>
  <c r="G99" i="25" s="1"/>
  <c r="E98" i="25"/>
  <c r="E97" i="25"/>
  <c r="E96" i="25"/>
  <c r="G96" i="25" s="1"/>
  <c r="E95" i="25"/>
  <c r="G95" i="25" s="1"/>
  <c r="E94" i="25"/>
  <c r="E93" i="25"/>
  <c r="E92" i="25"/>
  <c r="G92" i="25" s="1"/>
  <c r="E91" i="25"/>
  <c r="G91" i="25" s="1"/>
  <c r="E90" i="25"/>
  <c r="G90" i="25" s="1"/>
  <c r="E89" i="25"/>
  <c r="E88" i="25"/>
  <c r="G88" i="25" s="1"/>
  <c r="E87" i="25"/>
  <c r="G87" i="25" s="1"/>
  <c r="E86" i="25"/>
  <c r="G86" i="25" s="1"/>
  <c r="E85" i="25"/>
  <c r="G85" i="25" s="1"/>
  <c r="E84" i="25"/>
  <c r="E83" i="25"/>
  <c r="G83" i="25" s="1"/>
  <c r="E82" i="25"/>
  <c r="G82" i="25" s="1"/>
  <c r="E81" i="25"/>
  <c r="G81" i="25" s="1"/>
  <c r="E80" i="25"/>
  <c r="E79" i="25"/>
  <c r="G79" i="25" s="1"/>
  <c r="E78" i="25"/>
  <c r="G78" i="25" s="1"/>
  <c r="E77" i="25"/>
  <c r="E76" i="25"/>
  <c r="E75" i="25"/>
  <c r="G75" i="25" s="1"/>
  <c r="E74" i="25"/>
  <c r="G74" i="25" s="1"/>
  <c r="E73" i="25"/>
  <c r="G73" i="25" s="1"/>
  <c r="E72" i="25"/>
  <c r="E71" i="25"/>
  <c r="G71" i="25" s="1"/>
  <c r="E70" i="25"/>
  <c r="G70" i="25" s="1"/>
  <c r="E69" i="25"/>
  <c r="G69" i="25" s="1"/>
  <c r="E68" i="25"/>
  <c r="E67" i="25"/>
  <c r="G67" i="25" s="1"/>
  <c r="E66" i="25"/>
  <c r="G66" i="25" s="1"/>
  <c r="E65" i="25"/>
  <c r="E64" i="25"/>
  <c r="E63" i="25"/>
  <c r="G63" i="25" s="1"/>
  <c r="E62" i="25"/>
  <c r="G62" i="25" s="1"/>
  <c r="E61" i="25"/>
  <c r="E60" i="25"/>
  <c r="E59" i="25"/>
  <c r="G59" i="25" s="1"/>
  <c r="E58" i="25"/>
  <c r="G58" i="25" s="1"/>
  <c r="E57" i="25"/>
  <c r="E56" i="25"/>
  <c r="E55" i="25"/>
  <c r="G55" i="25" s="1"/>
  <c r="E54" i="25"/>
  <c r="G54" i="25" s="1"/>
  <c r="E53" i="25"/>
  <c r="E52" i="25"/>
  <c r="E51" i="25"/>
  <c r="G51" i="25" s="1"/>
  <c r="E50" i="25"/>
  <c r="G50" i="25" s="1"/>
  <c r="E49" i="25"/>
  <c r="G49" i="25" s="1"/>
  <c r="E48" i="25"/>
  <c r="G48" i="25" s="1"/>
  <c r="E47" i="25"/>
  <c r="E46" i="25"/>
  <c r="G46" i="25" s="1"/>
  <c r="E45" i="25"/>
  <c r="G45" i="25" s="1"/>
  <c r="E44" i="25"/>
  <c r="E43" i="25"/>
  <c r="E42" i="25"/>
  <c r="G42" i="25" s="1"/>
  <c r="E41" i="25"/>
  <c r="G41" i="25" s="1"/>
  <c r="E40" i="25"/>
  <c r="E39" i="25"/>
  <c r="E38" i="25"/>
  <c r="G38" i="25" s="1"/>
  <c r="E37" i="25"/>
  <c r="G37" i="25" s="1"/>
  <c r="E36" i="25"/>
  <c r="E35" i="25"/>
  <c r="E34" i="25"/>
  <c r="G34" i="25" s="1"/>
  <c r="E33" i="25"/>
  <c r="G33" i="25" s="1"/>
  <c r="E32" i="25"/>
  <c r="E31" i="25"/>
  <c r="E30" i="25"/>
  <c r="G30" i="25" s="1"/>
  <c r="E29" i="25"/>
  <c r="G29" i="25" s="1"/>
  <c r="E28" i="25"/>
  <c r="E27" i="25"/>
  <c r="G27" i="25" s="1"/>
  <c r="E26" i="25"/>
  <c r="G26" i="25" s="1"/>
  <c r="E25" i="25"/>
  <c r="G25" i="25" s="1"/>
  <c r="E24" i="25"/>
  <c r="E23" i="25"/>
  <c r="G23" i="25" s="1"/>
  <c r="E22" i="25"/>
  <c r="G22" i="25" s="1"/>
  <c r="E21" i="25"/>
  <c r="E20" i="25"/>
  <c r="E19" i="25"/>
  <c r="G19" i="25" s="1"/>
  <c r="E18" i="25"/>
  <c r="E17" i="25"/>
  <c r="E16" i="25"/>
  <c r="G16" i="25" s="1"/>
  <c r="E15" i="25"/>
  <c r="G15" i="25" s="1"/>
  <c r="E14" i="25"/>
  <c r="G14" i="25" s="1"/>
  <c r="E13" i="25"/>
  <c r="E12" i="25"/>
  <c r="G12" i="25" s="1"/>
  <c r="K551" i="24"/>
  <c r="K573" i="24"/>
  <c r="K572" i="24"/>
  <c r="K571" i="24"/>
  <c r="K570" i="24"/>
  <c r="K569" i="24"/>
  <c r="K568" i="24"/>
  <c r="K567" i="24"/>
  <c r="K566" i="24"/>
  <c r="K565" i="24"/>
  <c r="K564" i="24"/>
  <c r="K563" i="24"/>
  <c r="K562" i="24"/>
  <c r="K561" i="24"/>
  <c r="K560" i="24"/>
  <c r="K559" i="24"/>
  <c r="K558" i="24"/>
  <c r="K557" i="24"/>
  <c r="K556" i="24"/>
  <c r="K555" i="24"/>
  <c r="K554" i="24"/>
  <c r="K553" i="24"/>
  <c r="K552" i="24"/>
  <c r="K550" i="24"/>
  <c r="K549"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3" i="24"/>
  <c r="K512" i="24"/>
  <c r="K511" i="24"/>
  <c r="K510" i="24"/>
  <c r="K509" i="24"/>
  <c r="K508" i="24"/>
  <c r="K507" i="24"/>
  <c r="K506" i="24"/>
  <c r="K505" i="24"/>
  <c r="K504" i="24"/>
  <c r="K503" i="24"/>
  <c r="K502" i="24"/>
  <c r="K501" i="24"/>
  <c r="K500" i="24"/>
  <c r="K499" i="24"/>
  <c r="K498" i="24"/>
  <c r="K497" i="24"/>
  <c r="K496" i="24"/>
  <c r="K495" i="24"/>
  <c r="K494" i="24"/>
  <c r="K493" i="24"/>
  <c r="K492" i="24"/>
  <c r="K491" i="24"/>
  <c r="K490" i="24"/>
  <c r="K489" i="24"/>
  <c r="K488" i="24"/>
  <c r="K487" i="24"/>
  <c r="K486" i="24"/>
  <c r="K485" i="24"/>
  <c r="K484" i="24"/>
  <c r="K483" i="24"/>
  <c r="K482" i="24"/>
  <c r="K481" i="24"/>
  <c r="K480" i="24"/>
  <c r="K479" i="24"/>
  <c r="K478" i="24"/>
  <c r="K477" i="24"/>
  <c r="K476" i="24"/>
  <c r="K475" i="24"/>
  <c r="K474" i="24"/>
  <c r="K473" i="24"/>
  <c r="K472" i="24"/>
  <c r="K471" i="24"/>
  <c r="K470" i="24"/>
  <c r="K469" i="24"/>
  <c r="K468" i="24"/>
  <c r="K467" i="24"/>
  <c r="K466" i="24"/>
  <c r="K465" i="24"/>
  <c r="K464" i="24"/>
  <c r="K463" i="24"/>
  <c r="K462" i="24"/>
  <c r="K461" i="24"/>
  <c r="K460" i="24"/>
  <c r="K459" i="24"/>
  <c r="K458" i="24"/>
  <c r="K457" i="24"/>
  <c r="K456" i="24"/>
  <c r="K455" i="24"/>
  <c r="K454" i="24"/>
  <c r="K453" i="24"/>
  <c r="K452" i="24"/>
  <c r="K451" i="24"/>
  <c r="K450" i="24"/>
  <c r="K449" i="24"/>
  <c r="K448" i="24"/>
  <c r="K447" i="24"/>
  <c r="K446" i="24"/>
  <c r="K445" i="24"/>
  <c r="K444" i="24"/>
  <c r="K443" i="24"/>
  <c r="K442" i="24"/>
  <c r="K441" i="24"/>
  <c r="K440" i="24"/>
  <c r="K439" i="24"/>
  <c r="K438" i="24"/>
  <c r="K437" i="24"/>
  <c r="K436" i="24"/>
  <c r="K435" i="24"/>
  <c r="K434" i="24"/>
  <c r="K433" i="24"/>
  <c r="K432" i="24"/>
  <c r="K431" i="24"/>
  <c r="K430" i="24"/>
  <c r="K429" i="24"/>
  <c r="K428" i="24"/>
  <c r="K427" i="24"/>
  <c r="K426" i="24"/>
  <c r="K425" i="24"/>
  <c r="K424" i="24"/>
  <c r="K423" i="24"/>
  <c r="K422" i="24"/>
  <c r="K421" i="24"/>
  <c r="K420" i="24"/>
  <c r="K419" i="24"/>
  <c r="K418"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3" i="24"/>
  <c r="K392" i="24"/>
  <c r="K391" i="24"/>
  <c r="K390" i="24"/>
  <c r="K389" i="24"/>
  <c r="K388" i="24"/>
  <c r="K387" i="24"/>
  <c r="K386" i="24"/>
  <c r="E373" i="23" s="1"/>
  <c r="G373" i="23" s="1"/>
  <c r="K385" i="24"/>
  <c r="E372" i="23" s="1"/>
  <c r="G372" i="23" s="1"/>
  <c r="K384" i="24"/>
  <c r="E371" i="23" s="1"/>
  <c r="G371" i="23" s="1"/>
  <c r="K383" i="24"/>
  <c r="K382" i="24"/>
  <c r="K381" i="24"/>
  <c r="K380" i="24"/>
  <c r="K379" i="24"/>
  <c r="K378" i="24"/>
  <c r="K377" i="24"/>
  <c r="E369" i="23" s="1"/>
  <c r="G369" i="23" s="1"/>
  <c r="K376" i="24"/>
  <c r="E368" i="23" s="1"/>
  <c r="G368" i="23" s="1"/>
  <c r="K375" i="24"/>
  <c r="K374" i="24"/>
  <c r="E366" i="23" s="1"/>
  <c r="G366" i="23" s="1"/>
  <c r="K373" i="24"/>
  <c r="E365" i="23" s="1"/>
  <c r="G365" i="23" s="1"/>
  <c r="K372" i="24"/>
  <c r="E364" i="23" s="1"/>
  <c r="G364" i="23" s="1"/>
  <c r="K371" i="24"/>
  <c r="E363" i="23" s="1"/>
  <c r="G363" i="23" s="1"/>
  <c r="K370" i="24"/>
  <c r="E362" i="23" s="1"/>
  <c r="G362" i="23" s="1"/>
  <c r="K369" i="24"/>
  <c r="E361" i="23" s="1"/>
  <c r="G361" i="23" s="1"/>
  <c r="K368" i="24"/>
  <c r="E360" i="23" s="1"/>
  <c r="G360" i="23" s="1"/>
  <c r="K367" i="24"/>
  <c r="K366" i="24"/>
  <c r="K365" i="24"/>
  <c r="E357" i="23" s="1"/>
  <c r="G357" i="23" s="1"/>
  <c r="K364" i="24"/>
  <c r="E356" i="23" s="1"/>
  <c r="G356" i="23" s="1"/>
  <c r="K363" i="24"/>
  <c r="E355" i="23" s="1"/>
  <c r="G355" i="23" s="1"/>
  <c r="K362" i="24"/>
  <c r="K361" i="24"/>
  <c r="E353" i="23" s="1"/>
  <c r="G353" i="23" s="1"/>
  <c r="K360" i="24"/>
  <c r="E352" i="23" s="1"/>
  <c r="G352" i="23" s="1"/>
  <c r="K359" i="24"/>
  <c r="E359" i="26" s="1"/>
  <c r="G359" i="26" s="1"/>
  <c r="K358" i="24"/>
  <c r="E350" i="23" s="1"/>
  <c r="G350" i="23" s="1"/>
  <c r="K357" i="24"/>
  <c r="E349" i="23" s="1"/>
  <c r="G349" i="23" s="1"/>
  <c r="K356" i="24"/>
  <c r="E348" i="23" s="1"/>
  <c r="G348" i="23" s="1"/>
  <c r="K355" i="24"/>
  <c r="K354" i="24"/>
  <c r="E346" i="23" s="1"/>
  <c r="G346" i="23" s="1"/>
  <c r="K353" i="24"/>
  <c r="E345" i="23" s="1"/>
  <c r="G345" i="23" s="1"/>
  <c r="K352" i="24"/>
  <c r="E344" i="23" s="1"/>
  <c r="G344" i="23" s="1"/>
  <c r="K351" i="24"/>
  <c r="K350" i="24"/>
  <c r="K349" i="24"/>
  <c r="E341" i="23" s="1"/>
  <c r="G341" i="23" s="1"/>
  <c r="K348" i="24"/>
  <c r="E340" i="23" s="1"/>
  <c r="G340" i="23" s="1"/>
  <c r="K347" i="24"/>
  <c r="K346" i="24"/>
  <c r="K345" i="24"/>
  <c r="E337" i="23" s="1"/>
  <c r="G337" i="23" s="1"/>
  <c r="K344" i="24"/>
  <c r="E336" i="23" s="1"/>
  <c r="G336" i="23" s="1"/>
  <c r="K343" i="24"/>
  <c r="E335" i="23" s="1"/>
  <c r="G335" i="23" s="1"/>
  <c r="K342" i="24"/>
  <c r="E334" i="23" s="1"/>
  <c r="G334" i="23" s="1"/>
  <c r="K341" i="24"/>
  <c r="E333" i="23" s="1"/>
  <c r="G333" i="23" s="1"/>
  <c r="K340" i="24"/>
  <c r="E332" i="23" s="1"/>
  <c r="G332" i="23" s="1"/>
  <c r="K339" i="24"/>
  <c r="E331" i="23" s="1"/>
  <c r="G331" i="23" s="1"/>
  <c r="K338" i="24"/>
  <c r="E330" i="23" s="1"/>
  <c r="G330" i="23" s="1"/>
  <c r="K337" i="24"/>
  <c r="E329" i="23" s="1"/>
  <c r="G329" i="23" s="1"/>
  <c r="K336" i="24"/>
  <c r="E328" i="23" s="1"/>
  <c r="G328" i="23" s="1"/>
  <c r="K335" i="24"/>
  <c r="E327" i="23" s="1"/>
  <c r="G327" i="23" s="1"/>
  <c r="K334" i="24"/>
  <c r="K333" i="24"/>
  <c r="E325" i="23" s="1"/>
  <c r="G325" i="23" s="1"/>
  <c r="K332" i="24"/>
  <c r="E324" i="23" s="1"/>
  <c r="G324" i="23" s="1"/>
  <c r="K331" i="24"/>
  <c r="K330" i="24"/>
  <c r="K329" i="24"/>
  <c r="E321" i="23" s="1"/>
  <c r="G321" i="23" s="1"/>
  <c r="K328" i="24"/>
  <c r="E320" i="23" s="1"/>
  <c r="G320" i="23" s="1"/>
  <c r="K327" i="24"/>
  <c r="E319" i="23" s="1"/>
  <c r="G319" i="23" s="1"/>
  <c r="K326" i="24"/>
  <c r="E318" i="23" s="1"/>
  <c r="G318" i="23" s="1"/>
  <c r="K325" i="24"/>
  <c r="E317" i="23" s="1"/>
  <c r="G317" i="23" s="1"/>
  <c r="K324" i="24"/>
  <c r="E316" i="23" s="1"/>
  <c r="G316" i="23" s="1"/>
  <c r="K323" i="24"/>
  <c r="E315" i="23" s="1"/>
  <c r="G315" i="23" s="1"/>
  <c r="K322" i="24"/>
  <c r="E314" i="23" s="1"/>
  <c r="G314" i="23" s="1"/>
  <c r="K321" i="24"/>
  <c r="E313" i="23" s="1"/>
  <c r="G313" i="23" s="1"/>
  <c r="K320" i="24"/>
  <c r="E312" i="23" s="1"/>
  <c r="G312" i="23" s="1"/>
  <c r="K319" i="24"/>
  <c r="E310" i="23" s="1"/>
  <c r="G310" i="23" s="1"/>
  <c r="K318" i="24"/>
  <c r="K317" i="24"/>
  <c r="E308" i="23" s="1"/>
  <c r="G308" i="23" s="1"/>
  <c r="K316" i="24"/>
  <c r="E307" i="23" s="1"/>
  <c r="G307" i="23" s="1"/>
  <c r="K315" i="24"/>
  <c r="E306" i="23" s="1"/>
  <c r="G306" i="23" s="1"/>
  <c r="K314" i="24"/>
  <c r="K313" i="24"/>
  <c r="E304" i="23" s="1"/>
  <c r="G304" i="23" s="1"/>
  <c r="K312" i="24"/>
  <c r="E303" i="23" s="1"/>
  <c r="G303" i="23" s="1"/>
  <c r="K311" i="24"/>
  <c r="K310" i="24"/>
  <c r="E301" i="23" s="1"/>
  <c r="G301" i="23" s="1"/>
  <c r="K309" i="24"/>
  <c r="E300" i="23" s="1"/>
  <c r="G300" i="23" s="1"/>
  <c r="K308" i="24"/>
  <c r="E299" i="23" s="1"/>
  <c r="G299" i="23" s="1"/>
  <c r="K307" i="24"/>
  <c r="K306" i="24"/>
  <c r="K305" i="24"/>
  <c r="E296" i="23" s="1"/>
  <c r="G296" i="23" s="1"/>
  <c r="K304" i="24"/>
  <c r="E295" i="23" s="1"/>
  <c r="G295" i="23" s="1"/>
  <c r="K303" i="24"/>
  <c r="E294" i="23" s="1"/>
  <c r="G294" i="23" s="1"/>
  <c r="K302" i="24"/>
  <c r="K301" i="24"/>
  <c r="E292" i="23" s="1"/>
  <c r="G292" i="23" s="1"/>
  <c r="K300" i="24"/>
  <c r="E291" i="23" s="1"/>
  <c r="G291" i="23" s="1"/>
  <c r="K299" i="24"/>
  <c r="K298" i="24"/>
  <c r="K297" i="24"/>
  <c r="E288" i="23" s="1"/>
  <c r="G288" i="23" s="1"/>
  <c r="K296" i="24"/>
  <c r="E287" i="23" s="1"/>
  <c r="G287" i="23" s="1"/>
  <c r="K295" i="24"/>
  <c r="K294" i="24"/>
  <c r="E285" i="23" s="1"/>
  <c r="G285" i="23" s="1"/>
  <c r="K293" i="24"/>
  <c r="E284" i="23" s="1"/>
  <c r="G284" i="23" s="1"/>
  <c r="K292" i="24"/>
  <c r="E283" i="23" s="1"/>
  <c r="G283" i="23" s="1"/>
  <c r="K291" i="24"/>
  <c r="K290" i="24"/>
  <c r="K289" i="24"/>
  <c r="E280" i="23" s="1"/>
  <c r="G280" i="23" s="1"/>
  <c r="K288" i="24"/>
  <c r="E279" i="23" s="1"/>
  <c r="G279" i="23" s="1"/>
  <c r="K287" i="24"/>
  <c r="E278" i="23" s="1"/>
  <c r="G278" i="23" s="1"/>
  <c r="K286" i="24"/>
  <c r="K285" i="24"/>
  <c r="E276" i="23" s="1"/>
  <c r="G276" i="23" s="1"/>
  <c r="K284" i="24"/>
  <c r="E275" i="23" s="1"/>
  <c r="G275" i="23" s="1"/>
  <c r="K283" i="24"/>
  <c r="E274" i="23" s="1"/>
  <c r="G274" i="23" s="1"/>
  <c r="K282" i="24"/>
  <c r="K281" i="24"/>
  <c r="E272" i="23" s="1"/>
  <c r="G272" i="23" s="1"/>
  <c r="K280" i="24"/>
  <c r="E270" i="23" s="1"/>
  <c r="G270" i="23" s="1"/>
  <c r="K279" i="24"/>
  <c r="K278" i="24"/>
  <c r="K277" i="24"/>
  <c r="E267" i="23" s="1"/>
  <c r="G267" i="23" s="1"/>
  <c r="K276" i="24"/>
  <c r="E266" i="23" s="1"/>
  <c r="G266" i="23" s="1"/>
  <c r="K275" i="24"/>
  <c r="E265" i="23" s="1"/>
  <c r="G265" i="23" s="1"/>
  <c r="K274" i="24"/>
  <c r="K273" i="24"/>
  <c r="E262" i="23" s="1"/>
  <c r="G262" i="23" s="1"/>
  <c r="K272" i="24"/>
  <c r="E261" i="23" s="1"/>
  <c r="G261" i="23" s="1"/>
  <c r="K271" i="24"/>
  <c r="E260" i="23" s="1"/>
  <c r="G260" i="23" s="1"/>
  <c r="K270" i="24"/>
  <c r="E259" i="23" s="1"/>
  <c r="G259" i="23" s="1"/>
  <c r="K269" i="24"/>
  <c r="E258" i="23" s="1"/>
  <c r="G258" i="23" s="1"/>
  <c r="K268" i="24"/>
  <c r="E257" i="23" s="1"/>
  <c r="G257" i="23" s="1"/>
  <c r="K267" i="24"/>
  <c r="E256" i="23" s="1"/>
  <c r="G256" i="23" s="1"/>
  <c r="K266" i="24"/>
  <c r="K265" i="24"/>
  <c r="E254" i="23" s="1"/>
  <c r="G254" i="23" s="1"/>
  <c r="K264" i="24"/>
  <c r="E253" i="23" s="1"/>
  <c r="G253" i="23" s="1"/>
  <c r="K263" i="24"/>
  <c r="E252" i="23" s="1"/>
  <c r="G252" i="23" s="1"/>
  <c r="K262" i="24"/>
  <c r="K261" i="24"/>
  <c r="E250" i="23" s="1"/>
  <c r="G250" i="23" s="1"/>
  <c r="K260" i="24"/>
  <c r="E249" i="23" s="1"/>
  <c r="G249" i="23" s="1"/>
  <c r="K259" i="24"/>
  <c r="K258" i="24"/>
  <c r="E247" i="23" s="1"/>
  <c r="G247" i="23" s="1"/>
  <c r="K257" i="24"/>
  <c r="E246" i="23" s="1"/>
  <c r="G246" i="23" s="1"/>
  <c r="K256" i="24"/>
  <c r="E245" i="23" s="1"/>
  <c r="G245" i="23" s="1"/>
  <c r="K255" i="24"/>
  <c r="K254" i="24"/>
  <c r="E243" i="23" s="1"/>
  <c r="G243" i="23" s="1"/>
  <c r="K253" i="24"/>
  <c r="E242" i="23" s="1"/>
  <c r="G242" i="23" s="1"/>
  <c r="K252" i="24"/>
  <c r="E241" i="23" s="1"/>
  <c r="G241" i="23" s="1"/>
  <c r="K251" i="24"/>
  <c r="E240" i="23" s="1"/>
  <c r="G240" i="23" s="1"/>
  <c r="K250" i="24"/>
  <c r="K249" i="24"/>
  <c r="E238" i="23" s="1"/>
  <c r="G238" i="23" s="1"/>
  <c r="K248" i="24"/>
  <c r="E237" i="23" s="1"/>
  <c r="G237" i="23" s="1"/>
  <c r="K247" i="24"/>
  <c r="E236" i="23" s="1"/>
  <c r="G236" i="23" s="1"/>
  <c r="K246" i="24"/>
  <c r="K245" i="24"/>
  <c r="E234" i="23" s="1"/>
  <c r="G234" i="23" s="1"/>
  <c r="K244" i="24"/>
  <c r="E233" i="23" s="1"/>
  <c r="G233" i="23" s="1"/>
  <c r="K243" i="24"/>
  <c r="K242" i="24"/>
  <c r="E231" i="23" s="1"/>
  <c r="G231" i="23" s="1"/>
  <c r="K241" i="24"/>
  <c r="E230" i="23" s="1"/>
  <c r="G230" i="23" s="1"/>
  <c r="K240" i="24"/>
  <c r="E229" i="23" s="1"/>
  <c r="G229" i="23" s="1"/>
  <c r="K239" i="24"/>
  <c r="K238" i="24"/>
  <c r="E226" i="23" s="1"/>
  <c r="G226" i="23" s="1"/>
  <c r="K237" i="24"/>
  <c r="E225" i="23" s="1"/>
  <c r="G225" i="23" s="1"/>
  <c r="K236" i="24"/>
  <c r="E223" i="23" s="1"/>
  <c r="G223" i="23" s="1"/>
  <c r="K235" i="24"/>
  <c r="E222" i="23" s="1"/>
  <c r="G222" i="23" s="1"/>
  <c r="K234" i="24"/>
  <c r="E231" i="26" s="1"/>
  <c r="G231" i="26" s="1"/>
  <c r="K233" i="24"/>
  <c r="E230" i="26" s="1"/>
  <c r="G230" i="26" s="1"/>
  <c r="K232" i="24"/>
  <c r="E229" i="26" s="1"/>
  <c r="G229" i="26" s="1"/>
  <c r="K231" i="24"/>
  <c r="E228" i="26" s="1"/>
  <c r="G228" i="26" s="1"/>
  <c r="K230" i="24"/>
  <c r="K229" i="24"/>
  <c r="E220" i="23" s="1"/>
  <c r="G220" i="23" s="1"/>
  <c r="K228" i="24"/>
  <c r="E219" i="23" s="1"/>
  <c r="G219" i="23" s="1"/>
  <c r="K227" i="24"/>
  <c r="E218" i="23" s="1"/>
  <c r="G218" i="23" s="1"/>
  <c r="K226" i="24"/>
  <c r="K225" i="24"/>
  <c r="E216" i="23" s="1"/>
  <c r="G216" i="23" s="1"/>
  <c r="K224" i="24"/>
  <c r="E215" i="23" s="1"/>
  <c r="G215" i="23" s="1"/>
  <c r="K223" i="24"/>
  <c r="E214" i="23" s="1"/>
  <c r="G214" i="23" s="1"/>
  <c r="K222" i="24"/>
  <c r="K221" i="24"/>
  <c r="E212" i="23" s="1"/>
  <c r="G212" i="23" s="1"/>
  <c r="K220" i="24"/>
  <c r="E211" i="23" s="1"/>
  <c r="G211" i="23" s="1"/>
  <c r="K219" i="24"/>
  <c r="K218" i="24"/>
  <c r="E209" i="23" s="1"/>
  <c r="G209" i="23" s="1"/>
  <c r="K217" i="24"/>
  <c r="E208" i="23" s="1"/>
  <c r="G208" i="23" s="1"/>
  <c r="K216" i="24"/>
  <c r="E207" i="23" s="1"/>
  <c r="G207" i="23" s="1"/>
  <c r="K215" i="24"/>
  <c r="K214" i="24"/>
  <c r="E206" i="23" s="1"/>
  <c r="G206" i="23" s="1"/>
  <c r="K213" i="24"/>
  <c r="E205" i="23" s="1"/>
  <c r="G205" i="23" s="1"/>
  <c r="K212" i="24"/>
  <c r="E204" i="23" s="1"/>
  <c r="G204" i="23" s="1"/>
  <c r="K211" i="24"/>
  <c r="K210" i="24"/>
  <c r="K209" i="24"/>
  <c r="E202" i="23" s="1"/>
  <c r="G202" i="23" s="1"/>
  <c r="K208" i="24"/>
  <c r="E201" i="23" s="1"/>
  <c r="G201" i="23" s="1"/>
  <c r="K207" i="24"/>
  <c r="E200" i="23" s="1"/>
  <c r="G200" i="23" s="1"/>
  <c r="K206" i="24"/>
  <c r="K205" i="24"/>
  <c r="E198" i="23" s="1"/>
  <c r="G198" i="23" s="1"/>
  <c r="K204" i="24"/>
  <c r="E202" i="26" s="1"/>
  <c r="G202" i="26" s="1"/>
  <c r="K203" i="24"/>
  <c r="E197" i="23" s="1"/>
  <c r="G197" i="23" s="1"/>
  <c r="K202" i="24"/>
  <c r="K201" i="24"/>
  <c r="E195" i="23" s="1"/>
  <c r="G195" i="23" s="1"/>
  <c r="K200" i="24"/>
  <c r="E194" i="23" s="1"/>
  <c r="G194" i="23" s="1"/>
  <c r="K199" i="24"/>
  <c r="E193" i="23" s="1"/>
  <c r="G193" i="23" s="1"/>
  <c r="K198" i="24"/>
  <c r="K197" i="24"/>
  <c r="E191" i="23" s="1"/>
  <c r="G191" i="23" s="1"/>
  <c r="K196" i="24"/>
  <c r="E190" i="23" s="1"/>
  <c r="G190" i="23" s="1"/>
  <c r="K195" i="24"/>
  <c r="K194" i="24"/>
  <c r="E188" i="23" s="1"/>
  <c r="G188" i="23" s="1"/>
  <c r="K193" i="24"/>
  <c r="E187" i="23" s="1"/>
  <c r="G187" i="23" s="1"/>
  <c r="K192" i="24"/>
  <c r="E186" i="23" s="1"/>
  <c r="G186" i="23" s="1"/>
  <c r="K191" i="24"/>
  <c r="E185" i="23" s="1"/>
  <c r="G185" i="23" s="1"/>
  <c r="K190" i="24"/>
  <c r="K189" i="24"/>
  <c r="E183" i="23" s="1"/>
  <c r="G183" i="23" s="1"/>
  <c r="K188" i="24"/>
  <c r="E182" i="23" s="1"/>
  <c r="G182" i="23" s="1"/>
  <c r="K187" i="24"/>
  <c r="E181" i="23" s="1"/>
  <c r="G181" i="23" s="1"/>
  <c r="K186" i="24"/>
  <c r="E180" i="23" s="1"/>
  <c r="G180" i="23" s="1"/>
  <c r="K185" i="24"/>
  <c r="E179" i="23" s="1"/>
  <c r="G179" i="23" s="1"/>
  <c r="K184" i="24"/>
  <c r="E178" i="23" s="1"/>
  <c r="G178" i="23" s="1"/>
  <c r="K183" i="24"/>
  <c r="E177" i="23" s="1"/>
  <c r="G177" i="23" s="1"/>
  <c r="K182" i="24"/>
  <c r="K181" i="24"/>
  <c r="E174" i="23" s="1"/>
  <c r="G174" i="23" s="1"/>
  <c r="K180" i="24"/>
  <c r="E173" i="23" s="1"/>
  <c r="G173" i="23" s="1"/>
  <c r="K179" i="24"/>
  <c r="K178" i="24"/>
  <c r="E171" i="23" s="1"/>
  <c r="G171" i="23" s="1"/>
  <c r="K177" i="24"/>
  <c r="E170" i="23" s="1"/>
  <c r="G170" i="23" s="1"/>
  <c r="K176" i="24"/>
  <c r="E169" i="23" s="1"/>
  <c r="G169" i="23" s="1"/>
  <c r="K175" i="24"/>
  <c r="K174" i="24"/>
  <c r="K173" i="24"/>
  <c r="E166" i="23" s="1"/>
  <c r="G166" i="23" s="1"/>
  <c r="K172" i="24"/>
  <c r="E165" i="23" s="1"/>
  <c r="G165" i="23" s="1"/>
  <c r="K171" i="24"/>
  <c r="K170" i="24"/>
  <c r="E168" i="26" s="1"/>
  <c r="G168" i="26" s="1"/>
  <c r="K169" i="24"/>
  <c r="E163" i="23" s="1"/>
  <c r="G163" i="23" s="1"/>
  <c r="K168" i="24"/>
  <c r="E162" i="23" s="1"/>
  <c r="G162" i="23" s="1"/>
  <c r="K167" i="24"/>
  <c r="E165" i="26" s="1"/>
  <c r="G165" i="26" s="1"/>
  <c r="K166" i="24"/>
  <c r="K165" i="24"/>
  <c r="E160" i="23" s="1"/>
  <c r="G160" i="23" s="1"/>
  <c r="K164" i="24"/>
  <c r="E162" i="26" s="1"/>
  <c r="G162" i="26" s="1"/>
  <c r="K163" i="24"/>
  <c r="E159" i="23" s="1"/>
  <c r="G159" i="23" s="1"/>
  <c r="K162" i="24"/>
  <c r="K161" i="24"/>
  <c r="E156" i="23" s="1"/>
  <c r="G156" i="23" s="1"/>
  <c r="K160" i="24"/>
  <c r="E155" i="23" s="1"/>
  <c r="G155" i="23" s="1"/>
  <c r="K159" i="24"/>
  <c r="K158" i="24"/>
  <c r="E153" i="23" s="1"/>
  <c r="G153" i="23" s="1"/>
  <c r="K157" i="24"/>
  <c r="E153" i="26" s="1"/>
  <c r="G153" i="26" s="1"/>
  <c r="K156" i="24"/>
  <c r="E151" i="23" s="1"/>
  <c r="G151" i="23" s="1"/>
  <c r="K155" i="24"/>
  <c r="K154" i="24"/>
  <c r="K153" i="24"/>
  <c r="E148" i="23" s="1"/>
  <c r="G148" i="23" s="1"/>
  <c r="K152" i="24"/>
  <c r="E147" i="23" s="1"/>
  <c r="G147" i="23" s="1"/>
  <c r="K151" i="24"/>
  <c r="E146" i="23" s="1"/>
  <c r="G146" i="23" s="1"/>
  <c r="K150" i="24"/>
  <c r="K149" i="24"/>
  <c r="E144" i="23" s="1"/>
  <c r="G144" i="23" s="1"/>
  <c r="K148" i="24"/>
  <c r="E143" i="23" s="1"/>
  <c r="G143" i="23" s="1"/>
  <c r="K147" i="24"/>
  <c r="E142" i="23" s="1"/>
  <c r="G142" i="23" s="1"/>
  <c r="K146" i="24"/>
  <c r="K145" i="24"/>
  <c r="E140" i="23" s="1"/>
  <c r="G140" i="23" s="1"/>
  <c r="K144" i="24"/>
  <c r="E138" i="23" s="1"/>
  <c r="G138" i="23" s="1"/>
  <c r="K143" i="24"/>
  <c r="E136" i="23" s="1"/>
  <c r="G136" i="23" s="1"/>
  <c r="K142" i="24"/>
  <c r="K141" i="24"/>
  <c r="K140" i="24"/>
  <c r="E134" i="23" s="1"/>
  <c r="G134" i="23" s="1"/>
  <c r="K139" i="24"/>
  <c r="E133" i="23" s="1"/>
  <c r="G133" i="23" s="1"/>
  <c r="K138" i="24"/>
  <c r="K137" i="24"/>
  <c r="E131" i="23" s="1"/>
  <c r="G131" i="23" s="1"/>
  <c r="K136" i="24"/>
  <c r="E130" i="23" s="1"/>
  <c r="G130" i="23" s="1"/>
  <c r="K135" i="24"/>
  <c r="K134" i="24"/>
  <c r="E128" i="23" s="1"/>
  <c r="G128" i="23" s="1"/>
  <c r="K133" i="24"/>
  <c r="E127" i="23" s="1"/>
  <c r="G127" i="23" s="1"/>
  <c r="K132" i="24"/>
  <c r="K131" i="24"/>
  <c r="E126" i="23" s="1"/>
  <c r="G126" i="23" s="1"/>
  <c r="K130" i="24"/>
  <c r="K129" i="24"/>
  <c r="E124" i="23" s="1"/>
  <c r="G124" i="23" s="1"/>
  <c r="K128" i="24"/>
  <c r="E123" i="23" s="1"/>
  <c r="G123" i="23" s="1"/>
  <c r="K127" i="24"/>
  <c r="E122" i="23" s="1"/>
  <c r="G122" i="23" s="1"/>
  <c r="K126" i="24"/>
  <c r="K125" i="24"/>
  <c r="E120" i="23" s="1"/>
  <c r="G120" i="23" s="1"/>
  <c r="K124" i="24"/>
  <c r="E119" i="23" s="1"/>
  <c r="G119" i="23" s="1"/>
  <c r="K123" i="24"/>
  <c r="K122" i="24"/>
  <c r="K121" i="24"/>
  <c r="E116" i="23" s="1"/>
  <c r="G116" i="23" s="1"/>
  <c r="K120" i="24"/>
  <c r="E115" i="23" s="1"/>
  <c r="G115" i="23" s="1"/>
  <c r="K119" i="24"/>
  <c r="K118" i="24"/>
  <c r="K117" i="24"/>
  <c r="K116" i="24"/>
  <c r="E111" i="23" s="1"/>
  <c r="G111" i="23" s="1"/>
  <c r="K115" i="24"/>
  <c r="K114" i="24"/>
  <c r="K113" i="24"/>
  <c r="E108" i="23" s="1"/>
  <c r="G108" i="23" s="1"/>
  <c r="K112" i="24"/>
  <c r="E107" i="23" s="1"/>
  <c r="G107" i="23" s="1"/>
  <c r="K111" i="24"/>
  <c r="E106" i="23" s="1"/>
  <c r="G106" i="23" s="1"/>
  <c r="K110" i="24"/>
  <c r="K109" i="24"/>
  <c r="E104" i="23" s="1"/>
  <c r="G104" i="23" s="1"/>
  <c r="K108" i="24"/>
  <c r="E103" i="23" s="1"/>
  <c r="G103" i="23" s="1"/>
  <c r="K107" i="24"/>
  <c r="K106" i="24"/>
  <c r="E101" i="23" s="1"/>
  <c r="G101" i="23" s="1"/>
  <c r="K105" i="24"/>
  <c r="E100" i="23" s="1"/>
  <c r="G100" i="23" s="1"/>
  <c r="K104" i="24"/>
  <c r="E99" i="23" s="1"/>
  <c r="G99" i="23" s="1"/>
  <c r="K103" i="24"/>
  <c r="E98" i="23" s="1"/>
  <c r="G98" i="23" s="1"/>
  <c r="K102" i="24"/>
  <c r="K101" i="24"/>
  <c r="E96" i="23" s="1"/>
  <c r="G96" i="23" s="1"/>
  <c r="K100" i="24"/>
  <c r="E95" i="23" s="1"/>
  <c r="G95" i="23" s="1"/>
  <c r="K99" i="24"/>
  <c r="E94" i="23" s="1"/>
  <c r="G94" i="23" s="1"/>
  <c r="K98" i="24"/>
  <c r="E93" i="23" s="1"/>
  <c r="G93" i="23" s="1"/>
  <c r="K97" i="24"/>
  <c r="E92" i="23" s="1"/>
  <c r="G92" i="23" s="1"/>
  <c r="K96" i="24"/>
  <c r="E91" i="23" s="1"/>
  <c r="G91" i="23" s="1"/>
  <c r="K95" i="24"/>
  <c r="E90" i="23" s="1"/>
  <c r="G90" i="23" s="1"/>
  <c r="K94" i="24"/>
  <c r="E89" i="23" s="1"/>
  <c r="G89" i="23" s="1"/>
  <c r="K93" i="24"/>
  <c r="E87" i="23" s="1"/>
  <c r="G87" i="23" s="1"/>
  <c r="K92" i="24"/>
  <c r="E86" i="23" s="1"/>
  <c r="G86" i="23" s="1"/>
  <c r="K91" i="24"/>
  <c r="E85" i="23" s="1"/>
  <c r="G85" i="23" s="1"/>
  <c r="K90" i="24"/>
  <c r="E84" i="23" s="1"/>
  <c r="G84" i="23" s="1"/>
  <c r="K89" i="24"/>
  <c r="E83" i="23" s="1"/>
  <c r="G83" i="23" s="1"/>
  <c r="K88" i="24"/>
  <c r="E82" i="23" s="1"/>
  <c r="G82" i="23" s="1"/>
  <c r="K87" i="24"/>
  <c r="E81" i="23" s="1"/>
  <c r="G81" i="23" s="1"/>
  <c r="K86" i="24"/>
  <c r="K85" i="24"/>
  <c r="E79" i="23" s="1"/>
  <c r="G79" i="23" s="1"/>
  <c r="K84" i="24"/>
  <c r="E78" i="23" s="1"/>
  <c r="G78" i="23" s="1"/>
  <c r="K83" i="24"/>
  <c r="E77" i="23" s="1"/>
  <c r="G77" i="23" s="1"/>
  <c r="K82" i="24"/>
  <c r="E76" i="23" s="1"/>
  <c r="G76" i="23" s="1"/>
  <c r="K81" i="24"/>
  <c r="E75" i="23" s="1"/>
  <c r="G75" i="23" s="1"/>
  <c r="K80" i="24"/>
  <c r="E74" i="23" s="1"/>
  <c r="G74" i="23" s="1"/>
  <c r="K79" i="24"/>
  <c r="E73" i="23" s="1"/>
  <c r="G73" i="23" s="1"/>
  <c r="K78" i="24"/>
  <c r="K77" i="24"/>
  <c r="E71" i="23" s="1"/>
  <c r="G71" i="23" s="1"/>
  <c r="K76" i="24"/>
  <c r="E70" i="23" s="1"/>
  <c r="G70" i="23" s="1"/>
  <c r="K75" i="24"/>
  <c r="E69" i="23" s="1"/>
  <c r="G69" i="23" s="1"/>
  <c r="K74" i="24"/>
  <c r="K73" i="24"/>
  <c r="E67" i="23" s="1"/>
  <c r="G67" i="23" s="1"/>
  <c r="K72" i="24"/>
  <c r="E66" i="23" s="1"/>
  <c r="G66" i="23" s="1"/>
  <c r="K71" i="24"/>
  <c r="K70" i="24"/>
  <c r="K69" i="24"/>
  <c r="E63" i="23" s="1"/>
  <c r="G63" i="23" s="1"/>
  <c r="K66" i="24"/>
  <c r="E62" i="23" s="1"/>
  <c r="G62" i="23" s="1"/>
  <c r="K65" i="24"/>
  <c r="E61" i="23" s="1"/>
  <c r="G61" i="23" s="1"/>
  <c r="K64" i="24"/>
  <c r="K63" i="24"/>
  <c r="E59" i="23" s="1"/>
  <c r="G59" i="23" s="1"/>
  <c r="K62" i="24"/>
  <c r="E58" i="23" s="1"/>
  <c r="G58" i="23" s="1"/>
  <c r="K61" i="24"/>
  <c r="E57" i="23" s="1"/>
  <c r="G57" i="23" s="1"/>
  <c r="K60" i="24"/>
  <c r="K59" i="24"/>
  <c r="E55" i="23" s="1"/>
  <c r="G55" i="23" s="1"/>
  <c r="K58" i="24"/>
  <c r="E54" i="23" s="1"/>
  <c r="G54" i="23" s="1"/>
  <c r="K57" i="24"/>
  <c r="K56" i="24"/>
  <c r="K55" i="24"/>
  <c r="E51" i="23" s="1"/>
  <c r="G51" i="23" s="1"/>
  <c r="K54" i="24"/>
  <c r="E50" i="23" s="1"/>
  <c r="G50" i="23" s="1"/>
  <c r="K53" i="24"/>
  <c r="E49" i="23" s="1"/>
  <c r="G49" i="23" s="1"/>
  <c r="K52" i="24"/>
  <c r="K51" i="24"/>
  <c r="K50" i="24"/>
  <c r="E48" i="23" s="1"/>
  <c r="G48" i="23" s="1"/>
  <c r="K49" i="24"/>
  <c r="E47" i="23" s="1"/>
  <c r="G47" i="23" s="1"/>
  <c r="K48" i="24"/>
  <c r="E48" i="26" s="1"/>
  <c r="G48" i="26" s="1"/>
  <c r="K47" i="24"/>
  <c r="E46" i="23" s="1"/>
  <c r="G46" i="23" s="1"/>
  <c r="K46" i="24"/>
  <c r="E45" i="23" s="1"/>
  <c r="G45" i="23" s="1"/>
  <c r="K45" i="24"/>
  <c r="K44" i="24"/>
  <c r="E43" i="23" s="1"/>
  <c r="G43" i="23" s="1"/>
  <c r="K43" i="24"/>
  <c r="E42" i="23" s="1"/>
  <c r="G42" i="23" s="1"/>
  <c r="K42" i="24"/>
  <c r="E41" i="23" s="1"/>
  <c r="G41" i="23" s="1"/>
  <c r="K41" i="24"/>
  <c r="E40" i="23" s="1"/>
  <c r="G40" i="23" s="1"/>
  <c r="K40" i="24"/>
  <c r="K39" i="24"/>
  <c r="E38" i="23" s="1"/>
  <c r="G38" i="23" s="1"/>
  <c r="K38" i="24"/>
  <c r="E37" i="23" s="1"/>
  <c r="G37" i="23" s="1"/>
  <c r="K37" i="24"/>
  <c r="E36" i="23" s="1"/>
  <c r="G36" i="23" s="1"/>
  <c r="K36" i="24"/>
  <c r="E35" i="23" s="1"/>
  <c r="G35" i="23" s="1"/>
  <c r="K35" i="24"/>
  <c r="E34" i="23" s="1"/>
  <c r="G34" i="23" s="1"/>
  <c r="K34" i="24"/>
  <c r="E33" i="23" s="1"/>
  <c r="G33" i="23" s="1"/>
  <c r="K33" i="24"/>
  <c r="K32" i="24"/>
  <c r="K31" i="24"/>
  <c r="E30" i="23" s="1"/>
  <c r="G30" i="23" s="1"/>
  <c r="K30" i="24"/>
  <c r="E29" i="23" s="1"/>
  <c r="G29" i="23" s="1"/>
  <c r="K29" i="24"/>
  <c r="E28" i="23" s="1"/>
  <c r="G28" i="23" s="1"/>
  <c r="K28" i="24"/>
  <c r="K27" i="24"/>
  <c r="E27" i="23" s="1"/>
  <c r="G27" i="23" s="1"/>
  <c r="K26" i="24"/>
  <c r="E26" i="23" s="1"/>
  <c r="G26" i="23" s="1"/>
  <c r="K25" i="24"/>
  <c r="E25" i="23" s="1"/>
  <c r="G25" i="23" s="1"/>
  <c r="K24" i="24"/>
  <c r="E24" i="23" s="1"/>
  <c r="G24" i="23" s="1"/>
  <c r="K23" i="24"/>
  <c r="E23" i="23" s="1"/>
  <c r="G23" i="23" s="1"/>
  <c r="K22" i="24"/>
  <c r="E22" i="23" s="1"/>
  <c r="G22" i="23" s="1"/>
  <c r="K21" i="24"/>
  <c r="K20" i="24"/>
  <c r="E20" i="23" s="1"/>
  <c r="G20" i="23" s="1"/>
  <c r="K19" i="24"/>
  <c r="E20" i="26" s="1"/>
  <c r="G20" i="26" s="1"/>
  <c r="K18" i="24"/>
  <c r="E19" i="23" s="1"/>
  <c r="G19" i="23" s="1"/>
  <c r="K17" i="24"/>
  <c r="K16" i="24"/>
  <c r="E17" i="23" s="1"/>
  <c r="G17" i="23" s="1"/>
  <c r="K15" i="24"/>
  <c r="E16" i="23" s="1"/>
  <c r="G16" i="23" s="1"/>
  <c r="K14" i="24"/>
  <c r="E15" i="23" s="1"/>
  <c r="G15" i="23" s="1"/>
  <c r="K13" i="24"/>
  <c r="E311" i="23" s="1"/>
  <c r="G311" i="23" s="1"/>
  <c r="K12" i="24"/>
  <c r="K11" i="24"/>
  <c r="E224" i="23" s="1"/>
  <c r="G224" i="23" s="1"/>
  <c r="K10" i="24"/>
  <c r="E158" i="23" s="1"/>
  <c r="G158" i="23" s="1"/>
  <c r="K9" i="24"/>
  <c r="K8" i="24"/>
  <c r="K7" i="24"/>
  <c r="E88" i="23" s="1"/>
  <c r="G88" i="23" s="1"/>
  <c r="K6" i="24"/>
  <c r="E14" i="23" s="1"/>
  <c r="G14" i="23" s="1"/>
  <c r="K5" i="24"/>
  <c r="K4" i="24"/>
  <c r="E12" i="23" s="1"/>
  <c r="G12" i="23" s="1"/>
  <c r="H573" i="24"/>
  <c r="H572" i="24"/>
  <c r="H571" i="24"/>
  <c r="H570" i="24"/>
  <c r="H569" i="24"/>
  <c r="H568" i="24"/>
  <c r="H567" i="24"/>
  <c r="H566" i="24"/>
  <c r="H565" i="24"/>
  <c r="H564" i="24"/>
  <c r="H563" i="24"/>
  <c r="H562" i="24"/>
  <c r="H561" i="24"/>
  <c r="H560" i="24"/>
  <c r="H559" i="24"/>
  <c r="H558" i="24"/>
  <c r="H557" i="24"/>
  <c r="H556" i="24"/>
  <c r="H555" i="24"/>
  <c r="H554" i="24"/>
  <c r="H553" i="24"/>
  <c r="H552" i="24"/>
  <c r="H551" i="24"/>
  <c r="H550" i="24"/>
  <c r="H549" i="24"/>
  <c r="H548" i="24"/>
  <c r="H547" i="24"/>
  <c r="H546" i="24"/>
  <c r="H545" i="24"/>
  <c r="H544" i="24"/>
  <c r="H543" i="24"/>
  <c r="H542" i="24"/>
  <c r="H541" i="24"/>
  <c r="H540" i="24"/>
  <c r="H539" i="24"/>
  <c r="H538" i="24"/>
  <c r="H537" i="24"/>
  <c r="H536" i="24"/>
  <c r="H535" i="24"/>
  <c r="H534" i="24"/>
  <c r="H533" i="24"/>
  <c r="H532" i="24"/>
  <c r="H531" i="24"/>
  <c r="H530" i="24"/>
  <c r="H529" i="24"/>
  <c r="H528" i="24"/>
  <c r="H527" i="24"/>
  <c r="H526" i="24"/>
  <c r="H525" i="24"/>
  <c r="H524" i="24"/>
  <c r="H523" i="24"/>
  <c r="H522" i="24"/>
  <c r="H521" i="24"/>
  <c r="H520" i="24"/>
  <c r="H519" i="24"/>
  <c r="H518" i="24"/>
  <c r="H517" i="24"/>
  <c r="H516" i="24"/>
  <c r="H515" i="24"/>
  <c r="H514" i="24"/>
  <c r="H513" i="24"/>
  <c r="H512" i="24"/>
  <c r="H511" i="24"/>
  <c r="H510" i="24"/>
  <c r="H509" i="24"/>
  <c r="H508" i="24"/>
  <c r="H507" i="24"/>
  <c r="H506" i="24"/>
  <c r="H505" i="24"/>
  <c r="H504" i="24"/>
  <c r="H503" i="24"/>
  <c r="H502" i="24"/>
  <c r="D263" i="23" s="1"/>
  <c r="F263" i="23" s="1"/>
  <c r="H501" i="24"/>
  <c r="H500" i="24"/>
  <c r="H499" i="24"/>
  <c r="H498" i="24"/>
  <c r="H497" i="24"/>
  <c r="H496" i="24"/>
  <c r="H495" i="24"/>
  <c r="H494" i="24"/>
  <c r="H493" i="24"/>
  <c r="H492" i="24"/>
  <c r="H491" i="24"/>
  <c r="H490" i="24"/>
  <c r="H489" i="24"/>
  <c r="H488" i="24"/>
  <c r="H487" i="24"/>
  <c r="H486" i="24"/>
  <c r="H485" i="24"/>
  <c r="H484" i="24"/>
  <c r="H483" i="24"/>
  <c r="H482" i="24"/>
  <c r="H481" i="24"/>
  <c r="H480" i="24"/>
  <c r="H479" i="24"/>
  <c r="H478" i="24"/>
  <c r="H477" i="24"/>
  <c r="H476" i="24"/>
  <c r="H475" i="24"/>
  <c r="H474" i="24"/>
  <c r="H473" i="24"/>
  <c r="H472" i="24"/>
  <c r="H471" i="24"/>
  <c r="H470" i="24"/>
  <c r="H469" i="24"/>
  <c r="H468" i="24"/>
  <c r="H467" i="24"/>
  <c r="H466" i="24"/>
  <c r="H465" i="24"/>
  <c r="D139" i="23" s="1"/>
  <c r="F139" i="23" s="1"/>
  <c r="H464" i="24"/>
  <c r="H463" i="24"/>
  <c r="H462" i="24"/>
  <c r="H461" i="24"/>
  <c r="H460" i="24"/>
  <c r="H459" i="24"/>
  <c r="H458" i="24"/>
  <c r="H457" i="24"/>
  <c r="H456" i="24"/>
  <c r="H455" i="24"/>
  <c r="H454" i="24"/>
  <c r="H453" i="24"/>
  <c r="H452" i="24"/>
  <c r="H451" i="24"/>
  <c r="H450" i="24"/>
  <c r="H449" i="24"/>
  <c r="H448" i="24"/>
  <c r="H447" i="24"/>
  <c r="H446" i="24"/>
  <c r="H445" i="24"/>
  <c r="H444" i="24"/>
  <c r="H443" i="24"/>
  <c r="H442" i="24"/>
  <c r="H441" i="24"/>
  <c r="H440" i="24"/>
  <c r="H439" i="24"/>
  <c r="H438" i="24"/>
  <c r="H437" i="24"/>
  <c r="H436" i="24"/>
  <c r="H435" i="24"/>
  <c r="H434" i="24"/>
  <c r="H433" i="24"/>
  <c r="H432" i="24"/>
  <c r="H431" i="24"/>
  <c r="H430" i="24"/>
  <c r="H429" i="24"/>
  <c r="H428" i="24"/>
  <c r="H427" i="24"/>
  <c r="H426" i="24"/>
  <c r="H425" i="24"/>
  <c r="H424" i="24"/>
  <c r="H423" i="24"/>
  <c r="H422" i="24"/>
  <c r="H421" i="24"/>
  <c r="H420" i="24"/>
  <c r="H419" i="24"/>
  <c r="H418" i="24"/>
  <c r="H417" i="24"/>
  <c r="H416" i="24"/>
  <c r="H415" i="24"/>
  <c r="H414" i="24"/>
  <c r="H413" i="24"/>
  <c r="H412" i="24"/>
  <c r="H411" i="24"/>
  <c r="H410" i="24"/>
  <c r="H409" i="24"/>
  <c r="H408" i="24"/>
  <c r="H407" i="24"/>
  <c r="H406" i="24"/>
  <c r="H405" i="24"/>
  <c r="H404" i="24"/>
  <c r="H403" i="24"/>
  <c r="H402" i="24"/>
  <c r="H401" i="24"/>
  <c r="H400" i="24"/>
  <c r="H399" i="24"/>
  <c r="H398" i="24"/>
  <c r="H397" i="24"/>
  <c r="H396" i="24"/>
  <c r="H395" i="24"/>
  <c r="H394" i="24"/>
  <c r="H393" i="24"/>
  <c r="H392" i="24"/>
  <c r="H391" i="24"/>
  <c r="H390" i="24"/>
  <c r="H389" i="24"/>
  <c r="H388" i="24"/>
  <c r="H387" i="24"/>
  <c r="H386" i="24"/>
  <c r="D373" i="23" s="1"/>
  <c r="F373" i="23" s="1"/>
  <c r="H385" i="24"/>
  <c r="D372" i="23" s="1"/>
  <c r="F372" i="23" s="1"/>
  <c r="H384" i="24"/>
  <c r="D371" i="23" s="1"/>
  <c r="F371" i="23" s="1"/>
  <c r="H383" i="24"/>
  <c r="H382" i="24"/>
  <c r="H381" i="24"/>
  <c r="H380" i="24"/>
  <c r="H379" i="24"/>
  <c r="H378" i="24"/>
  <c r="D370" i="23" s="1"/>
  <c r="F370" i="23" s="1"/>
  <c r="H377" i="24"/>
  <c r="H376" i="24"/>
  <c r="D368" i="23" s="1"/>
  <c r="F368" i="23" s="1"/>
  <c r="H375" i="24"/>
  <c r="D367" i="23" s="1"/>
  <c r="F367" i="23" s="1"/>
  <c r="H374" i="24"/>
  <c r="D366" i="23" s="1"/>
  <c r="F366" i="23" s="1"/>
  <c r="H373" i="24"/>
  <c r="D365" i="23" s="1"/>
  <c r="F365" i="23" s="1"/>
  <c r="H372" i="24"/>
  <c r="D364" i="23" s="1"/>
  <c r="F364" i="23" s="1"/>
  <c r="H371" i="24"/>
  <c r="D363" i="23" s="1"/>
  <c r="F363" i="23" s="1"/>
  <c r="H370" i="24"/>
  <c r="D362" i="23" s="1"/>
  <c r="F362" i="23" s="1"/>
  <c r="H369" i="24"/>
  <c r="D361" i="23" s="1"/>
  <c r="F361" i="23" s="1"/>
  <c r="H368" i="24"/>
  <c r="D360" i="23" s="1"/>
  <c r="F360" i="23" s="1"/>
  <c r="H367" i="24"/>
  <c r="D359" i="23" s="1"/>
  <c r="F359" i="23" s="1"/>
  <c r="H366" i="24"/>
  <c r="D358" i="23" s="1"/>
  <c r="F358" i="23" s="1"/>
  <c r="H365" i="24"/>
  <c r="D357" i="23" s="1"/>
  <c r="F357" i="23" s="1"/>
  <c r="H364" i="24"/>
  <c r="D356" i="23" s="1"/>
  <c r="F356" i="23" s="1"/>
  <c r="H363" i="24"/>
  <c r="D355" i="23" s="1"/>
  <c r="F355" i="23" s="1"/>
  <c r="H362" i="24"/>
  <c r="H361" i="24"/>
  <c r="D353" i="23" s="1"/>
  <c r="F353" i="23" s="1"/>
  <c r="H360" i="24"/>
  <c r="D352" i="23" s="1"/>
  <c r="F352" i="23" s="1"/>
  <c r="H359" i="24"/>
  <c r="D351" i="23" s="1"/>
  <c r="F351" i="23" s="1"/>
  <c r="H358" i="24"/>
  <c r="D350" i="23" s="1"/>
  <c r="F350" i="23" s="1"/>
  <c r="H357" i="24"/>
  <c r="D349" i="23" s="1"/>
  <c r="F349" i="23" s="1"/>
  <c r="H356" i="24"/>
  <c r="D348" i="23" s="1"/>
  <c r="F348" i="23" s="1"/>
  <c r="H355" i="24"/>
  <c r="D347" i="23" s="1"/>
  <c r="F347" i="23" s="1"/>
  <c r="H354" i="24"/>
  <c r="D346" i="23" s="1"/>
  <c r="F346" i="23" s="1"/>
  <c r="H353" i="24"/>
  <c r="H352" i="24"/>
  <c r="D344" i="23" s="1"/>
  <c r="F344" i="23" s="1"/>
  <c r="H351" i="24"/>
  <c r="D343" i="23" s="1"/>
  <c r="F343" i="23" s="1"/>
  <c r="H350" i="24"/>
  <c r="D342" i="23" s="1"/>
  <c r="F342" i="23" s="1"/>
  <c r="H349" i="24"/>
  <c r="D341" i="23" s="1"/>
  <c r="F341" i="23" s="1"/>
  <c r="H348" i="24"/>
  <c r="D340" i="23" s="1"/>
  <c r="F340" i="23" s="1"/>
  <c r="H347" i="24"/>
  <c r="D339" i="23" s="1"/>
  <c r="F339" i="23" s="1"/>
  <c r="H346" i="24"/>
  <c r="H345" i="24"/>
  <c r="H344" i="24"/>
  <c r="D336" i="23" s="1"/>
  <c r="F336" i="23" s="1"/>
  <c r="H343" i="24"/>
  <c r="D335" i="23" s="1"/>
  <c r="F335" i="23" s="1"/>
  <c r="H342" i="24"/>
  <c r="D334" i="23" s="1"/>
  <c r="F334" i="23" s="1"/>
  <c r="H341" i="24"/>
  <c r="D333" i="23" s="1"/>
  <c r="F333" i="23" s="1"/>
  <c r="H340" i="24"/>
  <c r="D332" i="23" s="1"/>
  <c r="F332" i="23" s="1"/>
  <c r="H339" i="24"/>
  <c r="D331" i="23" s="1"/>
  <c r="F331" i="23" s="1"/>
  <c r="H338" i="24"/>
  <c r="D330" i="23" s="1"/>
  <c r="F330" i="23" s="1"/>
  <c r="H337" i="24"/>
  <c r="H336" i="24"/>
  <c r="D328" i="23" s="1"/>
  <c r="F328" i="23" s="1"/>
  <c r="H335" i="24"/>
  <c r="D327" i="23" s="1"/>
  <c r="F327" i="23" s="1"/>
  <c r="H334" i="24"/>
  <c r="D326" i="23" s="1"/>
  <c r="F326" i="23" s="1"/>
  <c r="H333" i="24"/>
  <c r="D325" i="23" s="1"/>
  <c r="F325" i="23" s="1"/>
  <c r="H332" i="24"/>
  <c r="D324" i="23" s="1"/>
  <c r="F324" i="23" s="1"/>
  <c r="H331" i="24"/>
  <c r="D323" i="23" s="1"/>
  <c r="F323" i="23" s="1"/>
  <c r="H330" i="24"/>
  <c r="H329" i="24"/>
  <c r="D321" i="23" s="1"/>
  <c r="F321" i="23" s="1"/>
  <c r="H328" i="24"/>
  <c r="D320" i="23" s="1"/>
  <c r="F320" i="23" s="1"/>
  <c r="H327" i="24"/>
  <c r="D319" i="23" s="1"/>
  <c r="F319" i="23" s="1"/>
  <c r="H326" i="24"/>
  <c r="D318" i="23" s="1"/>
  <c r="F318" i="23" s="1"/>
  <c r="H325" i="24"/>
  <c r="D317" i="23" s="1"/>
  <c r="F317" i="23" s="1"/>
  <c r="H324" i="24"/>
  <c r="D316" i="23" s="1"/>
  <c r="F316" i="23" s="1"/>
  <c r="H323" i="24"/>
  <c r="D315" i="23" s="1"/>
  <c r="F315" i="23" s="1"/>
  <c r="H322" i="24"/>
  <c r="D314" i="23" s="1"/>
  <c r="F314" i="23" s="1"/>
  <c r="H321" i="24"/>
  <c r="D313" i="23" s="1"/>
  <c r="F313" i="23" s="1"/>
  <c r="H320" i="24"/>
  <c r="D312" i="23" s="1"/>
  <c r="F312" i="23" s="1"/>
  <c r="H319" i="24"/>
  <c r="D310" i="23" s="1"/>
  <c r="F310" i="23" s="1"/>
  <c r="H318" i="24"/>
  <c r="D309" i="23" s="1"/>
  <c r="F309" i="23" s="1"/>
  <c r="H317" i="24"/>
  <c r="D308" i="23" s="1"/>
  <c r="F308" i="23" s="1"/>
  <c r="H316" i="24"/>
  <c r="D307" i="23" s="1"/>
  <c r="F307" i="23" s="1"/>
  <c r="H315" i="24"/>
  <c r="D306" i="23" s="1"/>
  <c r="F306" i="23" s="1"/>
  <c r="H314" i="24"/>
  <c r="D305" i="23" s="1"/>
  <c r="F305" i="23" s="1"/>
  <c r="H313" i="24"/>
  <c r="H312" i="24"/>
  <c r="D303" i="23" s="1"/>
  <c r="F303" i="23" s="1"/>
  <c r="H311" i="24"/>
  <c r="D302" i="23" s="1"/>
  <c r="F302" i="23" s="1"/>
  <c r="H310" i="24"/>
  <c r="D301" i="23" s="1"/>
  <c r="F301" i="23" s="1"/>
  <c r="H309" i="24"/>
  <c r="D300" i="23" s="1"/>
  <c r="F300" i="23" s="1"/>
  <c r="H308" i="24"/>
  <c r="D299" i="23" s="1"/>
  <c r="F299" i="23" s="1"/>
  <c r="H307" i="24"/>
  <c r="D298" i="23" s="1"/>
  <c r="F298" i="23" s="1"/>
  <c r="H306" i="24"/>
  <c r="D297" i="23" s="1"/>
  <c r="F297" i="23" s="1"/>
  <c r="H305" i="24"/>
  <c r="H304" i="24"/>
  <c r="D295" i="23" s="1"/>
  <c r="F295" i="23" s="1"/>
  <c r="H303" i="24"/>
  <c r="D294" i="23" s="1"/>
  <c r="F294" i="23" s="1"/>
  <c r="H302" i="24"/>
  <c r="D293" i="23" s="1"/>
  <c r="F293" i="23" s="1"/>
  <c r="H301" i="24"/>
  <c r="D292" i="23" s="1"/>
  <c r="F292" i="23" s="1"/>
  <c r="H300" i="24"/>
  <c r="D291" i="23" s="1"/>
  <c r="F291" i="23" s="1"/>
  <c r="H299" i="24"/>
  <c r="D290" i="23" s="1"/>
  <c r="F290" i="23" s="1"/>
  <c r="H298" i="24"/>
  <c r="H297" i="24"/>
  <c r="D288" i="23" s="1"/>
  <c r="F288" i="23" s="1"/>
  <c r="H296" i="24"/>
  <c r="D287" i="23" s="1"/>
  <c r="F287" i="23" s="1"/>
  <c r="H295" i="24"/>
  <c r="D286" i="23" s="1"/>
  <c r="F286" i="23" s="1"/>
  <c r="H294" i="24"/>
  <c r="D285" i="23" s="1"/>
  <c r="F285" i="23" s="1"/>
  <c r="H293" i="24"/>
  <c r="D284" i="23" s="1"/>
  <c r="F284" i="23" s="1"/>
  <c r="H292" i="24"/>
  <c r="D283" i="23" s="1"/>
  <c r="F283" i="23" s="1"/>
  <c r="H291" i="24"/>
  <c r="D282" i="23" s="1"/>
  <c r="F282" i="23" s="1"/>
  <c r="H290" i="24"/>
  <c r="D281" i="23" s="1"/>
  <c r="F281" i="23" s="1"/>
  <c r="H289" i="24"/>
  <c r="D280" i="23" s="1"/>
  <c r="F280" i="23" s="1"/>
  <c r="H288" i="24"/>
  <c r="D279" i="23" s="1"/>
  <c r="F279" i="23" s="1"/>
  <c r="H287" i="24"/>
  <c r="D278" i="23" s="1"/>
  <c r="F278" i="23" s="1"/>
  <c r="H286" i="24"/>
  <c r="D277" i="23" s="1"/>
  <c r="F277" i="23" s="1"/>
  <c r="H285" i="24"/>
  <c r="D276" i="23" s="1"/>
  <c r="F276" i="23" s="1"/>
  <c r="H284" i="24"/>
  <c r="D275" i="23" s="1"/>
  <c r="F275" i="23" s="1"/>
  <c r="H283" i="24"/>
  <c r="D274" i="23" s="1"/>
  <c r="F274" i="23" s="1"/>
  <c r="H282" i="24"/>
  <c r="H281" i="24"/>
  <c r="H280" i="24"/>
  <c r="D270" i="23" s="1"/>
  <c r="F270" i="23" s="1"/>
  <c r="H279" i="24"/>
  <c r="D269" i="23" s="1"/>
  <c r="F269" i="23" s="1"/>
  <c r="H278" i="24"/>
  <c r="D268" i="23" s="1"/>
  <c r="F268" i="23" s="1"/>
  <c r="H277" i="24"/>
  <c r="D267" i="23" s="1"/>
  <c r="F267" i="23" s="1"/>
  <c r="H276" i="24"/>
  <c r="D266" i="23" s="1"/>
  <c r="F266" i="23" s="1"/>
  <c r="H275" i="24"/>
  <c r="D265" i="23" s="1"/>
  <c r="F265" i="23" s="1"/>
  <c r="H274" i="24"/>
  <c r="D264" i="23" s="1"/>
  <c r="F264" i="23" s="1"/>
  <c r="H273" i="24"/>
  <c r="D262" i="23" s="1"/>
  <c r="F262" i="23" s="1"/>
  <c r="H272" i="24"/>
  <c r="D261" i="23" s="1"/>
  <c r="F261" i="23" s="1"/>
  <c r="H271" i="24"/>
  <c r="D260" i="23" s="1"/>
  <c r="F260" i="23" s="1"/>
  <c r="H270" i="24"/>
  <c r="D259" i="23" s="1"/>
  <c r="F259" i="23" s="1"/>
  <c r="H269" i="24"/>
  <c r="D258" i="23" s="1"/>
  <c r="F258" i="23" s="1"/>
  <c r="H268" i="24"/>
  <c r="D257" i="23" s="1"/>
  <c r="F257" i="23" s="1"/>
  <c r="H267" i="24"/>
  <c r="D256" i="23" s="1"/>
  <c r="F256" i="23" s="1"/>
  <c r="H266" i="24"/>
  <c r="D255" i="23" s="1"/>
  <c r="F255" i="23" s="1"/>
  <c r="H265" i="24"/>
  <c r="D254" i="23" s="1"/>
  <c r="F254" i="23" s="1"/>
  <c r="H264" i="24"/>
  <c r="D253" i="23" s="1"/>
  <c r="F253" i="23" s="1"/>
  <c r="H263" i="24"/>
  <c r="D252" i="23" s="1"/>
  <c r="F252" i="23" s="1"/>
  <c r="H262" i="24"/>
  <c r="D251" i="23" s="1"/>
  <c r="F251" i="23" s="1"/>
  <c r="H261" i="24"/>
  <c r="D250" i="23" s="1"/>
  <c r="F250" i="23" s="1"/>
  <c r="H260" i="24"/>
  <c r="D249" i="23" s="1"/>
  <c r="F249" i="23" s="1"/>
  <c r="H259" i="24"/>
  <c r="D248" i="23" s="1"/>
  <c r="F248" i="23" s="1"/>
  <c r="H258" i="24"/>
  <c r="D247" i="23" s="1"/>
  <c r="F247" i="23" s="1"/>
  <c r="H257" i="24"/>
  <c r="D246" i="23" s="1"/>
  <c r="F246" i="23" s="1"/>
  <c r="H256" i="24"/>
  <c r="D245" i="23" s="1"/>
  <c r="F245" i="23" s="1"/>
  <c r="H255" i="24"/>
  <c r="D244" i="23" s="1"/>
  <c r="F244" i="23" s="1"/>
  <c r="H254" i="24"/>
  <c r="D243" i="23" s="1"/>
  <c r="F243" i="23" s="1"/>
  <c r="H253" i="24"/>
  <c r="D242" i="23" s="1"/>
  <c r="F242" i="23" s="1"/>
  <c r="H252" i="24"/>
  <c r="D241" i="23" s="1"/>
  <c r="F241" i="23" s="1"/>
  <c r="H251" i="24"/>
  <c r="D240" i="23" s="1"/>
  <c r="F240" i="23" s="1"/>
  <c r="H250" i="24"/>
  <c r="D239" i="23" s="1"/>
  <c r="F239" i="23" s="1"/>
  <c r="H249" i="24"/>
  <c r="D238" i="23" s="1"/>
  <c r="F238" i="23" s="1"/>
  <c r="H248" i="24"/>
  <c r="D237" i="23" s="1"/>
  <c r="F237" i="23" s="1"/>
  <c r="H247" i="24"/>
  <c r="D236" i="23" s="1"/>
  <c r="F236" i="23" s="1"/>
  <c r="H246" i="24"/>
  <c r="D235" i="23" s="1"/>
  <c r="F235" i="23" s="1"/>
  <c r="H245" i="24"/>
  <c r="D234" i="23" s="1"/>
  <c r="F234" i="23" s="1"/>
  <c r="H244" i="24"/>
  <c r="D233" i="23" s="1"/>
  <c r="F233" i="23" s="1"/>
  <c r="H243" i="24"/>
  <c r="D232" i="23" s="1"/>
  <c r="F232" i="23" s="1"/>
  <c r="H242" i="24"/>
  <c r="D231" i="23" s="1"/>
  <c r="F231" i="23" s="1"/>
  <c r="H241" i="24"/>
  <c r="D230" i="23" s="1"/>
  <c r="F230" i="23" s="1"/>
  <c r="H240" i="24"/>
  <c r="D229" i="23" s="1"/>
  <c r="F229" i="23" s="1"/>
  <c r="H239" i="24"/>
  <c r="D227" i="23" s="1"/>
  <c r="F227" i="23" s="1"/>
  <c r="H238" i="24"/>
  <c r="D226" i="23" s="1"/>
  <c r="F226" i="23" s="1"/>
  <c r="H237" i="24"/>
  <c r="D225" i="23" s="1"/>
  <c r="F225" i="23" s="1"/>
  <c r="H236" i="24"/>
  <c r="D223" i="23" s="1"/>
  <c r="F223" i="23" s="1"/>
  <c r="H235" i="24"/>
  <c r="D222" i="23" s="1"/>
  <c r="F222" i="23" s="1"/>
  <c r="H234" i="24"/>
  <c r="H233" i="24"/>
  <c r="D230" i="26" s="1"/>
  <c r="F230" i="26" s="1"/>
  <c r="H232" i="24"/>
  <c r="D229" i="26" s="1"/>
  <c r="F229" i="26" s="1"/>
  <c r="H231" i="24"/>
  <c r="D228" i="26" s="1"/>
  <c r="F228" i="26" s="1"/>
  <c r="H230" i="24"/>
  <c r="D221" i="23" s="1"/>
  <c r="F221" i="23" s="1"/>
  <c r="H229" i="24"/>
  <c r="D220" i="23" s="1"/>
  <c r="F220" i="23" s="1"/>
  <c r="H228" i="24"/>
  <c r="D219" i="23" s="1"/>
  <c r="F219" i="23" s="1"/>
  <c r="H227" i="24"/>
  <c r="D218" i="23" s="1"/>
  <c r="F218" i="23" s="1"/>
  <c r="H226" i="24"/>
  <c r="D217" i="23" s="1"/>
  <c r="F217" i="23" s="1"/>
  <c r="H225" i="24"/>
  <c r="H224" i="24"/>
  <c r="D215" i="23" s="1"/>
  <c r="F215" i="23" s="1"/>
  <c r="H223" i="24"/>
  <c r="D214" i="23" s="1"/>
  <c r="F214" i="23" s="1"/>
  <c r="H222" i="24"/>
  <c r="D213" i="23" s="1"/>
  <c r="F213" i="23" s="1"/>
  <c r="H221" i="24"/>
  <c r="D212" i="23" s="1"/>
  <c r="F212" i="23" s="1"/>
  <c r="H220" i="24"/>
  <c r="D211" i="23" s="1"/>
  <c r="F211" i="23" s="1"/>
  <c r="H219" i="24"/>
  <c r="D210" i="23" s="1"/>
  <c r="F210" i="23" s="1"/>
  <c r="H218" i="24"/>
  <c r="H217" i="24"/>
  <c r="H216" i="24"/>
  <c r="D207" i="23" s="1"/>
  <c r="F207" i="23" s="1"/>
  <c r="H215" i="24"/>
  <c r="H214" i="24"/>
  <c r="D206" i="23" s="1"/>
  <c r="F206" i="23" s="1"/>
  <c r="H213" i="24"/>
  <c r="D205" i="23" s="1"/>
  <c r="F205" i="23" s="1"/>
  <c r="H212" i="24"/>
  <c r="D204" i="23" s="1"/>
  <c r="F204" i="23" s="1"/>
  <c r="H211" i="24"/>
  <c r="D204" i="25" s="1"/>
  <c r="H210" i="24"/>
  <c r="D203" i="23" s="1"/>
  <c r="F203" i="23" s="1"/>
  <c r="H209" i="24"/>
  <c r="D202" i="23" s="1"/>
  <c r="F202" i="23" s="1"/>
  <c r="H208" i="24"/>
  <c r="D201" i="23" s="1"/>
  <c r="F201" i="23" s="1"/>
  <c r="H207" i="24"/>
  <c r="D200" i="23" s="1"/>
  <c r="F200" i="23" s="1"/>
  <c r="H206" i="24"/>
  <c r="D199" i="23" s="1"/>
  <c r="F199" i="23" s="1"/>
  <c r="H205" i="24"/>
  <c r="D198" i="23" s="1"/>
  <c r="F198" i="23" s="1"/>
  <c r="H204" i="24"/>
  <c r="D202" i="26" s="1"/>
  <c r="F202" i="26" s="1"/>
  <c r="H203" i="24"/>
  <c r="D197" i="23" s="1"/>
  <c r="F197" i="23" s="1"/>
  <c r="H202" i="24"/>
  <c r="D196" i="23" s="1"/>
  <c r="F196" i="23" s="1"/>
  <c r="H201" i="24"/>
  <c r="H200" i="24"/>
  <c r="D194" i="23" s="1"/>
  <c r="F194" i="23" s="1"/>
  <c r="H199" i="24"/>
  <c r="D193" i="23" s="1"/>
  <c r="F193" i="23" s="1"/>
  <c r="H198" i="24"/>
  <c r="D192" i="23" s="1"/>
  <c r="F192" i="23" s="1"/>
  <c r="H197" i="24"/>
  <c r="D191" i="23" s="1"/>
  <c r="F191" i="23" s="1"/>
  <c r="H196" i="24"/>
  <c r="D190" i="23" s="1"/>
  <c r="F190" i="23" s="1"/>
  <c r="H195" i="24"/>
  <c r="H194" i="24"/>
  <c r="H193" i="24"/>
  <c r="H192" i="24"/>
  <c r="H191" i="24"/>
  <c r="D185" i="23" s="1"/>
  <c r="F185" i="23" s="1"/>
  <c r="H190" i="24"/>
  <c r="H189" i="24"/>
  <c r="D183" i="23" s="1"/>
  <c r="F183" i="23" s="1"/>
  <c r="H188" i="24"/>
  <c r="D182" i="23" s="1"/>
  <c r="F182" i="23" s="1"/>
  <c r="H187" i="24"/>
  <c r="D181" i="23" s="1"/>
  <c r="F181" i="23" s="1"/>
  <c r="H186" i="24"/>
  <c r="D180" i="23" s="1"/>
  <c r="F180" i="23" s="1"/>
  <c r="H185" i="24"/>
  <c r="D179" i="23" s="1"/>
  <c r="F179" i="23" s="1"/>
  <c r="H184" i="24"/>
  <c r="D178" i="23" s="1"/>
  <c r="F178" i="23" s="1"/>
  <c r="H183" i="24"/>
  <c r="D177" i="23" s="1"/>
  <c r="F177" i="23" s="1"/>
  <c r="H182" i="24"/>
  <c r="H181" i="24"/>
  <c r="H180" i="24"/>
  <c r="H179" i="24"/>
  <c r="H178" i="24"/>
  <c r="D171" i="23" s="1"/>
  <c r="F171" i="23" s="1"/>
  <c r="H177" i="24"/>
  <c r="D170" i="23" s="1"/>
  <c r="F170" i="23" s="1"/>
  <c r="H176" i="24"/>
  <c r="H175" i="24"/>
  <c r="H174" i="24"/>
  <c r="D167" i="23" s="1"/>
  <c r="F167" i="23" s="1"/>
  <c r="H173" i="24"/>
  <c r="D166" i="23" s="1"/>
  <c r="F166" i="23" s="1"/>
  <c r="H172" i="24"/>
  <c r="D165" i="23" s="1"/>
  <c r="F165" i="23" s="1"/>
  <c r="H171" i="24"/>
  <c r="H170" i="24"/>
  <c r="H169" i="24"/>
  <c r="D163" i="23" s="1"/>
  <c r="F163" i="23" s="1"/>
  <c r="H168" i="24"/>
  <c r="D162" i="23" s="1"/>
  <c r="F162" i="23" s="1"/>
  <c r="H167" i="24"/>
  <c r="D165" i="26" s="1"/>
  <c r="F165" i="26" s="1"/>
  <c r="H166" i="24"/>
  <c r="H165" i="24"/>
  <c r="H164" i="24"/>
  <c r="D162" i="26" s="1"/>
  <c r="F162" i="26" s="1"/>
  <c r="H163" i="24"/>
  <c r="D159" i="23" s="1"/>
  <c r="F159" i="23" s="1"/>
  <c r="H162" i="24"/>
  <c r="H161" i="24"/>
  <c r="D156" i="23" s="1"/>
  <c r="F156" i="23" s="1"/>
  <c r="H160" i="24"/>
  <c r="H159" i="24"/>
  <c r="D154" i="23" s="1"/>
  <c r="F154" i="23" s="1"/>
  <c r="H158" i="24"/>
  <c r="H157" i="24"/>
  <c r="D152" i="25" s="1"/>
  <c r="F152" i="25" s="1"/>
  <c r="H156" i="24"/>
  <c r="D151" i="23" s="1"/>
  <c r="F151" i="23" s="1"/>
  <c r="H155" i="24"/>
  <c r="H154" i="24"/>
  <c r="D149" i="23" s="1"/>
  <c r="F149" i="23" s="1"/>
  <c r="H153" i="24"/>
  <c r="H152" i="24"/>
  <c r="H151" i="24"/>
  <c r="D146" i="23" s="1"/>
  <c r="F146" i="23" s="1"/>
  <c r="H150" i="24"/>
  <c r="H149" i="24"/>
  <c r="H148" i="24"/>
  <c r="H147" i="24"/>
  <c r="H146" i="24"/>
  <c r="D141" i="23" s="1"/>
  <c r="F141" i="23" s="1"/>
  <c r="H145" i="24"/>
  <c r="H144" i="24"/>
  <c r="H143" i="24"/>
  <c r="H142" i="24"/>
  <c r="D135" i="23" s="1"/>
  <c r="F135" i="23" s="1"/>
  <c r="H141" i="24"/>
  <c r="H140" i="24"/>
  <c r="D134" i="23" s="1"/>
  <c r="F134" i="23" s="1"/>
  <c r="H139" i="24"/>
  <c r="D133" i="23" s="1"/>
  <c r="F133" i="23" s="1"/>
  <c r="H138" i="24"/>
  <c r="D132" i="23" s="1"/>
  <c r="F132" i="23" s="1"/>
  <c r="H137" i="24"/>
  <c r="H136" i="24"/>
  <c r="D130" i="23" s="1"/>
  <c r="F130" i="23" s="1"/>
  <c r="H135" i="24"/>
  <c r="D129" i="23" s="1"/>
  <c r="F129" i="23" s="1"/>
  <c r="H134" i="24"/>
  <c r="H133" i="24"/>
  <c r="H132" i="24"/>
  <c r="H131" i="24"/>
  <c r="D126" i="23" s="1"/>
  <c r="F126" i="23" s="1"/>
  <c r="H130" i="24"/>
  <c r="D125" i="23" s="1"/>
  <c r="F125" i="23" s="1"/>
  <c r="H129" i="24"/>
  <c r="H128" i="24"/>
  <c r="H127" i="24"/>
  <c r="D122" i="23" s="1"/>
  <c r="F122" i="23" s="1"/>
  <c r="H126" i="24"/>
  <c r="H125" i="24"/>
  <c r="H124" i="24"/>
  <c r="H123" i="24"/>
  <c r="D118" i="23" s="1"/>
  <c r="F118" i="23" s="1"/>
  <c r="H122" i="24"/>
  <c r="D117" i="23" s="1"/>
  <c r="F117" i="23" s="1"/>
  <c r="H121" i="24"/>
  <c r="H120" i="24"/>
  <c r="D115" i="23" s="1"/>
  <c r="F115" i="23" s="1"/>
  <c r="H119" i="24"/>
  <c r="D114" i="23" s="1"/>
  <c r="F114" i="23" s="1"/>
  <c r="H118" i="24"/>
  <c r="H117" i="24"/>
  <c r="H116" i="24"/>
  <c r="H115" i="24"/>
  <c r="D110" i="23" s="1"/>
  <c r="F110" i="23" s="1"/>
  <c r="H114" i="24"/>
  <c r="D109" i="23" s="1"/>
  <c r="F109" i="23" s="1"/>
  <c r="H113" i="24"/>
  <c r="D108" i="23" s="1"/>
  <c r="F108" i="23" s="1"/>
  <c r="H112" i="24"/>
  <c r="D107" i="23" s="1"/>
  <c r="F107" i="23" s="1"/>
  <c r="H111" i="24"/>
  <c r="H110" i="24"/>
  <c r="H109" i="24"/>
  <c r="H108" i="24"/>
  <c r="H107" i="24"/>
  <c r="H106" i="24"/>
  <c r="D101" i="23" s="1"/>
  <c r="F101" i="23" s="1"/>
  <c r="H105" i="24"/>
  <c r="D100" i="23" s="1"/>
  <c r="F100" i="23" s="1"/>
  <c r="H104" i="24"/>
  <c r="H103" i="24"/>
  <c r="D98" i="23" s="1"/>
  <c r="F98" i="23" s="1"/>
  <c r="H102" i="24"/>
  <c r="H101" i="24"/>
  <c r="H100" i="24"/>
  <c r="D95" i="23" s="1"/>
  <c r="F95" i="23" s="1"/>
  <c r="H99" i="24"/>
  <c r="D94" i="23" s="1"/>
  <c r="F94" i="23" s="1"/>
  <c r="H98" i="24"/>
  <c r="H97" i="24"/>
  <c r="H96" i="24"/>
  <c r="D91" i="23" s="1"/>
  <c r="F91" i="23" s="1"/>
  <c r="H95" i="24"/>
  <c r="D90" i="23" s="1"/>
  <c r="F90" i="23" s="1"/>
  <c r="H94" i="24"/>
  <c r="H93" i="24"/>
  <c r="H92" i="24"/>
  <c r="H91" i="24"/>
  <c r="H90" i="24"/>
  <c r="D84" i="23" s="1"/>
  <c r="F84" i="23" s="1"/>
  <c r="H89" i="24"/>
  <c r="H88" i="24"/>
  <c r="H87" i="24"/>
  <c r="D81" i="23" s="1"/>
  <c r="F81" i="23" s="1"/>
  <c r="H86" i="24"/>
  <c r="H85" i="24"/>
  <c r="D79" i="23" s="1"/>
  <c r="F79" i="23" s="1"/>
  <c r="H84" i="24"/>
  <c r="H83" i="24"/>
  <c r="D77" i="23" s="1"/>
  <c r="F77" i="23" s="1"/>
  <c r="H82" i="24"/>
  <c r="D76" i="23" s="1"/>
  <c r="F76" i="23" s="1"/>
  <c r="H81" i="24"/>
  <c r="H80" i="24"/>
  <c r="H79" i="24"/>
  <c r="H78" i="24"/>
  <c r="H77" i="24"/>
  <c r="H76" i="24"/>
  <c r="H75" i="24"/>
  <c r="D69" i="23" s="1"/>
  <c r="F69" i="23" s="1"/>
  <c r="H74" i="24"/>
  <c r="D68" i="23" s="1"/>
  <c r="F68" i="23" s="1"/>
  <c r="H73" i="24"/>
  <c r="H72" i="24"/>
  <c r="H71" i="24"/>
  <c r="D65" i="23" s="1"/>
  <c r="F65" i="23" s="1"/>
  <c r="H70" i="24"/>
  <c r="H69" i="24"/>
  <c r="D63" i="23" s="1"/>
  <c r="F63" i="23" s="1"/>
  <c r="H66" i="24"/>
  <c r="H65" i="24"/>
  <c r="D61" i="23" s="1"/>
  <c r="F61" i="23" s="1"/>
  <c r="H64" i="24"/>
  <c r="D60" i="23" s="1"/>
  <c r="F60" i="23" s="1"/>
  <c r="H63" i="24"/>
  <c r="D59" i="23" s="1"/>
  <c r="F59" i="23" s="1"/>
  <c r="H62" i="24"/>
  <c r="D58" i="23" s="1"/>
  <c r="F58" i="23" s="1"/>
  <c r="H61" i="24"/>
  <c r="D57" i="23" s="1"/>
  <c r="F57" i="23" s="1"/>
  <c r="H60" i="24"/>
  <c r="H59" i="24"/>
  <c r="H58" i="24"/>
  <c r="H57" i="24"/>
  <c r="H56" i="24"/>
  <c r="D52" i="23" s="1"/>
  <c r="F52" i="23" s="1"/>
  <c r="H55" i="24"/>
  <c r="D51" i="23" s="1"/>
  <c r="F51" i="23" s="1"/>
  <c r="H54" i="24"/>
  <c r="D50" i="23" s="1"/>
  <c r="F50" i="23" s="1"/>
  <c r="H53" i="24"/>
  <c r="D49" i="23" s="1"/>
  <c r="F49" i="23" s="1"/>
  <c r="H52" i="24"/>
  <c r="H51" i="24"/>
  <c r="H50" i="24"/>
  <c r="D48" i="23" s="1"/>
  <c r="F48" i="23" s="1"/>
  <c r="H49" i="24"/>
  <c r="D47" i="23" s="1"/>
  <c r="F47" i="23" s="1"/>
  <c r="H48" i="24"/>
  <c r="H47" i="24"/>
  <c r="D46" i="23" s="1"/>
  <c r="F46" i="23" s="1"/>
  <c r="H46" i="24"/>
  <c r="H45" i="24"/>
  <c r="H44" i="24"/>
  <c r="D43" i="23" s="1"/>
  <c r="F43" i="23" s="1"/>
  <c r="H43" i="24"/>
  <c r="D42" i="23" s="1"/>
  <c r="F42" i="23" s="1"/>
  <c r="H42" i="24"/>
  <c r="H41" i="24"/>
  <c r="H40" i="24"/>
  <c r="D39" i="23" s="1"/>
  <c r="F39" i="23" s="1"/>
  <c r="H39" i="24"/>
  <c r="D38" i="23" s="1"/>
  <c r="F38" i="23" s="1"/>
  <c r="H38" i="24"/>
  <c r="H37" i="24"/>
  <c r="D36" i="23" s="1"/>
  <c r="F36" i="23" s="1"/>
  <c r="H36" i="24"/>
  <c r="D35" i="23" s="1"/>
  <c r="F35" i="23" s="1"/>
  <c r="H35" i="24"/>
  <c r="D34" i="23" s="1"/>
  <c r="F34" i="23" s="1"/>
  <c r="H34" i="24"/>
  <c r="D33" i="23" s="1"/>
  <c r="F33" i="23" s="1"/>
  <c r="H33" i="24"/>
  <c r="D32" i="23" s="1"/>
  <c r="F32" i="23" s="1"/>
  <c r="H32" i="24"/>
  <c r="D31" i="23" s="1"/>
  <c r="F31" i="23" s="1"/>
  <c r="H31" i="24"/>
  <c r="H30" i="24"/>
  <c r="H29" i="24"/>
  <c r="D28" i="23" s="1"/>
  <c r="F28" i="23" s="1"/>
  <c r="H28" i="24"/>
  <c r="H27" i="24"/>
  <c r="H26" i="24"/>
  <c r="H25" i="24"/>
  <c r="D25" i="23" s="1"/>
  <c r="F25" i="23" s="1"/>
  <c r="H24" i="24"/>
  <c r="D24" i="23" s="1"/>
  <c r="F24" i="23" s="1"/>
  <c r="H23" i="24"/>
  <c r="H22" i="24"/>
  <c r="H21" i="24"/>
  <c r="D21" i="23" s="1"/>
  <c r="F21" i="23" s="1"/>
  <c r="H20" i="24"/>
  <c r="H19" i="24"/>
  <c r="D20" i="26" s="1"/>
  <c r="F20" i="26" s="1"/>
  <c r="H18" i="24"/>
  <c r="D19" i="23" s="1"/>
  <c r="F19" i="23" s="1"/>
  <c r="H17" i="24"/>
  <c r="H16" i="24"/>
  <c r="H15" i="24"/>
  <c r="D16" i="23" s="1"/>
  <c r="F16" i="23" s="1"/>
  <c r="H14" i="24"/>
  <c r="H13" i="24"/>
  <c r="D311" i="23" s="1"/>
  <c r="F311" i="23" s="1"/>
  <c r="H12" i="24"/>
  <c r="D271" i="23" s="1"/>
  <c r="F271" i="23" s="1"/>
  <c r="H11" i="24"/>
  <c r="D224" i="23" s="1"/>
  <c r="F224" i="23" s="1"/>
  <c r="H10" i="24"/>
  <c r="H9" i="24"/>
  <c r="D152" i="23" s="1"/>
  <c r="F152" i="23" s="1"/>
  <c r="H8" i="24"/>
  <c r="D137" i="23" s="1"/>
  <c r="F137" i="23" s="1"/>
  <c r="H7" i="24"/>
  <c r="D88" i="23" s="1"/>
  <c r="F88" i="23" s="1"/>
  <c r="H6" i="24"/>
  <c r="H5" i="24"/>
  <c r="D13" i="23" s="1"/>
  <c r="F13" i="23" s="1"/>
  <c r="H4" i="24"/>
  <c r="D12" i="23" s="1"/>
  <c r="F12" i="23" s="1"/>
  <c r="H471" i="4"/>
  <c r="H43" i="4" s="1"/>
  <c r="O46" i="12"/>
  <c r="N46" i="12"/>
  <c r="M46" i="12"/>
  <c r="O44" i="12"/>
  <c r="N44" i="12"/>
  <c r="M44" i="12"/>
  <c r="L44" i="12"/>
  <c r="I45" i="12"/>
  <c r="E48" i="12"/>
  <c r="E44" i="12"/>
  <c r="E50" i="12"/>
  <c r="E46" i="12"/>
  <c r="E47" i="12"/>
  <c r="G77" i="14"/>
  <c r="G78" i="14"/>
  <c r="G79" i="14"/>
  <c r="G82" i="14"/>
  <c r="G76" i="14"/>
  <c r="G80" i="14"/>
  <c r="G81" i="14"/>
  <c r="G287" i="4"/>
  <c r="G297" i="4"/>
  <c r="G292" i="4"/>
  <c r="G288" i="4"/>
  <c r="D29" i="26" l="1"/>
  <c r="F29" i="26" s="1"/>
  <c r="E152" i="31"/>
  <c r="G152" i="31" s="1"/>
  <c r="E152" i="23"/>
  <c r="G152" i="23" s="1"/>
  <c r="E18" i="31"/>
  <c r="G18" i="31" s="1"/>
  <c r="E18" i="23"/>
  <c r="G18" i="23" s="1"/>
  <c r="E32" i="31"/>
  <c r="G32" i="31" s="1"/>
  <c r="E32" i="23"/>
  <c r="G32" i="23" s="1"/>
  <c r="E102" i="31"/>
  <c r="G102" i="31" s="1"/>
  <c r="E102" i="23"/>
  <c r="G102" i="23" s="1"/>
  <c r="E110" i="31"/>
  <c r="G110" i="31" s="1"/>
  <c r="E110" i="23"/>
  <c r="G110" i="23" s="1"/>
  <c r="E210" i="31"/>
  <c r="G210" i="31" s="1"/>
  <c r="E210" i="23"/>
  <c r="G210" i="23" s="1"/>
  <c r="E248" i="31"/>
  <c r="G248" i="31" s="1"/>
  <c r="E248" i="23"/>
  <c r="G248" i="23" s="1"/>
  <c r="E323" i="31"/>
  <c r="G323" i="31" s="1"/>
  <c r="E323" i="23"/>
  <c r="G323" i="23" s="1"/>
  <c r="E112" i="31"/>
  <c r="G112" i="31" s="1"/>
  <c r="E112" i="23"/>
  <c r="G112" i="23" s="1"/>
  <c r="E105" i="31"/>
  <c r="G105" i="31" s="1"/>
  <c r="E105" i="23"/>
  <c r="G105" i="23" s="1"/>
  <c r="E113" i="31"/>
  <c r="G113" i="31" s="1"/>
  <c r="E113" i="23"/>
  <c r="G113" i="23" s="1"/>
  <c r="E135" i="31"/>
  <c r="G135" i="31" s="1"/>
  <c r="E135" i="23"/>
  <c r="G135" i="23" s="1"/>
  <c r="E145" i="31"/>
  <c r="G145" i="31" s="1"/>
  <c r="E145" i="23"/>
  <c r="G145" i="23" s="1"/>
  <c r="E235" i="31"/>
  <c r="G235" i="31" s="1"/>
  <c r="E235" i="23"/>
  <c r="G235" i="23" s="1"/>
  <c r="E268" i="31"/>
  <c r="G268" i="31" s="1"/>
  <c r="E268" i="23"/>
  <c r="G268" i="23" s="1"/>
  <c r="E277" i="31"/>
  <c r="G277" i="31" s="1"/>
  <c r="E277" i="23"/>
  <c r="G277" i="23" s="1"/>
  <c r="E309" i="31"/>
  <c r="G309" i="31" s="1"/>
  <c r="E309" i="23"/>
  <c r="G309" i="23" s="1"/>
  <c r="E326" i="31"/>
  <c r="G326" i="31" s="1"/>
  <c r="E326" i="23"/>
  <c r="G326" i="23" s="1"/>
  <c r="E342" i="31"/>
  <c r="G342" i="31" s="1"/>
  <c r="E342" i="23"/>
  <c r="G342" i="23" s="1"/>
  <c r="E358" i="31"/>
  <c r="G358" i="31" s="1"/>
  <c r="E358" i="23"/>
  <c r="G358" i="23" s="1"/>
  <c r="E65" i="31"/>
  <c r="G65" i="31" s="1"/>
  <c r="E65" i="23"/>
  <c r="G65" i="23" s="1"/>
  <c r="E129" i="31"/>
  <c r="G129" i="31" s="1"/>
  <c r="E129" i="23"/>
  <c r="G129" i="23" s="1"/>
  <c r="E168" i="31"/>
  <c r="G168" i="31" s="1"/>
  <c r="E168" i="23"/>
  <c r="G168" i="23" s="1"/>
  <c r="E244" i="31"/>
  <c r="G244" i="31" s="1"/>
  <c r="E244" i="23"/>
  <c r="G244" i="23" s="1"/>
  <c r="E269" i="31"/>
  <c r="G269" i="31" s="1"/>
  <c r="E269" i="23"/>
  <c r="G269" i="23" s="1"/>
  <c r="E367" i="31"/>
  <c r="G367" i="31" s="1"/>
  <c r="E367" i="23"/>
  <c r="G367" i="23" s="1"/>
  <c r="E53" i="31"/>
  <c r="G53" i="31" s="1"/>
  <c r="E53" i="23"/>
  <c r="G53" i="23" s="1"/>
  <c r="E118" i="31"/>
  <c r="G118" i="31" s="1"/>
  <c r="E118" i="23"/>
  <c r="G118" i="23" s="1"/>
  <c r="E150" i="31"/>
  <c r="G150" i="31" s="1"/>
  <c r="E150" i="23"/>
  <c r="G150" i="23" s="1"/>
  <c r="E172" i="31"/>
  <c r="G172" i="31" s="1"/>
  <c r="E172" i="23"/>
  <c r="G172" i="23" s="1"/>
  <c r="E232" i="31"/>
  <c r="G232" i="31" s="1"/>
  <c r="E232" i="23"/>
  <c r="G232" i="23" s="1"/>
  <c r="E282" i="31"/>
  <c r="G282" i="31" s="1"/>
  <c r="E282" i="23"/>
  <c r="G282" i="23" s="1"/>
  <c r="E290" i="31"/>
  <c r="G290" i="31" s="1"/>
  <c r="E290" i="23"/>
  <c r="G290" i="23" s="1"/>
  <c r="E298" i="31"/>
  <c r="G298" i="31" s="1"/>
  <c r="E298" i="23"/>
  <c r="G298" i="23" s="1"/>
  <c r="E56" i="31"/>
  <c r="G56" i="31" s="1"/>
  <c r="E56" i="23"/>
  <c r="G56" i="23" s="1"/>
  <c r="E161" i="31"/>
  <c r="G161" i="31" s="1"/>
  <c r="E161" i="23"/>
  <c r="G161" i="23" s="1"/>
  <c r="E167" i="31"/>
  <c r="G167" i="31" s="1"/>
  <c r="E167" i="23"/>
  <c r="G167" i="23" s="1"/>
  <c r="E175" i="31"/>
  <c r="G175" i="31" s="1"/>
  <c r="E175" i="23"/>
  <c r="G175" i="23" s="1"/>
  <c r="E184" i="31"/>
  <c r="G184" i="31" s="1"/>
  <c r="E184" i="23"/>
  <c r="G184" i="23" s="1"/>
  <c r="E192" i="31"/>
  <c r="G192" i="31" s="1"/>
  <c r="E192" i="23"/>
  <c r="G192" i="23" s="1"/>
  <c r="E199" i="31"/>
  <c r="G199" i="31" s="1"/>
  <c r="E199" i="23"/>
  <c r="G199" i="23" s="1"/>
  <c r="E221" i="31"/>
  <c r="G221" i="31" s="1"/>
  <c r="E221" i="23"/>
  <c r="G221" i="23" s="1"/>
  <c r="E293" i="31"/>
  <c r="G293" i="31" s="1"/>
  <c r="E293" i="23"/>
  <c r="G293" i="23" s="1"/>
  <c r="E263" i="31"/>
  <c r="G263" i="31" s="1"/>
  <c r="E263" i="23"/>
  <c r="G263" i="23" s="1"/>
  <c r="E13" i="31"/>
  <c r="G13" i="31" s="1"/>
  <c r="E13" i="23"/>
  <c r="G13" i="23" s="1"/>
  <c r="E44" i="31"/>
  <c r="G44" i="31" s="1"/>
  <c r="E44" i="23"/>
  <c r="G44" i="23" s="1"/>
  <c r="E227" i="31"/>
  <c r="G227" i="31" s="1"/>
  <c r="E227" i="23"/>
  <c r="G227" i="23" s="1"/>
  <c r="E286" i="31"/>
  <c r="G286" i="31" s="1"/>
  <c r="E286" i="23"/>
  <c r="G286" i="23" s="1"/>
  <c r="E343" i="31"/>
  <c r="G343" i="31" s="1"/>
  <c r="E343" i="23"/>
  <c r="G343" i="23" s="1"/>
  <c r="E359" i="31"/>
  <c r="G359" i="31" s="1"/>
  <c r="E359" i="23"/>
  <c r="G359" i="23" s="1"/>
  <c r="E139" i="31"/>
  <c r="G139" i="31" s="1"/>
  <c r="E139" i="23"/>
  <c r="G139" i="23" s="1"/>
  <c r="E164" i="31"/>
  <c r="G164" i="31" s="1"/>
  <c r="E164" i="23"/>
  <c r="G164" i="23" s="1"/>
  <c r="E189" i="31"/>
  <c r="G189" i="31" s="1"/>
  <c r="E189" i="23"/>
  <c r="G189" i="23" s="1"/>
  <c r="E339" i="31"/>
  <c r="G339" i="31" s="1"/>
  <c r="E339" i="23"/>
  <c r="G339" i="23" s="1"/>
  <c r="E347" i="31"/>
  <c r="G347" i="31" s="1"/>
  <c r="E347" i="23"/>
  <c r="G347" i="23" s="1"/>
  <c r="E271" i="31"/>
  <c r="G271" i="31" s="1"/>
  <c r="E271" i="23"/>
  <c r="G271" i="23" s="1"/>
  <c r="E64" i="31"/>
  <c r="G64" i="31" s="1"/>
  <c r="E64" i="23"/>
  <c r="G64" i="23" s="1"/>
  <c r="E72" i="31"/>
  <c r="G72" i="31" s="1"/>
  <c r="E72" i="23"/>
  <c r="G72" i="23" s="1"/>
  <c r="E80" i="31"/>
  <c r="G80" i="31" s="1"/>
  <c r="E80" i="23"/>
  <c r="G80" i="23" s="1"/>
  <c r="E97" i="31"/>
  <c r="G97" i="31" s="1"/>
  <c r="E97" i="23"/>
  <c r="G97" i="23" s="1"/>
  <c r="E121" i="31"/>
  <c r="G121" i="31" s="1"/>
  <c r="E121" i="23"/>
  <c r="G121" i="23" s="1"/>
  <c r="E213" i="31"/>
  <c r="G213" i="31" s="1"/>
  <c r="E213" i="23"/>
  <c r="G213" i="23" s="1"/>
  <c r="E251" i="31"/>
  <c r="G251" i="31" s="1"/>
  <c r="E251" i="23"/>
  <c r="G251" i="23" s="1"/>
  <c r="E21" i="31"/>
  <c r="G21" i="31" s="1"/>
  <c r="E21" i="23"/>
  <c r="G21" i="23" s="1"/>
  <c r="E114" i="31"/>
  <c r="G114" i="31" s="1"/>
  <c r="E114" i="23"/>
  <c r="G114" i="23" s="1"/>
  <c r="E154" i="31"/>
  <c r="G154" i="31" s="1"/>
  <c r="E154" i="23"/>
  <c r="G154" i="23" s="1"/>
  <c r="E302" i="31"/>
  <c r="G302" i="31" s="1"/>
  <c r="E302" i="23"/>
  <c r="G302" i="23" s="1"/>
  <c r="E351" i="31"/>
  <c r="G351" i="31" s="1"/>
  <c r="E351" i="23"/>
  <c r="G351" i="23" s="1"/>
  <c r="E137" i="31"/>
  <c r="G137" i="31" s="1"/>
  <c r="E137" i="23"/>
  <c r="G137" i="23" s="1"/>
  <c r="E31" i="31"/>
  <c r="G31" i="31" s="1"/>
  <c r="E31" i="23"/>
  <c r="G31" i="23" s="1"/>
  <c r="E39" i="31"/>
  <c r="G39" i="31" s="1"/>
  <c r="E39" i="23"/>
  <c r="G39" i="23" s="1"/>
  <c r="E52" i="31"/>
  <c r="G52" i="31" s="1"/>
  <c r="E52" i="23"/>
  <c r="G52" i="23" s="1"/>
  <c r="E60" i="31"/>
  <c r="G60" i="31" s="1"/>
  <c r="E60" i="23"/>
  <c r="G60" i="23" s="1"/>
  <c r="E68" i="31"/>
  <c r="G68" i="31" s="1"/>
  <c r="E68" i="23"/>
  <c r="G68" i="23" s="1"/>
  <c r="E109" i="31"/>
  <c r="G109" i="31" s="1"/>
  <c r="E109" i="23"/>
  <c r="G109" i="23" s="1"/>
  <c r="E117" i="31"/>
  <c r="G117" i="31" s="1"/>
  <c r="E117" i="23"/>
  <c r="G117" i="23" s="1"/>
  <c r="E125" i="31"/>
  <c r="G125" i="31" s="1"/>
  <c r="E125" i="23"/>
  <c r="G125" i="23" s="1"/>
  <c r="E132" i="31"/>
  <c r="G132" i="31" s="1"/>
  <c r="E132" i="23"/>
  <c r="G132" i="23" s="1"/>
  <c r="E141" i="31"/>
  <c r="G141" i="31" s="1"/>
  <c r="E141" i="23"/>
  <c r="G141" i="23" s="1"/>
  <c r="E149" i="31"/>
  <c r="G149" i="31" s="1"/>
  <c r="E149" i="23"/>
  <c r="G149" i="23" s="1"/>
  <c r="E157" i="31"/>
  <c r="G157" i="31" s="1"/>
  <c r="E157" i="23"/>
  <c r="G157" i="23" s="1"/>
  <c r="E196" i="31"/>
  <c r="G196" i="31" s="1"/>
  <c r="E196" i="23"/>
  <c r="G196" i="23" s="1"/>
  <c r="E203" i="31"/>
  <c r="G203" i="31" s="1"/>
  <c r="E203" i="23"/>
  <c r="G203" i="23" s="1"/>
  <c r="E217" i="31"/>
  <c r="G217" i="31" s="1"/>
  <c r="E217" i="23"/>
  <c r="G217" i="23" s="1"/>
  <c r="E239" i="31"/>
  <c r="G239" i="31" s="1"/>
  <c r="E239" i="23"/>
  <c r="G239" i="23" s="1"/>
  <c r="E255" i="31"/>
  <c r="G255" i="31" s="1"/>
  <c r="E255" i="23"/>
  <c r="G255" i="23" s="1"/>
  <c r="E264" i="31"/>
  <c r="G264" i="31" s="1"/>
  <c r="E264" i="23"/>
  <c r="G264" i="23" s="1"/>
  <c r="E273" i="31"/>
  <c r="G273" i="31" s="1"/>
  <c r="E273" i="23"/>
  <c r="G273" i="23" s="1"/>
  <c r="E281" i="31"/>
  <c r="G281" i="31" s="1"/>
  <c r="E281" i="23"/>
  <c r="G281" i="23" s="1"/>
  <c r="E289" i="31"/>
  <c r="G289" i="31" s="1"/>
  <c r="E289" i="23"/>
  <c r="G289" i="23" s="1"/>
  <c r="E297" i="31"/>
  <c r="G297" i="31" s="1"/>
  <c r="E297" i="23"/>
  <c r="G297" i="23" s="1"/>
  <c r="E305" i="31"/>
  <c r="G305" i="31" s="1"/>
  <c r="E305" i="23"/>
  <c r="G305" i="23" s="1"/>
  <c r="E322" i="31"/>
  <c r="G322" i="31" s="1"/>
  <c r="E322" i="23"/>
  <c r="G322" i="23" s="1"/>
  <c r="E338" i="31"/>
  <c r="G338" i="31" s="1"/>
  <c r="E338" i="23"/>
  <c r="G338" i="23" s="1"/>
  <c r="E354" i="31"/>
  <c r="G354" i="31" s="1"/>
  <c r="E354" i="23"/>
  <c r="G354" i="23" s="1"/>
  <c r="E370" i="31"/>
  <c r="G370" i="31" s="1"/>
  <c r="E370" i="23"/>
  <c r="G370" i="23" s="1"/>
  <c r="D40" i="31"/>
  <c r="F40" i="31" s="1"/>
  <c r="D40" i="23"/>
  <c r="F40" i="23" s="1"/>
  <c r="D142" i="31"/>
  <c r="F142" i="31" s="1"/>
  <c r="D142" i="23"/>
  <c r="F142" i="23" s="1"/>
  <c r="D164" i="31"/>
  <c r="F164" i="31" s="1"/>
  <c r="D164" i="23"/>
  <c r="F164" i="23" s="1"/>
  <c r="D173" i="31"/>
  <c r="F173" i="31" s="1"/>
  <c r="D173" i="23"/>
  <c r="F173" i="23" s="1"/>
  <c r="D80" i="31"/>
  <c r="F80" i="31" s="1"/>
  <c r="D80" i="23"/>
  <c r="F80" i="23" s="1"/>
  <c r="D175" i="31"/>
  <c r="F175" i="31" s="1"/>
  <c r="D175" i="23"/>
  <c r="F175" i="23" s="1"/>
  <c r="D184" i="31"/>
  <c r="F184" i="31" s="1"/>
  <c r="D184" i="23"/>
  <c r="F184" i="23" s="1"/>
  <c r="D44" i="31"/>
  <c r="F44" i="31" s="1"/>
  <c r="D44" i="23"/>
  <c r="F44" i="23" s="1"/>
  <c r="D73" i="31"/>
  <c r="F73" i="31" s="1"/>
  <c r="D73" i="23"/>
  <c r="F73" i="23" s="1"/>
  <c r="D53" i="31"/>
  <c r="F53" i="31" s="1"/>
  <c r="D53" i="23"/>
  <c r="F53" i="23" s="1"/>
  <c r="D189" i="31"/>
  <c r="F189" i="31" s="1"/>
  <c r="D189" i="23"/>
  <c r="F189" i="23" s="1"/>
  <c r="D158" i="31"/>
  <c r="F158" i="31" s="1"/>
  <c r="D158" i="23"/>
  <c r="F158" i="23" s="1"/>
  <c r="D26" i="31"/>
  <c r="F26" i="31" s="1"/>
  <c r="D26" i="23"/>
  <c r="F26" i="23" s="1"/>
  <c r="D41" i="31"/>
  <c r="F41" i="31" s="1"/>
  <c r="D41" i="23"/>
  <c r="F41" i="23" s="1"/>
  <c r="D54" i="31"/>
  <c r="F54" i="31" s="1"/>
  <c r="D54" i="23"/>
  <c r="F54" i="23" s="1"/>
  <c r="D62" i="31"/>
  <c r="F62" i="31" s="1"/>
  <c r="D62" i="23"/>
  <c r="F62" i="23" s="1"/>
  <c r="D70" i="31"/>
  <c r="F70" i="31" s="1"/>
  <c r="D70" i="23"/>
  <c r="F70" i="23" s="1"/>
  <c r="D86" i="31"/>
  <c r="F86" i="31" s="1"/>
  <c r="D86" i="23"/>
  <c r="F86" i="23" s="1"/>
  <c r="D20" i="31"/>
  <c r="F20" i="31" s="1"/>
  <c r="D20" i="23"/>
  <c r="F20" i="23" s="1"/>
  <c r="D153" i="31"/>
  <c r="F153" i="31" s="1"/>
  <c r="D153" i="23"/>
  <c r="F153" i="23" s="1"/>
  <c r="D161" i="31"/>
  <c r="F161" i="31" s="1"/>
  <c r="D161" i="23"/>
  <c r="F161" i="23" s="1"/>
  <c r="D106" i="31"/>
  <c r="F106" i="31" s="1"/>
  <c r="D106" i="23"/>
  <c r="F106" i="23" s="1"/>
  <c r="D136" i="31"/>
  <c r="F136" i="31" s="1"/>
  <c r="D136" i="23"/>
  <c r="F136" i="23" s="1"/>
  <c r="D168" i="31"/>
  <c r="F168" i="31" s="1"/>
  <c r="D168" i="23"/>
  <c r="F168" i="23" s="1"/>
  <c r="D14" i="31"/>
  <c r="F14" i="31" s="1"/>
  <c r="D14" i="23"/>
  <c r="F14" i="23" s="1"/>
  <c r="D15" i="31"/>
  <c r="F15" i="31" s="1"/>
  <c r="D15" i="23"/>
  <c r="F15" i="23" s="1"/>
  <c r="D22" i="31"/>
  <c r="F22" i="31" s="1"/>
  <c r="D22" i="23"/>
  <c r="F22" i="23" s="1"/>
  <c r="D29" i="31"/>
  <c r="F29" i="31" s="1"/>
  <c r="D29" i="23"/>
  <c r="F29" i="23" s="1"/>
  <c r="D37" i="31"/>
  <c r="F37" i="31" s="1"/>
  <c r="D37" i="23"/>
  <c r="F37" i="23" s="1"/>
  <c r="D45" i="31"/>
  <c r="F45" i="31" s="1"/>
  <c r="D45" i="23"/>
  <c r="F45" i="23" s="1"/>
  <c r="D123" i="31"/>
  <c r="F123" i="31" s="1"/>
  <c r="D123" i="23"/>
  <c r="F123" i="23" s="1"/>
  <c r="D169" i="31"/>
  <c r="F169" i="31" s="1"/>
  <c r="D169" i="23"/>
  <c r="F169" i="23" s="1"/>
  <c r="D186" i="31"/>
  <c r="F186" i="31" s="1"/>
  <c r="D186" i="23"/>
  <c r="F186" i="23" s="1"/>
  <c r="D85" i="31"/>
  <c r="F85" i="31" s="1"/>
  <c r="D85" i="23"/>
  <c r="F85" i="23" s="1"/>
  <c r="D102" i="31"/>
  <c r="F102" i="31" s="1"/>
  <c r="D102" i="23"/>
  <c r="F102" i="23" s="1"/>
  <c r="D150" i="31"/>
  <c r="F150" i="31" s="1"/>
  <c r="D150" i="23"/>
  <c r="F150" i="23" s="1"/>
  <c r="D103" i="31"/>
  <c r="F103" i="31" s="1"/>
  <c r="D103" i="23"/>
  <c r="F103" i="23" s="1"/>
  <c r="D111" i="31"/>
  <c r="F111" i="31" s="1"/>
  <c r="D111" i="23"/>
  <c r="F111" i="23" s="1"/>
  <c r="D119" i="31"/>
  <c r="F119" i="31" s="1"/>
  <c r="D119" i="23"/>
  <c r="F119" i="23" s="1"/>
  <c r="D143" i="31"/>
  <c r="F143" i="31" s="1"/>
  <c r="D143" i="23"/>
  <c r="F143" i="23" s="1"/>
  <c r="D27" i="31"/>
  <c r="F27" i="31" s="1"/>
  <c r="D27" i="23"/>
  <c r="F27" i="23" s="1"/>
  <c r="D55" i="31"/>
  <c r="F55" i="31" s="1"/>
  <c r="D55" i="23"/>
  <c r="F55" i="23" s="1"/>
  <c r="D71" i="31"/>
  <c r="F71" i="31" s="1"/>
  <c r="D71" i="23"/>
  <c r="F71" i="23" s="1"/>
  <c r="D87" i="31"/>
  <c r="F87" i="31" s="1"/>
  <c r="D87" i="23"/>
  <c r="F87" i="23" s="1"/>
  <c r="D96" i="31"/>
  <c r="F96" i="31" s="1"/>
  <c r="D96" i="23"/>
  <c r="F96" i="23" s="1"/>
  <c r="D104" i="31"/>
  <c r="F104" i="31" s="1"/>
  <c r="D104" i="23"/>
  <c r="F104" i="23" s="1"/>
  <c r="D112" i="31"/>
  <c r="F112" i="31" s="1"/>
  <c r="D112" i="23"/>
  <c r="F112" i="23" s="1"/>
  <c r="D120" i="31"/>
  <c r="F120" i="31" s="1"/>
  <c r="D120" i="23"/>
  <c r="F120" i="23" s="1"/>
  <c r="D127" i="31"/>
  <c r="F127" i="31" s="1"/>
  <c r="D127" i="23"/>
  <c r="F127" i="23" s="1"/>
  <c r="D144" i="31"/>
  <c r="F144" i="31" s="1"/>
  <c r="D144" i="23"/>
  <c r="F144" i="23" s="1"/>
  <c r="D160" i="31"/>
  <c r="F160" i="31" s="1"/>
  <c r="D160" i="23"/>
  <c r="F160" i="23" s="1"/>
  <c r="D174" i="31"/>
  <c r="F174" i="31" s="1"/>
  <c r="D174" i="23"/>
  <c r="F174" i="23" s="1"/>
  <c r="D56" i="31"/>
  <c r="F56" i="31" s="1"/>
  <c r="D56" i="23"/>
  <c r="F56" i="23" s="1"/>
  <c r="D64" i="31"/>
  <c r="F64" i="31" s="1"/>
  <c r="D64" i="23"/>
  <c r="F64" i="23" s="1"/>
  <c r="D72" i="31"/>
  <c r="F72" i="31" s="1"/>
  <c r="D72" i="23"/>
  <c r="F72" i="23" s="1"/>
  <c r="D89" i="31"/>
  <c r="F89" i="31" s="1"/>
  <c r="D89" i="23"/>
  <c r="F89" i="23" s="1"/>
  <c r="D97" i="31"/>
  <c r="F97" i="31" s="1"/>
  <c r="D97" i="23"/>
  <c r="F97" i="23" s="1"/>
  <c r="D105" i="31"/>
  <c r="F105" i="31" s="1"/>
  <c r="D105" i="23"/>
  <c r="F105" i="23" s="1"/>
  <c r="D113" i="31"/>
  <c r="F113" i="31" s="1"/>
  <c r="D113" i="23"/>
  <c r="F113" i="23" s="1"/>
  <c r="D121" i="31"/>
  <c r="F121" i="31" s="1"/>
  <c r="D121" i="23"/>
  <c r="F121" i="23" s="1"/>
  <c r="D128" i="31"/>
  <c r="F128" i="31" s="1"/>
  <c r="D128" i="23"/>
  <c r="F128" i="23" s="1"/>
  <c r="D145" i="31"/>
  <c r="F145" i="31" s="1"/>
  <c r="D145" i="23"/>
  <c r="F145" i="23" s="1"/>
  <c r="D66" i="31"/>
  <c r="F66" i="31" s="1"/>
  <c r="D66" i="23"/>
  <c r="F66" i="23" s="1"/>
  <c r="D74" i="31"/>
  <c r="F74" i="31" s="1"/>
  <c r="D74" i="23"/>
  <c r="F74" i="23" s="1"/>
  <c r="D82" i="31"/>
  <c r="F82" i="31" s="1"/>
  <c r="D82" i="23"/>
  <c r="F82" i="23" s="1"/>
  <c r="D99" i="31"/>
  <c r="F99" i="31" s="1"/>
  <c r="D99" i="23"/>
  <c r="F99" i="23" s="1"/>
  <c r="D138" i="31"/>
  <c r="F138" i="31" s="1"/>
  <c r="D138" i="23"/>
  <c r="F138" i="23" s="1"/>
  <c r="D147" i="31"/>
  <c r="F147" i="31" s="1"/>
  <c r="D147" i="23"/>
  <c r="F147" i="23" s="1"/>
  <c r="D155" i="31"/>
  <c r="F155" i="31" s="1"/>
  <c r="D155" i="23"/>
  <c r="F155" i="23" s="1"/>
  <c r="D23" i="31"/>
  <c r="F23" i="31" s="1"/>
  <c r="D23" i="23"/>
  <c r="F23" i="23" s="1"/>
  <c r="D30" i="31"/>
  <c r="F30" i="31" s="1"/>
  <c r="D30" i="23"/>
  <c r="F30" i="23" s="1"/>
  <c r="D67" i="31"/>
  <c r="F67" i="31" s="1"/>
  <c r="D67" i="23"/>
  <c r="F67" i="23" s="1"/>
  <c r="D75" i="31"/>
  <c r="F75" i="31" s="1"/>
  <c r="D75" i="23"/>
  <c r="F75" i="23" s="1"/>
  <c r="D83" i="31"/>
  <c r="F83" i="31" s="1"/>
  <c r="D83" i="23"/>
  <c r="F83" i="23" s="1"/>
  <c r="D92" i="31"/>
  <c r="F92" i="31" s="1"/>
  <c r="D92" i="23"/>
  <c r="F92" i="23" s="1"/>
  <c r="D116" i="31"/>
  <c r="F116" i="31" s="1"/>
  <c r="D116" i="23"/>
  <c r="F116" i="23" s="1"/>
  <c r="D124" i="31"/>
  <c r="F124" i="31" s="1"/>
  <c r="D124" i="23"/>
  <c r="F124" i="23" s="1"/>
  <c r="D131" i="31"/>
  <c r="F131" i="31" s="1"/>
  <c r="D131" i="23"/>
  <c r="F131" i="23" s="1"/>
  <c r="D140" i="31"/>
  <c r="F140" i="31" s="1"/>
  <c r="D140" i="23"/>
  <c r="F140" i="23" s="1"/>
  <c r="D148" i="31"/>
  <c r="F148" i="31" s="1"/>
  <c r="D148" i="23"/>
  <c r="F148" i="23" s="1"/>
  <c r="D187" i="31"/>
  <c r="F187" i="31" s="1"/>
  <c r="D187" i="23"/>
  <c r="F187" i="23" s="1"/>
  <c r="D195" i="31"/>
  <c r="F195" i="31" s="1"/>
  <c r="D195" i="23"/>
  <c r="F195" i="23" s="1"/>
  <c r="D208" i="31"/>
  <c r="F208" i="31" s="1"/>
  <c r="D208" i="23"/>
  <c r="F208" i="23" s="1"/>
  <c r="D216" i="31"/>
  <c r="F216" i="31" s="1"/>
  <c r="D216" i="23"/>
  <c r="F216" i="23" s="1"/>
  <c r="D272" i="31"/>
  <c r="F272" i="31" s="1"/>
  <c r="D272" i="23"/>
  <c r="F272" i="23" s="1"/>
  <c r="D296" i="31"/>
  <c r="F296" i="31" s="1"/>
  <c r="D296" i="23"/>
  <c r="F296" i="23" s="1"/>
  <c r="D304" i="31"/>
  <c r="F304" i="31" s="1"/>
  <c r="D304" i="23"/>
  <c r="F304" i="23" s="1"/>
  <c r="D329" i="31"/>
  <c r="F329" i="31" s="1"/>
  <c r="D329" i="23"/>
  <c r="F329" i="23" s="1"/>
  <c r="D337" i="31"/>
  <c r="F337" i="31" s="1"/>
  <c r="D337" i="23"/>
  <c r="F337" i="23" s="1"/>
  <c r="D345" i="31"/>
  <c r="F345" i="31" s="1"/>
  <c r="D345" i="23"/>
  <c r="F345" i="23" s="1"/>
  <c r="D369" i="31"/>
  <c r="F369" i="31" s="1"/>
  <c r="D369" i="23"/>
  <c r="F369" i="23" s="1"/>
  <c r="D18" i="31"/>
  <c r="F18" i="31" s="1"/>
  <c r="D18" i="23"/>
  <c r="F18" i="23" s="1"/>
  <c r="D172" i="31"/>
  <c r="F172" i="31" s="1"/>
  <c r="D172" i="23"/>
  <c r="F172" i="23" s="1"/>
  <c r="D78" i="31"/>
  <c r="F78" i="31" s="1"/>
  <c r="D78" i="23"/>
  <c r="F78" i="23" s="1"/>
  <c r="D17" i="31"/>
  <c r="F17" i="31" s="1"/>
  <c r="D17" i="23"/>
  <c r="F17" i="23" s="1"/>
  <c r="D93" i="31"/>
  <c r="F93" i="31" s="1"/>
  <c r="D93" i="23"/>
  <c r="F93" i="23" s="1"/>
  <c r="D157" i="31"/>
  <c r="F157" i="31" s="1"/>
  <c r="D157" i="23"/>
  <c r="F157" i="23" s="1"/>
  <c r="D188" i="31"/>
  <c r="F188" i="31" s="1"/>
  <c r="D188" i="23"/>
  <c r="F188" i="23" s="1"/>
  <c r="D209" i="31"/>
  <c r="F209" i="31" s="1"/>
  <c r="D209" i="23"/>
  <c r="F209" i="23" s="1"/>
  <c r="D273" i="31"/>
  <c r="F273" i="31" s="1"/>
  <c r="D273" i="23"/>
  <c r="F273" i="23" s="1"/>
  <c r="D289" i="31"/>
  <c r="F289" i="31" s="1"/>
  <c r="D289" i="23"/>
  <c r="F289" i="23" s="1"/>
  <c r="D322" i="31"/>
  <c r="F322" i="31" s="1"/>
  <c r="D322" i="23"/>
  <c r="F322" i="23" s="1"/>
  <c r="D338" i="31"/>
  <c r="F338" i="31" s="1"/>
  <c r="D338" i="23"/>
  <c r="F338" i="23" s="1"/>
  <c r="D354" i="31"/>
  <c r="F354" i="31" s="1"/>
  <c r="D354" i="23"/>
  <c r="F354" i="23" s="1"/>
  <c r="E201" i="26"/>
  <c r="G201" i="26" s="1"/>
  <c r="E197" i="31"/>
  <c r="G197" i="31" s="1"/>
  <c r="E224" i="26"/>
  <c r="G224" i="26" s="1"/>
  <c r="E218" i="31"/>
  <c r="G218" i="31" s="1"/>
  <c r="E232" i="26"/>
  <c r="G232" i="26" s="1"/>
  <c r="E222" i="31"/>
  <c r="G222" i="31" s="1"/>
  <c r="E314" i="26"/>
  <c r="G314" i="26" s="1"/>
  <c r="E306" i="31"/>
  <c r="G306" i="31" s="1"/>
  <c r="E323" i="26"/>
  <c r="G323" i="26" s="1"/>
  <c r="E315" i="31"/>
  <c r="G315" i="31" s="1"/>
  <c r="E339" i="26"/>
  <c r="G339" i="26" s="1"/>
  <c r="E331" i="31"/>
  <c r="G331" i="31" s="1"/>
  <c r="E371" i="26"/>
  <c r="G371" i="26" s="1"/>
  <c r="E363" i="31"/>
  <c r="G363" i="31" s="1"/>
  <c r="E217" i="26"/>
  <c r="G217" i="26" s="1"/>
  <c r="E211" i="31"/>
  <c r="G211" i="31" s="1"/>
  <c r="E242" i="26"/>
  <c r="G242" i="26" s="1"/>
  <c r="E233" i="31"/>
  <c r="G233" i="31" s="1"/>
  <c r="E258" i="26"/>
  <c r="G258" i="26" s="1"/>
  <c r="E249" i="31"/>
  <c r="G249" i="31" s="1"/>
  <c r="E283" i="26"/>
  <c r="G283" i="26" s="1"/>
  <c r="E275" i="31"/>
  <c r="G275" i="31" s="1"/>
  <c r="E307" i="26"/>
  <c r="G307" i="26" s="1"/>
  <c r="E299" i="31"/>
  <c r="G299" i="31" s="1"/>
  <c r="E332" i="26"/>
  <c r="G332" i="26" s="1"/>
  <c r="E324" i="31"/>
  <c r="G324" i="31" s="1"/>
  <c r="E348" i="26"/>
  <c r="G348" i="26" s="1"/>
  <c r="E340" i="31"/>
  <c r="G340" i="31" s="1"/>
  <c r="E364" i="26"/>
  <c r="G364" i="26" s="1"/>
  <c r="E356" i="31"/>
  <c r="G356" i="31" s="1"/>
  <c r="E129" i="26"/>
  <c r="G129" i="26" s="1"/>
  <c r="E127" i="31"/>
  <c r="G127" i="31" s="1"/>
  <c r="E163" i="26"/>
  <c r="G163" i="26" s="1"/>
  <c r="E160" i="31"/>
  <c r="G160" i="31" s="1"/>
  <c r="E187" i="26"/>
  <c r="G187" i="26" s="1"/>
  <c r="E183" i="31"/>
  <c r="G183" i="31" s="1"/>
  <c r="E211" i="26"/>
  <c r="G211" i="26" s="1"/>
  <c r="E205" i="31"/>
  <c r="G205" i="31" s="1"/>
  <c r="E226" i="26"/>
  <c r="G226" i="26" s="1"/>
  <c r="E220" i="31"/>
  <c r="G220" i="31" s="1"/>
  <c r="E251" i="26"/>
  <c r="G251" i="26" s="1"/>
  <c r="E242" i="31"/>
  <c r="G242" i="31" s="1"/>
  <c r="E275" i="26"/>
  <c r="G275" i="26" s="1"/>
  <c r="E267" i="31"/>
  <c r="G267" i="31" s="1"/>
  <c r="E292" i="26"/>
  <c r="G292" i="26" s="1"/>
  <c r="E284" i="31"/>
  <c r="G284" i="31" s="1"/>
  <c r="E316" i="26"/>
  <c r="G316" i="26" s="1"/>
  <c r="E308" i="31"/>
  <c r="G308" i="31" s="1"/>
  <c r="E341" i="26"/>
  <c r="G341" i="26" s="1"/>
  <c r="E333" i="31"/>
  <c r="G333" i="31" s="1"/>
  <c r="E357" i="26"/>
  <c r="G357" i="26" s="1"/>
  <c r="E349" i="31"/>
  <c r="G349" i="31" s="1"/>
  <c r="E36" i="26"/>
  <c r="G36" i="26" s="1"/>
  <c r="E35" i="31"/>
  <c r="G35" i="31" s="1"/>
  <c r="E44" i="26"/>
  <c r="G44" i="26" s="1"/>
  <c r="E43" i="31"/>
  <c r="G43" i="31" s="1"/>
  <c r="E130" i="26"/>
  <c r="G130" i="26" s="1"/>
  <c r="E128" i="31"/>
  <c r="G128" i="31" s="1"/>
  <c r="E252" i="26"/>
  <c r="G252" i="26" s="1"/>
  <c r="E243" i="31"/>
  <c r="G243" i="31" s="1"/>
  <c r="E342" i="26"/>
  <c r="G342" i="26" s="1"/>
  <c r="E334" i="31"/>
  <c r="G334" i="31" s="1"/>
  <c r="E358" i="26"/>
  <c r="G358" i="26" s="1"/>
  <c r="E350" i="31"/>
  <c r="G350" i="31" s="1"/>
  <c r="E29" i="26"/>
  <c r="G29" i="26" s="1"/>
  <c r="E28" i="31"/>
  <c r="G28" i="31" s="1"/>
  <c r="E124" i="26"/>
  <c r="G124" i="26" s="1"/>
  <c r="E122" i="31"/>
  <c r="G122" i="31" s="1"/>
  <c r="E138" i="26"/>
  <c r="G138" i="26" s="1"/>
  <c r="E136" i="31"/>
  <c r="G136" i="31" s="1"/>
  <c r="E147" i="26"/>
  <c r="G147" i="26" s="1"/>
  <c r="E146" i="31"/>
  <c r="G146" i="31" s="1"/>
  <c r="E269" i="26"/>
  <c r="G269" i="26" s="1"/>
  <c r="E260" i="31"/>
  <c r="G260" i="31" s="1"/>
  <c r="E246" i="26"/>
  <c r="G246" i="26" s="1"/>
  <c r="E237" i="31"/>
  <c r="G237" i="31" s="1"/>
  <c r="E262" i="26"/>
  <c r="G262" i="26" s="1"/>
  <c r="E253" i="31"/>
  <c r="G253" i="31" s="1"/>
  <c r="E278" i="26"/>
  <c r="G278" i="26" s="1"/>
  <c r="E270" i="31"/>
  <c r="G270" i="31" s="1"/>
  <c r="E295" i="26"/>
  <c r="G295" i="26" s="1"/>
  <c r="E287" i="31"/>
  <c r="G287" i="31" s="1"/>
  <c r="E311" i="26"/>
  <c r="G311" i="26" s="1"/>
  <c r="E303" i="31"/>
  <c r="G303" i="31" s="1"/>
  <c r="E328" i="26"/>
  <c r="G328" i="26" s="1"/>
  <c r="E320" i="31"/>
  <c r="G320" i="31" s="1"/>
  <c r="E344" i="26"/>
  <c r="G344" i="26" s="1"/>
  <c r="E336" i="31"/>
  <c r="G336" i="31" s="1"/>
  <c r="E360" i="26"/>
  <c r="G360" i="26" s="1"/>
  <c r="E352" i="31"/>
  <c r="G352" i="31" s="1"/>
  <c r="E376" i="26"/>
  <c r="G376" i="26" s="1"/>
  <c r="E368" i="31"/>
  <c r="G368" i="31" s="1"/>
  <c r="E26" i="26"/>
  <c r="G26" i="26" s="1"/>
  <c r="E25" i="31"/>
  <c r="G25" i="31" s="1"/>
  <c r="E41" i="26"/>
  <c r="G41" i="26" s="1"/>
  <c r="E40" i="31"/>
  <c r="G40" i="31" s="1"/>
  <c r="E49" i="26"/>
  <c r="G49" i="26" s="1"/>
  <c r="E47" i="31"/>
  <c r="G47" i="31" s="1"/>
  <c r="E87" i="26"/>
  <c r="G87" i="26" s="1"/>
  <c r="E85" i="31"/>
  <c r="G85" i="31" s="1"/>
  <c r="E128" i="26"/>
  <c r="G128" i="26" s="1"/>
  <c r="E126" i="31"/>
  <c r="G126" i="31" s="1"/>
  <c r="E135" i="26"/>
  <c r="G135" i="26" s="1"/>
  <c r="E133" i="31"/>
  <c r="G133" i="31" s="1"/>
  <c r="E143" i="26"/>
  <c r="G143" i="26" s="1"/>
  <c r="E142" i="31"/>
  <c r="G142" i="31" s="1"/>
  <c r="E161" i="26"/>
  <c r="G161" i="26" s="1"/>
  <c r="E159" i="31"/>
  <c r="G159" i="31" s="1"/>
  <c r="E185" i="26"/>
  <c r="G185" i="26" s="1"/>
  <c r="E181" i="31"/>
  <c r="G181" i="31" s="1"/>
  <c r="E19" i="26"/>
  <c r="G19" i="26" s="1"/>
  <c r="E19" i="31"/>
  <c r="G19" i="31" s="1"/>
  <c r="E27" i="26"/>
  <c r="G27" i="26" s="1"/>
  <c r="E26" i="31"/>
  <c r="G26" i="31" s="1"/>
  <c r="E42" i="26"/>
  <c r="G42" i="26" s="1"/>
  <c r="E41" i="31"/>
  <c r="G41" i="31" s="1"/>
  <c r="E50" i="26"/>
  <c r="G50" i="26" s="1"/>
  <c r="E48" i="31"/>
  <c r="G48" i="31" s="1"/>
  <c r="E56" i="26"/>
  <c r="G56" i="26" s="1"/>
  <c r="E54" i="31"/>
  <c r="G54" i="31" s="1"/>
  <c r="E64" i="26"/>
  <c r="G64" i="26" s="1"/>
  <c r="E62" i="31"/>
  <c r="G62" i="31" s="1"/>
  <c r="E72" i="26"/>
  <c r="G72" i="26" s="1"/>
  <c r="E70" i="31"/>
  <c r="G70" i="31" s="1"/>
  <c r="E80" i="26"/>
  <c r="G80" i="26" s="1"/>
  <c r="E78" i="31"/>
  <c r="G78" i="31" s="1"/>
  <c r="E88" i="26"/>
  <c r="G88" i="26" s="1"/>
  <c r="E86" i="31"/>
  <c r="G86" i="31" s="1"/>
  <c r="E97" i="26"/>
  <c r="G97" i="26" s="1"/>
  <c r="E95" i="31"/>
  <c r="G95" i="31" s="1"/>
  <c r="E105" i="26"/>
  <c r="G105" i="26" s="1"/>
  <c r="E103" i="31"/>
  <c r="G103" i="31" s="1"/>
  <c r="E113" i="26"/>
  <c r="G113" i="26" s="1"/>
  <c r="E111" i="31"/>
  <c r="G111" i="31" s="1"/>
  <c r="E121" i="26"/>
  <c r="G121" i="26" s="1"/>
  <c r="E119" i="31"/>
  <c r="G119" i="31" s="1"/>
  <c r="E136" i="26"/>
  <c r="G136" i="26" s="1"/>
  <c r="E134" i="31"/>
  <c r="G134" i="31" s="1"/>
  <c r="E144" i="26"/>
  <c r="G144" i="26" s="1"/>
  <c r="E143" i="31"/>
  <c r="G143" i="31" s="1"/>
  <c r="E152" i="26"/>
  <c r="G152" i="26" s="1"/>
  <c r="E151" i="31"/>
  <c r="G151" i="31" s="1"/>
  <c r="E170" i="26"/>
  <c r="G170" i="26" s="1"/>
  <c r="E165" i="31"/>
  <c r="G165" i="31" s="1"/>
  <c r="E186" i="26"/>
  <c r="G186" i="26" s="1"/>
  <c r="E182" i="31"/>
  <c r="G182" i="31" s="1"/>
  <c r="E210" i="26"/>
  <c r="G210" i="26" s="1"/>
  <c r="E204" i="31"/>
  <c r="G204" i="31" s="1"/>
  <c r="E225" i="26"/>
  <c r="G225" i="26" s="1"/>
  <c r="E219" i="31"/>
  <c r="G219" i="31" s="1"/>
  <c r="E250" i="26"/>
  <c r="G250" i="26" s="1"/>
  <c r="E241" i="31"/>
  <c r="G241" i="31" s="1"/>
  <c r="E266" i="26"/>
  <c r="G266" i="26" s="1"/>
  <c r="E257" i="31"/>
  <c r="G257" i="31" s="1"/>
  <c r="E291" i="26"/>
  <c r="G291" i="26" s="1"/>
  <c r="E283" i="31"/>
  <c r="G283" i="31" s="1"/>
  <c r="E315" i="26"/>
  <c r="G315" i="26" s="1"/>
  <c r="E307" i="31"/>
  <c r="G307" i="31" s="1"/>
  <c r="E340" i="26"/>
  <c r="G340" i="26" s="1"/>
  <c r="E332" i="31"/>
  <c r="G332" i="31" s="1"/>
  <c r="E372" i="26"/>
  <c r="G372" i="26" s="1"/>
  <c r="E364" i="31"/>
  <c r="G364" i="31" s="1"/>
  <c r="E28" i="26"/>
  <c r="G28" i="26" s="1"/>
  <c r="E27" i="31"/>
  <c r="G27" i="31" s="1"/>
  <c r="E35" i="26"/>
  <c r="G35" i="26" s="1"/>
  <c r="E34" i="31"/>
  <c r="G34" i="31" s="1"/>
  <c r="E43" i="26"/>
  <c r="G43" i="26" s="1"/>
  <c r="E42" i="31"/>
  <c r="G42" i="31" s="1"/>
  <c r="E57" i="26"/>
  <c r="G57" i="26" s="1"/>
  <c r="E55" i="31"/>
  <c r="G55" i="31" s="1"/>
  <c r="E65" i="26"/>
  <c r="G65" i="26" s="1"/>
  <c r="E63" i="31"/>
  <c r="G63" i="31" s="1"/>
  <c r="E73" i="26"/>
  <c r="G73" i="26" s="1"/>
  <c r="E71" i="31"/>
  <c r="G71" i="31" s="1"/>
  <c r="E81" i="26"/>
  <c r="G81" i="26" s="1"/>
  <c r="E79" i="31"/>
  <c r="G79" i="31" s="1"/>
  <c r="E89" i="26"/>
  <c r="G89" i="26" s="1"/>
  <c r="E87" i="31"/>
  <c r="G87" i="31" s="1"/>
  <c r="E98" i="26"/>
  <c r="G98" i="26" s="1"/>
  <c r="E96" i="31"/>
  <c r="G96" i="31" s="1"/>
  <c r="E106" i="26"/>
  <c r="G106" i="26" s="1"/>
  <c r="E104" i="31"/>
  <c r="G104" i="31" s="1"/>
  <c r="E122" i="26"/>
  <c r="G122" i="26" s="1"/>
  <c r="E120" i="31"/>
  <c r="G120" i="31" s="1"/>
  <c r="E145" i="26"/>
  <c r="G145" i="26" s="1"/>
  <c r="E144" i="31"/>
  <c r="G144" i="31" s="1"/>
  <c r="E171" i="26"/>
  <c r="G171" i="26" s="1"/>
  <c r="E166" i="31"/>
  <c r="G166" i="31" s="1"/>
  <c r="E195" i="26"/>
  <c r="G195" i="26" s="1"/>
  <c r="E191" i="31"/>
  <c r="G191" i="31" s="1"/>
  <c r="E218" i="26"/>
  <c r="G218" i="26" s="1"/>
  <c r="E212" i="31"/>
  <c r="G212" i="31" s="1"/>
  <c r="E235" i="26"/>
  <c r="G235" i="26" s="1"/>
  <c r="E225" i="31"/>
  <c r="G225" i="31" s="1"/>
  <c r="E259" i="26"/>
  <c r="G259" i="26" s="1"/>
  <c r="E250" i="31"/>
  <c r="G250" i="31" s="1"/>
  <c r="E284" i="26"/>
  <c r="G284" i="26" s="1"/>
  <c r="E276" i="31"/>
  <c r="G276" i="31" s="1"/>
  <c r="E308" i="26"/>
  <c r="G308" i="26" s="1"/>
  <c r="E300" i="31"/>
  <c r="G300" i="31" s="1"/>
  <c r="E325" i="26"/>
  <c r="G325" i="26" s="1"/>
  <c r="E317" i="31"/>
  <c r="G317" i="31" s="1"/>
  <c r="E349" i="26"/>
  <c r="G349" i="26" s="1"/>
  <c r="E341" i="31"/>
  <c r="G341" i="31" s="1"/>
  <c r="E365" i="26"/>
  <c r="G365" i="26" s="1"/>
  <c r="E357" i="31"/>
  <c r="G357" i="31" s="1"/>
  <c r="E21" i="26"/>
  <c r="G21" i="26" s="1"/>
  <c r="E20" i="31"/>
  <c r="G20" i="31" s="1"/>
  <c r="E91" i="26"/>
  <c r="G91" i="26" s="1"/>
  <c r="E89" i="31"/>
  <c r="G89" i="31" s="1"/>
  <c r="E155" i="26"/>
  <c r="G155" i="26" s="1"/>
  <c r="E153" i="31"/>
  <c r="G153" i="31" s="1"/>
  <c r="E212" i="26"/>
  <c r="G212" i="26" s="1"/>
  <c r="E206" i="31"/>
  <c r="G206" i="31" s="1"/>
  <c r="E326" i="26"/>
  <c r="G326" i="26" s="1"/>
  <c r="E318" i="31"/>
  <c r="G318" i="31" s="1"/>
  <c r="E374" i="26"/>
  <c r="G374" i="26" s="1"/>
  <c r="E366" i="31"/>
  <c r="G366" i="31" s="1"/>
  <c r="E37" i="26"/>
  <c r="G37" i="26" s="1"/>
  <c r="E36" i="31"/>
  <c r="G36" i="31" s="1"/>
  <c r="E75" i="26"/>
  <c r="G75" i="26" s="1"/>
  <c r="E73" i="31"/>
  <c r="G73" i="31" s="1"/>
  <c r="E83" i="26"/>
  <c r="G83" i="26" s="1"/>
  <c r="E81" i="31"/>
  <c r="G81" i="31" s="1"/>
  <c r="E100" i="26"/>
  <c r="G100" i="26" s="1"/>
  <c r="E98" i="31"/>
  <c r="G98" i="31" s="1"/>
  <c r="E108" i="26"/>
  <c r="G108" i="26" s="1"/>
  <c r="E106" i="31"/>
  <c r="G106" i="31" s="1"/>
  <c r="E181" i="26"/>
  <c r="G181" i="26" s="1"/>
  <c r="E177" i="31"/>
  <c r="G177" i="31" s="1"/>
  <c r="E189" i="26"/>
  <c r="G189" i="26" s="1"/>
  <c r="E185" i="31"/>
  <c r="G185" i="31" s="1"/>
  <c r="E205" i="26"/>
  <c r="G205" i="26" s="1"/>
  <c r="E200" i="31"/>
  <c r="G200" i="31" s="1"/>
  <c r="E220" i="26"/>
  <c r="G220" i="26" s="1"/>
  <c r="E214" i="31"/>
  <c r="G214" i="31" s="1"/>
  <c r="E245" i="26"/>
  <c r="G245" i="26" s="1"/>
  <c r="E236" i="31"/>
  <c r="G236" i="31" s="1"/>
  <c r="E261" i="26"/>
  <c r="G261" i="26" s="1"/>
  <c r="E252" i="31"/>
  <c r="G252" i="31" s="1"/>
  <c r="E302" i="26"/>
  <c r="G302" i="26" s="1"/>
  <c r="E294" i="31"/>
  <c r="G294" i="31" s="1"/>
  <c r="E335" i="26"/>
  <c r="G335" i="26" s="1"/>
  <c r="E327" i="31"/>
  <c r="G327" i="31" s="1"/>
  <c r="E14" i="26"/>
  <c r="G14" i="26" s="1"/>
  <c r="E14" i="31"/>
  <c r="G14" i="31" s="1"/>
  <c r="E15" i="26"/>
  <c r="G15" i="26" s="1"/>
  <c r="E15" i="31"/>
  <c r="G15" i="31" s="1"/>
  <c r="E23" i="26"/>
  <c r="G23" i="26" s="1"/>
  <c r="E22" i="31"/>
  <c r="G22" i="31" s="1"/>
  <c r="E30" i="26"/>
  <c r="G30" i="26" s="1"/>
  <c r="E29" i="31"/>
  <c r="G29" i="31" s="1"/>
  <c r="E38" i="26"/>
  <c r="G38" i="26" s="1"/>
  <c r="E37" i="31"/>
  <c r="G37" i="31" s="1"/>
  <c r="E46" i="26"/>
  <c r="G46" i="26" s="1"/>
  <c r="E45" i="31"/>
  <c r="G45" i="31" s="1"/>
  <c r="E52" i="26"/>
  <c r="G52" i="26" s="1"/>
  <c r="E50" i="31"/>
  <c r="G50" i="31" s="1"/>
  <c r="E60" i="26"/>
  <c r="G60" i="26" s="1"/>
  <c r="E58" i="31"/>
  <c r="G58" i="31" s="1"/>
  <c r="E68" i="26"/>
  <c r="G68" i="26" s="1"/>
  <c r="E66" i="31"/>
  <c r="G66" i="31" s="1"/>
  <c r="E76" i="26"/>
  <c r="G76" i="26" s="1"/>
  <c r="E74" i="31"/>
  <c r="G74" i="31" s="1"/>
  <c r="E84" i="26"/>
  <c r="G84" i="26" s="1"/>
  <c r="E82" i="31"/>
  <c r="G82" i="31" s="1"/>
  <c r="E93" i="26"/>
  <c r="G93" i="26" s="1"/>
  <c r="E91" i="31"/>
  <c r="G91" i="31" s="1"/>
  <c r="E101" i="26"/>
  <c r="G101" i="26" s="1"/>
  <c r="E99" i="31"/>
  <c r="G99" i="31" s="1"/>
  <c r="E109" i="26"/>
  <c r="G109" i="26" s="1"/>
  <c r="E107" i="31"/>
  <c r="G107" i="31" s="1"/>
  <c r="E117" i="26"/>
  <c r="G117" i="26" s="1"/>
  <c r="E115" i="31"/>
  <c r="G115" i="31" s="1"/>
  <c r="E125" i="26"/>
  <c r="G125" i="26" s="1"/>
  <c r="E123" i="31"/>
  <c r="G123" i="31" s="1"/>
  <c r="E132" i="26"/>
  <c r="G132" i="26" s="1"/>
  <c r="E130" i="31"/>
  <c r="G130" i="31" s="1"/>
  <c r="E140" i="26"/>
  <c r="G140" i="26" s="1"/>
  <c r="E138" i="31"/>
  <c r="G138" i="31" s="1"/>
  <c r="E148" i="26"/>
  <c r="G148" i="26" s="1"/>
  <c r="E147" i="31"/>
  <c r="G147" i="31" s="1"/>
  <c r="E157" i="26"/>
  <c r="G157" i="26" s="1"/>
  <c r="E155" i="31"/>
  <c r="G155" i="31" s="1"/>
  <c r="E166" i="26"/>
  <c r="G166" i="26" s="1"/>
  <c r="E162" i="31"/>
  <c r="G162" i="31" s="1"/>
  <c r="E174" i="26"/>
  <c r="G174" i="26" s="1"/>
  <c r="E169" i="31"/>
  <c r="G169" i="31" s="1"/>
  <c r="E182" i="26"/>
  <c r="G182" i="26" s="1"/>
  <c r="E178" i="31"/>
  <c r="G178" i="31" s="1"/>
  <c r="E190" i="26"/>
  <c r="G190" i="26" s="1"/>
  <c r="E186" i="31"/>
  <c r="G186" i="31" s="1"/>
  <c r="E198" i="26"/>
  <c r="G198" i="26" s="1"/>
  <c r="E194" i="31"/>
  <c r="G194" i="31" s="1"/>
  <c r="E206" i="26"/>
  <c r="G206" i="26" s="1"/>
  <c r="E201" i="31"/>
  <c r="G201" i="31" s="1"/>
  <c r="E213" i="26"/>
  <c r="G213" i="26" s="1"/>
  <c r="E207" i="31"/>
  <c r="G207" i="31" s="1"/>
  <c r="E221" i="26"/>
  <c r="G221" i="26" s="1"/>
  <c r="E215" i="31"/>
  <c r="G215" i="31" s="1"/>
  <c r="E238" i="26"/>
  <c r="G238" i="26" s="1"/>
  <c r="E229" i="31"/>
  <c r="G229" i="31" s="1"/>
  <c r="E254" i="26"/>
  <c r="G254" i="26" s="1"/>
  <c r="E245" i="31"/>
  <c r="G245" i="31" s="1"/>
  <c r="E270" i="26"/>
  <c r="G270" i="26" s="1"/>
  <c r="E261" i="31"/>
  <c r="G261" i="31" s="1"/>
  <c r="E287" i="26"/>
  <c r="G287" i="26" s="1"/>
  <c r="E279" i="31"/>
  <c r="G279" i="31" s="1"/>
  <c r="E303" i="26"/>
  <c r="G303" i="26" s="1"/>
  <c r="E295" i="31"/>
  <c r="G295" i="31" s="1"/>
  <c r="E320" i="26"/>
  <c r="G320" i="26" s="1"/>
  <c r="E312" i="31"/>
  <c r="G312" i="31" s="1"/>
  <c r="E336" i="26"/>
  <c r="G336" i="26" s="1"/>
  <c r="E328" i="31"/>
  <c r="G328" i="31" s="1"/>
  <c r="E352" i="26"/>
  <c r="G352" i="26" s="1"/>
  <c r="E344" i="31"/>
  <c r="G344" i="31" s="1"/>
  <c r="E368" i="26"/>
  <c r="G368" i="26" s="1"/>
  <c r="E360" i="31"/>
  <c r="G360" i="31" s="1"/>
  <c r="E379" i="26"/>
  <c r="G379" i="26" s="1"/>
  <c r="E371" i="31"/>
  <c r="G371" i="31" s="1"/>
  <c r="E90" i="26"/>
  <c r="G90" i="26" s="1"/>
  <c r="E88" i="31"/>
  <c r="G88" i="31" s="1"/>
  <c r="E16" i="26"/>
  <c r="G16" i="26" s="1"/>
  <c r="E16" i="31"/>
  <c r="G16" i="31" s="1"/>
  <c r="E24" i="26"/>
  <c r="G24" i="26" s="1"/>
  <c r="E23" i="31"/>
  <c r="G23" i="31" s="1"/>
  <c r="E31" i="26"/>
  <c r="G31" i="26" s="1"/>
  <c r="E30" i="31"/>
  <c r="G30" i="31" s="1"/>
  <c r="E39" i="26"/>
  <c r="G39" i="26" s="1"/>
  <c r="E38" i="31"/>
  <c r="G38" i="31" s="1"/>
  <c r="E47" i="26"/>
  <c r="G47" i="26" s="1"/>
  <c r="E46" i="31"/>
  <c r="G46" i="31" s="1"/>
  <c r="E53" i="26"/>
  <c r="G53" i="26" s="1"/>
  <c r="E51" i="31"/>
  <c r="G51" i="31" s="1"/>
  <c r="E61" i="26"/>
  <c r="G61" i="26" s="1"/>
  <c r="E59" i="31"/>
  <c r="G59" i="31" s="1"/>
  <c r="E69" i="26"/>
  <c r="G69" i="26" s="1"/>
  <c r="E67" i="31"/>
  <c r="G67" i="31" s="1"/>
  <c r="E77" i="26"/>
  <c r="G77" i="26" s="1"/>
  <c r="E75" i="31"/>
  <c r="G75" i="31" s="1"/>
  <c r="E85" i="26"/>
  <c r="G85" i="26" s="1"/>
  <c r="E83" i="31"/>
  <c r="G83" i="31" s="1"/>
  <c r="E94" i="26"/>
  <c r="G94" i="26" s="1"/>
  <c r="E92" i="31"/>
  <c r="G92" i="31" s="1"/>
  <c r="E102" i="26"/>
  <c r="G102" i="26" s="1"/>
  <c r="E100" i="31"/>
  <c r="G100" i="31" s="1"/>
  <c r="E110" i="26"/>
  <c r="G110" i="26" s="1"/>
  <c r="E108" i="31"/>
  <c r="G108" i="31" s="1"/>
  <c r="E118" i="26"/>
  <c r="G118" i="26" s="1"/>
  <c r="E116" i="31"/>
  <c r="G116" i="31" s="1"/>
  <c r="E126" i="26"/>
  <c r="G126" i="26" s="1"/>
  <c r="E124" i="31"/>
  <c r="G124" i="31" s="1"/>
  <c r="E133" i="26"/>
  <c r="G133" i="26" s="1"/>
  <c r="E131" i="31"/>
  <c r="G131" i="31" s="1"/>
  <c r="E141" i="26"/>
  <c r="G141" i="26" s="1"/>
  <c r="E140" i="31"/>
  <c r="G140" i="31" s="1"/>
  <c r="E149" i="26"/>
  <c r="G149" i="26" s="1"/>
  <c r="E148" i="31"/>
  <c r="G148" i="31" s="1"/>
  <c r="E158" i="26"/>
  <c r="G158" i="26" s="1"/>
  <c r="E156" i="31"/>
  <c r="G156" i="31" s="1"/>
  <c r="E167" i="26"/>
  <c r="G167" i="26" s="1"/>
  <c r="E163" i="31"/>
  <c r="G163" i="31" s="1"/>
  <c r="E175" i="26"/>
  <c r="G175" i="26" s="1"/>
  <c r="E170" i="31"/>
  <c r="G170" i="31" s="1"/>
  <c r="E183" i="26"/>
  <c r="G183" i="26" s="1"/>
  <c r="E179" i="31"/>
  <c r="G179" i="31" s="1"/>
  <c r="E191" i="26"/>
  <c r="G191" i="26" s="1"/>
  <c r="E187" i="31"/>
  <c r="G187" i="31" s="1"/>
  <c r="E199" i="26"/>
  <c r="G199" i="26" s="1"/>
  <c r="E195" i="31"/>
  <c r="G195" i="31" s="1"/>
  <c r="E207" i="26"/>
  <c r="G207" i="26" s="1"/>
  <c r="E202" i="31"/>
  <c r="G202" i="31" s="1"/>
  <c r="E214" i="26"/>
  <c r="G214" i="26" s="1"/>
  <c r="E208" i="31"/>
  <c r="G208" i="31" s="1"/>
  <c r="E222" i="26"/>
  <c r="G222" i="26" s="1"/>
  <c r="E216" i="31"/>
  <c r="G216" i="31" s="1"/>
  <c r="E239" i="26"/>
  <c r="G239" i="26" s="1"/>
  <c r="E230" i="31"/>
  <c r="G230" i="31" s="1"/>
  <c r="E247" i="26"/>
  <c r="G247" i="26" s="1"/>
  <c r="E238" i="31"/>
  <c r="G238" i="31" s="1"/>
  <c r="E255" i="26"/>
  <c r="G255" i="26" s="1"/>
  <c r="E246" i="31"/>
  <c r="G246" i="31" s="1"/>
  <c r="E263" i="26"/>
  <c r="G263" i="26" s="1"/>
  <c r="E254" i="31"/>
  <c r="G254" i="31" s="1"/>
  <c r="E271" i="26"/>
  <c r="G271" i="26" s="1"/>
  <c r="E262" i="31"/>
  <c r="G262" i="31" s="1"/>
  <c r="E280" i="26"/>
  <c r="G280" i="26" s="1"/>
  <c r="E272" i="31"/>
  <c r="G272" i="31" s="1"/>
  <c r="E288" i="26"/>
  <c r="G288" i="26" s="1"/>
  <c r="E280" i="31"/>
  <c r="G280" i="31" s="1"/>
  <c r="E296" i="26"/>
  <c r="G296" i="26" s="1"/>
  <c r="E288" i="31"/>
  <c r="G288" i="31" s="1"/>
  <c r="E304" i="26"/>
  <c r="G304" i="26" s="1"/>
  <c r="E296" i="31"/>
  <c r="G296" i="31" s="1"/>
  <c r="E312" i="26"/>
  <c r="G312" i="26" s="1"/>
  <c r="E304" i="31"/>
  <c r="G304" i="31" s="1"/>
  <c r="E321" i="26"/>
  <c r="G321" i="26" s="1"/>
  <c r="E313" i="31"/>
  <c r="G313" i="31" s="1"/>
  <c r="E329" i="26"/>
  <c r="G329" i="26" s="1"/>
  <c r="E321" i="31"/>
  <c r="G321" i="31" s="1"/>
  <c r="E337" i="26"/>
  <c r="G337" i="26" s="1"/>
  <c r="E329" i="31"/>
  <c r="G329" i="31" s="1"/>
  <c r="E345" i="26"/>
  <c r="G345" i="26" s="1"/>
  <c r="E337" i="31"/>
  <c r="G337" i="31" s="1"/>
  <c r="E353" i="26"/>
  <c r="G353" i="26" s="1"/>
  <c r="E345" i="31"/>
  <c r="G345" i="31" s="1"/>
  <c r="E361" i="26"/>
  <c r="G361" i="26" s="1"/>
  <c r="E353" i="31"/>
  <c r="G353" i="31" s="1"/>
  <c r="E369" i="26"/>
  <c r="G369" i="26" s="1"/>
  <c r="E361" i="31"/>
  <c r="G361" i="31" s="1"/>
  <c r="E377" i="26"/>
  <c r="G377" i="26" s="1"/>
  <c r="E369" i="31"/>
  <c r="G369" i="31" s="1"/>
  <c r="E380" i="26"/>
  <c r="G380" i="26" s="1"/>
  <c r="E372" i="31"/>
  <c r="G372" i="31" s="1"/>
  <c r="E63" i="26"/>
  <c r="G63" i="26" s="1"/>
  <c r="E61" i="31"/>
  <c r="G61" i="31" s="1"/>
  <c r="E71" i="26"/>
  <c r="G71" i="26" s="1"/>
  <c r="E69" i="31"/>
  <c r="G69" i="31" s="1"/>
  <c r="E79" i="26"/>
  <c r="G79" i="26" s="1"/>
  <c r="E77" i="31"/>
  <c r="G77" i="31" s="1"/>
  <c r="E96" i="26"/>
  <c r="G96" i="26" s="1"/>
  <c r="E94" i="31"/>
  <c r="G94" i="31" s="1"/>
  <c r="E249" i="26"/>
  <c r="G249" i="26" s="1"/>
  <c r="E240" i="31"/>
  <c r="G240" i="31" s="1"/>
  <c r="E265" i="26"/>
  <c r="G265" i="26" s="1"/>
  <c r="E256" i="31"/>
  <c r="G256" i="31" s="1"/>
  <c r="E273" i="26"/>
  <c r="G273" i="26" s="1"/>
  <c r="E265" i="31"/>
  <c r="G265" i="31" s="1"/>
  <c r="E282" i="26"/>
  <c r="G282" i="26" s="1"/>
  <c r="E274" i="31"/>
  <c r="G274" i="31" s="1"/>
  <c r="E363" i="26"/>
  <c r="G363" i="26" s="1"/>
  <c r="E355" i="31"/>
  <c r="G355" i="31" s="1"/>
  <c r="E160" i="26"/>
  <c r="G160" i="26" s="1"/>
  <c r="E158" i="31"/>
  <c r="G158" i="31" s="1"/>
  <c r="E34" i="26"/>
  <c r="G34" i="26" s="1"/>
  <c r="E33" i="31"/>
  <c r="G33" i="31" s="1"/>
  <c r="E178" i="26"/>
  <c r="G178" i="26" s="1"/>
  <c r="E173" i="31"/>
  <c r="G173" i="31" s="1"/>
  <c r="E194" i="26"/>
  <c r="G194" i="26" s="1"/>
  <c r="E190" i="31"/>
  <c r="G190" i="31" s="1"/>
  <c r="E233" i="26"/>
  <c r="G233" i="26" s="1"/>
  <c r="E223" i="31"/>
  <c r="G223" i="31" s="1"/>
  <c r="E274" i="26"/>
  <c r="G274" i="26" s="1"/>
  <c r="E266" i="31"/>
  <c r="G266" i="31" s="1"/>
  <c r="E299" i="26"/>
  <c r="G299" i="26" s="1"/>
  <c r="E291" i="31"/>
  <c r="G291" i="31" s="1"/>
  <c r="E324" i="26"/>
  <c r="G324" i="26" s="1"/>
  <c r="E316" i="31"/>
  <c r="G316" i="31" s="1"/>
  <c r="E356" i="26"/>
  <c r="G356" i="26" s="1"/>
  <c r="E348" i="31"/>
  <c r="G348" i="31" s="1"/>
  <c r="E234" i="26"/>
  <c r="G234" i="26" s="1"/>
  <c r="E224" i="31"/>
  <c r="G224" i="31" s="1"/>
  <c r="E179" i="26"/>
  <c r="G179" i="26" s="1"/>
  <c r="E174" i="31"/>
  <c r="G174" i="31" s="1"/>
  <c r="E203" i="26"/>
  <c r="G203" i="26" s="1"/>
  <c r="E198" i="31"/>
  <c r="G198" i="31" s="1"/>
  <c r="E243" i="26"/>
  <c r="G243" i="26" s="1"/>
  <c r="E234" i="31"/>
  <c r="G234" i="31" s="1"/>
  <c r="E267" i="26"/>
  <c r="G267" i="26" s="1"/>
  <c r="E258" i="31"/>
  <c r="G258" i="31" s="1"/>
  <c r="E300" i="26"/>
  <c r="G300" i="26" s="1"/>
  <c r="E292" i="31"/>
  <c r="G292" i="31" s="1"/>
  <c r="E333" i="26"/>
  <c r="G333" i="26" s="1"/>
  <c r="E325" i="31"/>
  <c r="G325" i="31" s="1"/>
  <c r="E373" i="26"/>
  <c r="G373" i="26" s="1"/>
  <c r="E365" i="31"/>
  <c r="G365" i="31" s="1"/>
  <c r="E236" i="26"/>
  <c r="G236" i="26" s="1"/>
  <c r="E226" i="31"/>
  <c r="G226" i="31" s="1"/>
  <c r="E268" i="26"/>
  <c r="G268" i="26" s="1"/>
  <c r="E259" i="31"/>
  <c r="G259" i="31" s="1"/>
  <c r="E293" i="26"/>
  <c r="G293" i="26" s="1"/>
  <c r="E285" i="31"/>
  <c r="G285" i="31" s="1"/>
  <c r="E309" i="26"/>
  <c r="G309" i="26" s="1"/>
  <c r="E301" i="31"/>
  <c r="G301" i="31" s="1"/>
  <c r="E319" i="26"/>
  <c r="G319" i="26" s="1"/>
  <c r="E311" i="31"/>
  <c r="G311" i="31" s="1"/>
  <c r="E51" i="26"/>
  <c r="G51" i="26" s="1"/>
  <c r="E49" i="31"/>
  <c r="G49" i="31" s="1"/>
  <c r="E59" i="26"/>
  <c r="G59" i="26" s="1"/>
  <c r="E57" i="31"/>
  <c r="G57" i="31" s="1"/>
  <c r="E92" i="26"/>
  <c r="G92" i="26" s="1"/>
  <c r="E90" i="31"/>
  <c r="G90" i="31" s="1"/>
  <c r="E197" i="26"/>
  <c r="G197" i="26" s="1"/>
  <c r="E193" i="31"/>
  <c r="G193" i="31" s="1"/>
  <c r="E286" i="26"/>
  <c r="G286" i="26" s="1"/>
  <c r="E278" i="31"/>
  <c r="G278" i="31" s="1"/>
  <c r="E318" i="26"/>
  <c r="G318" i="26" s="1"/>
  <c r="E310" i="31"/>
  <c r="G310" i="31" s="1"/>
  <c r="E327" i="26"/>
  <c r="G327" i="26" s="1"/>
  <c r="E319" i="31"/>
  <c r="G319" i="31" s="1"/>
  <c r="E343" i="26"/>
  <c r="G343" i="26" s="1"/>
  <c r="E335" i="31"/>
  <c r="G335" i="31" s="1"/>
  <c r="E114" i="26"/>
  <c r="G114" i="26" s="1"/>
  <c r="E17" i="26"/>
  <c r="G17" i="26" s="1"/>
  <c r="E17" i="31"/>
  <c r="G17" i="31" s="1"/>
  <c r="E25" i="26"/>
  <c r="G25" i="26" s="1"/>
  <c r="E24" i="31"/>
  <c r="G24" i="31" s="1"/>
  <c r="E78" i="26"/>
  <c r="G78" i="26" s="1"/>
  <c r="E76" i="31"/>
  <c r="G76" i="31" s="1"/>
  <c r="E86" i="26"/>
  <c r="G86" i="26" s="1"/>
  <c r="E84" i="31"/>
  <c r="G84" i="31" s="1"/>
  <c r="E95" i="26"/>
  <c r="G95" i="26" s="1"/>
  <c r="E93" i="31"/>
  <c r="G93" i="31" s="1"/>
  <c r="E103" i="26"/>
  <c r="G103" i="26" s="1"/>
  <c r="E101" i="31"/>
  <c r="G101" i="31" s="1"/>
  <c r="E176" i="26"/>
  <c r="G176" i="26" s="1"/>
  <c r="E171" i="31"/>
  <c r="G171" i="31" s="1"/>
  <c r="E184" i="26"/>
  <c r="G184" i="26" s="1"/>
  <c r="E180" i="31"/>
  <c r="G180" i="31" s="1"/>
  <c r="E192" i="26"/>
  <c r="G192" i="26" s="1"/>
  <c r="E188" i="31"/>
  <c r="G188" i="31" s="1"/>
  <c r="E215" i="26"/>
  <c r="G215" i="26" s="1"/>
  <c r="E209" i="31"/>
  <c r="G209" i="31" s="1"/>
  <c r="E240" i="26"/>
  <c r="G240" i="26" s="1"/>
  <c r="E231" i="31"/>
  <c r="G231" i="31" s="1"/>
  <c r="E256" i="26"/>
  <c r="G256" i="26" s="1"/>
  <c r="E247" i="31"/>
  <c r="G247" i="31" s="1"/>
  <c r="E322" i="26"/>
  <c r="G322" i="26" s="1"/>
  <c r="E314" i="31"/>
  <c r="G314" i="31" s="1"/>
  <c r="E338" i="26"/>
  <c r="G338" i="26" s="1"/>
  <c r="E330" i="31"/>
  <c r="G330" i="31" s="1"/>
  <c r="E354" i="26"/>
  <c r="G354" i="26" s="1"/>
  <c r="E346" i="31"/>
  <c r="G346" i="31" s="1"/>
  <c r="E370" i="26"/>
  <c r="G370" i="26" s="1"/>
  <c r="E362" i="31"/>
  <c r="G362" i="31" s="1"/>
  <c r="E381" i="26"/>
  <c r="G381" i="26" s="1"/>
  <c r="E373" i="31"/>
  <c r="G373" i="31" s="1"/>
  <c r="D182" i="25"/>
  <c r="F182" i="25" s="1"/>
  <c r="D182" i="31"/>
  <c r="F182" i="31" s="1"/>
  <c r="D212" i="25"/>
  <c r="F212" i="25" s="1"/>
  <c r="D211" i="31"/>
  <c r="F211" i="31" s="1"/>
  <c r="D241" i="25"/>
  <c r="F241" i="25" s="1"/>
  <c r="D241" i="31"/>
  <c r="F241" i="31" s="1"/>
  <c r="D275" i="25"/>
  <c r="F275" i="25" s="1"/>
  <c r="D275" i="31"/>
  <c r="F275" i="31" s="1"/>
  <c r="D307" i="25"/>
  <c r="F307" i="25" s="1"/>
  <c r="D307" i="31"/>
  <c r="F307" i="31" s="1"/>
  <c r="D340" i="25"/>
  <c r="F340" i="25" s="1"/>
  <c r="D340" i="31"/>
  <c r="F340" i="31" s="1"/>
  <c r="D206" i="25"/>
  <c r="F206" i="25" s="1"/>
  <c r="D205" i="31"/>
  <c r="F205" i="31" s="1"/>
  <c r="D234" i="25"/>
  <c r="F234" i="25" s="1"/>
  <c r="D234" i="31"/>
  <c r="F234" i="31" s="1"/>
  <c r="D258" i="25"/>
  <c r="F258" i="25" s="1"/>
  <c r="D258" i="31"/>
  <c r="F258" i="31" s="1"/>
  <c r="D292" i="25"/>
  <c r="D292" i="31"/>
  <c r="F292" i="31" s="1"/>
  <c r="D325" i="25"/>
  <c r="F325" i="25" s="1"/>
  <c r="D325" i="31"/>
  <c r="F325" i="31" s="1"/>
  <c r="D357" i="25"/>
  <c r="F357" i="25" s="1"/>
  <c r="D357" i="31"/>
  <c r="F357" i="31" s="1"/>
  <c r="D199" i="25"/>
  <c r="F199" i="25" s="1"/>
  <c r="D199" i="31"/>
  <c r="F199" i="31" s="1"/>
  <c r="D214" i="25"/>
  <c r="F214" i="25" s="1"/>
  <c r="D213" i="31"/>
  <c r="F213" i="31" s="1"/>
  <c r="D235" i="25"/>
  <c r="D235" i="31"/>
  <c r="F235" i="31" s="1"/>
  <c r="D259" i="25"/>
  <c r="F259" i="25" s="1"/>
  <c r="D259" i="31"/>
  <c r="F259" i="31" s="1"/>
  <c r="D285" i="25"/>
  <c r="F285" i="25" s="1"/>
  <c r="D285" i="31"/>
  <c r="F285" i="31" s="1"/>
  <c r="D318" i="25"/>
  <c r="F318" i="25" s="1"/>
  <c r="D318" i="31"/>
  <c r="F318" i="31" s="1"/>
  <c r="D342" i="25"/>
  <c r="F342" i="25" s="1"/>
  <c r="D342" i="31"/>
  <c r="F342" i="31" s="1"/>
  <c r="D366" i="25"/>
  <c r="F366" i="25" s="1"/>
  <c r="D366" i="31"/>
  <c r="F366" i="31" s="1"/>
  <c r="D263" i="25"/>
  <c r="F263" i="25" s="1"/>
  <c r="D263" i="31"/>
  <c r="F263" i="31" s="1"/>
  <c r="D49" i="25"/>
  <c r="F49" i="25" s="1"/>
  <c r="D49" i="31"/>
  <c r="F49" i="31" s="1"/>
  <c r="D57" i="25"/>
  <c r="F57" i="25" s="1"/>
  <c r="D57" i="31"/>
  <c r="F57" i="31" s="1"/>
  <c r="D65" i="25"/>
  <c r="F65" i="25" s="1"/>
  <c r="D65" i="31"/>
  <c r="F65" i="31" s="1"/>
  <c r="D81" i="25"/>
  <c r="F81" i="25" s="1"/>
  <c r="D81" i="31"/>
  <c r="F81" i="31" s="1"/>
  <c r="D98" i="25"/>
  <c r="F98" i="25" s="1"/>
  <c r="D98" i="31"/>
  <c r="F98" i="31" s="1"/>
  <c r="D177" i="25"/>
  <c r="F177" i="25" s="1"/>
  <c r="D177" i="31"/>
  <c r="F177" i="31" s="1"/>
  <c r="D193" i="25"/>
  <c r="D193" i="31"/>
  <c r="F193" i="31" s="1"/>
  <c r="D228" i="25"/>
  <c r="F228" i="25" s="1"/>
  <c r="D227" i="31"/>
  <c r="F227" i="31" s="1"/>
  <c r="D244" i="25"/>
  <c r="F244" i="25" s="1"/>
  <c r="D244" i="31"/>
  <c r="F244" i="31" s="1"/>
  <c r="D260" i="25"/>
  <c r="F260" i="25" s="1"/>
  <c r="D260" i="31"/>
  <c r="F260" i="31" s="1"/>
  <c r="D286" i="25"/>
  <c r="F286" i="25" s="1"/>
  <c r="D286" i="31"/>
  <c r="F286" i="31" s="1"/>
  <c r="D310" i="25"/>
  <c r="F310" i="25" s="1"/>
  <c r="D310" i="31"/>
  <c r="F310" i="31" s="1"/>
  <c r="D335" i="25"/>
  <c r="D335" i="31"/>
  <c r="F335" i="31" s="1"/>
  <c r="D367" i="25"/>
  <c r="F367" i="25" s="1"/>
  <c r="D367" i="31"/>
  <c r="F367" i="31" s="1"/>
  <c r="D50" i="25"/>
  <c r="F50" i="25" s="1"/>
  <c r="D50" i="31"/>
  <c r="F50" i="31" s="1"/>
  <c r="D58" i="25"/>
  <c r="F58" i="25" s="1"/>
  <c r="D58" i="31"/>
  <c r="F58" i="31" s="1"/>
  <c r="D107" i="25"/>
  <c r="F107" i="25" s="1"/>
  <c r="D107" i="31"/>
  <c r="F107" i="31" s="1"/>
  <c r="D115" i="25"/>
  <c r="F115" i="25" s="1"/>
  <c r="D115" i="31"/>
  <c r="F115" i="31" s="1"/>
  <c r="D130" i="25"/>
  <c r="F130" i="25" s="1"/>
  <c r="D130" i="31"/>
  <c r="F130" i="31" s="1"/>
  <c r="D178" i="25"/>
  <c r="F178" i="25" s="1"/>
  <c r="D178" i="31"/>
  <c r="F178" i="31" s="1"/>
  <c r="D194" i="25"/>
  <c r="F194" i="25" s="1"/>
  <c r="D194" i="31"/>
  <c r="F194" i="31" s="1"/>
  <c r="D201" i="25"/>
  <c r="F201" i="25" s="1"/>
  <c r="D201" i="31"/>
  <c r="F201" i="31" s="1"/>
  <c r="D216" i="25"/>
  <c r="F216" i="25" s="1"/>
  <c r="D215" i="31"/>
  <c r="F215" i="31" s="1"/>
  <c r="D237" i="25"/>
  <c r="F237" i="25" s="1"/>
  <c r="D237" i="31"/>
  <c r="F237" i="31" s="1"/>
  <c r="D253" i="25"/>
  <c r="F253" i="25" s="1"/>
  <c r="D253" i="31"/>
  <c r="F253" i="31" s="1"/>
  <c r="D279" i="25"/>
  <c r="F279" i="25" s="1"/>
  <c r="D279" i="31"/>
  <c r="F279" i="31" s="1"/>
  <c r="D312" i="25"/>
  <c r="F312" i="25" s="1"/>
  <c r="D312" i="31"/>
  <c r="F312" i="31" s="1"/>
  <c r="D336" i="25"/>
  <c r="F336" i="25" s="1"/>
  <c r="D336" i="31"/>
  <c r="F336" i="31" s="1"/>
  <c r="D352" i="25"/>
  <c r="F352" i="25" s="1"/>
  <c r="D352" i="31"/>
  <c r="F352" i="31" s="1"/>
  <c r="D371" i="25"/>
  <c r="F371" i="25" s="1"/>
  <c r="D371" i="31"/>
  <c r="F371" i="31" s="1"/>
  <c r="D19" i="25"/>
  <c r="F19" i="25" s="1"/>
  <c r="D19" i="31"/>
  <c r="F19" i="31" s="1"/>
  <c r="D33" i="25"/>
  <c r="F33" i="25" s="1"/>
  <c r="D33" i="31"/>
  <c r="F33" i="31" s="1"/>
  <c r="D151" i="25"/>
  <c r="D151" i="31"/>
  <c r="F151" i="31" s="1"/>
  <c r="D166" i="25"/>
  <c r="F166" i="25" s="1"/>
  <c r="D165" i="31"/>
  <c r="F165" i="31" s="1"/>
  <c r="D190" i="25"/>
  <c r="F190" i="25" s="1"/>
  <c r="D190" i="31"/>
  <c r="F190" i="31" s="1"/>
  <c r="D220" i="25"/>
  <c r="F220" i="25" s="1"/>
  <c r="D219" i="31"/>
  <c r="F219" i="31" s="1"/>
  <c r="D249" i="25"/>
  <c r="F249" i="25" s="1"/>
  <c r="D249" i="31"/>
  <c r="F249" i="31" s="1"/>
  <c r="D283" i="25"/>
  <c r="F283" i="25" s="1"/>
  <c r="D283" i="31"/>
  <c r="F283" i="31" s="1"/>
  <c r="D316" i="25"/>
  <c r="F316" i="25" s="1"/>
  <c r="D316" i="31"/>
  <c r="F316" i="31" s="1"/>
  <c r="D348" i="25"/>
  <c r="F348" i="25" s="1"/>
  <c r="D348" i="31"/>
  <c r="F348" i="31" s="1"/>
  <c r="D34" i="25"/>
  <c r="F34" i="25" s="1"/>
  <c r="D34" i="31"/>
  <c r="F34" i="31" s="1"/>
  <c r="D43" i="26"/>
  <c r="F43" i="26" s="1"/>
  <c r="D42" i="31"/>
  <c r="F42" i="31" s="1"/>
  <c r="D167" i="25"/>
  <c r="F167" i="25" s="1"/>
  <c r="D166" i="31"/>
  <c r="F166" i="31" s="1"/>
  <c r="D191" i="25"/>
  <c r="F191" i="25" s="1"/>
  <c r="D191" i="31"/>
  <c r="F191" i="31" s="1"/>
  <c r="D213" i="25"/>
  <c r="F213" i="25" s="1"/>
  <c r="D212" i="31"/>
  <c r="F212" i="31" s="1"/>
  <c r="D250" i="25"/>
  <c r="F250" i="25" s="1"/>
  <c r="D250" i="31"/>
  <c r="F250" i="31" s="1"/>
  <c r="D284" i="25"/>
  <c r="F284" i="25" s="1"/>
  <c r="D284" i="31"/>
  <c r="F284" i="31" s="1"/>
  <c r="D317" i="25"/>
  <c r="F317" i="25" s="1"/>
  <c r="D317" i="31"/>
  <c r="F317" i="31" s="1"/>
  <c r="D341" i="25"/>
  <c r="D341" i="31"/>
  <c r="F341" i="31" s="1"/>
  <c r="D35" i="25"/>
  <c r="F35" i="25" s="1"/>
  <c r="D35" i="31"/>
  <c r="F35" i="31" s="1"/>
  <c r="D43" i="25"/>
  <c r="F43" i="25" s="1"/>
  <c r="D43" i="31"/>
  <c r="F43" i="31" s="1"/>
  <c r="D135" i="25"/>
  <c r="F135" i="25" s="1"/>
  <c r="D135" i="31"/>
  <c r="F135" i="31" s="1"/>
  <c r="D207" i="25"/>
  <c r="F207" i="25" s="1"/>
  <c r="D206" i="31"/>
  <c r="F206" i="31" s="1"/>
  <c r="D227" i="25"/>
  <c r="F227" i="25" s="1"/>
  <c r="D226" i="31"/>
  <c r="F226" i="31" s="1"/>
  <c r="D251" i="25"/>
  <c r="F251" i="25" s="1"/>
  <c r="D251" i="31"/>
  <c r="F251" i="31" s="1"/>
  <c r="D277" i="25"/>
  <c r="F277" i="25" s="1"/>
  <c r="D277" i="31"/>
  <c r="F277" i="31" s="1"/>
  <c r="D301" i="25"/>
  <c r="D301" i="31"/>
  <c r="F301" i="31" s="1"/>
  <c r="D326" i="25"/>
  <c r="F326" i="25" s="1"/>
  <c r="D326" i="31"/>
  <c r="F326" i="31" s="1"/>
  <c r="D350" i="25"/>
  <c r="F350" i="25" s="1"/>
  <c r="D350" i="31"/>
  <c r="F350" i="31" s="1"/>
  <c r="D13" i="26"/>
  <c r="F13" i="26" s="1"/>
  <c r="D13" i="31"/>
  <c r="F13" i="31" s="1"/>
  <c r="D90" i="25"/>
  <c r="F90" i="25" s="1"/>
  <c r="D90" i="31"/>
  <c r="F90" i="31" s="1"/>
  <c r="D155" i="25"/>
  <c r="F155" i="25" s="1"/>
  <c r="D154" i="31"/>
  <c r="F154" i="31" s="1"/>
  <c r="D252" i="25"/>
  <c r="F252" i="25" s="1"/>
  <c r="D252" i="31"/>
  <c r="F252" i="31" s="1"/>
  <c r="D278" i="25"/>
  <c r="F278" i="25" s="1"/>
  <c r="D278" i="31"/>
  <c r="F278" i="31" s="1"/>
  <c r="D302" i="25"/>
  <c r="F302" i="25" s="1"/>
  <c r="D302" i="31"/>
  <c r="F302" i="31" s="1"/>
  <c r="D327" i="25"/>
  <c r="F327" i="25" s="1"/>
  <c r="D327" i="31"/>
  <c r="F327" i="31" s="1"/>
  <c r="D351" i="25"/>
  <c r="F351" i="25" s="1"/>
  <c r="D351" i="31"/>
  <c r="F351" i="31" s="1"/>
  <c r="D208" i="25"/>
  <c r="F208" i="25" s="1"/>
  <c r="D207" i="31"/>
  <c r="F207" i="31" s="1"/>
  <c r="D229" i="25"/>
  <c r="F229" i="25" s="1"/>
  <c r="D229" i="31"/>
  <c r="F229" i="31" s="1"/>
  <c r="D261" i="25"/>
  <c r="F261" i="25" s="1"/>
  <c r="D261" i="31"/>
  <c r="F261" i="31" s="1"/>
  <c r="D295" i="25"/>
  <c r="F295" i="25" s="1"/>
  <c r="D295" i="31"/>
  <c r="F295" i="31" s="1"/>
  <c r="D328" i="25"/>
  <c r="F328" i="25" s="1"/>
  <c r="D328" i="31"/>
  <c r="F328" i="31" s="1"/>
  <c r="D368" i="25"/>
  <c r="F368" i="25" s="1"/>
  <c r="D368" i="31"/>
  <c r="F368" i="31" s="1"/>
  <c r="D171" i="25"/>
  <c r="F171" i="25" s="1"/>
  <c r="D170" i="31"/>
  <c r="F170" i="31" s="1"/>
  <c r="D202" i="25"/>
  <c r="F202" i="25" s="1"/>
  <c r="D202" i="31"/>
  <c r="F202" i="31" s="1"/>
  <c r="D313" i="25"/>
  <c r="F313" i="25" s="1"/>
  <c r="D313" i="31"/>
  <c r="F313" i="31" s="1"/>
  <c r="D353" i="25"/>
  <c r="F353" i="25" s="1"/>
  <c r="D353" i="31"/>
  <c r="F353" i="31" s="1"/>
  <c r="D380" i="26"/>
  <c r="F380" i="26" s="1"/>
  <c r="D372" i="31"/>
  <c r="F372" i="31" s="1"/>
  <c r="D139" i="25"/>
  <c r="F139" i="25" s="1"/>
  <c r="D139" i="31"/>
  <c r="F139" i="31" s="1"/>
  <c r="D50" i="26"/>
  <c r="F50" i="26" s="1"/>
  <c r="D48" i="31"/>
  <c r="F48" i="31" s="1"/>
  <c r="D97" i="26"/>
  <c r="F97" i="26" s="1"/>
  <c r="D95" i="31"/>
  <c r="F95" i="31" s="1"/>
  <c r="D134" i="25"/>
  <c r="F134" i="25" s="1"/>
  <c r="D134" i="31"/>
  <c r="F134" i="31" s="1"/>
  <c r="D205" i="25"/>
  <c r="F205" i="25" s="1"/>
  <c r="D204" i="31"/>
  <c r="F204" i="31" s="1"/>
  <c r="D233" i="25"/>
  <c r="F233" i="25" s="1"/>
  <c r="D233" i="31"/>
  <c r="F233" i="31" s="1"/>
  <c r="D266" i="25"/>
  <c r="D266" i="31"/>
  <c r="F266" i="31" s="1"/>
  <c r="D299" i="25"/>
  <c r="F299" i="25" s="1"/>
  <c r="D299" i="31"/>
  <c r="F299" i="31" s="1"/>
  <c r="D332" i="25"/>
  <c r="F332" i="25" s="1"/>
  <c r="D332" i="31"/>
  <c r="F332" i="31" s="1"/>
  <c r="D364" i="25"/>
  <c r="F364" i="25" s="1"/>
  <c r="D364" i="31"/>
  <c r="F364" i="31" s="1"/>
  <c r="D225" i="25"/>
  <c r="F225" i="25" s="1"/>
  <c r="D224" i="31"/>
  <c r="F224" i="31" s="1"/>
  <c r="D183" i="25"/>
  <c r="F183" i="25" s="1"/>
  <c r="D183" i="31"/>
  <c r="F183" i="31" s="1"/>
  <c r="D226" i="25"/>
  <c r="F226" i="25" s="1"/>
  <c r="D225" i="31"/>
  <c r="F225" i="31" s="1"/>
  <c r="D267" i="25"/>
  <c r="F267" i="25" s="1"/>
  <c r="D267" i="31"/>
  <c r="F267" i="31" s="1"/>
  <c r="D300" i="25"/>
  <c r="F300" i="25" s="1"/>
  <c r="D300" i="31"/>
  <c r="F300" i="31" s="1"/>
  <c r="D349" i="25"/>
  <c r="F349" i="25" s="1"/>
  <c r="D349" i="31"/>
  <c r="F349" i="31" s="1"/>
  <c r="D271" i="25"/>
  <c r="F271" i="25" s="1"/>
  <c r="D271" i="31"/>
  <c r="F271" i="31" s="1"/>
  <c r="D168" i="25"/>
  <c r="F168" i="25" s="1"/>
  <c r="D167" i="31"/>
  <c r="F167" i="31" s="1"/>
  <c r="D192" i="25"/>
  <c r="F192" i="25" s="1"/>
  <c r="D192" i="31"/>
  <c r="F192" i="31" s="1"/>
  <c r="D222" i="25"/>
  <c r="F222" i="25" s="1"/>
  <c r="D221" i="31"/>
  <c r="F221" i="31" s="1"/>
  <c r="D243" i="25"/>
  <c r="F243" i="25" s="1"/>
  <c r="D243" i="31"/>
  <c r="F243" i="31" s="1"/>
  <c r="D268" i="25"/>
  <c r="F268" i="25" s="1"/>
  <c r="D268" i="31"/>
  <c r="F268" i="31" s="1"/>
  <c r="D293" i="25"/>
  <c r="F293" i="25" s="1"/>
  <c r="D293" i="31"/>
  <c r="F293" i="31" s="1"/>
  <c r="D309" i="25"/>
  <c r="F309" i="25" s="1"/>
  <c r="D309" i="31"/>
  <c r="F309" i="31" s="1"/>
  <c r="D334" i="25"/>
  <c r="F334" i="25" s="1"/>
  <c r="D334" i="31"/>
  <c r="F334" i="31" s="1"/>
  <c r="D358" i="25"/>
  <c r="F358" i="25" s="1"/>
  <c r="D358" i="31"/>
  <c r="F358" i="31" s="1"/>
  <c r="D311" i="25"/>
  <c r="F311" i="25" s="1"/>
  <c r="D311" i="31"/>
  <c r="F311" i="31" s="1"/>
  <c r="D21" i="25"/>
  <c r="F21" i="25" s="1"/>
  <c r="D21" i="31"/>
  <c r="F21" i="31" s="1"/>
  <c r="D28" i="25"/>
  <c r="F28" i="25" s="1"/>
  <c r="D28" i="31"/>
  <c r="F28" i="31" s="1"/>
  <c r="D37" i="26"/>
  <c r="F37" i="26" s="1"/>
  <c r="D36" i="31"/>
  <c r="F36" i="31" s="1"/>
  <c r="D114" i="25"/>
  <c r="D114" i="31"/>
  <c r="F114" i="31" s="1"/>
  <c r="D122" i="25"/>
  <c r="F122" i="25" s="1"/>
  <c r="D122" i="31"/>
  <c r="F122" i="31" s="1"/>
  <c r="D131" i="26"/>
  <c r="F131" i="26" s="1"/>
  <c r="D129" i="31"/>
  <c r="F129" i="31" s="1"/>
  <c r="D146" i="25"/>
  <c r="F146" i="25" s="1"/>
  <c r="D146" i="31"/>
  <c r="F146" i="31" s="1"/>
  <c r="D185" i="25"/>
  <c r="F185" i="25" s="1"/>
  <c r="D185" i="31"/>
  <c r="F185" i="31" s="1"/>
  <c r="D200" i="25"/>
  <c r="F200" i="25" s="1"/>
  <c r="D200" i="31"/>
  <c r="F200" i="31" s="1"/>
  <c r="D215" i="25"/>
  <c r="F215" i="25" s="1"/>
  <c r="D214" i="31"/>
  <c r="F214" i="31" s="1"/>
  <c r="D236" i="25"/>
  <c r="F236" i="25" s="1"/>
  <c r="D236" i="31"/>
  <c r="F236" i="31" s="1"/>
  <c r="D269" i="25"/>
  <c r="D269" i="31"/>
  <c r="F269" i="31" s="1"/>
  <c r="D294" i="25"/>
  <c r="F294" i="25" s="1"/>
  <c r="D294" i="31"/>
  <c r="F294" i="31" s="1"/>
  <c r="D319" i="25"/>
  <c r="F319" i="25" s="1"/>
  <c r="D319" i="31"/>
  <c r="F319" i="31" s="1"/>
  <c r="D343" i="25"/>
  <c r="F343" i="25" s="1"/>
  <c r="D343" i="31"/>
  <c r="F343" i="31" s="1"/>
  <c r="D359" i="25"/>
  <c r="F359" i="25" s="1"/>
  <c r="D359" i="31"/>
  <c r="F359" i="31" s="1"/>
  <c r="D91" i="25"/>
  <c r="F91" i="25" s="1"/>
  <c r="D91" i="31"/>
  <c r="F91" i="31" s="1"/>
  <c r="D166" i="26"/>
  <c r="F166" i="26" s="1"/>
  <c r="D162" i="31"/>
  <c r="F162" i="31" s="1"/>
  <c r="D245" i="25"/>
  <c r="F245" i="25" s="1"/>
  <c r="D245" i="31"/>
  <c r="F245" i="31" s="1"/>
  <c r="D270" i="25"/>
  <c r="F270" i="25" s="1"/>
  <c r="D270" i="31"/>
  <c r="F270" i="31" s="1"/>
  <c r="D287" i="25"/>
  <c r="F287" i="25" s="1"/>
  <c r="D287" i="31"/>
  <c r="F287" i="31" s="1"/>
  <c r="D303" i="25"/>
  <c r="F303" i="25" s="1"/>
  <c r="D303" i="31"/>
  <c r="F303" i="31" s="1"/>
  <c r="D320" i="25"/>
  <c r="F320" i="25" s="1"/>
  <c r="D320" i="31"/>
  <c r="F320" i="31" s="1"/>
  <c r="D344" i="25"/>
  <c r="F344" i="25" s="1"/>
  <c r="D344" i="31"/>
  <c r="F344" i="31" s="1"/>
  <c r="D360" i="25"/>
  <c r="F360" i="25" s="1"/>
  <c r="D360" i="31"/>
  <c r="F360" i="31" s="1"/>
  <c r="D90" i="26"/>
  <c r="F90" i="26" s="1"/>
  <c r="D88" i="31"/>
  <c r="F88" i="31" s="1"/>
  <c r="D16" i="25"/>
  <c r="F16" i="25" s="1"/>
  <c r="D16" i="31"/>
  <c r="F16" i="31" s="1"/>
  <c r="D38" i="25"/>
  <c r="F38" i="25" s="1"/>
  <c r="D38" i="31"/>
  <c r="F38" i="31" s="1"/>
  <c r="D46" i="25"/>
  <c r="F46" i="25" s="1"/>
  <c r="D46" i="31"/>
  <c r="F46" i="31" s="1"/>
  <c r="D51" i="25"/>
  <c r="F51" i="25" s="1"/>
  <c r="D51" i="31"/>
  <c r="F51" i="31" s="1"/>
  <c r="D59" i="25"/>
  <c r="F59" i="25" s="1"/>
  <c r="D59" i="31"/>
  <c r="F59" i="31" s="1"/>
  <c r="D100" i="25"/>
  <c r="F100" i="25" s="1"/>
  <c r="D100" i="31"/>
  <c r="F100" i="31" s="1"/>
  <c r="D108" i="25"/>
  <c r="F108" i="25" s="1"/>
  <c r="D108" i="31"/>
  <c r="F108" i="31" s="1"/>
  <c r="D157" i="25"/>
  <c r="F157" i="25" s="1"/>
  <c r="D156" i="31"/>
  <c r="F156" i="31" s="1"/>
  <c r="D164" i="25"/>
  <c r="F164" i="25" s="1"/>
  <c r="D163" i="31"/>
  <c r="F163" i="31" s="1"/>
  <c r="D179" i="25"/>
  <c r="F179" i="25" s="1"/>
  <c r="D179" i="31"/>
  <c r="F179" i="31" s="1"/>
  <c r="D230" i="25"/>
  <c r="F230" i="25" s="1"/>
  <c r="D230" i="31"/>
  <c r="F230" i="31" s="1"/>
  <c r="D238" i="25"/>
  <c r="F238" i="25" s="1"/>
  <c r="D238" i="31"/>
  <c r="F238" i="31" s="1"/>
  <c r="D246" i="25"/>
  <c r="F246" i="25" s="1"/>
  <c r="D246" i="31"/>
  <c r="F246" i="31" s="1"/>
  <c r="D254" i="25"/>
  <c r="F254" i="25" s="1"/>
  <c r="D254" i="31"/>
  <c r="F254" i="31" s="1"/>
  <c r="D262" i="25"/>
  <c r="F262" i="25" s="1"/>
  <c r="D262" i="31"/>
  <c r="F262" i="31" s="1"/>
  <c r="D280" i="25"/>
  <c r="F280" i="25" s="1"/>
  <c r="D280" i="31"/>
  <c r="F280" i="31" s="1"/>
  <c r="D288" i="25"/>
  <c r="F288" i="25" s="1"/>
  <c r="D288" i="31"/>
  <c r="F288" i="31" s="1"/>
  <c r="D321" i="25"/>
  <c r="F321" i="25" s="1"/>
  <c r="D321" i="31"/>
  <c r="F321" i="31" s="1"/>
  <c r="D361" i="25"/>
  <c r="F361" i="25" s="1"/>
  <c r="D361" i="31"/>
  <c r="F361" i="31" s="1"/>
  <c r="D137" i="25"/>
  <c r="F137" i="25" s="1"/>
  <c r="D137" i="31"/>
  <c r="F137" i="31" s="1"/>
  <c r="D24" i="25"/>
  <c r="F24" i="25" s="1"/>
  <c r="D24" i="31"/>
  <c r="F24" i="31" s="1"/>
  <c r="D31" i="25"/>
  <c r="F31" i="25" s="1"/>
  <c r="D31" i="31"/>
  <c r="F31" i="31" s="1"/>
  <c r="D39" i="25"/>
  <c r="F39" i="25" s="1"/>
  <c r="D39" i="31"/>
  <c r="F39" i="31" s="1"/>
  <c r="D52" i="25"/>
  <c r="F52" i="25" s="1"/>
  <c r="D52" i="31"/>
  <c r="F52" i="31" s="1"/>
  <c r="D60" i="25"/>
  <c r="F60" i="25" s="1"/>
  <c r="D60" i="31"/>
  <c r="F60" i="31" s="1"/>
  <c r="D68" i="25"/>
  <c r="F68" i="25" s="1"/>
  <c r="D68" i="31"/>
  <c r="F68" i="31" s="1"/>
  <c r="D76" i="25"/>
  <c r="F76" i="25" s="1"/>
  <c r="D76" i="31"/>
  <c r="F76" i="31" s="1"/>
  <c r="D84" i="25"/>
  <c r="F84" i="25" s="1"/>
  <c r="D84" i="31"/>
  <c r="F84" i="31" s="1"/>
  <c r="D101" i="25"/>
  <c r="F101" i="25" s="1"/>
  <c r="D101" i="31"/>
  <c r="F101" i="31" s="1"/>
  <c r="D109" i="25"/>
  <c r="F109" i="25" s="1"/>
  <c r="D109" i="31"/>
  <c r="F109" i="31" s="1"/>
  <c r="D117" i="25"/>
  <c r="F117" i="25" s="1"/>
  <c r="D117" i="31"/>
  <c r="F117" i="31" s="1"/>
  <c r="D125" i="25"/>
  <c r="F125" i="25" s="1"/>
  <c r="D125" i="31"/>
  <c r="F125" i="31" s="1"/>
  <c r="D132" i="25"/>
  <c r="F132" i="25" s="1"/>
  <c r="D132" i="31"/>
  <c r="F132" i="31" s="1"/>
  <c r="D141" i="25"/>
  <c r="F141" i="25" s="1"/>
  <c r="D141" i="31"/>
  <c r="F141" i="31" s="1"/>
  <c r="D149" i="25"/>
  <c r="F149" i="25" s="1"/>
  <c r="D149" i="31"/>
  <c r="F149" i="31" s="1"/>
  <c r="D172" i="25"/>
  <c r="F172" i="25" s="1"/>
  <c r="D171" i="31"/>
  <c r="F171" i="31" s="1"/>
  <c r="D180" i="25"/>
  <c r="F180" i="25" s="1"/>
  <c r="D180" i="31"/>
  <c r="F180" i="31" s="1"/>
  <c r="D196" i="25"/>
  <c r="F196" i="25" s="1"/>
  <c r="D196" i="31"/>
  <c r="F196" i="31" s="1"/>
  <c r="D203" i="25"/>
  <c r="F203" i="25" s="1"/>
  <c r="D203" i="31"/>
  <c r="F203" i="31" s="1"/>
  <c r="D218" i="25"/>
  <c r="F218" i="25" s="1"/>
  <c r="D217" i="31"/>
  <c r="F217" i="31" s="1"/>
  <c r="D231" i="25"/>
  <c r="F231" i="25" s="1"/>
  <c r="D231" i="31"/>
  <c r="F231" i="31" s="1"/>
  <c r="D239" i="25"/>
  <c r="F239" i="25" s="1"/>
  <c r="D239" i="31"/>
  <c r="F239" i="31" s="1"/>
  <c r="D247" i="25"/>
  <c r="F247" i="25" s="1"/>
  <c r="D247" i="31"/>
  <c r="F247" i="31" s="1"/>
  <c r="D255" i="25"/>
  <c r="F255" i="25" s="1"/>
  <c r="D255" i="31"/>
  <c r="F255" i="31" s="1"/>
  <c r="D264" i="25"/>
  <c r="F264" i="25" s="1"/>
  <c r="D264" i="31"/>
  <c r="F264" i="31" s="1"/>
  <c r="D281" i="25"/>
  <c r="D281" i="31"/>
  <c r="F281" i="31" s="1"/>
  <c r="D297" i="25"/>
  <c r="F297" i="25" s="1"/>
  <c r="D297" i="31"/>
  <c r="F297" i="31" s="1"/>
  <c r="D305" i="25"/>
  <c r="F305" i="25" s="1"/>
  <c r="D305" i="31"/>
  <c r="F305" i="31" s="1"/>
  <c r="D314" i="25"/>
  <c r="F314" i="25" s="1"/>
  <c r="D314" i="31"/>
  <c r="F314" i="31" s="1"/>
  <c r="D330" i="25"/>
  <c r="F330" i="25" s="1"/>
  <c r="D330" i="31"/>
  <c r="F330" i="31" s="1"/>
  <c r="D346" i="25"/>
  <c r="F346" i="25" s="1"/>
  <c r="D346" i="31"/>
  <c r="F346" i="31" s="1"/>
  <c r="D362" i="25"/>
  <c r="F362" i="25" s="1"/>
  <c r="D362" i="31"/>
  <c r="F362" i="31" s="1"/>
  <c r="D370" i="25"/>
  <c r="F370" i="25" s="1"/>
  <c r="D370" i="31"/>
  <c r="F370" i="31" s="1"/>
  <c r="D373" i="25"/>
  <c r="D373" i="31"/>
  <c r="F373" i="31" s="1"/>
  <c r="D224" i="25"/>
  <c r="F224" i="25" s="1"/>
  <c r="D223" i="31"/>
  <c r="F223" i="31" s="1"/>
  <c r="D257" i="25"/>
  <c r="F257" i="25" s="1"/>
  <c r="D257" i="31"/>
  <c r="F257" i="31" s="1"/>
  <c r="D291" i="25"/>
  <c r="F291" i="25" s="1"/>
  <c r="D291" i="31"/>
  <c r="F291" i="31" s="1"/>
  <c r="D324" i="25"/>
  <c r="D324" i="31"/>
  <c r="F324" i="31" s="1"/>
  <c r="D356" i="25"/>
  <c r="F356" i="25" s="1"/>
  <c r="D356" i="31"/>
  <c r="F356" i="31" s="1"/>
  <c r="D63" i="25"/>
  <c r="F63" i="25" s="1"/>
  <c r="D63" i="31"/>
  <c r="F63" i="31" s="1"/>
  <c r="D79" i="25"/>
  <c r="F79" i="25" s="1"/>
  <c r="D79" i="31"/>
  <c r="F79" i="31" s="1"/>
  <c r="D198" i="25"/>
  <c r="F198" i="25" s="1"/>
  <c r="D198" i="31"/>
  <c r="F198" i="31" s="1"/>
  <c r="D221" i="25"/>
  <c r="F221" i="25" s="1"/>
  <c r="D220" i="31"/>
  <c r="F220" i="31" s="1"/>
  <c r="D242" i="25"/>
  <c r="F242" i="25" s="1"/>
  <c r="D242" i="31"/>
  <c r="F242" i="31" s="1"/>
  <c r="D276" i="25"/>
  <c r="F276" i="25" s="1"/>
  <c r="D276" i="31"/>
  <c r="F276" i="31" s="1"/>
  <c r="D308" i="25"/>
  <c r="F308" i="25" s="1"/>
  <c r="D308" i="31"/>
  <c r="F308" i="31" s="1"/>
  <c r="D333" i="25"/>
  <c r="F333" i="25" s="1"/>
  <c r="D333" i="31"/>
  <c r="F333" i="31" s="1"/>
  <c r="D365" i="25"/>
  <c r="F365" i="25" s="1"/>
  <c r="D365" i="31"/>
  <c r="F365" i="31" s="1"/>
  <c r="D153" i="25"/>
  <c r="F153" i="25" s="1"/>
  <c r="D152" i="31"/>
  <c r="F152" i="31" s="1"/>
  <c r="D26" i="26"/>
  <c r="F26" i="26" s="1"/>
  <c r="D25" i="31"/>
  <c r="F25" i="31" s="1"/>
  <c r="D32" i="25"/>
  <c r="F32" i="25" s="1"/>
  <c r="D32" i="31"/>
  <c r="F32" i="31" s="1"/>
  <c r="D47" i="25"/>
  <c r="F47" i="25" s="1"/>
  <c r="D47" i="31"/>
  <c r="F47" i="31" s="1"/>
  <c r="D61" i="25"/>
  <c r="F61" i="25" s="1"/>
  <c r="D61" i="31"/>
  <c r="F61" i="31" s="1"/>
  <c r="D69" i="25"/>
  <c r="F69" i="25" s="1"/>
  <c r="D69" i="31"/>
  <c r="F69" i="31" s="1"/>
  <c r="D77" i="25"/>
  <c r="F77" i="25" s="1"/>
  <c r="D77" i="31"/>
  <c r="F77" i="31" s="1"/>
  <c r="D94" i="25"/>
  <c r="F94" i="25" s="1"/>
  <c r="D94" i="31"/>
  <c r="F94" i="31" s="1"/>
  <c r="D110" i="25"/>
  <c r="F110" i="25" s="1"/>
  <c r="D110" i="31"/>
  <c r="F110" i="31" s="1"/>
  <c r="D118" i="25"/>
  <c r="F118" i="25" s="1"/>
  <c r="D118" i="31"/>
  <c r="F118" i="31" s="1"/>
  <c r="D126" i="25"/>
  <c r="F126" i="25" s="1"/>
  <c r="D126" i="31"/>
  <c r="F126" i="31" s="1"/>
  <c r="D133" i="25"/>
  <c r="F133" i="25" s="1"/>
  <c r="D133" i="31"/>
  <c r="F133" i="31" s="1"/>
  <c r="D160" i="25"/>
  <c r="F160" i="25" s="1"/>
  <c r="D159" i="31"/>
  <c r="F159" i="31" s="1"/>
  <c r="D181" i="25"/>
  <c r="F181" i="25" s="1"/>
  <c r="D181" i="31"/>
  <c r="F181" i="31" s="1"/>
  <c r="D197" i="25"/>
  <c r="F197" i="25" s="1"/>
  <c r="D197" i="31"/>
  <c r="F197" i="31" s="1"/>
  <c r="D211" i="25"/>
  <c r="F211" i="25" s="1"/>
  <c r="D210" i="31"/>
  <c r="F210" i="31" s="1"/>
  <c r="D219" i="25"/>
  <c r="F219" i="25" s="1"/>
  <c r="D218" i="31"/>
  <c r="F218" i="31" s="1"/>
  <c r="D223" i="25"/>
  <c r="F223" i="25" s="1"/>
  <c r="D222" i="31"/>
  <c r="F222" i="31" s="1"/>
  <c r="D232" i="25"/>
  <c r="F232" i="25" s="1"/>
  <c r="D232" i="31"/>
  <c r="F232" i="31" s="1"/>
  <c r="D240" i="25"/>
  <c r="F240" i="25" s="1"/>
  <c r="D240" i="31"/>
  <c r="F240" i="31" s="1"/>
  <c r="D248" i="25"/>
  <c r="F248" i="25" s="1"/>
  <c r="D248" i="31"/>
  <c r="F248" i="31" s="1"/>
  <c r="D256" i="25"/>
  <c r="D256" i="31"/>
  <c r="F256" i="31" s="1"/>
  <c r="D265" i="25"/>
  <c r="F265" i="25" s="1"/>
  <c r="D265" i="31"/>
  <c r="F265" i="31" s="1"/>
  <c r="D274" i="25"/>
  <c r="F274" i="25" s="1"/>
  <c r="D274" i="31"/>
  <c r="F274" i="31" s="1"/>
  <c r="D282" i="25"/>
  <c r="F282" i="25" s="1"/>
  <c r="D282" i="31"/>
  <c r="F282" i="31" s="1"/>
  <c r="D290" i="25"/>
  <c r="F290" i="25" s="1"/>
  <c r="D290" i="31"/>
  <c r="F290" i="31" s="1"/>
  <c r="D298" i="25"/>
  <c r="F298" i="25" s="1"/>
  <c r="D298" i="31"/>
  <c r="F298" i="31" s="1"/>
  <c r="D306" i="25"/>
  <c r="F306" i="25" s="1"/>
  <c r="D306" i="31"/>
  <c r="F306" i="31" s="1"/>
  <c r="D315" i="25"/>
  <c r="F315" i="25" s="1"/>
  <c r="D315" i="31"/>
  <c r="F315" i="31" s="1"/>
  <c r="D323" i="25"/>
  <c r="F323" i="25" s="1"/>
  <c r="D323" i="31"/>
  <c r="F323" i="31" s="1"/>
  <c r="D331" i="25"/>
  <c r="F331" i="25" s="1"/>
  <c r="D331" i="31"/>
  <c r="F331" i="31" s="1"/>
  <c r="D339" i="25"/>
  <c r="F339" i="25" s="1"/>
  <c r="D339" i="31"/>
  <c r="F339" i="31" s="1"/>
  <c r="D347" i="25"/>
  <c r="F347" i="25" s="1"/>
  <c r="D347" i="31"/>
  <c r="F347" i="31" s="1"/>
  <c r="D355" i="25"/>
  <c r="F355" i="25" s="1"/>
  <c r="D355" i="31"/>
  <c r="F355" i="31" s="1"/>
  <c r="D363" i="25"/>
  <c r="F363" i="25" s="1"/>
  <c r="D363" i="31"/>
  <c r="F363" i="31" s="1"/>
  <c r="E12" i="26"/>
  <c r="G12" i="26" s="1"/>
  <c r="E12" i="31"/>
  <c r="G12" i="31" s="1"/>
  <c r="D12" i="25"/>
  <c r="F12" i="25" s="1"/>
  <c r="D12" i="31"/>
  <c r="F12" i="31" s="1"/>
  <c r="D71" i="26"/>
  <c r="F71" i="26" s="1"/>
  <c r="D158" i="26"/>
  <c r="F158" i="26" s="1"/>
  <c r="D296" i="26"/>
  <c r="F296" i="26" s="1"/>
  <c r="D39" i="26"/>
  <c r="F39" i="26" s="1"/>
  <c r="D361" i="26"/>
  <c r="F361" i="26" s="1"/>
  <c r="D153" i="26"/>
  <c r="F153" i="26" s="1"/>
  <c r="D52" i="26"/>
  <c r="F52" i="26" s="1"/>
  <c r="D53" i="26"/>
  <c r="F53" i="26" s="1"/>
  <c r="D175" i="26"/>
  <c r="F175" i="26" s="1"/>
  <c r="D369" i="26"/>
  <c r="F369" i="26" s="1"/>
  <c r="D65" i="26"/>
  <c r="F65" i="26" s="1"/>
  <c r="D187" i="26"/>
  <c r="F187" i="26" s="1"/>
  <c r="G293" i="4"/>
  <c r="D92" i="26"/>
  <c r="F92" i="26" s="1"/>
  <c r="D154" i="26"/>
  <c r="F154" i="26" s="1"/>
  <c r="D156" i="26"/>
  <c r="F156" i="26" s="1"/>
  <c r="D136" i="25"/>
  <c r="F136" i="25" s="1"/>
  <c r="D138" i="26"/>
  <c r="F138" i="26" s="1"/>
  <c r="D25" i="25"/>
  <c r="F25" i="25" s="1"/>
  <c r="D36" i="25"/>
  <c r="F36" i="25" s="1"/>
  <c r="D42" i="25"/>
  <c r="F42" i="25" s="1"/>
  <c r="D59" i="26"/>
  <c r="F59" i="26" s="1"/>
  <c r="D100" i="26"/>
  <c r="F100" i="26" s="1"/>
  <c r="D185" i="26"/>
  <c r="F185" i="26" s="1"/>
  <c r="D67" i="26"/>
  <c r="F67" i="26" s="1"/>
  <c r="D120" i="26"/>
  <c r="F120" i="26" s="1"/>
  <c r="G298" i="25"/>
  <c r="D186" i="25"/>
  <c r="F186" i="25" s="1"/>
  <c r="D190" i="26"/>
  <c r="F190" i="26" s="1"/>
  <c r="D187" i="25"/>
  <c r="F187" i="25" s="1"/>
  <c r="D191" i="26"/>
  <c r="F191" i="26" s="1"/>
  <c r="D18" i="25"/>
  <c r="F18" i="25" s="1"/>
  <c r="D18" i="26"/>
  <c r="F18" i="26" s="1"/>
  <c r="D169" i="25"/>
  <c r="F169" i="25" s="1"/>
  <c r="D173" i="26"/>
  <c r="F173" i="26" s="1"/>
  <c r="D14" i="25"/>
  <c r="F14" i="25" s="1"/>
  <c r="D14" i="26"/>
  <c r="F14" i="26" s="1"/>
  <c r="D22" i="25"/>
  <c r="F22" i="25" s="1"/>
  <c r="D23" i="26"/>
  <c r="F23" i="26" s="1"/>
  <c r="D37" i="25"/>
  <c r="F37" i="25" s="1"/>
  <c r="D38" i="26"/>
  <c r="F38" i="26" s="1"/>
  <c r="D66" i="25"/>
  <c r="F66" i="25" s="1"/>
  <c r="D68" i="26"/>
  <c r="F68" i="26" s="1"/>
  <c r="D82" i="25"/>
  <c r="F82" i="25" s="1"/>
  <c r="D84" i="26"/>
  <c r="F84" i="26" s="1"/>
  <c r="D99" i="25"/>
  <c r="F99" i="25" s="1"/>
  <c r="D101" i="26"/>
  <c r="F101" i="26" s="1"/>
  <c r="D156" i="25"/>
  <c r="F156" i="25" s="1"/>
  <c r="D157" i="26"/>
  <c r="F157" i="26" s="1"/>
  <c r="D23" i="25"/>
  <c r="F23" i="25" s="1"/>
  <c r="D24" i="26"/>
  <c r="F24" i="26" s="1"/>
  <c r="D31" i="26"/>
  <c r="F31" i="26" s="1"/>
  <c r="D30" i="25"/>
  <c r="F30" i="25" s="1"/>
  <c r="D67" i="25"/>
  <c r="F67" i="25" s="1"/>
  <c r="D69" i="26"/>
  <c r="F69" i="26" s="1"/>
  <c r="D83" i="25"/>
  <c r="F83" i="25" s="1"/>
  <c r="D85" i="26"/>
  <c r="F85" i="26" s="1"/>
  <c r="D116" i="25"/>
  <c r="F116" i="25" s="1"/>
  <c r="D118" i="26"/>
  <c r="F118" i="26" s="1"/>
  <c r="D131" i="25"/>
  <c r="F131" i="25" s="1"/>
  <c r="D133" i="26"/>
  <c r="F133" i="26" s="1"/>
  <c r="D149" i="26"/>
  <c r="F149" i="26" s="1"/>
  <c r="D148" i="25"/>
  <c r="F148" i="25" s="1"/>
  <c r="D195" i="25"/>
  <c r="F195" i="25" s="1"/>
  <c r="D199" i="26"/>
  <c r="F199" i="26" s="1"/>
  <c r="D214" i="26"/>
  <c r="F214" i="26" s="1"/>
  <c r="D209" i="25"/>
  <c r="F209" i="25" s="1"/>
  <c r="D217" i="25"/>
  <c r="F217" i="25" s="1"/>
  <c r="D222" i="26"/>
  <c r="F222" i="26" s="1"/>
  <c r="D272" i="25"/>
  <c r="F272" i="25" s="1"/>
  <c r="D280" i="26"/>
  <c r="F280" i="26" s="1"/>
  <c r="D296" i="25"/>
  <c r="F296" i="25" s="1"/>
  <c r="D304" i="26"/>
  <c r="F304" i="26" s="1"/>
  <c r="D304" i="25"/>
  <c r="F304" i="25" s="1"/>
  <c r="D312" i="26"/>
  <c r="F312" i="26" s="1"/>
  <c r="D337" i="25"/>
  <c r="F337" i="25" s="1"/>
  <c r="D345" i="26"/>
  <c r="F345" i="26" s="1"/>
  <c r="D345" i="25"/>
  <c r="F345" i="25" s="1"/>
  <c r="D353" i="26"/>
  <c r="F353" i="26" s="1"/>
  <c r="D369" i="25"/>
  <c r="F369" i="25" s="1"/>
  <c r="D377" i="26"/>
  <c r="F377" i="26" s="1"/>
  <c r="D102" i="26"/>
  <c r="F102" i="26" s="1"/>
  <c r="D40" i="25"/>
  <c r="F40" i="25" s="1"/>
  <c r="D41" i="26"/>
  <c r="F41" i="26" s="1"/>
  <c r="D53" i="25"/>
  <c r="F53" i="25" s="1"/>
  <c r="D55" i="26"/>
  <c r="F55" i="26" s="1"/>
  <c r="D85" i="25"/>
  <c r="F85" i="25" s="1"/>
  <c r="D87" i="26"/>
  <c r="F87" i="26" s="1"/>
  <c r="D102" i="25"/>
  <c r="F102" i="25" s="1"/>
  <c r="D104" i="26"/>
  <c r="F104" i="26" s="1"/>
  <c r="D142" i="25"/>
  <c r="F142" i="25" s="1"/>
  <c r="D143" i="26"/>
  <c r="F143" i="26" s="1"/>
  <c r="D150" i="25"/>
  <c r="F150" i="25" s="1"/>
  <c r="D151" i="26"/>
  <c r="F151" i="26" s="1"/>
  <c r="D165" i="25"/>
  <c r="F165" i="25" s="1"/>
  <c r="D169" i="26"/>
  <c r="F169" i="26" s="1"/>
  <c r="G18" i="25"/>
  <c r="D109" i="26"/>
  <c r="F109" i="26" s="1"/>
  <c r="D239" i="26"/>
  <c r="F239" i="26" s="1"/>
  <c r="D124" i="26"/>
  <c r="F124" i="26" s="1"/>
  <c r="D110" i="26"/>
  <c r="F110" i="26" s="1"/>
  <c r="D247" i="26"/>
  <c r="F247" i="26" s="1"/>
  <c r="D49" i="26"/>
  <c r="F49" i="26" s="1"/>
  <c r="D135" i="26"/>
  <c r="F135" i="26" s="1"/>
  <c r="D117" i="26"/>
  <c r="F117" i="26" s="1"/>
  <c r="D255" i="26"/>
  <c r="F255" i="26" s="1"/>
  <c r="G286" i="25"/>
  <c r="E294" i="26"/>
  <c r="G294" i="26" s="1"/>
  <c r="D152" i="26"/>
  <c r="F152" i="26" s="1"/>
  <c r="D48" i="25"/>
  <c r="F48" i="25" s="1"/>
  <c r="D106" i="25"/>
  <c r="F106" i="25" s="1"/>
  <c r="D108" i="26"/>
  <c r="F108" i="26" s="1"/>
  <c r="I19" i="14"/>
  <c r="C19" i="14"/>
  <c r="D19" i="14"/>
  <c r="E19" i="14"/>
  <c r="H19" i="14"/>
  <c r="F19" i="14"/>
  <c r="G19" i="14"/>
  <c r="G106" i="25"/>
  <c r="G160" i="25"/>
  <c r="G214" i="25"/>
  <c r="G282" i="25"/>
  <c r="G114" i="25"/>
  <c r="G122" i="25"/>
  <c r="G363" i="25"/>
  <c r="G118" i="25"/>
  <c r="G150" i="25"/>
  <c r="G248" i="25"/>
  <c r="G347" i="25"/>
  <c r="G36" i="25"/>
  <c r="G204" i="25"/>
  <c r="G102" i="25"/>
  <c r="G232" i="25"/>
  <c r="G302" i="25"/>
  <c r="D104" i="25"/>
  <c r="F104" i="25" s="1"/>
  <c r="D106" i="26"/>
  <c r="F106" i="26" s="1"/>
  <c r="D75" i="25"/>
  <c r="F75" i="25" s="1"/>
  <c r="D77" i="26"/>
  <c r="F77" i="26" s="1"/>
  <c r="D155" i="26"/>
  <c r="F155" i="26" s="1"/>
  <c r="D154" i="25"/>
  <c r="F154" i="25" s="1"/>
  <c r="E257" i="26"/>
  <c r="G257" i="26" s="1"/>
  <c r="D35" i="26"/>
  <c r="F35" i="26" s="1"/>
  <c r="D170" i="26"/>
  <c r="F170" i="26" s="1"/>
  <c r="D58" i="26"/>
  <c r="F58" i="26" s="1"/>
  <c r="D56" i="25"/>
  <c r="F56" i="25" s="1"/>
  <c r="D66" i="26"/>
  <c r="F66" i="26" s="1"/>
  <c r="D64" i="25"/>
  <c r="F64" i="25" s="1"/>
  <c r="D91" i="26"/>
  <c r="F91" i="26" s="1"/>
  <c r="D89" i="25"/>
  <c r="F89" i="25" s="1"/>
  <c r="D99" i="26"/>
  <c r="F99" i="26" s="1"/>
  <c r="D97" i="25"/>
  <c r="F97" i="25" s="1"/>
  <c r="D105" i="25"/>
  <c r="F105" i="25" s="1"/>
  <c r="D115" i="26"/>
  <c r="F115" i="26" s="1"/>
  <c r="D113" i="25"/>
  <c r="F113" i="25" s="1"/>
  <c r="D130" i="26"/>
  <c r="F130" i="26" s="1"/>
  <c r="D128" i="25"/>
  <c r="F128" i="25" s="1"/>
  <c r="D162" i="25"/>
  <c r="F162" i="25" s="1"/>
  <c r="D164" i="26"/>
  <c r="F164" i="26" s="1"/>
  <c r="D29" i="25"/>
  <c r="F29" i="25" s="1"/>
  <c r="D30" i="26"/>
  <c r="F30" i="26" s="1"/>
  <c r="D93" i="25"/>
  <c r="F93" i="25" s="1"/>
  <c r="D173" i="25"/>
  <c r="F173" i="25" s="1"/>
  <c r="D177" i="26"/>
  <c r="F177" i="26" s="1"/>
  <c r="G110" i="25"/>
  <c r="E112" i="26"/>
  <c r="G112" i="26" s="1"/>
  <c r="D26" i="25"/>
  <c r="F26" i="25" s="1"/>
  <c r="D27" i="26"/>
  <c r="F27" i="26" s="1"/>
  <c r="D119" i="25"/>
  <c r="F119" i="25" s="1"/>
  <c r="D121" i="26"/>
  <c r="F121" i="26" s="1"/>
  <c r="D143" i="25"/>
  <c r="F143" i="25" s="1"/>
  <c r="D144" i="26"/>
  <c r="F144" i="26" s="1"/>
  <c r="D34" i="26"/>
  <c r="F34" i="26" s="1"/>
  <c r="D71" i="25"/>
  <c r="F71" i="25" s="1"/>
  <c r="D73" i="26"/>
  <c r="F73" i="26" s="1"/>
  <c r="D161" i="25"/>
  <c r="F161" i="25" s="1"/>
  <c r="D163" i="26"/>
  <c r="F163" i="26" s="1"/>
  <c r="D179" i="26"/>
  <c r="F179" i="26" s="1"/>
  <c r="D175" i="25"/>
  <c r="F175" i="25" s="1"/>
  <c r="D81" i="26"/>
  <c r="F81" i="26" s="1"/>
  <c r="D171" i="26"/>
  <c r="F171" i="26" s="1"/>
  <c r="D45" i="26"/>
  <c r="F45" i="26" s="1"/>
  <c r="D44" i="25"/>
  <c r="F44" i="25" s="1"/>
  <c r="D73" i="25"/>
  <c r="F73" i="25" s="1"/>
  <c r="D75" i="26"/>
  <c r="F75" i="26" s="1"/>
  <c r="D329" i="25"/>
  <c r="F329" i="25" s="1"/>
  <c r="D337" i="26"/>
  <c r="F337" i="26" s="1"/>
  <c r="D78" i="25"/>
  <c r="F78" i="25" s="1"/>
  <c r="D80" i="26"/>
  <c r="F80" i="26" s="1"/>
  <c r="D27" i="25"/>
  <c r="F27" i="25" s="1"/>
  <c r="D28" i="26"/>
  <c r="F28" i="26" s="1"/>
  <c r="D87" i="25"/>
  <c r="F87" i="25" s="1"/>
  <c r="D89" i="26"/>
  <c r="F89" i="26" s="1"/>
  <c r="D127" i="25"/>
  <c r="F127" i="25" s="1"/>
  <c r="D129" i="26"/>
  <c r="F129" i="26" s="1"/>
  <c r="D147" i="25"/>
  <c r="F147" i="25" s="1"/>
  <c r="D148" i="26"/>
  <c r="F148" i="26" s="1"/>
  <c r="D180" i="26"/>
  <c r="F180" i="26" s="1"/>
  <c r="D176" i="25"/>
  <c r="F176" i="25" s="1"/>
  <c r="D159" i="25"/>
  <c r="F159" i="25" s="1"/>
  <c r="D160" i="26"/>
  <c r="F160" i="26" s="1"/>
  <c r="D41" i="25"/>
  <c r="F41" i="25" s="1"/>
  <c r="D42" i="26"/>
  <c r="F42" i="26" s="1"/>
  <c r="D56" i="26"/>
  <c r="F56" i="26" s="1"/>
  <c r="D54" i="25"/>
  <c r="F54" i="25" s="1"/>
  <c r="D62" i="25"/>
  <c r="F62" i="25" s="1"/>
  <c r="D64" i="26"/>
  <c r="F64" i="26" s="1"/>
  <c r="D70" i="25"/>
  <c r="F70" i="25" s="1"/>
  <c r="D72" i="26"/>
  <c r="F72" i="26" s="1"/>
  <c r="D86" i="25"/>
  <c r="F86" i="25" s="1"/>
  <c r="D88" i="26"/>
  <c r="F88" i="26" s="1"/>
  <c r="D103" i="25"/>
  <c r="F103" i="25" s="1"/>
  <c r="D105" i="26"/>
  <c r="F105" i="26" s="1"/>
  <c r="D111" i="25"/>
  <c r="F111" i="25" s="1"/>
  <c r="D113" i="26"/>
  <c r="F113" i="26" s="1"/>
  <c r="D174" i="25"/>
  <c r="F174" i="25" s="1"/>
  <c r="D178" i="26"/>
  <c r="F178" i="26" s="1"/>
  <c r="D288" i="26"/>
  <c r="F288" i="26" s="1"/>
  <c r="D55" i="25"/>
  <c r="F55" i="25" s="1"/>
  <c r="D57" i="26"/>
  <c r="F57" i="26" s="1"/>
  <c r="D96" i="25"/>
  <c r="F96" i="25" s="1"/>
  <c r="D98" i="26"/>
  <c r="F98" i="26" s="1"/>
  <c r="D112" i="25"/>
  <c r="F112" i="25" s="1"/>
  <c r="D114" i="26"/>
  <c r="F114" i="26" s="1"/>
  <c r="D120" i="25"/>
  <c r="F120" i="25" s="1"/>
  <c r="D122" i="26"/>
  <c r="F122" i="26" s="1"/>
  <c r="D144" i="25"/>
  <c r="F144" i="25" s="1"/>
  <c r="D145" i="26"/>
  <c r="F145" i="26" s="1"/>
  <c r="D15" i="25"/>
  <c r="F15" i="25" s="1"/>
  <c r="D15" i="26"/>
  <c r="F15" i="26" s="1"/>
  <c r="D45" i="25"/>
  <c r="F45" i="25" s="1"/>
  <c r="D46" i="26"/>
  <c r="F46" i="26" s="1"/>
  <c r="D74" i="25"/>
  <c r="F74" i="25" s="1"/>
  <c r="D76" i="26"/>
  <c r="F76" i="26" s="1"/>
  <c r="D123" i="25"/>
  <c r="F123" i="25" s="1"/>
  <c r="D125" i="26"/>
  <c r="F125" i="26" s="1"/>
  <c r="D138" i="25"/>
  <c r="F138" i="25" s="1"/>
  <c r="D140" i="26"/>
  <c r="F140" i="26" s="1"/>
  <c r="D170" i="25"/>
  <c r="F170" i="25" s="1"/>
  <c r="D174" i="26"/>
  <c r="F174" i="26" s="1"/>
  <c r="D19" i="26"/>
  <c r="F19" i="26" s="1"/>
  <c r="D136" i="26"/>
  <c r="F136" i="26" s="1"/>
  <c r="D186" i="26"/>
  <c r="F186" i="26" s="1"/>
  <c r="D92" i="25"/>
  <c r="F92" i="25" s="1"/>
  <c r="D94" i="26"/>
  <c r="F94" i="26" s="1"/>
  <c r="D124" i="25"/>
  <c r="F124" i="25" s="1"/>
  <c r="D126" i="26"/>
  <c r="F126" i="26" s="1"/>
  <c r="D140" i="25"/>
  <c r="F140" i="25" s="1"/>
  <c r="D141" i="26"/>
  <c r="F141" i="26" s="1"/>
  <c r="D21" i="26"/>
  <c r="F21" i="26" s="1"/>
  <c r="D20" i="25"/>
  <c r="F20" i="25" s="1"/>
  <c r="D82" i="26"/>
  <c r="F82" i="26" s="1"/>
  <c r="D80" i="25"/>
  <c r="F80" i="25" s="1"/>
  <c r="D123" i="26"/>
  <c r="F123" i="26" s="1"/>
  <c r="D121" i="25"/>
  <c r="F121" i="25" s="1"/>
  <c r="D145" i="25"/>
  <c r="F145" i="25" s="1"/>
  <c r="D188" i="26"/>
  <c r="F188" i="26" s="1"/>
  <c r="D184" i="25"/>
  <c r="F184" i="25" s="1"/>
  <c r="D354" i="25"/>
  <c r="F354" i="25" s="1"/>
  <c r="D88" i="25"/>
  <c r="F88" i="25" s="1"/>
  <c r="D146" i="26"/>
  <c r="F146" i="26" s="1"/>
  <c r="D13" i="25"/>
  <c r="F13" i="25" s="1"/>
  <c r="D129" i="25"/>
  <c r="F129" i="25" s="1"/>
  <c r="D112" i="26"/>
  <c r="F112" i="26" s="1"/>
  <c r="D189" i="26"/>
  <c r="F189" i="26" s="1"/>
  <c r="D163" i="25"/>
  <c r="F163" i="25" s="1"/>
  <c r="D372" i="25"/>
  <c r="F372" i="25" s="1"/>
  <c r="D60" i="26"/>
  <c r="F60" i="26" s="1"/>
  <c r="D93" i="26"/>
  <c r="F93" i="26" s="1"/>
  <c r="D321" i="26"/>
  <c r="F321" i="26" s="1"/>
  <c r="D79" i="26"/>
  <c r="F79" i="26" s="1"/>
  <c r="D192" i="26"/>
  <c r="F192" i="26" s="1"/>
  <c r="D188" i="25"/>
  <c r="F188" i="25" s="1"/>
  <c r="D289" i="25"/>
  <c r="F289" i="25" s="1"/>
  <c r="D338" i="25"/>
  <c r="F338" i="25" s="1"/>
  <c r="E209" i="26"/>
  <c r="G209" i="26" s="1"/>
  <c r="E306" i="26"/>
  <c r="G306" i="26" s="1"/>
  <c r="D61" i="26"/>
  <c r="F61" i="26" s="1"/>
  <c r="D182" i="26"/>
  <c r="F182" i="26" s="1"/>
  <c r="D207" i="26"/>
  <c r="F207" i="26" s="1"/>
  <c r="D263" i="26"/>
  <c r="F263" i="26" s="1"/>
  <c r="D329" i="26"/>
  <c r="F329" i="26" s="1"/>
  <c r="D17" i="25"/>
  <c r="F17" i="25" s="1"/>
  <c r="D158" i="25"/>
  <c r="F158" i="25" s="1"/>
  <c r="D210" i="25"/>
  <c r="F210" i="25" s="1"/>
  <c r="D273" i="25"/>
  <c r="F273" i="25" s="1"/>
  <c r="D322" i="25"/>
  <c r="F322" i="25" s="1"/>
  <c r="D16" i="26"/>
  <c r="F16" i="26" s="1"/>
  <c r="D47" i="26"/>
  <c r="F47" i="26" s="1"/>
  <c r="D132" i="26"/>
  <c r="F132" i="26" s="1"/>
  <c r="D167" i="26"/>
  <c r="F167" i="26" s="1"/>
  <c r="D183" i="26"/>
  <c r="F183" i="26" s="1"/>
  <c r="D271" i="26"/>
  <c r="F271" i="26" s="1"/>
  <c r="D189" i="25"/>
  <c r="F189" i="25" s="1"/>
  <c r="G94" i="25"/>
  <c r="D72" i="25"/>
  <c r="F72" i="25" s="1"/>
  <c r="G146" i="25"/>
  <c r="G215" i="25"/>
  <c r="G228" i="25"/>
  <c r="G236" i="25"/>
  <c r="G244" i="25"/>
  <c r="G260" i="25"/>
  <c r="G351" i="25"/>
  <c r="G367" i="25"/>
  <c r="G263" i="25"/>
  <c r="G239" i="25"/>
  <c r="D95" i="25"/>
  <c r="F95" i="25" s="1"/>
  <c r="G13" i="25"/>
  <c r="G21" i="25"/>
  <c r="G57" i="25"/>
  <c r="G65" i="25"/>
  <c r="G129" i="25"/>
  <c r="G193" i="25"/>
  <c r="G269" i="25"/>
  <c r="G373" i="25"/>
  <c r="G153" i="25"/>
  <c r="G32" i="25"/>
  <c r="G40" i="25"/>
  <c r="G47" i="25"/>
  <c r="G53" i="25"/>
  <c r="G61" i="25"/>
  <c r="G77" i="25"/>
  <c r="G133" i="25"/>
  <c r="G165" i="25"/>
  <c r="G173" i="25"/>
  <c r="G189" i="25"/>
  <c r="G197" i="25"/>
  <c r="G265" i="25"/>
  <c r="J11" i="14"/>
  <c r="C88" i="14"/>
  <c r="G83" i="14"/>
  <c r="G90" i="14" s="1"/>
  <c r="F114" i="25"/>
  <c r="F204" i="25"/>
  <c r="D36" i="26"/>
  <c r="F36" i="26" s="1"/>
  <c r="D32" i="26"/>
  <c r="F32" i="26" s="1"/>
  <c r="D44" i="26"/>
  <c r="F44" i="26" s="1"/>
  <c r="D62" i="26"/>
  <c r="F62" i="26" s="1"/>
  <c r="D95" i="26"/>
  <c r="F95" i="26" s="1"/>
  <c r="D107" i="26"/>
  <c r="F107" i="26" s="1"/>
  <c r="D137" i="26"/>
  <c r="F137" i="26" s="1"/>
  <c r="D150" i="26"/>
  <c r="F150" i="26" s="1"/>
  <c r="D172" i="26"/>
  <c r="F172" i="26" s="1"/>
  <c r="D184" i="26"/>
  <c r="F184" i="26" s="1"/>
  <c r="D200" i="26"/>
  <c r="F200" i="26" s="1"/>
  <c r="D215" i="26"/>
  <c r="F215" i="26" s="1"/>
  <c r="D231" i="26"/>
  <c r="F231" i="26" s="1"/>
  <c r="D248" i="26"/>
  <c r="F248" i="26" s="1"/>
  <c r="D264" i="26"/>
  <c r="F264" i="26" s="1"/>
  <c r="D281" i="26"/>
  <c r="F281" i="26" s="1"/>
  <c r="D297" i="26"/>
  <c r="F297" i="26" s="1"/>
  <c r="D313" i="26"/>
  <c r="F313" i="26" s="1"/>
  <c r="D330" i="26"/>
  <c r="F330" i="26" s="1"/>
  <c r="D346" i="26"/>
  <c r="F346" i="26" s="1"/>
  <c r="D362" i="26"/>
  <c r="F362" i="26" s="1"/>
  <c r="D378" i="26"/>
  <c r="F378" i="26" s="1"/>
  <c r="D25" i="26"/>
  <c r="F25" i="26" s="1"/>
  <c r="D48" i="26"/>
  <c r="F48" i="26" s="1"/>
  <c r="D74" i="26"/>
  <c r="F74" i="26" s="1"/>
  <c r="D86" i="26"/>
  <c r="F86" i="26" s="1"/>
  <c r="D119" i="26"/>
  <c r="F119" i="26" s="1"/>
  <c r="D134" i="26"/>
  <c r="F134" i="26" s="1"/>
  <c r="D159" i="26"/>
  <c r="F159" i="26" s="1"/>
  <c r="D176" i="26"/>
  <c r="F176" i="26" s="1"/>
  <c r="D22" i="26"/>
  <c r="F22" i="26" s="1"/>
  <c r="D33" i="26"/>
  <c r="F33" i="26" s="1"/>
  <c r="D51" i="26"/>
  <c r="F51" i="26" s="1"/>
  <c r="D63" i="26"/>
  <c r="F63" i="26" s="1"/>
  <c r="D83" i="26"/>
  <c r="F83" i="26" s="1"/>
  <c r="D96" i="26"/>
  <c r="F96" i="26" s="1"/>
  <c r="D116" i="26"/>
  <c r="F116" i="26" s="1"/>
  <c r="D128" i="26"/>
  <c r="F128" i="26" s="1"/>
  <c r="D147" i="26"/>
  <c r="F147" i="26" s="1"/>
  <c r="D161" i="26"/>
  <c r="F161" i="26" s="1"/>
  <c r="D181" i="26"/>
  <c r="F181" i="26" s="1"/>
  <c r="D193" i="26"/>
  <c r="F193" i="26" s="1"/>
  <c r="D209" i="26"/>
  <c r="F209" i="26" s="1"/>
  <c r="D224" i="26"/>
  <c r="F224" i="26" s="1"/>
  <c r="D241" i="26"/>
  <c r="F241" i="26" s="1"/>
  <c r="D257" i="26"/>
  <c r="F257" i="26" s="1"/>
  <c r="D273" i="26"/>
  <c r="F273" i="26" s="1"/>
  <c r="D290" i="26"/>
  <c r="F290" i="26" s="1"/>
  <c r="D306" i="26"/>
  <c r="F306" i="26" s="1"/>
  <c r="D323" i="26"/>
  <c r="F323" i="26" s="1"/>
  <c r="D339" i="26"/>
  <c r="F339" i="26" s="1"/>
  <c r="D355" i="26"/>
  <c r="F355" i="26" s="1"/>
  <c r="D371" i="26"/>
  <c r="F371" i="26" s="1"/>
  <c r="D139" i="26"/>
  <c r="F139" i="26" s="1"/>
  <c r="D17" i="26"/>
  <c r="F17" i="26" s="1"/>
  <c r="D40" i="26"/>
  <c r="F40" i="26" s="1"/>
  <c r="D54" i="26"/>
  <c r="F54" i="26" s="1"/>
  <c r="D70" i="26"/>
  <c r="F70" i="26" s="1"/>
  <c r="D78" i="26"/>
  <c r="F78" i="26" s="1"/>
  <c r="D103" i="26"/>
  <c r="F103" i="26" s="1"/>
  <c r="D111" i="26"/>
  <c r="F111" i="26" s="1"/>
  <c r="D127" i="26"/>
  <c r="F127" i="26" s="1"/>
  <c r="D142" i="26"/>
  <c r="F142" i="26" s="1"/>
  <c r="D168" i="26"/>
  <c r="F168" i="26" s="1"/>
  <c r="G31" i="25"/>
  <c r="E32" i="26"/>
  <c r="G32" i="26" s="1"/>
  <c r="G39" i="25"/>
  <c r="E40" i="26"/>
  <c r="G40" i="26" s="1"/>
  <c r="E54" i="26"/>
  <c r="G54" i="26" s="1"/>
  <c r="G52" i="25"/>
  <c r="E62" i="26"/>
  <c r="G62" i="26" s="1"/>
  <c r="G60" i="25"/>
  <c r="G64" i="25"/>
  <c r="E66" i="26"/>
  <c r="G66" i="26" s="1"/>
  <c r="G72" i="25"/>
  <c r="E74" i="26"/>
  <c r="G74" i="26" s="1"/>
  <c r="G97" i="25"/>
  <c r="E99" i="26"/>
  <c r="G99" i="26" s="1"/>
  <c r="G192" i="25"/>
  <c r="E196" i="26"/>
  <c r="G196" i="26" s="1"/>
  <c r="E248" i="26"/>
  <c r="G248" i="26" s="1"/>
  <c r="G128" i="25"/>
  <c r="E156" i="26"/>
  <c r="G156" i="26" s="1"/>
  <c r="G155" i="25"/>
  <c r="E216" i="26"/>
  <c r="G216" i="26" s="1"/>
  <c r="G211" i="25"/>
  <c r="E298" i="26"/>
  <c r="G298" i="26" s="1"/>
  <c r="G290" i="25"/>
  <c r="E331" i="26"/>
  <c r="G331" i="26" s="1"/>
  <c r="G323" i="25"/>
  <c r="G339" i="25"/>
  <c r="E347" i="26"/>
  <c r="G347" i="26" s="1"/>
  <c r="G343" i="25"/>
  <c r="E351" i="26"/>
  <c r="G351" i="26" s="1"/>
  <c r="G359" i="25"/>
  <c r="E367" i="26"/>
  <c r="G367" i="26" s="1"/>
  <c r="E154" i="26"/>
  <c r="G154" i="26" s="1"/>
  <c r="E22" i="26"/>
  <c r="G22" i="26" s="1"/>
  <c r="E33" i="26"/>
  <c r="G33" i="26" s="1"/>
  <c r="E55" i="26"/>
  <c r="G55" i="26" s="1"/>
  <c r="E104" i="26"/>
  <c r="G104" i="26" s="1"/>
  <c r="E120" i="26"/>
  <c r="G120" i="26" s="1"/>
  <c r="E131" i="26"/>
  <c r="G131" i="26" s="1"/>
  <c r="E169" i="26"/>
  <c r="G169" i="26" s="1"/>
  <c r="E193" i="26"/>
  <c r="G193" i="26" s="1"/>
  <c r="E241" i="26"/>
  <c r="G241" i="26" s="1"/>
  <c r="E253" i="26"/>
  <c r="G253" i="26" s="1"/>
  <c r="E290" i="26"/>
  <c r="G290" i="26" s="1"/>
  <c r="E355" i="26"/>
  <c r="G355" i="26" s="1"/>
  <c r="G311" i="25"/>
  <c r="G98" i="25"/>
  <c r="G240" i="25"/>
  <c r="G274" i="25"/>
  <c r="G310" i="25"/>
  <c r="G93" i="25"/>
  <c r="G227" i="25"/>
  <c r="E58" i="26"/>
  <c r="G58" i="26" s="1"/>
  <c r="G56" i="25"/>
  <c r="G68" i="25"/>
  <c r="E70" i="26"/>
  <c r="G70" i="26" s="1"/>
  <c r="G80" i="25"/>
  <c r="E82" i="26"/>
  <c r="G82" i="26" s="1"/>
  <c r="E107" i="26"/>
  <c r="G107" i="26" s="1"/>
  <c r="G105" i="25"/>
  <c r="E111" i="26"/>
  <c r="G111" i="26" s="1"/>
  <c r="G109" i="25"/>
  <c r="E115" i="26"/>
  <c r="G115" i="26" s="1"/>
  <c r="G113" i="25"/>
  <c r="E119" i="26"/>
  <c r="G119" i="26" s="1"/>
  <c r="G117" i="25"/>
  <c r="E123" i="26"/>
  <c r="G123" i="26" s="1"/>
  <c r="G121" i="25"/>
  <c r="G125" i="25"/>
  <c r="E127" i="26"/>
  <c r="G127" i="26" s="1"/>
  <c r="E142" i="26"/>
  <c r="G142" i="26" s="1"/>
  <c r="G141" i="25"/>
  <c r="E164" i="26"/>
  <c r="G164" i="26" s="1"/>
  <c r="G162" i="25"/>
  <c r="E264" i="26"/>
  <c r="G264" i="26" s="1"/>
  <c r="G255" i="25"/>
  <c r="E219" i="26"/>
  <c r="G219" i="26" s="1"/>
  <c r="G231" i="25"/>
  <c r="E45" i="26"/>
  <c r="G45" i="26" s="1"/>
  <c r="G44" i="25"/>
  <c r="E173" i="26"/>
  <c r="G173" i="26" s="1"/>
  <c r="G169" i="25"/>
  <c r="E13" i="26"/>
  <c r="G13" i="26" s="1"/>
  <c r="E18" i="26"/>
  <c r="G18" i="26" s="1"/>
  <c r="E67" i="26"/>
  <c r="G67" i="26" s="1"/>
  <c r="E116" i="26"/>
  <c r="G116" i="26" s="1"/>
  <c r="E151" i="26"/>
  <c r="G151" i="26" s="1"/>
  <c r="E177" i="26"/>
  <c r="G177" i="26" s="1"/>
  <c r="E237" i="26"/>
  <c r="G237" i="26" s="1"/>
  <c r="E277" i="26"/>
  <c r="G277" i="26" s="1"/>
  <c r="E310" i="26"/>
  <c r="G310" i="26" s="1"/>
  <c r="E375" i="26"/>
  <c r="G375" i="26" s="1"/>
  <c r="G28" i="25"/>
  <c r="G84" i="25"/>
  <c r="G89" i="25"/>
  <c r="G306" i="25"/>
  <c r="G355" i="25"/>
  <c r="G76" i="25"/>
  <c r="G101" i="25"/>
  <c r="G301" i="25"/>
  <c r="G24" i="25"/>
  <c r="G172" i="25"/>
  <c r="G188" i="25"/>
  <c r="G243" i="25"/>
  <c r="G247" i="25"/>
  <c r="G285" i="25"/>
  <c r="G318" i="25"/>
  <c r="G334" i="25"/>
  <c r="G350" i="25"/>
  <c r="G366" i="25"/>
  <c r="E139" i="26"/>
  <c r="G139" i="26" s="1"/>
  <c r="G137" i="25"/>
  <c r="E279" i="26"/>
  <c r="G279" i="26" s="1"/>
  <c r="G271" i="25"/>
  <c r="E134" i="26"/>
  <c r="G134" i="26" s="1"/>
  <c r="G132" i="25"/>
  <c r="E137" i="26"/>
  <c r="G137" i="26" s="1"/>
  <c r="G135" i="25"/>
  <c r="E146" i="26"/>
  <c r="G146" i="26" s="1"/>
  <c r="G145" i="25"/>
  <c r="E150" i="26"/>
  <c r="G150" i="26" s="1"/>
  <c r="G149" i="25"/>
  <c r="E159" i="26"/>
  <c r="G159" i="26" s="1"/>
  <c r="G158" i="25"/>
  <c r="E172" i="26"/>
  <c r="G172" i="26" s="1"/>
  <c r="G168" i="25"/>
  <c r="E180" i="26"/>
  <c r="G180" i="26" s="1"/>
  <c r="G176" i="25"/>
  <c r="E188" i="26"/>
  <c r="G188" i="26" s="1"/>
  <c r="G184" i="25"/>
  <c r="E200" i="26"/>
  <c r="G200" i="26" s="1"/>
  <c r="G196" i="25"/>
  <c r="E204" i="26"/>
  <c r="G204" i="26" s="1"/>
  <c r="G199" i="25"/>
  <c r="E208" i="26"/>
  <c r="G208" i="26" s="1"/>
  <c r="G203" i="25"/>
  <c r="E223" i="26"/>
  <c r="G223" i="26" s="1"/>
  <c r="G218" i="25"/>
  <c r="E227" i="26"/>
  <c r="G227" i="26" s="1"/>
  <c r="G222" i="25"/>
  <c r="E244" i="26"/>
  <c r="G244" i="26" s="1"/>
  <c r="G235" i="25"/>
  <c r="E260" i="26"/>
  <c r="G260" i="26" s="1"/>
  <c r="G251" i="25"/>
  <c r="E272" i="26"/>
  <c r="G272" i="26" s="1"/>
  <c r="G264" i="25"/>
  <c r="E276" i="26"/>
  <c r="G276" i="26" s="1"/>
  <c r="G268" i="25"/>
  <c r="E281" i="26"/>
  <c r="G281" i="26" s="1"/>
  <c r="G273" i="25"/>
  <c r="E285" i="26"/>
  <c r="G285" i="26" s="1"/>
  <c r="G277" i="25"/>
  <c r="E289" i="26"/>
  <c r="G289" i="26" s="1"/>
  <c r="G281" i="25"/>
  <c r="E297" i="26"/>
  <c r="G297" i="26" s="1"/>
  <c r="G289" i="25"/>
  <c r="E301" i="26"/>
  <c r="G301" i="26" s="1"/>
  <c r="G293" i="25"/>
  <c r="E305" i="26"/>
  <c r="G305" i="26" s="1"/>
  <c r="G297" i="25"/>
  <c r="E313" i="26"/>
  <c r="G313" i="26" s="1"/>
  <c r="G305" i="25"/>
  <c r="E317" i="26"/>
  <c r="G317" i="26" s="1"/>
  <c r="G309" i="25"/>
  <c r="E330" i="26"/>
  <c r="G330" i="26" s="1"/>
  <c r="G322" i="25"/>
  <c r="E334" i="26"/>
  <c r="G334" i="26" s="1"/>
  <c r="G326" i="25"/>
  <c r="E346" i="26"/>
  <c r="G346" i="26" s="1"/>
  <c r="G338" i="25"/>
  <c r="E350" i="26"/>
  <c r="G350" i="26" s="1"/>
  <c r="G342" i="25"/>
  <c r="E362" i="26"/>
  <c r="G362" i="26" s="1"/>
  <c r="G354" i="25"/>
  <c r="E366" i="26"/>
  <c r="G366" i="26" s="1"/>
  <c r="G358" i="25"/>
  <c r="E378" i="26"/>
  <c r="G378" i="26" s="1"/>
  <c r="G370" i="25"/>
  <c r="G17" i="25"/>
  <c r="G20" i="25"/>
  <c r="G35" i="25"/>
  <c r="G43" i="25"/>
  <c r="G154" i="25"/>
  <c r="G180" i="25"/>
  <c r="G207" i="25"/>
  <c r="G210" i="25"/>
  <c r="G259" i="25"/>
  <c r="G314" i="25"/>
  <c r="G330" i="25"/>
  <c r="G346" i="25"/>
  <c r="G362" i="25"/>
  <c r="D319" i="26"/>
  <c r="F319" i="26" s="1"/>
  <c r="D197" i="26"/>
  <c r="F197" i="26" s="1"/>
  <c r="F193" i="25"/>
  <c r="D243" i="26"/>
  <c r="F243" i="26" s="1"/>
  <c r="D298" i="26"/>
  <c r="F298" i="26" s="1"/>
  <c r="D358" i="26"/>
  <c r="F358" i="26" s="1"/>
  <c r="D279" i="26"/>
  <c r="F279" i="26" s="1"/>
  <c r="D204" i="26"/>
  <c r="F204" i="26" s="1"/>
  <c r="D236" i="26"/>
  <c r="F236" i="26" s="1"/>
  <c r="D268" i="26"/>
  <c r="F268" i="26" s="1"/>
  <c r="D301" i="26"/>
  <c r="F301" i="26" s="1"/>
  <c r="D334" i="26"/>
  <c r="F334" i="26" s="1"/>
  <c r="D366" i="26"/>
  <c r="F366" i="26" s="1"/>
  <c r="D227" i="26"/>
  <c r="F227" i="26" s="1"/>
  <c r="D269" i="26"/>
  <c r="F269" i="26" s="1"/>
  <c r="D327" i="26"/>
  <c r="F327" i="26" s="1"/>
  <c r="D208" i="26"/>
  <c r="F208" i="26" s="1"/>
  <c r="D223" i="26"/>
  <c r="F223" i="26" s="1"/>
  <c r="D240" i="26"/>
  <c r="F240" i="26" s="1"/>
  <c r="D256" i="26"/>
  <c r="F256" i="26" s="1"/>
  <c r="D272" i="26"/>
  <c r="F272" i="26" s="1"/>
  <c r="D283" i="26"/>
  <c r="F283" i="26" s="1"/>
  <c r="D299" i="26"/>
  <c r="F299" i="26" s="1"/>
  <c r="D322" i="26"/>
  <c r="F322" i="26" s="1"/>
  <c r="D338" i="26"/>
  <c r="F338" i="26" s="1"/>
  <c r="D354" i="26"/>
  <c r="F354" i="26" s="1"/>
  <c r="D364" i="26"/>
  <c r="F364" i="26" s="1"/>
  <c r="D201" i="26"/>
  <c r="F201" i="26" s="1"/>
  <c r="D216" i="26"/>
  <c r="F216" i="26" s="1"/>
  <c r="D244" i="26"/>
  <c r="F244" i="26" s="1"/>
  <c r="F235" i="25"/>
  <c r="D260" i="26"/>
  <c r="F260" i="26" s="1"/>
  <c r="D275" i="26"/>
  <c r="F275" i="26" s="1"/>
  <c r="D286" i="26"/>
  <c r="F286" i="26" s="1"/>
  <c r="D302" i="26"/>
  <c r="F302" i="26" s="1"/>
  <c r="D317" i="26"/>
  <c r="F317" i="26" s="1"/>
  <c r="D331" i="26"/>
  <c r="F331" i="26" s="1"/>
  <c r="D347" i="26"/>
  <c r="F347" i="26" s="1"/>
  <c r="D359" i="26"/>
  <c r="F359" i="26" s="1"/>
  <c r="D374" i="26"/>
  <c r="F374" i="26" s="1"/>
  <c r="F151" i="25"/>
  <c r="D245" i="26"/>
  <c r="F245" i="26" s="1"/>
  <c r="D277" i="26"/>
  <c r="F277" i="26" s="1"/>
  <c r="F269" i="25"/>
  <c r="D310" i="26"/>
  <c r="F310" i="26" s="1"/>
  <c r="D343" i="26"/>
  <c r="F343" i="26" s="1"/>
  <c r="F335" i="25"/>
  <c r="D375" i="26"/>
  <c r="F375" i="26" s="1"/>
  <c r="D212" i="26"/>
  <c r="F212" i="26" s="1"/>
  <c r="D253" i="26"/>
  <c r="F253" i="26" s="1"/>
  <c r="D285" i="26"/>
  <c r="F285" i="26" s="1"/>
  <c r="D314" i="26"/>
  <c r="F314" i="26" s="1"/>
  <c r="D342" i="26"/>
  <c r="F342" i="26" s="1"/>
  <c r="D373" i="26"/>
  <c r="F373" i="26" s="1"/>
  <c r="D217" i="26"/>
  <c r="F217" i="26" s="1"/>
  <c r="D233" i="26"/>
  <c r="F233" i="26" s="1"/>
  <c r="D250" i="26"/>
  <c r="F250" i="26" s="1"/>
  <c r="D266" i="26"/>
  <c r="F266" i="26" s="1"/>
  <c r="D289" i="26"/>
  <c r="F289" i="26" s="1"/>
  <c r="F281" i="25"/>
  <c r="D305" i="26"/>
  <c r="F305" i="26" s="1"/>
  <c r="D315" i="26"/>
  <c r="F315" i="26" s="1"/>
  <c r="D332" i="26"/>
  <c r="F332" i="26" s="1"/>
  <c r="F324" i="25"/>
  <c r="D348" i="26"/>
  <c r="F348" i="26" s="1"/>
  <c r="D370" i="26"/>
  <c r="F370" i="26" s="1"/>
  <c r="D381" i="26"/>
  <c r="F381" i="26" s="1"/>
  <c r="F373" i="25"/>
  <c r="D234" i="26"/>
  <c r="F234" i="26" s="1"/>
  <c r="D194" i="26"/>
  <c r="F194" i="26" s="1"/>
  <c r="D203" i="26"/>
  <c r="F203" i="26" s="1"/>
  <c r="D210" i="26"/>
  <c r="F210" i="26" s="1"/>
  <c r="D218" i="26"/>
  <c r="F218" i="26" s="1"/>
  <c r="D225" i="26"/>
  <c r="F225" i="26" s="1"/>
  <c r="D235" i="26"/>
  <c r="F235" i="26" s="1"/>
  <c r="D242" i="26"/>
  <c r="F242" i="26" s="1"/>
  <c r="D251" i="26"/>
  <c r="F251" i="26" s="1"/>
  <c r="D258" i="26"/>
  <c r="F258" i="26" s="1"/>
  <c r="D267" i="26"/>
  <c r="F267" i="26" s="1"/>
  <c r="D274" i="26"/>
  <c r="F274" i="26" s="1"/>
  <c r="F266" i="25"/>
  <c r="D284" i="26"/>
  <c r="F284" i="26" s="1"/>
  <c r="D291" i="26"/>
  <c r="F291" i="26" s="1"/>
  <c r="D300" i="26"/>
  <c r="F300" i="26" s="1"/>
  <c r="F292" i="25"/>
  <c r="D307" i="26"/>
  <c r="F307" i="26" s="1"/>
  <c r="D316" i="26"/>
  <c r="F316" i="26" s="1"/>
  <c r="D324" i="26"/>
  <c r="F324" i="26" s="1"/>
  <c r="D333" i="26"/>
  <c r="F333" i="26" s="1"/>
  <c r="D340" i="26"/>
  <c r="F340" i="26" s="1"/>
  <c r="D349" i="26"/>
  <c r="F349" i="26" s="1"/>
  <c r="F341" i="25"/>
  <c r="D356" i="26"/>
  <c r="F356" i="26" s="1"/>
  <c r="D365" i="26"/>
  <c r="F365" i="26" s="1"/>
  <c r="D372" i="26"/>
  <c r="F372" i="26" s="1"/>
  <c r="D205" i="26"/>
  <c r="F205" i="26" s="1"/>
  <c r="D219" i="26"/>
  <c r="F219" i="26" s="1"/>
  <c r="D232" i="26"/>
  <c r="F232" i="26" s="1"/>
  <c r="D249" i="26"/>
  <c r="F249" i="26" s="1"/>
  <c r="D261" i="26"/>
  <c r="F261" i="26" s="1"/>
  <c r="D276" i="26"/>
  <c r="F276" i="26" s="1"/>
  <c r="D293" i="26"/>
  <c r="F293" i="26" s="1"/>
  <c r="D308" i="26"/>
  <c r="F308" i="26" s="1"/>
  <c r="D318" i="26"/>
  <c r="F318" i="26" s="1"/>
  <c r="D335" i="26"/>
  <c r="F335" i="26" s="1"/>
  <c r="D350" i="26"/>
  <c r="F350" i="26" s="1"/>
  <c r="D363" i="26"/>
  <c r="F363" i="26" s="1"/>
  <c r="D198" i="26"/>
  <c r="F198" i="26" s="1"/>
  <c r="D206" i="26"/>
  <c r="F206" i="26" s="1"/>
  <c r="D213" i="26"/>
  <c r="F213" i="26" s="1"/>
  <c r="D221" i="26"/>
  <c r="F221" i="26" s="1"/>
  <c r="D238" i="26"/>
  <c r="F238" i="26" s="1"/>
  <c r="D246" i="26"/>
  <c r="F246" i="26" s="1"/>
  <c r="D254" i="26"/>
  <c r="F254" i="26" s="1"/>
  <c r="D262" i="26"/>
  <c r="F262" i="26" s="1"/>
  <c r="D270" i="26"/>
  <c r="F270" i="26" s="1"/>
  <c r="D278" i="26"/>
  <c r="F278" i="26" s="1"/>
  <c r="D287" i="26"/>
  <c r="F287" i="26" s="1"/>
  <c r="D295" i="26"/>
  <c r="F295" i="26" s="1"/>
  <c r="D303" i="26"/>
  <c r="F303" i="26" s="1"/>
  <c r="D311" i="26"/>
  <c r="F311" i="26" s="1"/>
  <c r="D320" i="26"/>
  <c r="F320" i="26" s="1"/>
  <c r="D328" i="26"/>
  <c r="F328" i="26" s="1"/>
  <c r="D336" i="26"/>
  <c r="F336" i="26" s="1"/>
  <c r="D344" i="26"/>
  <c r="F344" i="26" s="1"/>
  <c r="D352" i="26"/>
  <c r="F352" i="26" s="1"/>
  <c r="D360" i="26"/>
  <c r="F360" i="26" s="1"/>
  <c r="D368" i="26"/>
  <c r="F368" i="26" s="1"/>
  <c r="D376" i="26"/>
  <c r="F376" i="26" s="1"/>
  <c r="D379" i="26"/>
  <c r="F379" i="26" s="1"/>
  <c r="D196" i="26"/>
  <c r="F196" i="26" s="1"/>
  <c r="D211" i="26"/>
  <c r="F211" i="26" s="1"/>
  <c r="D220" i="26"/>
  <c r="F220" i="26" s="1"/>
  <c r="D237" i="26"/>
  <c r="F237" i="26" s="1"/>
  <c r="D252" i="26"/>
  <c r="F252" i="26" s="1"/>
  <c r="D265" i="26"/>
  <c r="F265" i="26" s="1"/>
  <c r="F256" i="25"/>
  <c r="D282" i="26"/>
  <c r="F282" i="26" s="1"/>
  <c r="D294" i="26"/>
  <c r="F294" i="26" s="1"/>
  <c r="D309" i="26"/>
  <c r="F309" i="26" s="1"/>
  <c r="F301" i="25"/>
  <c r="D326" i="26"/>
  <c r="F326" i="26" s="1"/>
  <c r="D341" i="26"/>
  <c r="F341" i="26" s="1"/>
  <c r="D351" i="26"/>
  <c r="F351" i="26" s="1"/>
  <c r="D367" i="26"/>
  <c r="F367" i="26" s="1"/>
  <c r="D195" i="26"/>
  <c r="F195" i="26" s="1"/>
  <c r="D226" i="26"/>
  <c r="F226" i="26" s="1"/>
  <c r="D259" i="26"/>
  <c r="F259" i="26" s="1"/>
  <c r="D292" i="26"/>
  <c r="F292" i="26" s="1"/>
  <c r="D325" i="26"/>
  <c r="F325" i="26" s="1"/>
  <c r="D357" i="26"/>
  <c r="F357" i="26" s="1"/>
  <c r="D12" i="26"/>
  <c r="F12" i="26" s="1"/>
  <c r="H574" i="24"/>
  <c r="F574" i="24"/>
  <c r="I574" i="24"/>
  <c r="G32" i="12"/>
  <c r="O32" i="11"/>
  <c r="E32" i="11"/>
  <c r="L28" i="11"/>
  <c r="P26" i="11"/>
  <c r="V520" i="4" s="1"/>
  <c r="N26" i="11"/>
  <c r="L26" i="11"/>
  <c r="I26" i="11"/>
  <c r="E26" i="11"/>
  <c r="P24" i="11"/>
  <c r="P22" i="11"/>
  <c r="V519" i="4" s="1"/>
  <c r="M20" i="11"/>
  <c r="M30" i="11" s="1"/>
  <c r="M36" i="11" s="1"/>
  <c r="J20" i="11"/>
  <c r="J30" i="11" s="1"/>
  <c r="J36" i="11" s="1"/>
  <c r="G20" i="11"/>
  <c r="E19" i="11"/>
  <c r="P18" i="11"/>
  <c r="N18" i="11"/>
  <c r="L18" i="11"/>
  <c r="I18" i="11"/>
  <c r="F18" i="11"/>
  <c r="D18" i="11"/>
  <c r="E16" i="11"/>
  <c r="E15" i="11"/>
  <c r="O14" i="11"/>
  <c r="E14" i="11"/>
  <c r="O13" i="11"/>
  <c r="E13" i="11"/>
  <c r="O12" i="11"/>
  <c r="E12" i="11"/>
  <c r="M11" i="11"/>
  <c r="K11" i="11"/>
  <c r="K20" i="11" s="1"/>
  <c r="J11" i="11"/>
  <c r="G11" i="11"/>
  <c r="F11" i="11"/>
  <c r="D11" i="11"/>
  <c r="P10" i="11"/>
  <c r="N10" i="11"/>
  <c r="P9" i="11"/>
  <c r="N9" i="11"/>
  <c r="L9" i="11"/>
  <c r="I9" i="11"/>
  <c r="E9" i="11"/>
  <c r="G240" i="4" l="1"/>
  <c r="T616" i="4"/>
  <c r="T617" i="4" s="1"/>
  <c r="G614" i="4" s="1"/>
  <c r="I20" i="11"/>
  <c r="C90" i="14"/>
  <c r="J10" i="14"/>
  <c r="L20" i="11"/>
  <c r="O9" i="11"/>
  <c r="F20" i="11"/>
  <c r="T625" i="4"/>
  <c r="T633" i="4"/>
  <c r="T634" i="4" s="1"/>
  <c r="G628" i="4" s="1"/>
  <c r="G605" i="4"/>
  <c r="N11" i="11"/>
  <c r="N20" i="11" s="1"/>
  <c r="D20" i="11"/>
  <c r="O18" i="11"/>
  <c r="O26" i="11"/>
  <c r="G88" i="4"/>
  <c r="B11" i="10" s="1"/>
  <c r="E382" i="26"/>
  <c r="D382" i="26"/>
  <c r="E18" i="11"/>
  <c r="P11" i="11"/>
  <c r="Q11" i="11"/>
  <c r="S243" i="4"/>
  <c r="I383" i="5"/>
  <c r="I32" i="5"/>
  <c r="F30" i="11" l="1"/>
  <c r="F36" i="11" s="1"/>
  <c r="H498" i="4"/>
  <c r="G498" i="4"/>
  <c r="E20" i="11"/>
  <c r="P20" i="11"/>
  <c r="T627" i="4"/>
  <c r="T628" i="4" s="1"/>
  <c r="G624" i="4" s="1"/>
  <c r="O20" i="11"/>
  <c r="G247" i="4"/>
  <c r="H239" i="4" l="1"/>
  <c r="G495" i="4"/>
  <c r="G604" i="4"/>
  <c r="P30" i="11"/>
  <c r="P36" i="11" s="1"/>
  <c r="G251" i="4"/>
  <c r="G239" i="4"/>
  <c r="G278" i="4"/>
  <c r="G525" i="4"/>
  <c r="G553" i="4"/>
  <c r="G565" i="4"/>
  <c r="G10" i="4"/>
  <c r="G491" i="4"/>
  <c r="G234" i="4"/>
  <c r="G527" i="4"/>
  <c r="G296" i="4"/>
  <c r="G524" i="4"/>
  <c r="U520" i="4"/>
  <c r="G298" i="4"/>
  <c r="G548" i="4"/>
  <c r="G558" i="4"/>
  <c r="C12" i="2" l="1"/>
  <c r="G236" i="4"/>
  <c r="G471" i="4"/>
  <c r="W520" i="4"/>
  <c r="W521" i="4"/>
  <c r="W519" i="4"/>
  <c r="G561" i="4"/>
  <c r="G432" i="4"/>
  <c r="L574" i="24"/>
  <c r="P574" i="24"/>
  <c r="M574" i="24"/>
  <c r="Q574" i="24"/>
  <c r="N574" i="24"/>
  <c r="H576" i="24"/>
  <c r="K574" i="24"/>
  <c r="O574" i="24"/>
  <c r="G13" i="9"/>
  <c r="B64" i="14"/>
  <c r="G38" i="9" l="1"/>
  <c r="G42" i="9" s="1"/>
  <c r="G31" i="9"/>
  <c r="B51" i="14"/>
  <c r="B132" i="4" l="1"/>
  <c r="B1011" i="4" s="1"/>
  <c r="H488" i="4"/>
  <c r="H79" i="4" s="1"/>
  <c r="O56" i="13" l="1"/>
  <c r="M41" i="13"/>
  <c r="E21" i="13" s="1"/>
  <c r="P24" i="13"/>
  <c r="O24" i="13"/>
  <c r="P9" i="13"/>
  <c r="I9" i="27"/>
  <c r="H967" i="4" l="1"/>
  <c r="G17" i="30" l="1"/>
  <c r="G967" i="4" l="1"/>
  <c r="F41" i="27"/>
  <c r="K40" i="27" s="1"/>
  <c r="D988" i="46" s="1"/>
  <c r="H56" i="27"/>
  <c r="D987" i="4" l="1"/>
  <c r="F64" i="14"/>
  <c r="G306" i="4"/>
  <c r="H306" i="4"/>
  <c r="C51" i="14" l="1"/>
  <c r="D30" i="29"/>
  <c r="D31" i="29" s="1"/>
  <c r="H30" i="29"/>
  <c r="D27" i="29"/>
  <c r="E27" i="29" s="1"/>
  <c r="H27" i="29"/>
  <c r="D24" i="29"/>
  <c r="E24" i="29" s="1"/>
  <c r="C25" i="29" s="1"/>
  <c r="H24" i="29"/>
  <c r="D21" i="29"/>
  <c r="E21" i="29" s="1"/>
  <c r="H21" i="29"/>
  <c r="D16" i="29"/>
  <c r="E16" i="29" s="1"/>
  <c r="C17" i="29" s="1"/>
  <c r="H16" i="29"/>
  <c r="D11" i="29"/>
  <c r="E11" i="29" s="1"/>
  <c r="C12" i="29" s="1"/>
  <c r="H11" i="29"/>
  <c r="D6" i="29"/>
  <c r="E6" i="29" s="1"/>
  <c r="C7" i="29" s="1"/>
  <c r="H6" i="29"/>
  <c r="F51" i="14" l="1"/>
  <c r="D22" i="29"/>
  <c r="E30" i="29"/>
  <c r="D12" i="29"/>
  <c r="E12" i="29" s="1"/>
  <c r="C13" i="29" s="1"/>
  <c r="D7" i="29"/>
  <c r="E7" i="29" s="1"/>
  <c r="C8" i="29" s="1"/>
  <c r="D17" i="29"/>
  <c r="E17" i="29"/>
  <c r="C18" i="29" s="1"/>
  <c r="D25" i="29"/>
  <c r="E25" i="29" s="1"/>
  <c r="C26" i="29" s="1"/>
  <c r="D26" i="29" s="1"/>
  <c r="D13" i="29" l="1"/>
  <c r="E13" i="29"/>
  <c r="D28" i="29"/>
  <c r="D8" i="29"/>
  <c r="D18" i="29"/>
  <c r="E18" i="29" s="1"/>
  <c r="E26" i="29"/>
  <c r="D19" i="29" l="1"/>
  <c r="E8" i="29"/>
  <c r="C9" i="29" s="1"/>
  <c r="D9" i="29" s="1"/>
  <c r="E9" i="29" s="1"/>
  <c r="C10" i="29" s="1"/>
  <c r="D10" i="29" l="1"/>
  <c r="D14" i="29" s="1"/>
  <c r="D32" i="29" s="1"/>
  <c r="E10" i="29" l="1"/>
  <c r="M20" i="1"/>
  <c r="M12" i="1"/>
  <c r="M21" i="1" l="1"/>
  <c r="C100" i="14" l="1"/>
  <c r="F7" i="14" s="1"/>
  <c r="C97" i="14"/>
  <c r="C7" i="14" s="1"/>
  <c r="C107" i="14"/>
  <c r="M103" i="14" l="1"/>
  <c r="S347" i="4" l="1"/>
  <c r="C102" i="14" l="1"/>
  <c r="H7" i="14" s="1"/>
  <c r="C103" i="14"/>
  <c r="I7" i="14" s="1"/>
  <c r="G9" i="30" l="1"/>
  <c r="M104" i="14" l="1"/>
  <c r="M96" i="14"/>
  <c r="M105" i="14" l="1"/>
  <c r="M106" i="14" s="1"/>
  <c r="C108" i="14" s="1"/>
  <c r="G36" i="1"/>
  <c r="G27" i="1"/>
  <c r="G28" i="1"/>
  <c r="G29" i="1"/>
  <c r="G30" i="1"/>
  <c r="E46" i="3"/>
  <c r="E39" i="3"/>
  <c r="E40" i="3"/>
  <c r="E41" i="3"/>
  <c r="E31" i="3"/>
  <c r="E28" i="3"/>
  <c r="E15" i="3"/>
  <c r="E16" i="3"/>
  <c r="E17" i="3"/>
  <c r="E18" i="3"/>
  <c r="E19" i="3"/>
  <c r="E20" i="3"/>
  <c r="E21" i="3"/>
  <c r="E22" i="3"/>
  <c r="E23" i="3"/>
  <c r="E24" i="3"/>
  <c r="E25" i="3"/>
  <c r="L36" i="1" l="1"/>
  <c r="M36" i="1" s="1"/>
  <c r="L35" i="1"/>
  <c r="L30" i="1"/>
  <c r="L29" i="1"/>
  <c r="M29" i="1" s="1"/>
  <c r="L28" i="1"/>
  <c r="M28" i="1" s="1"/>
  <c r="L27" i="1"/>
  <c r="M27" i="1" s="1"/>
  <c r="M35" i="1"/>
  <c r="M30" i="1"/>
  <c r="F36" i="1"/>
  <c r="C36" i="1" s="1"/>
  <c r="F28" i="1"/>
  <c r="F29" i="1"/>
  <c r="F27" i="1"/>
  <c r="D37" i="1"/>
  <c r="E37" i="1"/>
  <c r="C28" i="1" l="1"/>
  <c r="C27" i="1"/>
  <c r="C29" i="1"/>
  <c r="E43" i="3"/>
  <c r="E37" i="3"/>
  <c r="E26" i="3"/>
  <c r="E31" i="1"/>
  <c r="D31" i="1"/>
  <c r="G31" i="1"/>
  <c r="F22" i="1"/>
  <c r="E20" i="1"/>
  <c r="E12" i="1"/>
  <c r="D12" i="1"/>
  <c r="T492" i="4"/>
  <c r="V492" i="4" s="1"/>
  <c r="X954" i="4"/>
  <c r="X955" i="4" s="1"/>
  <c r="X956" i="4" s="1"/>
  <c r="D21" i="1" l="1"/>
  <c r="D25" i="1"/>
  <c r="E21" i="1"/>
  <c r="E23" i="1" s="1"/>
  <c r="D23" i="1"/>
  <c r="D32" i="1"/>
  <c r="D38" i="1" s="1"/>
  <c r="E25" i="1"/>
  <c r="X492" i="4"/>
  <c r="E32" i="1" l="1"/>
  <c r="E38" i="1" s="1"/>
  <c r="E42" i="1"/>
  <c r="E43" i="1"/>
  <c r="D43" i="1"/>
  <c r="D42" i="1"/>
  <c r="F500" i="33"/>
  <c r="J84" i="33"/>
  <c r="J136" i="33"/>
  <c r="J143" i="33"/>
  <c r="J144" i="33"/>
  <c r="J145" i="33"/>
  <c r="J268" i="33"/>
  <c r="J274" i="33"/>
  <c r="J275" i="33"/>
  <c r="J276" i="33"/>
  <c r="J505" i="33"/>
  <c r="J504" i="33"/>
  <c r="B68" i="14" l="1"/>
  <c r="E68" i="14"/>
  <c r="D68" i="14"/>
  <c r="F66" i="14"/>
  <c r="C68" i="14"/>
  <c r="E55" i="14"/>
  <c r="D55" i="14"/>
  <c r="X47" i="14"/>
  <c r="W46" i="14"/>
  <c r="W45" i="14"/>
  <c r="W30" i="14"/>
  <c r="W28" i="14"/>
  <c r="W27" i="14"/>
  <c r="W26" i="14"/>
  <c r="W25" i="14"/>
  <c r="F53" i="14" l="1"/>
  <c r="W47" i="14"/>
  <c r="F68" i="14"/>
  <c r="C55" i="14" l="1"/>
  <c r="F55" i="14"/>
  <c r="B55" i="14"/>
  <c r="F525" i="33"/>
  <c r="G525" i="33" s="1"/>
  <c r="N524" i="33"/>
  <c r="M524" i="33"/>
  <c r="L524" i="33"/>
  <c r="K524" i="33"/>
  <c r="J524" i="33"/>
  <c r="F524" i="33"/>
  <c r="G524" i="33" s="1"/>
  <c r="N523" i="33"/>
  <c r="M523" i="33"/>
  <c r="L523" i="33"/>
  <c r="K523" i="33"/>
  <c r="J523" i="33"/>
  <c r="F523" i="33"/>
  <c r="G523" i="33" s="1"/>
  <c r="N522" i="33"/>
  <c r="M522" i="33"/>
  <c r="L522" i="33"/>
  <c r="K522" i="33"/>
  <c r="J522" i="33"/>
  <c r="F522" i="33"/>
  <c r="G522" i="33" s="1"/>
  <c r="N521" i="33"/>
  <c r="M521" i="33"/>
  <c r="L521" i="33"/>
  <c r="K521" i="33"/>
  <c r="J521" i="33"/>
  <c r="F521" i="33"/>
  <c r="G521" i="33" s="1"/>
  <c r="N520" i="33"/>
  <c r="M520" i="33"/>
  <c r="L520" i="33"/>
  <c r="K520" i="33"/>
  <c r="J520" i="33"/>
  <c r="F520" i="33"/>
  <c r="G520" i="33" s="1"/>
  <c r="N519" i="33"/>
  <c r="M519" i="33"/>
  <c r="L519" i="33"/>
  <c r="K519" i="33"/>
  <c r="J519" i="33"/>
  <c r="F519" i="33"/>
  <c r="G519" i="33" s="1"/>
  <c r="H507" i="33"/>
  <c r="I507" i="33" s="1"/>
  <c r="H506" i="33"/>
  <c r="I506" i="33" s="1"/>
  <c r="F502" i="33"/>
  <c r="H501" i="33"/>
  <c r="I501" i="33" s="1"/>
  <c r="H500" i="33"/>
  <c r="I500" i="33" s="1"/>
  <c r="H499" i="33"/>
  <c r="I499" i="33" s="1"/>
  <c r="N499" i="33" s="1"/>
  <c r="H498" i="33"/>
  <c r="I498" i="33" s="1"/>
  <c r="H497" i="33"/>
  <c r="I497" i="33" s="1"/>
  <c r="N497" i="33" s="1"/>
  <c r="H496" i="33"/>
  <c r="I496" i="33" s="1"/>
  <c r="K496" i="33" s="1"/>
  <c r="H495" i="33"/>
  <c r="I495" i="33" s="1"/>
  <c r="L495" i="33" s="1"/>
  <c r="H494" i="33"/>
  <c r="I494" i="33" s="1"/>
  <c r="J494" i="33" s="1"/>
  <c r="H493" i="33"/>
  <c r="I493" i="33" s="1"/>
  <c r="J493" i="33" s="1"/>
  <c r="H492" i="33"/>
  <c r="I492" i="33" s="1"/>
  <c r="L492" i="33" s="1"/>
  <c r="H491" i="33"/>
  <c r="I491" i="33" s="1"/>
  <c r="K491" i="33" s="1"/>
  <c r="H490" i="33"/>
  <c r="I490" i="33" s="1"/>
  <c r="H489" i="33"/>
  <c r="I489" i="33" s="1"/>
  <c r="N489" i="33" s="1"/>
  <c r="H488" i="33"/>
  <c r="I488" i="33" s="1"/>
  <c r="H487" i="33"/>
  <c r="I487" i="33" s="1"/>
  <c r="K487" i="33" s="1"/>
  <c r="H486" i="33"/>
  <c r="I486" i="33" s="1"/>
  <c r="H485" i="33"/>
  <c r="I485" i="33" s="1"/>
  <c r="H484" i="33"/>
  <c r="I484" i="33" s="1"/>
  <c r="H483" i="33"/>
  <c r="I483" i="33" s="1"/>
  <c r="H482" i="33"/>
  <c r="I482" i="33" s="1"/>
  <c r="H481" i="33"/>
  <c r="I481" i="33" s="1"/>
  <c r="N481" i="33" s="1"/>
  <c r="H480" i="33"/>
  <c r="I480" i="33" s="1"/>
  <c r="L480" i="33" s="1"/>
  <c r="H479" i="33"/>
  <c r="I479" i="33" s="1"/>
  <c r="H478" i="33"/>
  <c r="I478" i="33" s="1"/>
  <c r="H477" i="33"/>
  <c r="I477" i="33" s="1"/>
  <c r="J477" i="33" s="1"/>
  <c r="H476" i="33"/>
  <c r="I476" i="33" s="1"/>
  <c r="H475" i="33"/>
  <c r="I475" i="33" s="1"/>
  <c r="N475" i="33" s="1"/>
  <c r="H474" i="33"/>
  <c r="I474" i="33" s="1"/>
  <c r="H473" i="33"/>
  <c r="I473" i="33" s="1"/>
  <c r="M473" i="33" s="1"/>
  <c r="H472" i="33"/>
  <c r="I472" i="33" s="1"/>
  <c r="L472" i="33" s="1"/>
  <c r="H471" i="33"/>
  <c r="I471" i="33" s="1"/>
  <c r="K471" i="33" s="1"/>
  <c r="H470" i="33"/>
  <c r="I470" i="33" s="1"/>
  <c r="J470" i="33" s="1"/>
  <c r="H469" i="33"/>
  <c r="I469" i="33" s="1"/>
  <c r="H468" i="33"/>
  <c r="I468" i="33" s="1"/>
  <c r="M468" i="33" s="1"/>
  <c r="H467" i="33"/>
  <c r="I467" i="33" s="1"/>
  <c r="N467" i="33" s="1"/>
  <c r="H466" i="33"/>
  <c r="I466" i="33" s="1"/>
  <c r="H465" i="33"/>
  <c r="I465" i="33" s="1"/>
  <c r="H464" i="33"/>
  <c r="I464" i="33" s="1"/>
  <c r="K464" i="33" s="1"/>
  <c r="H463" i="33"/>
  <c r="I463" i="33" s="1"/>
  <c r="H462" i="33"/>
  <c r="I462" i="33" s="1"/>
  <c r="H461" i="33"/>
  <c r="I461" i="33" s="1"/>
  <c r="M461" i="33" s="1"/>
  <c r="H460" i="33"/>
  <c r="I460" i="33" s="1"/>
  <c r="H459" i="33"/>
  <c r="I459" i="33" s="1"/>
  <c r="J459" i="33" s="1"/>
  <c r="H458" i="33"/>
  <c r="I458" i="33" s="1"/>
  <c r="H457" i="33"/>
  <c r="I457" i="33" s="1"/>
  <c r="H456" i="33"/>
  <c r="I456" i="33" s="1"/>
  <c r="H455" i="33"/>
  <c r="I455" i="33" s="1"/>
  <c r="H454" i="33"/>
  <c r="I454" i="33" s="1"/>
  <c r="N454" i="33" s="1"/>
  <c r="H453" i="33"/>
  <c r="I453" i="33" s="1"/>
  <c r="L453" i="33" s="1"/>
  <c r="H452" i="33"/>
  <c r="I452" i="33" s="1"/>
  <c r="L452" i="33" s="1"/>
  <c r="H451" i="33"/>
  <c r="I451" i="33" s="1"/>
  <c r="J451" i="33" s="1"/>
  <c r="H450" i="33"/>
  <c r="I450" i="33" s="1"/>
  <c r="L450" i="33" s="1"/>
  <c r="H449" i="33"/>
  <c r="I449" i="33" s="1"/>
  <c r="K449" i="33" s="1"/>
  <c r="H448" i="33"/>
  <c r="I448" i="33" s="1"/>
  <c r="H447" i="33"/>
  <c r="I447" i="33" s="1"/>
  <c r="H446" i="33"/>
  <c r="I446" i="33" s="1"/>
  <c r="N446" i="33" s="1"/>
  <c r="H445" i="33"/>
  <c r="I445" i="33" s="1"/>
  <c r="K445" i="33" s="1"/>
  <c r="H444" i="33"/>
  <c r="I444" i="33" s="1"/>
  <c r="H443" i="33"/>
  <c r="I443" i="33" s="1"/>
  <c r="J443" i="33" s="1"/>
  <c r="H442" i="33"/>
  <c r="I442" i="33" s="1"/>
  <c r="M442" i="33" s="1"/>
  <c r="H441" i="33"/>
  <c r="I441" i="33" s="1"/>
  <c r="H440" i="33"/>
  <c r="I440" i="33" s="1"/>
  <c r="M440" i="33" s="1"/>
  <c r="H439" i="33"/>
  <c r="I439" i="33" s="1"/>
  <c r="N439" i="33" s="1"/>
  <c r="H438" i="33"/>
  <c r="I438" i="33" s="1"/>
  <c r="N438" i="33" s="1"/>
  <c r="H437" i="33"/>
  <c r="I437" i="33" s="1"/>
  <c r="K437" i="33" s="1"/>
  <c r="H436" i="33"/>
  <c r="I436" i="33" s="1"/>
  <c r="F434" i="33"/>
  <c r="H433" i="33"/>
  <c r="I433" i="33" s="1"/>
  <c r="K433" i="33" s="1"/>
  <c r="H432" i="33"/>
  <c r="I432" i="33" s="1"/>
  <c r="H431" i="33"/>
  <c r="I431" i="33" s="1"/>
  <c r="N431" i="33" s="1"/>
  <c r="F429" i="33"/>
  <c r="H428" i="33"/>
  <c r="I428" i="33" s="1"/>
  <c r="H427" i="33"/>
  <c r="I427" i="33" s="1"/>
  <c r="H426" i="33"/>
  <c r="I426" i="33" s="1"/>
  <c r="L426" i="33" s="1"/>
  <c r="H425" i="33"/>
  <c r="I425" i="33" s="1"/>
  <c r="F423" i="33"/>
  <c r="H421" i="33"/>
  <c r="I421" i="33" s="1"/>
  <c r="N421" i="33" s="1"/>
  <c r="H420" i="33"/>
  <c r="I420" i="33" s="1"/>
  <c r="H419" i="33"/>
  <c r="I419" i="33" s="1"/>
  <c r="K419" i="33" s="1"/>
  <c r="H418" i="33"/>
  <c r="I418" i="33" s="1"/>
  <c r="J418" i="33" s="1"/>
  <c r="H417" i="33"/>
  <c r="I417" i="33" s="1"/>
  <c r="J417" i="33" s="1"/>
  <c r="H416" i="33"/>
  <c r="I416" i="33" s="1"/>
  <c r="H415" i="33"/>
  <c r="I415" i="33" s="1"/>
  <c r="M415" i="33" s="1"/>
  <c r="H414" i="33"/>
  <c r="I414" i="33" s="1"/>
  <c r="J414" i="33" s="1"/>
  <c r="H413" i="33"/>
  <c r="I413" i="33" s="1"/>
  <c r="H412" i="33"/>
  <c r="I412" i="33" s="1"/>
  <c r="H411" i="33"/>
  <c r="I411" i="33" s="1"/>
  <c r="H410" i="33"/>
  <c r="I410" i="33" s="1"/>
  <c r="H409" i="33"/>
  <c r="I409" i="33" s="1"/>
  <c r="H408" i="33"/>
  <c r="I408" i="33" s="1"/>
  <c r="M408" i="33" s="1"/>
  <c r="H407" i="33"/>
  <c r="I407" i="33" s="1"/>
  <c r="M407" i="33" s="1"/>
  <c r="H406" i="33"/>
  <c r="I406" i="33" s="1"/>
  <c r="K406" i="33" s="1"/>
  <c r="H405" i="33"/>
  <c r="I405" i="33" s="1"/>
  <c r="N405" i="33" s="1"/>
  <c r="H404" i="33"/>
  <c r="I404" i="33" s="1"/>
  <c r="H403" i="33"/>
  <c r="I403" i="33" s="1"/>
  <c r="H402" i="33"/>
  <c r="I402" i="33" s="1"/>
  <c r="N402" i="33" s="1"/>
  <c r="H401" i="33"/>
  <c r="I401" i="33" s="1"/>
  <c r="H400" i="33"/>
  <c r="I400" i="33" s="1"/>
  <c r="H399" i="33"/>
  <c r="I399" i="33" s="1"/>
  <c r="M399" i="33" s="1"/>
  <c r="H398" i="33"/>
  <c r="I398" i="33" s="1"/>
  <c r="J398" i="33" s="1"/>
  <c r="H397" i="33"/>
  <c r="I397" i="33" s="1"/>
  <c r="H396" i="33"/>
  <c r="I396" i="33" s="1"/>
  <c r="F394" i="33"/>
  <c r="H393" i="33"/>
  <c r="I393" i="33" s="1"/>
  <c r="M393" i="33" s="1"/>
  <c r="H392" i="33"/>
  <c r="I392" i="33" s="1"/>
  <c r="L392" i="33" s="1"/>
  <c r="H391" i="33"/>
  <c r="I391" i="33" s="1"/>
  <c r="N391" i="33" s="1"/>
  <c r="F389" i="33"/>
  <c r="H388" i="33"/>
  <c r="I388" i="33" s="1"/>
  <c r="J388" i="33" s="1"/>
  <c r="F386" i="33"/>
  <c r="H385" i="33"/>
  <c r="I385" i="33" s="1"/>
  <c r="H384" i="33"/>
  <c r="I384" i="33" s="1"/>
  <c r="M384" i="33" s="1"/>
  <c r="H383" i="33"/>
  <c r="I383" i="33" s="1"/>
  <c r="H382" i="33"/>
  <c r="I382" i="33" s="1"/>
  <c r="L382" i="33" s="1"/>
  <c r="H381" i="33"/>
  <c r="I381" i="33" s="1"/>
  <c r="N381" i="33" s="1"/>
  <c r="H380" i="33"/>
  <c r="I380" i="33" s="1"/>
  <c r="J380" i="33" s="1"/>
  <c r="H379" i="33"/>
  <c r="I379" i="33" s="1"/>
  <c r="H378" i="33"/>
  <c r="I378" i="33" s="1"/>
  <c r="H377" i="33"/>
  <c r="I377" i="33" s="1"/>
  <c r="H376" i="33"/>
  <c r="I376" i="33" s="1"/>
  <c r="J376" i="33" s="1"/>
  <c r="H375" i="33"/>
  <c r="I375" i="33" s="1"/>
  <c r="L375" i="33" s="1"/>
  <c r="H374" i="33"/>
  <c r="I374" i="33" s="1"/>
  <c r="L374" i="33" s="1"/>
  <c r="H373" i="33"/>
  <c r="I373" i="33" s="1"/>
  <c r="J373" i="33" s="1"/>
  <c r="H372" i="33"/>
  <c r="I372" i="33" s="1"/>
  <c r="H371" i="33"/>
  <c r="I371" i="33" s="1"/>
  <c r="H370" i="33"/>
  <c r="I370" i="33" s="1"/>
  <c r="L370" i="33" s="1"/>
  <c r="H369" i="33"/>
  <c r="I369" i="33" s="1"/>
  <c r="N369" i="33" s="1"/>
  <c r="H368" i="33"/>
  <c r="I368" i="33" s="1"/>
  <c r="N368" i="33" s="1"/>
  <c r="H367" i="33"/>
  <c r="I367" i="33" s="1"/>
  <c r="H366" i="33"/>
  <c r="I366" i="33" s="1"/>
  <c r="H365" i="33"/>
  <c r="I365" i="33" s="1"/>
  <c r="H364" i="33"/>
  <c r="I364" i="33" s="1"/>
  <c r="K364" i="33" s="1"/>
  <c r="H363" i="33"/>
  <c r="I363" i="33" s="1"/>
  <c r="K363" i="33" s="1"/>
  <c r="H362" i="33"/>
  <c r="I362" i="33" s="1"/>
  <c r="N362" i="33" s="1"/>
  <c r="H361" i="33"/>
  <c r="I361" i="33" s="1"/>
  <c r="L361" i="33" s="1"/>
  <c r="H360" i="33"/>
  <c r="I360" i="33" s="1"/>
  <c r="L360" i="33" s="1"/>
  <c r="H359" i="33"/>
  <c r="I359" i="33" s="1"/>
  <c r="H358" i="33"/>
  <c r="I358" i="33" s="1"/>
  <c r="H357" i="33"/>
  <c r="I357" i="33" s="1"/>
  <c r="H356" i="33"/>
  <c r="I356" i="33" s="1"/>
  <c r="K356" i="33" s="1"/>
  <c r="H355" i="33"/>
  <c r="I355" i="33" s="1"/>
  <c r="H354" i="33"/>
  <c r="I354" i="33" s="1"/>
  <c r="M354" i="33" s="1"/>
  <c r="H353" i="33"/>
  <c r="I353" i="33" s="1"/>
  <c r="H352" i="33"/>
  <c r="I352" i="33" s="1"/>
  <c r="L352" i="33" s="1"/>
  <c r="H351" i="33"/>
  <c r="I351" i="33" s="1"/>
  <c r="H350" i="33"/>
  <c r="I350" i="33" s="1"/>
  <c r="M350" i="33" s="1"/>
  <c r="H349" i="33"/>
  <c r="I349" i="33" s="1"/>
  <c r="H348" i="33"/>
  <c r="I348" i="33" s="1"/>
  <c r="K348" i="33" s="1"/>
  <c r="H347" i="33"/>
  <c r="I347" i="33" s="1"/>
  <c r="H346" i="33"/>
  <c r="I346" i="33" s="1"/>
  <c r="N346" i="33" s="1"/>
  <c r="H345" i="33"/>
  <c r="I345" i="33" s="1"/>
  <c r="L345" i="33" s="1"/>
  <c r="H344" i="33"/>
  <c r="I344" i="33" s="1"/>
  <c r="H343" i="33"/>
  <c r="I343" i="33" s="1"/>
  <c r="H342" i="33"/>
  <c r="I342" i="33" s="1"/>
  <c r="H341" i="33"/>
  <c r="I341" i="33" s="1"/>
  <c r="H340" i="33"/>
  <c r="I340" i="33" s="1"/>
  <c r="H339" i="33"/>
  <c r="I339" i="33" s="1"/>
  <c r="K339" i="33" s="1"/>
  <c r="H338" i="33"/>
  <c r="I338" i="33" s="1"/>
  <c r="H337" i="33"/>
  <c r="I337" i="33" s="1"/>
  <c r="J337" i="33" s="1"/>
  <c r="H336" i="33"/>
  <c r="I336" i="33" s="1"/>
  <c r="L336" i="33" s="1"/>
  <c r="H335" i="33"/>
  <c r="I335" i="33" s="1"/>
  <c r="H334" i="33"/>
  <c r="I334" i="33" s="1"/>
  <c r="H333" i="33"/>
  <c r="I333" i="33" s="1"/>
  <c r="H332" i="33"/>
  <c r="I332" i="33" s="1"/>
  <c r="H331" i="33"/>
  <c r="I331" i="33" s="1"/>
  <c r="K331" i="33" s="1"/>
  <c r="H330" i="33"/>
  <c r="I330" i="33" s="1"/>
  <c r="J330" i="33" s="1"/>
  <c r="H329" i="33"/>
  <c r="I329" i="33" s="1"/>
  <c r="L329" i="33" s="1"/>
  <c r="H328" i="33"/>
  <c r="I328" i="33" s="1"/>
  <c r="H327" i="33"/>
  <c r="I327" i="33" s="1"/>
  <c r="J327" i="33" s="1"/>
  <c r="H326" i="33"/>
  <c r="I326" i="33" s="1"/>
  <c r="J326" i="33" s="1"/>
  <c r="H325" i="33"/>
  <c r="I325" i="33" s="1"/>
  <c r="M325" i="33" s="1"/>
  <c r="H324" i="33"/>
  <c r="I324" i="33" s="1"/>
  <c r="H323" i="33"/>
  <c r="I323" i="33" s="1"/>
  <c r="N323" i="33" s="1"/>
  <c r="H322" i="33"/>
  <c r="I322" i="33" s="1"/>
  <c r="H321" i="33"/>
  <c r="I321" i="33" s="1"/>
  <c r="J321" i="33" s="1"/>
  <c r="H320" i="33"/>
  <c r="I320" i="33" s="1"/>
  <c r="H319" i="33"/>
  <c r="I319" i="33" s="1"/>
  <c r="J319" i="33" s="1"/>
  <c r="H318" i="33"/>
  <c r="I318" i="33" s="1"/>
  <c r="H317" i="33"/>
  <c r="I317" i="33" s="1"/>
  <c r="M317" i="33" s="1"/>
  <c r="H316" i="33"/>
  <c r="I316" i="33" s="1"/>
  <c r="K316" i="33" s="1"/>
  <c r="H315" i="33"/>
  <c r="I315" i="33" s="1"/>
  <c r="H314" i="33"/>
  <c r="I314" i="33" s="1"/>
  <c r="H313" i="33"/>
  <c r="I313" i="33" s="1"/>
  <c r="M313" i="33" s="1"/>
  <c r="H312" i="33"/>
  <c r="I312" i="33" s="1"/>
  <c r="H311" i="33"/>
  <c r="I311" i="33" s="1"/>
  <c r="N311" i="33" s="1"/>
  <c r="H310" i="33"/>
  <c r="I310" i="33" s="1"/>
  <c r="J310" i="33" s="1"/>
  <c r="H309" i="33"/>
  <c r="I309" i="33" s="1"/>
  <c r="J309" i="33" s="1"/>
  <c r="H308" i="33"/>
  <c r="I308" i="33" s="1"/>
  <c r="H307" i="33"/>
  <c r="I307" i="33" s="1"/>
  <c r="H306" i="33"/>
  <c r="I306" i="33" s="1"/>
  <c r="N306" i="33" s="1"/>
  <c r="H305" i="33"/>
  <c r="I305" i="33" s="1"/>
  <c r="J305" i="33" s="1"/>
  <c r="H304" i="33"/>
  <c r="I304" i="33" s="1"/>
  <c r="M304" i="33" s="1"/>
  <c r="H303" i="33"/>
  <c r="I303" i="33" s="1"/>
  <c r="J303" i="33" s="1"/>
  <c r="H302" i="33"/>
  <c r="I302" i="33" s="1"/>
  <c r="L302" i="33" s="1"/>
  <c r="H301" i="33"/>
  <c r="I301" i="33" s="1"/>
  <c r="H300" i="33"/>
  <c r="I300" i="33" s="1"/>
  <c r="H299" i="33"/>
  <c r="I299" i="33" s="1"/>
  <c r="H298" i="33"/>
  <c r="I298" i="33" s="1"/>
  <c r="J298" i="33" s="1"/>
  <c r="H297" i="33"/>
  <c r="I297" i="33" s="1"/>
  <c r="M297" i="33" s="1"/>
  <c r="H296" i="33"/>
  <c r="I296" i="33" s="1"/>
  <c r="H295" i="33"/>
  <c r="I295" i="33" s="1"/>
  <c r="N295" i="33" s="1"/>
  <c r="H294" i="33"/>
  <c r="I294" i="33" s="1"/>
  <c r="L294" i="33" s="1"/>
  <c r="H293" i="33"/>
  <c r="I293" i="33" s="1"/>
  <c r="H292" i="33"/>
  <c r="I292" i="33" s="1"/>
  <c r="H291" i="33"/>
  <c r="I291" i="33" s="1"/>
  <c r="N291" i="33" s="1"/>
  <c r="H290" i="33"/>
  <c r="I290" i="33" s="1"/>
  <c r="H289" i="33"/>
  <c r="I289" i="33" s="1"/>
  <c r="H288" i="33"/>
  <c r="I288" i="33" s="1"/>
  <c r="H287" i="33"/>
  <c r="I287" i="33" s="1"/>
  <c r="J287" i="33" s="1"/>
  <c r="H286" i="33"/>
  <c r="I286" i="33" s="1"/>
  <c r="H285" i="33"/>
  <c r="I285" i="33" s="1"/>
  <c r="H284" i="33"/>
  <c r="I284" i="33" s="1"/>
  <c r="H283" i="33"/>
  <c r="I283" i="33" s="1"/>
  <c r="H282" i="33"/>
  <c r="I282" i="33" s="1"/>
  <c r="H281" i="33"/>
  <c r="I281" i="33" s="1"/>
  <c r="M281" i="33" s="1"/>
  <c r="H280" i="33"/>
  <c r="I280" i="33" s="1"/>
  <c r="M280" i="33" s="1"/>
  <c r="H279" i="33"/>
  <c r="I279" i="33" s="1"/>
  <c r="F277" i="33"/>
  <c r="H273" i="33"/>
  <c r="I273" i="33" s="1"/>
  <c r="K273" i="33" s="1"/>
  <c r="H272" i="33"/>
  <c r="I272" i="33" s="1"/>
  <c r="H271" i="33"/>
  <c r="I271" i="33" s="1"/>
  <c r="M271" i="33" s="1"/>
  <c r="F269" i="33"/>
  <c r="H267" i="33"/>
  <c r="I267" i="33" s="1"/>
  <c r="H266" i="33"/>
  <c r="I266" i="33" s="1"/>
  <c r="H265" i="33"/>
  <c r="I265" i="33" s="1"/>
  <c r="N265" i="33" s="1"/>
  <c r="H264" i="33"/>
  <c r="I264" i="33" s="1"/>
  <c r="F262" i="33"/>
  <c r="H261" i="33"/>
  <c r="I261" i="33" s="1"/>
  <c r="N261" i="33" s="1"/>
  <c r="H260" i="33"/>
  <c r="I260" i="33" s="1"/>
  <c r="J260" i="33" s="1"/>
  <c r="H259" i="33"/>
  <c r="I259" i="33" s="1"/>
  <c r="M259" i="33" s="1"/>
  <c r="H258" i="33"/>
  <c r="I258" i="33" s="1"/>
  <c r="J258" i="33" s="1"/>
  <c r="H257" i="33"/>
  <c r="I257" i="33" s="1"/>
  <c r="L257" i="33" s="1"/>
  <c r="F255" i="33"/>
  <c r="H254" i="33"/>
  <c r="I254" i="33" s="1"/>
  <c r="J254" i="33" s="1"/>
  <c r="H253" i="33"/>
  <c r="I253" i="33" s="1"/>
  <c r="H252" i="33"/>
  <c r="I252" i="33" s="1"/>
  <c r="M252" i="33" s="1"/>
  <c r="H251" i="33"/>
  <c r="I251" i="33" s="1"/>
  <c r="K251" i="33" s="1"/>
  <c r="H250" i="33"/>
  <c r="I250" i="33" s="1"/>
  <c r="K250" i="33" s="1"/>
  <c r="H249" i="33"/>
  <c r="I249" i="33" s="1"/>
  <c r="N249" i="33" s="1"/>
  <c r="H248" i="33"/>
  <c r="I248" i="33" s="1"/>
  <c r="K248" i="33" s="1"/>
  <c r="H247" i="33"/>
  <c r="I247" i="33" s="1"/>
  <c r="H246" i="33"/>
  <c r="I246" i="33" s="1"/>
  <c r="J246" i="33" s="1"/>
  <c r="H245" i="33"/>
  <c r="I245" i="33" s="1"/>
  <c r="H244" i="33"/>
  <c r="I244" i="33" s="1"/>
  <c r="H243" i="33"/>
  <c r="I243" i="33" s="1"/>
  <c r="H242" i="33"/>
  <c r="I242" i="33" s="1"/>
  <c r="H241" i="33"/>
  <c r="I241" i="33" s="1"/>
  <c r="N241" i="33" s="1"/>
  <c r="H240" i="33"/>
  <c r="I240" i="33" s="1"/>
  <c r="H239" i="33"/>
  <c r="I239" i="33" s="1"/>
  <c r="J239" i="33" s="1"/>
  <c r="H238" i="33"/>
  <c r="I238" i="33" s="1"/>
  <c r="H237" i="33"/>
  <c r="I237" i="33" s="1"/>
  <c r="H236" i="33"/>
  <c r="I236" i="33" s="1"/>
  <c r="M236" i="33" s="1"/>
  <c r="H235" i="33"/>
  <c r="I235" i="33" s="1"/>
  <c r="M235" i="33" s="1"/>
  <c r="H234" i="33"/>
  <c r="I234" i="33" s="1"/>
  <c r="H233" i="33"/>
  <c r="I233" i="33" s="1"/>
  <c r="H232" i="33"/>
  <c r="I232" i="33" s="1"/>
  <c r="H231" i="33"/>
  <c r="I231" i="33" s="1"/>
  <c r="J231" i="33" s="1"/>
  <c r="H230" i="33"/>
  <c r="I230" i="33" s="1"/>
  <c r="J230" i="33" s="1"/>
  <c r="H229" i="33"/>
  <c r="I229" i="33" s="1"/>
  <c r="L229" i="33" s="1"/>
  <c r="H228" i="33"/>
  <c r="I228" i="33" s="1"/>
  <c r="M228" i="33" s="1"/>
  <c r="H227" i="33"/>
  <c r="I227" i="33" s="1"/>
  <c r="M227" i="33" s="1"/>
  <c r="H226" i="33"/>
  <c r="I226" i="33" s="1"/>
  <c r="N226" i="33" s="1"/>
  <c r="H225" i="33"/>
  <c r="I225" i="33" s="1"/>
  <c r="H224" i="33"/>
  <c r="I224" i="33" s="1"/>
  <c r="K224" i="33" s="1"/>
  <c r="H223" i="33"/>
  <c r="I223" i="33" s="1"/>
  <c r="H222" i="33"/>
  <c r="I222" i="33" s="1"/>
  <c r="J222" i="33" s="1"/>
  <c r="H221" i="33"/>
  <c r="I221" i="33" s="1"/>
  <c r="N221" i="33" s="1"/>
  <c r="H220" i="33"/>
  <c r="I220" i="33" s="1"/>
  <c r="M220" i="33" s="1"/>
  <c r="H219" i="33"/>
  <c r="I219" i="33" s="1"/>
  <c r="L219" i="33" s="1"/>
  <c r="H218" i="33"/>
  <c r="I218" i="33" s="1"/>
  <c r="H217" i="33"/>
  <c r="I217" i="33" s="1"/>
  <c r="N217" i="33" s="1"/>
  <c r="H216" i="33"/>
  <c r="I216" i="33" s="1"/>
  <c r="K216" i="33" s="1"/>
  <c r="H215" i="33"/>
  <c r="I215" i="33" s="1"/>
  <c r="J215" i="33" s="1"/>
  <c r="H214" i="33"/>
  <c r="I214" i="33" s="1"/>
  <c r="J214" i="33" s="1"/>
  <c r="H213" i="33"/>
  <c r="I213" i="33" s="1"/>
  <c r="H212" i="33"/>
  <c r="I212" i="33" s="1"/>
  <c r="H211" i="33"/>
  <c r="I211" i="33" s="1"/>
  <c r="K211" i="33" s="1"/>
  <c r="H210" i="33"/>
  <c r="I210" i="33" s="1"/>
  <c r="K210" i="33" s="1"/>
  <c r="H209" i="33"/>
  <c r="I209" i="33" s="1"/>
  <c r="N209" i="33" s="1"/>
  <c r="H208" i="33"/>
  <c r="I208" i="33" s="1"/>
  <c r="H207" i="33"/>
  <c r="I207" i="33" s="1"/>
  <c r="J207" i="33" s="1"/>
  <c r="H206" i="33"/>
  <c r="I206" i="33" s="1"/>
  <c r="H205" i="33"/>
  <c r="I205" i="33" s="1"/>
  <c r="M205" i="33" s="1"/>
  <c r="H204" i="33"/>
  <c r="I204" i="33" s="1"/>
  <c r="K204" i="33" s="1"/>
  <c r="H203" i="33"/>
  <c r="I203" i="33" s="1"/>
  <c r="H202" i="33"/>
  <c r="I202" i="33" s="1"/>
  <c r="J202" i="33" s="1"/>
  <c r="H201" i="33"/>
  <c r="I201" i="33" s="1"/>
  <c r="H200" i="33"/>
  <c r="I200" i="33" s="1"/>
  <c r="N200" i="33" s="1"/>
  <c r="H199" i="33"/>
  <c r="I199" i="33" s="1"/>
  <c r="K199" i="33" s="1"/>
  <c r="H198" i="33"/>
  <c r="I198" i="33" s="1"/>
  <c r="H197" i="33"/>
  <c r="I197" i="33" s="1"/>
  <c r="N197" i="33" s="1"/>
  <c r="H196" i="33"/>
  <c r="I196" i="33" s="1"/>
  <c r="H195" i="33"/>
  <c r="I195" i="33" s="1"/>
  <c r="M195" i="33" s="1"/>
  <c r="H194" i="33"/>
  <c r="I194" i="33" s="1"/>
  <c r="H193" i="33"/>
  <c r="I193" i="33" s="1"/>
  <c r="J193" i="33" s="1"/>
  <c r="H192" i="33"/>
  <c r="I192" i="33" s="1"/>
  <c r="H191" i="33"/>
  <c r="I191" i="33" s="1"/>
  <c r="H190" i="33"/>
  <c r="I190" i="33" s="1"/>
  <c r="H189" i="33"/>
  <c r="I189" i="33" s="1"/>
  <c r="H188" i="33"/>
  <c r="I188" i="33" s="1"/>
  <c r="H187" i="33"/>
  <c r="I187" i="33" s="1"/>
  <c r="K187" i="33" s="1"/>
  <c r="H186" i="33"/>
  <c r="I186" i="33" s="1"/>
  <c r="N186" i="33" s="1"/>
  <c r="H185" i="33"/>
  <c r="I185" i="33" s="1"/>
  <c r="H184" i="33"/>
  <c r="I184" i="33" s="1"/>
  <c r="H183" i="33"/>
  <c r="I183" i="33" s="1"/>
  <c r="H182" i="33"/>
  <c r="I182" i="33" s="1"/>
  <c r="H181" i="33"/>
  <c r="I181" i="33" s="1"/>
  <c r="H180" i="33"/>
  <c r="I180" i="33" s="1"/>
  <c r="H179" i="33"/>
  <c r="I179" i="33" s="1"/>
  <c r="K179" i="33" s="1"/>
  <c r="H178" i="33"/>
  <c r="I178" i="33" s="1"/>
  <c r="N178" i="33" s="1"/>
  <c r="H177" i="33"/>
  <c r="I177" i="33" s="1"/>
  <c r="H176" i="33"/>
  <c r="I176" i="33" s="1"/>
  <c r="H175" i="33"/>
  <c r="I175" i="33" s="1"/>
  <c r="H174" i="33"/>
  <c r="I174" i="33" s="1"/>
  <c r="H173" i="33"/>
  <c r="I173" i="33" s="1"/>
  <c r="H172" i="33"/>
  <c r="I172" i="33" s="1"/>
  <c r="H171" i="33"/>
  <c r="I171" i="33" s="1"/>
  <c r="M171" i="33" s="1"/>
  <c r="H170" i="33"/>
  <c r="I170" i="33" s="1"/>
  <c r="J170" i="33" s="1"/>
  <c r="H169" i="33"/>
  <c r="I169" i="33" s="1"/>
  <c r="N169" i="33" s="1"/>
  <c r="H168" i="33"/>
  <c r="I168" i="33" s="1"/>
  <c r="H167" i="33"/>
  <c r="I167" i="33" s="1"/>
  <c r="H166" i="33"/>
  <c r="I166" i="33" s="1"/>
  <c r="H165" i="33"/>
  <c r="I165" i="33" s="1"/>
  <c r="H164" i="33"/>
  <c r="I164" i="33" s="1"/>
  <c r="H163" i="33"/>
  <c r="I163" i="33" s="1"/>
  <c r="M163" i="33" s="1"/>
  <c r="H162" i="33"/>
  <c r="I162" i="33" s="1"/>
  <c r="J162" i="33" s="1"/>
  <c r="F160" i="33"/>
  <c r="H159" i="33"/>
  <c r="I159" i="33" s="1"/>
  <c r="M159" i="33" s="1"/>
  <c r="H158" i="33"/>
  <c r="I158" i="33" s="1"/>
  <c r="F156" i="33"/>
  <c r="H155" i="33"/>
  <c r="I155" i="33" s="1"/>
  <c r="H154" i="33"/>
  <c r="I154" i="33" s="1"/>
  <c r="N154" i="33" s="1"/>
  <c r="F152" i="33"/>
  <c r="H151" i="33"/>
  <c r="I151" i="33" s="1"/>
  <c r="L151" i="33" s="1"/>
  <c r="H150" i="33"/>
  <c r="I150" i="33" s="1"/>
  <c r="H149" i="33"/>
  <c r="I149" i="33" s="1"/>
  <c r="H148" i="33"/>
  <c r="I148" i="33" s="1"/>
  <c r="F146" i="33"/>
  <c r="H142" i="33"/>
  <c r="I142" i="33" s="1"/>
  <c r="H141" i="33"/>
  <c r="I141" i="33" s="1"/>
  <c r="H140" i="33"/>
  <c r="I140" i="33" s="1"/>
  <c r="F137" i="33"/>
  <c r="H135" i="33"/>
  <c r="I135" i="33" s="1"/>
  <c r="J135" i="33" s="1"/>
  <c r="H134" i="33"/>
  <c r="I134" i="33" s="1"/>
  <c r="N134" i="33" s="1"/>
  <c r="H133" i="33"/>
  <c r="I133" i="33" s="1"/>
  <c r="H132" i="33"/>
  <c r="I132" i="33" s="1"/>
  <c r="H131" i="33"/>
  <c r="I131" i="33" s="1"/>
  <c r="H130" i="33"/>
  <c r="I130" i="33" s="1"/>
  <c r="H129" i="33"/>
  <c r="I129" i="33" s="1"/>
  <c r="M129" i="33" s="1"/>
  <c r="H128" i="33"/>
  <c r="I128" i="33" s="1"/>
  <c r="H127" i="33"/>
  <c r="I127" i="33" s="1"/>
  <c r="H126" i="33"/>
  <c r="I126" i="33" s="1"/>
  <c r="H125" i="33"/>
  <c r="I125" i="33" s="1"/>
  <c r="M125" i="33" s="1"/>
  <c r="H124" i="33"/>
  <c r="I124" i="33" s="1"/>
  <c r="H123" i="33"/>
  <c r="I123" i="33" s="1"/>
  <c r="H122" i="33"/>
  <c r="I122" i="33" s="1"/>
  <c r="H121" i="33"/>
  <c r="I121" i="33" s="1"/>
  <c r="H120" i="33"/>
  <c r="I120" i="33" s="1"/>
  <c r="H119" i="33"/>
  <c r="I119" i="33" s="1"/>
  <c r="H118" i="33"/>
  <c r="I118" i="33" s="1"/>
  <c r="H117" i="33"/>
  <c r="I117" i="33" s="1"/>
  <c r="M117" i="33" s="1"/>
  <c r="H116" i="33"/>
  <c r="I116" i="33" s="1"/>
  <c r="H115" i="33"/>
  <c r="I115" i="33" s="1"/>
  <c r="H114" i="33"/>
  <c r="I114" i="33" s="1"/>
  <c r="N114" i="33" s="1"/>
  <c r="H113" i="33"/>
  <c r="I113" i="33" s="1"/>
  <c r="M113" i="33" s="1"/>
  <c r="H112" i="33"/>
  <c r="I112" i="33" s="1"/>
  <c r="H111" i="33"/>
  <c r="I111" i="33" s="1"/>
  <c r="H110" i="33"/>
  <c r="I110" i="33" s="1"/>
  <c r="H109" i="33"/>
  <c r="I109" i="33" s="1"/>
  <c r="H108" i="33"/>
  <c r="I108" i="33" s="1"/>
  <c r="H107" i="33"/>
  <c r="I107" i="33" s="1"/>
  <c r="H106" i="33"/>
  <c r="I106" i="33" s="1"/>
  <c r="H105" i="33"/>
  <c r="I105" i="33" s="1"/>
  <c r="M105" i="33" s="1"/>
  <c r="H104" i="33"/>
  <c r="I104" i="33" s="1"/>
  <c r="H103" i="33"/>
  <c r="I103" i="33" s="1"/>
  <c r="K103" i="33" s="1"/>
  <c r="H102" i="33"/>
  <c r="I102" i="33" s="1"/>
  <c r="M102" i="33" s="1"/>
  <c r="H101" i="33"/>
  <c r="I101" i="33" s="1"/>
  <c r="H100" i="33"/>
  <c r="I100" i="33" s="1"/>
  <c r="H99" i="33"/>
  <c r="I99" i="33" s="1"/>
  <c r="H98" i="33"/>
  <c r="I98" i="33" s="1"/>
  <c r="N98" i="33" s="1"/>
  <c r="H97" i="33"/>
  <c r="I97" i="33" s="1"/>
  <c r="M97" i="33" s="1"/>
  <c r="H96" i="33"/>
  <c r="I96" i="33" s="1"/>
  <c r="H95" i="33"/>
  <c r="I95" i="33" s="1"/>
  <c r="H94" i="33"/>
  <c r="I94" i="33" s="1"/>
  <c r="H93" i="33"/>
  <c r="I93" i="33" s="1"/>
  <c r="H92" i="33"/>
  <c r="I92" i="33" s="1"/>
  <c r="H91" i="33"/>
  <c r="I91" i="33" s="1"/>
  <c r="H90" i="33"/>
  <c r="I90" i="33" s="1"/>
  <c r="H89" i="33"/>
  <c r="I89" i="33" s="1"/>
  <c r="H88" i="33"/>
  <c r="I88" i="33" s="1"/>
  <c r="H87" i="33"/>
  <c r="I87" i="33" s="1"/>
  <c r="F85" i="33"/>
  <c r="H83" i="33"/>
  <c r="I83" i="33" s="1"/>
  <c r="H82" i="33"/>
  <c r="I82" i="33" s="1"/>
  <c r="H81" i="33"/>
  <c r="I81" i="33" s="1"/>
  <c r="H80" i="33"/>
  <c r="I80" i="33" s="1"/>
  <c r="L80" i="33" s="1"/>
  <c r="H79" i="33"/>
  <c r="I79" i="33" s="1"/>
  <c r="H78" i="33"/>
  <c r="I78" i="33" s="1"/>
  <c r="M78" i="33" s="1"/>
  <c r="F76" i="33"/>
  <c r="H75" i="33"/>
  <c r="I75" i="33" s="1"/>
  <c r="H74" i="33"/>
  <c r="I74" i="33" s="1"/>
  <c r="M74" i="33" s="1"/>
  <c r="F72" i="33"/>
  <c r="H71" i="33"/>
  <c r="I71" i="33" s="1"/>
  <c r="J71" i="33" s="1"/>
  <c r="H70" i="33"/>
  <c r="I70" i="33" s="1"/>
  <c r="H69" i="33"/>
  <c r="I69" i="33" s="1"/>
  <c r="H68" i="33"/>
  <c r="I68" i="33" s="1"/>
  <c r="H67" i="33"/>
  <c r="I67" i="33" s="1"/>
  <c r="M67" i="33" s="1"/>
  <c r="H66" i="33"/>
  <c r="I66" i="33" s="1"/>
  <c r="H65" i="33"/>
  <c r="I65" i="33" s="1"/>
  <c r="K65" i="33" s="1"/>
  <c r="H64" i="33"/>
  <c r="I64" i="33" s="1"/>
  <c r="J64" i="33" s="1"/>
  <c r="H63" i="33"/>
  <c r="I63" i="33" s="1"/>
  <c r="M63" i="33" s="1"/>
  <c r="H62" i="33"/>
  <c r="I62" i="33" s="1"/>
  <c r="H61" i="33"/>
  <c r="I61" i="33" s="1"/>
  <c r="K61" i="33" s="1"/>
  <c r="H60" i="33"/>
  <c r="I60" i="33" s="1"/>
  <c r="H59" i="33"/>
  <c r="I59" i="33" s="1"/>
  <c r="H58" i="33"/>
  <c r="I58" i="33" s="1"/>
  <c r="H57" i="33"/>
  <c r="I57" i="33" s="1"/>
  <c r="H56" i="33"/>
  <c r="I56" i="33" s="1"/>
  <c r="H55" i="33"/>
  <c r="I55" i="33" s="1"/>
  <c r="M55" i="33" s="1"/>
  <c r="H54" i="33"/>
  <c r="I54" i="33" s="1"/>
  <c r="H53" i="33"/>
  <c r="I53" i="33" s="1"/>
  <c r="K53" i="33" s="1"/>
  <c r="H52" i="33"/>
  <c r="I52" i="33" s="1"/>
  <c r="H51" i="33"/>
  <c r="I51" i="33" s="1"/>
  <c r="H50" i="33"/>
  <c r="I50" i="33" s="1"/>
  <c r="H49" i="33"/>
  <c r="I49" i="33" s="1"/>
  <c r="K49" i="33" s="1"/>
  <c r="H48" i="33"/>
  <c r="I48" i="33" s="1"/>
  <c r="J48" i="33" s="1"/>
  <c r="H47" i="33"/>
  <c r="I47" i="33" s="1"/>
  <c r="H46" i="33"/>
  <c r="I46" i="33" s="1"/>
  <c r="H45" i="33"/>
  <c r="I45" i="33" s="1"/>
  <c r="H44" i="33"/>
  <c r="I44" i="33" s="1"/>
  <c r="M44" i="33" s="1"/>
  <c r="H43" i="33"/>
  <c r="I43" i="33" s="1"/>
  <c r="M43" i="33" s="1"/>
  <c r="H42" i="33"/>
  <c r="I42" i="33" s="1"/>
  <c r="H41" i="33"/>
  <c r="I41" i="33" s="1"/>
  <c r="K41" i="33" s="1"/>
  <c r="H40" i="33"/>
  <c r="I40" i="33" s="1"/>
  <c r="H39" i="33"/>
  <c r="I39" i="33" s="1"/>
  <c r="H38" i="33"/>
  <c r="I38" i="33" s="1"/>
  <c r="H37" i="33"/>
  <c r="I37" i="33" s="1"/>
  <c r="H36" i="33"/>
  <c r="I36" i="33" s="1"/>
  <c r="H35" i="33"/>
  <c r="I35" i="33" s="1"/>
  <c r="H34" i="33"/>
  <c r="I34" i="33" s="1"/>
  <c r="H33" i="33"/>
  <c r="I33" i="33" s="1"/>
  <c r="H32" i="33"/>
  <c r="I32" i="33" s="1"/>
  <c r="J32" i="33" s="1"/>
  <c r="H31" i="33"/>
  <c r="I31" i="33" s="1"/>
  <c r="M31" i="33" s="1"/>
  <c r="H30" i="33"/>
  <c r="I30" i="33" s="1"/>
  <c r="H29" i="33"/>
  <c r="I29" i="33" s="1"/>
  <c r="H28" i="33"/>
  <c r="I28" i="33" s="1"/>
  <c r="J28" i="33" s="1"/>
  <c r="H27" i="33"/>
  <c r="I27" i="33" s="1"/>
  <c r="H26" i="33"/>
  <c r="I26" i="33" s="1"/>
  <c r="H25" i="33"/>
  <c r="I25" i="33" s="1"/>
  <c r="H24" i="33"/>
  <c r="I24" i="33" s="1"/>
  <c r="H23" i="33"/>
  <c r="I23" i="33" s="1"/>
  <c r="M23" i="33" s="1"/>
  <c r="H22" i="33"/>
  <c r="I22" i="33" s="1"/>
  <c r="H21" i="33"/>
  <c r="I21" i="33" s="1"/>
  <c r="H20" i="33"/>
  <c r="I20" i="33" s="1"/>
  <c r="H19" i="33"/>
  <c r="I19" i="33" s="1"/>
  <c r="H18" i="33"/>
  <c r="I18" i="33" s="1"/>
  <c r="H17" i="33"/>
  <c r="I17" i="33" s="1"/>
  <c r="H16" i="33"/>
  <c r="I16" i="33" s="1"/>
  <c r="J16" i="33" s="1"/>
  <c r="H15" i="33"/>
  <c r="I15" i="33" s="1"/>
  <c r="J15" i="33" s="1"/>
  <c r="H14" i="33"/>
  <c r="I14" i="33" s="1"/>
  <c r="H13" i="33"/>
  <c r="I13" i="33" s="1"/>
  <c r="L13" i="33" s="1"/>
  <c r="H12" i="33"/>
  <c r="I12" i="33" s="1"/>
  <c r="N12" i="33" s="1"/>
  <c r="A12" i="33"/>
  <c r="F10" i="33"/>
  <c r="H7" i="33"/>
  <c r="I7" i="33" s="1"/>
  <c r="K7" i="33" s="1"/>
  <c r="K295" i="33" l="1"/>
  <c r="M310" i="33"/>
  <c r="M450" i="33"/>
  <c r="N471" i="33"/>
  <c r="L461" i="33"/>
  <c r="N459" i="33"/>
  <c r="J211" i="33"/>
  <c r="K220" i="33"/>
  <c r="K226" i="33"/>
  <c r="K227" i="33"/>
  <c r="K258" i="33"/>
  <c r="L260" i="33"/>
  <c r="M261" i="33"/>
  <c r="K459" i="33"/>
  <c r="J461" i="33"/>
  <c r="L471" i="33"/>
  <c r="M493" i="33"/>
  <c r="N162" i="33"/>
  <c r="M226" i="33"/>
  <c r="N258" i="33"/>
  <c r="M260" i="33"/>
  <c r="J227" i="33"/>
  <c r="J261" i="33"/>
  <c r="J294" i="33"/>
  <c r="L418" i="33"/>
  <c r="F508" i="33"/>
  <c r="J235" i="33"/>
  <c r="K294" i="33"/>
  <c r="L304" i="33"/>
  <c r="M305" i="33"/>
  <c r="K417" i="33"/>
  <c r="N418" i="33"/>
  <c r="L159" i="33"/>
  <c r="L305" i="33"/>
  <c r="K235" i="33"/>
  <c r="N417" i="33"/>
  <c r="K13" i="33"/>
  <c r="K257" i="33"/>
  <c r="K303" i="33"/>
  <c r="M346" i="33"/>
  <c r="K440" i="33"/>
  <c r="L442" i="33"/>
  <c r="M470" i="33"/>
  <c r="J491" i="33"/>
  <c r="K78" i="33"/>
  <c r="K159" i="33"/>
  <c r="M419" i="33"/>
  <c r="N491" i="33"/>
  <c r="J78" i="33"/>
  <c r="J159" i="33"/>
  <c r="N170" i="33"/>
  <c r="L227" i="33"/>
  <c r="L235" i="33"/>
  <c r="L251" i="33"/>
  <c r="M257" i="33"/>
  <c r="L271" i="33"/>
  <c r="L297" i="33"/>
  <c r="N303" i="33"/>
  <c r="M306" i="33"/>
  <c r="M336" i="33"/>
  <c r="L419" i="33"/>
  <c r="L440" i="33"/>
  <c r="N470" i="33"/>
  <c r="L324" i="33"/>
  <c r="K324" i="33"/>
  <c r="L284" i="33"/>
  <c r="K284" i="33"/>
  <c r="M60" i="33"/>
  <c r="J60" i="33"/>
  <c r="N237" i="33"/>
  <c r="M237" i="33"/>
  <c r="N283" i="33"/>
  <c r="L283" i="33"/>
  <c r="K283" i="33"/>
  <c r="K401" i="33"/>
  <c r="N401" i="33"/>
  <c r="N409" i="33"/>
  <c r="K409" i="33"/>
  <c r="M411" i="33"/>
  <c r="L411" i="33"/>
  <c r="K12" i="33"/>
  <c r="K228" i="33"/>
  <c r="L237" i="33"/>
  <c r="L316" i="33"/>
  <c r="J409" i="33"/>
  <c r="K411" i="33"/>
  <c r="N432" i="33"/>
  <c r="M432" i="33"/>
  <c r="K480" i="33"/>
  <c r="L490" i="33"/>
  <c r="J490" i="33"/>
  <c r="K490" i="33"/>
  <c r="J44" i="33"/>
  <c r="K102" i="33"/>
  <c r="M197" i="33"/>
  <c r="M250" i="33"/>
  <c r="K350" i="33"/>
  <c r="L385" i="33"/>
  <c r="N385" i="33"/>
  <c r="K385" i="33"/>
  <c r="N410" i="33"/>
  <c r="L410" i="33"/>
  <c r="K432" i="33"/>
  <c r="M439" i="33"/>
  <c r="K458" i="33"/>
  <c r="M458" i="33"/>
  <c r="N205" i="33"/>
  <c r="L205" i="33"/>
  <c r="K335" i="33"/>
  <c r="N335" i="33"/>
  <c r="M28" i="33"/>
  <c r="K28" i="33"/>
  <c r="K60" i="33"/>
  <c r="J102" i="33"/>
  <c r="M118" i="33"/>
  <c r="K118" i="33"/>
  <c r="N242" i="33"/>
  <c r="M242" i="33"/>
  <c r="J335" i="33"/>
  <c r="N354" i="33"/>
  <c r="N371" i="33"/>
  <c r="M371" i="33"/>
  <c r="J401" i="33"/>
  <c r="M414" i="33"/>
  <c r="L414" i="33"/>
  <c r="K414" i="33"/>
  <c r="J118" i="33"/>
  <c r="L155" i="33"/>
  <c r="J155" i="33"/>
  <c r="K219" i="33"/>
  <c r="K236" i="33"/>
  <c r="K242" i="33"/>
  <c r="L259" i="33"/>
  <c r="N15" i="33"/>
  <c r="M15" i="33"/>
  <c r="K44" i="33"/>
  <c r="K155" i="33"/>
  <c r="M204" i="33"/>
  <c r="N210" i="33"/>
  <c r="M210" i="33"/>
  <c r="N229" i="33"/>
  <c r="M229" i="33"/>
  <c r="M234" i="33"/>
  <c r="N234" i="33"/>
  <c r="N250" i="33"/>
  <c r="M302" i="33"/>
  <c r="J345" i="33"/>
  <c r="M383" i="33"/>
  <c r="L383" i="33"/>
  <c r="J410" i="33"/>
  <c r="K426" i="33"/>
  <c r="N426" i="33"/>
  <c r="L431" i="33"/>
  <c r="N447" i="33"/>
  <c r="M447" i="33"/>
  <c r="K482" i="33"/>
  <c r="J482" i="33"/>
  <c r="K498" i="33"/>
  <c r="M498" i="33"/>
  <c r="K467" i="33"/>
  <c r="M481" i="33"/>
  <c r="M489" i="33"/>
  <c r="J257" i="33"/>
  <c r="J271" i="33"/>
  <c r="J295" i="33"/>
  <c r="J297" i="33"/>
  <c r="J306" i="33"/>
  <c r="M362" i="33"/>
  <c r="J440" i="33"/>
  <c r="L493" i="33"/>
  <c r="K495" i="33"/>
  <c r="M52" i="33"/>
  <c r="K52" i="33"/>
  <c r="J52" i="33"/>
  <c r="N52" i="33"/>
  <c r="N173" i="33"/>
  <c r="M173" i="33"/>
  <c r="K173" i="33"/>
  <c r="M36" i="33"/>
  <c r="K36" i="33"/>
  <c r="J36" i="33"/>
  <c r="N36" i="33"/>
  <c r="L133" i="33"/>
  <c r="K133" i="33"/>
  <c r="J133" i="33"/>
  <c r="N165" i="33"/>
  <c r="M165" i="33"/>
  <c r="K165" i="33"/>
  <c r="M20" i="33"/>
  <c r="K20" i="33"/>
  <c r="J20" i="33"/>
  <c r="N20" i="33"/>
  <c r="M82" i="33"/>
  <c r="K82" i="33"/>
  <c r="J82" i="33"/>
  <c r="N82" i="33"/>
  <c r="M68" i="33"/>
  <c r="K68" i="33"/>
  <c r="J68" i="33"/>
  <c r="N68" i="33"/>
  <c r="M24" i="33"/>
  <c r="J24" i="33"/>
  <c r="M40" i="33"/>
  <c r="J40" i="33"/>
  <c r="M56" i="33"/>
  <c r="J56" i="33"/>
  <c r="M75" i="33"/>
  <c r="K75" i="33"/>
  <c r="J75" i="33"/>
  <c r="M94" i="33"/>
  <c r="K94" i="33"/>
  <c r="J94" i="33"/>
  <c r="M110" i="33"/>
  <c r="K110" i="33"/>
  <c r="J110" i="33"/>
  <c r="M126" i="33"/>
  <c r="K126" i="33"/>
  <c r="J126" i="33"/>
  <c r="L142" i="33"/>
  <c r="K142" i="33"/>
  <c r="L148" i="33"/>
  <c r="K148" i="33"/>
  <c r="J148" i="33"/>
  <c r="N164" i="33"/>
  <c r="L164" i="33"/>
  <c r="M166" i="33"/>
  <c r="L166" i="33"/>
  <c r="K166" i="33"/>
  <c r="N172" i="33"/>
  <c r="L172" i="33"/>
  <c r="M174" i="33"/>
  <c r="L174" i="33"/>
  <c r="K174" i="33"/>
  <c r="M182" i="33"/>
  <c r="L182" i="33"/>
  <c r="J182" i="33"/>
  <c r="K182" i="33"/>
  <c r="J185" i="33"/>
  <c r="N185" i="33"/>
  <c r="M244" i="33"/>
  <c r="K244" i="33"/>
  <c r="J267" i="33"/>
  <c r="N267" i="33"/>
  <c r="L267" i="33"/>
  <c r="N282" i="33"/>
  <c r="J282" i="33"/>
  <c r="M282" i="33"/>
  <c r="L286" i="33"/>
  <c r="K286" i="33"/>
  <c r="M286" i="33"/>
  <c r="J286" i="33"/>
  <c r="L372" i="33"/>
  <c r="K372" i="33"/>
  <c r="J372" i="33"/>
  <c r="M372" i="33"/>
  <c r="K24" i="33"/>
  <c r="K40" i="33"/>
  <c r="K56" i="33"/>
  <c r="N75" i="33"/>
  <c r="M90" i="33"/>
  <c r="N90" i="33"/>
  <c r="K90" i="33"/>
  <c r="N94" i="33"/>
  <c r="M106" i="33"/>
  <c r="N106" i="33"/>
  <c r="K106" i="33"/>
  <c r="N110" i="33"/>
  <c r="M122" i="33"/>
  <c r="N122" i="33"/>
  <c r="K122" i="33"/>
  <c r="N126" i="33"/>
  <c r="J142" i="33"/>
  <c r="M148" i="33"/>
  <c r="J164" i="33"/>
  <c r="J166" i="33"/>
  <c r="J172" i="33"/>
  <c r="J174" i="33"/>
  <c r="J177" i="33"/>
  <c r="N177" i="33"/>
  <c r="N188" i="33"/>
  <c r="J188" i="33"/>
  <c r="L188" i="33"/>
  <c r="K292" i="33"/>
  <c r="L292" i="33"/>
  <c r="N307" i="33"/>
  <c r="K307" i="33"/>
  <c r="L307" i="33"/>
  <c r="M314" i="33"/>
  <c r="J314" i="33"/>
  <c r="N314" i="33"/>
  <c r="L318" i="33"/>
  <c r="J318" i="33"/>
  <c r="K318" i="33"/>
  <c r="M318" i="33"/>
  <c r="L342" i="33"/>
  <c r="K342" i="33"/>
  <c r="M342" i="33"/>
  <c r="J342" i="33"/>
  <c r="L358" i="33"/>
  <c r="J358" i="33"/>
  <c r="K358" i="33"/>
  <c r="M358" i="33"/>
  <c r="L366" i="33"/>
  <c r="M366" i="33"/>
  <c r="K366" i="33"/>
  <c r="J366" i="33"/>
  <c r="L403" i="33"/>
  <c r="M403" i="33"/>
  <c r="K403" i="33"/>
  <c r="N479" i="33"/>
  <c r="L479" i="33"/>
  <c r="N24" i="33"/>
  <c r="N40" i="33"/>
  <c r="N56" i="33"/>
  <c r="J90" i="33"/>
  <c r="M98" i="33"/>
  <c r="J98" i="33"/>
  <c r="J106" i="33"/>
  <c r="M114" i="33"/>
  <c r="J114" i="33"/>
  <c r="J122" i="33"/>
  <c r="M130" i="33"/>
  <c r="K130" i="33"/>
  <c r="J130" i="33"/>
  <c r="M149" i="33"/>
  <c r="K149" i="33"/>
  <c r="J149" i="33"/>
  <c r="N180" i="33"/>
  <c r="J180" i="33"/>
  <c r="L180" i="33"/>
  <c r="N189" i="33"/>
  <c r="M189" i="33"/>
  <c r="K189" i="33"/>
  <c r="K196" i="33"/>
  <c r="L196" i="33"/>
  <c r="J196" i="33"/>
  <c r="L201" i="33"/>
  <c r="J201" i="33"/>
  <c r="K201" i="33"/>
  <c r="M212" i="33"/>
  <c r="K212" i="33"/>
  <c r="N245" i="33"/>
  <c r="M245" i="33"/>
  <c r="L245" i="33"/>
  <c r="N253" i="33"/>
  <c r="M253" i="33"/>
  <c r="L253" i="33"/>
  <c r="L315" i="33"/>
  <c r="N315" i="33"/>
  <c r="K315" i="33"/>
  <c r="J353" i="33"/>
  <c r="L353" i="33"/>
  <c r="M12" i="33"/>
  <c r="J12" i="33"/>
  <c r="M16" i="33"/>
  <c r="N16" i="33"/>
  <c r="K16" i="33"/>
  <c r="M32" i="33"/>
  <c r="N32" i="33"/>
  <c r="K32" i="33"/>
  <c r="M48" i="33"/>
  <c r="N48" i="33"/>
  <c r="K48" i="33"/>
  <c r="M64" i="33"/>
  <c r="N64" i="33"/>
  <c r="K64" i="33"/>
  <c r="K98" i="33"/>
  <c r="K114" i="33"/>
  <c r="L130" i="33"/>
  <c r="N181" i="33"/>
  <c r="M181" i="33"/>
  <c r="K181" i="33"/>
  <c r="M190" i="33"/>
  <c r="L190" i="33"/>
  <c r="K190" i="33"/>
  <c r="J190" i="33"/>
  <c r="N213" i="33"/>
  <c r="M213" i="33"/>
  <c r="L213" i="33"/>
  <c r="K218" i="33"/>
  <c r="M218" i="33"/>
  <c r="N218" i="33"/>
  <c r="N285" i="33"/>
  <c r="M285" i="33"/>
  <c r="J285" i="33"/>
  <c r="N338" i="33"/>
  <c r="J338" i="33"/>
  <c r="M338" i="33"/>
  <c r="J425" i="33"/>
  <c r="N425" i="33"/>
  <c r="M425" i="33"/>
  <c r="M198" i="33"/>
  <c r="L198" i="33"/>
  <c r="M243" i="33"/>
  <c r="L243" i="33"/>
  <c r="L334" i="33"/>
  <c r="K334" i="33"/>
  <c r="M347" i="33"/>
  <c r="K347" i="33"/>
  <c r="M448" i="33"/>
  <c r="L448" i="33"/>
  <c r="J448" i="33"/>
  <c r="L474" i="33"/>
  <c r="J474" i="33"/>
  <c r="M474" i="33"/>
  <c r="N28" i="33"/>
  <c r="N44" i="33"/>
  <c r="N60" i="33"/>
  <c r="N78" i="33"/>
  <c r="N102" i="33"/>
  <c r="N118" i="33"/>
  <c r="M155" i="33"/>
  <c r="M179" i="33"/>
  <c r="M187" i="33"/>
  <c r="L195" i="33"/>
  <c r="J198" i="33"/>
  <c r="M211" i="33"/>
  <c r="L211" i="33"/>
  <c r="L221" i="33"/>
  <c r="K234" i="33"/>
  <c r="J243" i="33"/>
  <c r="M251" i="33"/>
  <c r="J251" i="33"/>
  <c r="K252" i="33"/>
  <c r="M294" i="33"/>
  <c r="J302" i="33"/>
  <c r="L310" i="33"/>
  <c r="K310" i="33"/>
  <c r="N317" i="33"/>
  <c r="J317" i="33"/>
  <c r="J334" i="33"/>
  <c r="L347" i="33"/>
  <c r="L350" i="33"/>
  <c r="J350" i="33"/>
  <c r="J361" i="33"/>
  <c r="K373" i="33"/>
  <c r="N373" i="33"/>
  <c r="M375" i="33"/>
  <c r="J375" i="33"/>
  <c r="K381" i="33"/>
  <c r="J384" i="33"/>
  <c r="L402" i="33"/>
  <c r="J402" i="33"/>
  <c r="M433" i="33"/>
  <c r="L433" i="33"/>
  <c r="J433" i="33"/>
  <c r="K448" i="33"/>
  <c r="L458" i="33"/>
  <c r="J458" i="33"/>
  <c r="L466" i="33"/>
  <c r="M466" i="33"/>
  <c r="K466" i="33"/>
  <c r="J466" i="33"/>
  <c r="K474" i="33"/>
  <c r="L326" i="33"/>
  <c r="K326" i="33"/>
  <c r="L337" i="33"/>
  <c r="M337" i="33"/>
  <c r="M355" i="33"/>
  <c r="L355" i="33"/>
  <c r="K355" i="33"/>
  <c r="M363" i="33"/>
  <c r="L363" i="33"/>
  <c r="M398" i="33"/>
  <c r="K398" i="33"/>
  <c r="K198" i="33"/>
  <c r="M219" i="33"/>
  <c r="J219" i="33"/>
  <c r="M221" i="33"/>
  <c r="K243" i="33"/>
  <c r="K302" i="33"/>
  <c r="M326" i="33"/>
  <c r="M334" i="33"/>
  <c r="L380" i="33"/>
  <c r="M380" i="33"/>
  <c r="K380" i="33"/>
  <c r="N384" i="33"/>
  <c r="L398" i="33"/>
  <c r="M406" i="33"/>
  <c r="J406" i="33"/>
  <c r="L406" i="33"/>
  <c r="K483" i="33"/>
  <c r="J483" i="33"/>
  <c r="N327" i="33"/>
  <c r="K327" i="33"/>
  <c r="M329" i="33"/>
  <c r="J329" i="33"/>
  <c r="N339" i="33"/>
  <c r="L339" i="33"/>
  <c r="L482" i="33"/>
  <c r="M482" i="33"/>
  <c r="M490" i="33"/>
  <c r="L498" i="33"/>
  <c r="J498" i="33"/>
  <c r="K14" i="33"/>
  <c r="N14" i="33"/>
  <c r="J14" i="33"/>
  <c r="M14" i="33"/>
  <c r="L14" i="33"/>
  <c r="F528" i="33"/>
  <c r="F530" i="33"/>
  <c r="N17" i="33"/>
  <c r="J17" i="33"/>
  <c r="M17" i="33"/>
  <c r="L17" i="33"/>
  <c r="N21" i="33"/>
  <c r="J21" i="33"/>
  <c r="M21" i="33"/>
  <c r="L21" i="33"/>
  <c r="N25" i="33"/>
  <c r="J25" i="33"/>
  <c r="L25" i="33"/>
  <c r="M25" i="33"/>
  <c r="N29" i="33"/>
  <c r="J29" i="33"/>
  <c r="M29" i="33"/>
  <c r="L29" i="33"/>
  <c r="N33" i="33"/>
  <c r="J33" i="33"/>
  <c r="M33" i="33"/>
  <c r="L33" i="33"/>
  <c r="N37" i="33"/>
  <c r="J37" i="33"/>
  <c r="L37" i="33"/>
  <c r="M37" i="33"/>
  <c r="N69" i="33"/>
  <c r="J69" i="33"/>
  <c r="L69" i="33"/>
  <c r="M69" i="33"/>
  <c r="N87" i="33"/>
  <c r="J87" i="33"/>
  <c r="M87" i="33"/>
  <c r="L87" i="33"/>
  <c r="N91" i="33"/>
  <c r="J91" i="33"/>
  <c r="L91" i="33"/>
  <c r="M91" i="33"/>
  <c r="N95" i="33"/>
  <c r="J95" i="33"/>
  <c r="M95" i="33"/>
  <c r="L95" i="33"/>
  <c r="N107" i="33"/>
  <c r="J107" i="33"/>
  <c r="M107" i="33"/>
  <c r="L107" i="33"/>
  <c r="N111" i="33"/>
  <c r="J111" i="33"/>
  <c r="L111" i="33"/>
  <c r="M111" i="33"/>
  <c r="N115" i="33"/>
  <c r="J115" i="33"/>
  <c r="L115" i="33"/>
  <c r="M115" i="33"/>
  <c r="N119" i="33"/>
  <c r="J119" i="33"/>
  <c r="L119" i="33"/>
  <c r="M119" i="33"/>
  <c r="N123" i="33"/>
  <c r="J123" i="33"/>
  <c r="L123" i="33"/>
  <c r="M123" i="33"/>
  <c r="N127" i="33"/>
  <c r="J127" i="33"/>
  <c r="M127" i="33"/>
  <c r="L127" i="33"/>
  <c r="M194" i="33"/>
  <c r="L194" i="33"/>
  <c r="K194" i="33"/>
  <c r="N194" i="33"/>
  <c r="J194" i="33"/>
  <c r="L206" i="33"/>
  <c r="M206" i="33"/>
  <c r="N206" i="33"/>
  <c r="K206" i="33"/>
  <c r="J206" i="33"/>
  <c r="L238" i="33"/>
  <c r="M238" i="33"/>
  <c r="N238" i="33"/>
  <c r="K238" i="33"/>
  <c r="J238" i="33"/>
  <c r="K341" i="33"/>
  <c r="L341" i="33"/>
  <c r="N341" i="33"/>
  <c r="M341" i="33"/>
  <c r="J341" i="33"/>
  <c r="K400" i="33"/>
  <c r="J400" i="33"/>
  <c r="L400" i="33"/>
  <c r="N400" i="33"/>
  <c r="M400" i="33"/>
  <c r="L19" i="33"/>
  <c r="N19" i="33"/>
  <c r="K19" i="33"/>
  <c r="J19" i="33"/>
  <c r="K21" i="33"/>
  <c r="L27" i="33"/>
  <c r="N27" i="33"/>
  <c r="K27" i="33"/>
  <c r="J27" i="33"/>
  <c r="K29" i="33"/>
  <c r="L35" i="33"/>
  <c r="J35" i="33"/>
  <c r="K35" i="33"/>
  <c r="N35" i="33"/>
  <c r="K37" i="33"/>
  <c r="L39" i="33"/>
  <c r="N39" i="33"/>
  <c r="K39" i="33"/>
  <c r="J39" i="33"/>
  <c r="L47" i="33"/>
  <c r="J47" i="33"/>
  <c r="K47" i="33"/>
  <c r="N47" i="33"/>
  <c r="L51" i="33"/>
  <c r="N51" i="33"/>
  <c r="K51" i="33"/>
  <c r="J51" i="33"/>
  <c r="L59" i="33"/>
  <c r="N59" i="33"/>
  <c r="K59" i="33"/>
  <c r="J59" i="33"/>
  <c r="K69" i="33"/>
  <c r="N79" i="33"/>
  <c r="J79" i="33"/>
  <c r="L79" i="33"/>
  <c r="M79" i="33"/>
  <c r="N83" i="33"/>
  <c r="J83" i="33"/>
  <c r="M83" i="33"/>
  <c r="L83" i="33"/>
  <c r="L89" i="33"/>
  <c r="J89" i="33"/>
  <c r="K89" i="33"/>
  <c r="N89" i="33"/>
  <c r="K91" i="33"/>
  <c r="L93" i="33"/>
  <c r="N93" i="33"/>
  <c r="K93" i="33"/>
  <c r="J93" i="33"/>
  <c r="K95" i="33"/>
  <c r="L101" i="33"/>
  <c r="J101" i="33"/>
  <c r="K101" i="33"/>
  <c r="N101" i="33"/>
  <c r="L109" i="33"/>
  <c r="J109" i="33"/>
  <c r="K109" i="33"/>
  <c r="N109" i="33"/>
  <c r="K111" i="33"/>
  <c r="L121" i="33"/>
  <c r="K121" i="33"/>
  <c r="N121" i="33"/>
  <c r="J121" i="33"/>
  <c r="K123" i="33"/>
  <c r="K127" i="33"/>
  <c r="K132" i="33"/>
  <c r="L132" i="33"/>
  <c r="J132" i="33"/>
  <c r="N132" i="33"/>
  <c r="N135" i="33"/>
  <c r="K135" i="33"/>
  <c r="M135" i="33"/>
  <c r="N150" i="33"/>
  <c r="J150" i="33"/>
  <c r="L150" i="33"/>
  <c r="K150" i="33"/>
  <c r="K168" i="33"/>
  <c r="J168" i="33"/>
  <c r="N168" i="33"/>
  <c r="L168" i="33"/>
  <c r="M168" i="33"/>
  <c r="K176" i="33"/>
  <c r="J176" i="33"/>
  <c r="N176" i="33"/>
  <c r="M176" i="33"/>
  <c r="L176" i="33"/>
  <c r="K192" i="33"/>
  <c r="J192" i="33"/>
  <c r="N192" i="33"/>
  <c r="M192" i="33"/>
  <c r="L192" i="33"/>
  <c r="M223" i="33"/>
  <c r="K223" i="33"/>
  <c r="N223" i="33"/>
  <c r="L223" i="33"/>
  <c r="J223" i="33"/>
  <c r="K301" i="33"/>
  <c r="L301" i="33"/>
  <c r="M301" i="33"/>
  <c r="J301" i="33"/>
  <c r="N301" i="33"/>
  <c r="L397" i="33"/>
  <c r="J397" i="33"/>
  <c r="M397" i="33"/>
  <c r="K397" i="33"/>
  <c r="N397" i="33"/>
  <c r="K18" i="33"/>
  <c r="M18" i="33"/>
  <c r="N18" i="33"/>
  <c r="J18" i="33"/>
  <c r="M19" i="33"/>
  <c r="K22" i="33"/>
  <c r="N22" i="33"/>
  <c r="J22" i="33"/>
  <c r="M22" i="33"/>
  <c r="K26" i="33"/>
  <c r="M26" i="33"/>
  <c r="N26" i="33"/>
  <c r="J26" i="33"/>
  <c r="M27" i="33"/>
  <c r="K30" i="33"/>
  <c r="N30" i="33"/>
  <c r="J30" i="33"/>
  <c r="M30" i="33"/>
  <c r="K34" i="33"/>
  <c r="N34" i="33"/>
  <c r="J34" i="33"/>
  <c r="M34" i="33"/>
  <c r="M35" i="33"/>
  <c r="K38" i="33"/>
  <c r="M38" i="33"/>
  <c r="N38" i="33"/>
  <c r="J38" i="33"/>
  <c r="M39" i="33"/>
  <c r="K42" i="33"/>
  <c r="N42" i="33"/>
  <c r="J42" i="33"/>
  <c r="M42" i="33"/>
  <c r="K46" i="33"/>
  <c r="N46" i="33"/>
  <c r="J46" i="33"/>
  <c r="M46" i="33"/>
  <c r="M47" i="33"/>
  <c r="K50" i="33"/>
  <c r="M50" i="33"/>
  <c r="N50" i="33"/>
  <c r="J50" i="33"/>
  <c r="M51" i="33"/>
  <c r="K54" i="33"/>
  <c r="N54" i="33"/>
  <c r="J54" i="33"/>
  <c r="M54" i="33"/>
  <c r="K58" i="33"/>
  <c r="M58" i="33"/>
  <c r="N58" i="33"/>
  <c r="J58" i="33"/>
  <c r="M59" i="33"/>
  <c r="K62" i="33"/>
  <c r="N62" i="33"/>
  <c r="J62" i="33"/>
  <c r="M62" i="33"/>
  <c r="K66" i="33"/>
  <c r="M66" i="33"/>
  <c r="N66" i="33"/>
  <c r="J66" i="33"/>
  <c r="K70" i="33"/>
  <c r="M70" i="33"/>
  <c r="N70" i="33"/>
  <c r="J70" i="33"/>
  <c r="K79" i="33"/>
  <c r="L81" i="33"/>
  <c r="N81" i="33"/>
  <c r="K81" i="33"/>
  <c r="J81" i="33"/>
  <c r="K83" i="33"/>
  <c r="K88" i="33"/>
  <c r="N88" i="33"/>
  <c r="J88" i="33"/>
  <c r="M88" i="33"/>
  <c r="M89" i="33"/>
  <c r="K92" i="33"/>
  <c r="M92" i="33"/>
  <c r="N92" i="33"/>
  <c r="J92" i="33"/>
  <c r="M93" i="33"/>
  <c r="K96" i="33"/>
  <c r="N96" i="33"/>
  <c r="J96" i="33"/>
  <c r="M96" i="33"/>
  <c r="K100" i="33"/>
  <c r="N100" i="33"/>
  <c r="J100" i="33"/>
  <c r="M100" i="33"/>
  <c r="M101" i="33"/>
  <c r="K104" i="33"/>
  <c r="M104" i="33"/>
  <c r="N104" i="33"/>
  <c r="J104" i="33"/>
  <c r="K108" i="33"/>
  <c r="N108" i="33"/>
  <c r="J108" i="33"/>
  <c r="M108" i="33"/>
  <c r="M109" i="33"/>
  <c r="K112" i="33"/>
  <c r="M112" i="33"/>
  <c r="N112" i="33"/>
  <c r="J112" i="33"/>
  <c r="K116" i="33"/>
  <c r="M116" i="33"/>
  <c r="N116" i="33"/>
  <c r="J116" i="33"/>
  <c r="K120" i="33"/>
  <c r="M120" i="33"/>
  <c r="N120" i="33"/>
  <c r="J120" i="33"/>
  <c r="M121" i="33"/>
  <c r="K124" i="33"/>
  <c r="M124" i="33"/>
  <c r="N124" i="33"/>
  <c r="J124" i="33"/>
  <c r="K128" i="33"/>
  <c r="N128" i="33"/>
  <c r="J128" i="33"/>
  <c r="M128" i="33"/>
  <c r="M132" i="33"/>
  <c r="L135" i="33"/>
  <c r="K141" i="33"/>
  <c r="L141" i="33"/>
  <c r="N141" i="33"/>
  <c r="J141" i="33"/>
  <c r="M150" i="33"/>
  <c r="K154" i="33"/>
  <c r="L154" i="33"/>
  <c r="M154" i="33"/>
  <c r="J154" i="33"/>
  <c r="N203" i="33"/>
  <c r="J203" i="33"/>
  <c r="K203" i="33"/>
  <c r="M203" i="33"/>
  <c r="L203" i="33"/>
  <c r="L290" i="33"/>
  <c r="K290" i="33"/>
  <c r="M290" i="33"/>
  <c r="J290" i="33"/>
  <c r="N290" i="33"/>
  <c r="M299" i="33"/>
  <c r="J299" i="33"/>
  <c r="N299" i="33"/>
  <c r="L299" i="33"/>
  <c r="K299" i="33"/>
  <c r="N312" i="33"/>
  <c r="J312" i="33"/>
  <c r="K312" i="33"/>
  <c r="L312" i="33"/>
  <c r="M312" i="33"/>
  <c r="K349" i="33"/>
  <c r="L349" i="33"/>
  <c r="J349" i="33"/>
  <c r="N349" i="33"/>
  <c r="M349" i="33"/>
  <c r="K416" i="33"/>
  <c r="J416" i="33"/>
  <c r="L416" i="33"/>
  <c r="N416" i="33"/>
  <c r="M416" i="33"/>
  <c r="K501" i="33"/>
  <c r="N501" i="33"/>
  <c r="J501" i="33"/>
  <c r="M501" i="33"/>
  <c r="L501" i="33"/>
  <c r="N41" i="33"/>
  <c r="J41" i="33"/>
  <c r="M41" i="33"/>
  <c r="L41" i="33"/>
  <c r="N45" i="33"/>
  <c r="J45" i="33"/>
  <c r="M45" i="33"/>
  <c r="L45" i="33"/>
  <c r="N49" i="33"/>
  <c r="J49" i="33"/>
  <c r="L49" i="33"/>
  <c r="M49" i="33"/>
  <c r="N53" i="33"/>
  <c r="J53" i="33"/>
  <c r="M53" i="33"/>
  <c r="L53" i="33"/>
  <c r="N57" i="33"/>
  <c r="J57" i="33"/>
  <c r="L57" i="33"/>
  <c r="M57" i="33"/>
  <c r="N61" i="33"/>
  <c r="J61" i="33"/>
  <c r="M61" i="33"/>
  <c r="L61" i="33"/>
  <c r="N65" i="33"/>
  <c r="J65" i="33"/>
  <c r="L65" i="33"/>
  <c r="M65" i="33"/>
  <c r="L74" i="33"/>
  <c r="K74" i="33"/>
  <c r="N74" i="33"/>
  <c r="J74" i="33"/>
  <c r="N99" i="33"/>
  <c r="J99" i="33"/>
  <c r="M99" i="33"/>
  <c r="L99" i="33"/>
  <c r="N103" i="33"/>
  <c r="J103" i="33"/>
  <c r="L103" i="33"/>
  <c r="M103" i="33"/>
  <c r="N131" i="33"/>
  <c r="J131" i="33"/>
  <c r="M131" i="33"/>
  <c r="K131" i="33"/>
  <c r="L131" i="33"/>
  <c r="N266" i="33"/>
  <c r="J266" i="33"/>
  <c r="L266" i="33"/>
  <c r="K266" i="33"/>
  <c r="M266" i="33"/>
  <c r="K333" i="33"/>
  <c r="L333" i="33"/>
  <c r="M333" i="33"/>
  <c r="J333" i="33"/>
  <c r="N333" i="33"/>
  <c r="N441" i="33"/>
  <c r="J441" i="33"/>
  <c r="L441" i="33"/>
  <c r="M441" i="33"/>
  <c r="K441" i="33"/>
  <c r="N7" i="33"/>
  <c r="J7" i="33"/>
  <c r="M7" i="33"/>
  <c r="K17" i="33"/>
  <c r="L23" i="33"/>
  <c r="J23" i="33"/>
  <c r="K23" i="33"/>
  <c r="N23" i="33"/>
  <c r="K25" i="33"/>
  <c r="L31" i="33"/>
  <c r="N31" i="33"/>
  <c r="J31" i="33"/>
  <c r="K31" i="33"/>
  <c r="K33" i="33"/>
  <c r="L43" i="33"/>
  <c r="N43" i="33"/>
  <c r="J43" i="33"/>
  <c r="K43" i="33"/>
  <c r="K45" i="33"/>
  <c r="L55" i="33"/>
  <c r="J55" i="33"/>
  <c r="K55" i="33"/>
  <c r="N55" i="33"/>
  <c r="K57" i="33"/>
  <c r="L63" i="33"/>
  <c r="J63" i="33"/>
  <c r="K63" i="33"/>
  <c r="N63" i="33"/>
  <c r="L67" i="33"/>
  <c r="K67" i="33"/>
  <c r="N67" i="33"/>
  <c r="J67" i="33"/>
  <c r="K87" i="33"/>
  <c r="L97" i="33"/>
  <c r="N97" i="33"/>
  <c r="J97" i="33"/>
  <c r="K97" i="33"/>
  <c r="K99" i="33"/>
  <c r="L105" i="33"/>
  <c r="N105" i="33"/>
  <c r="K105" i="33"/>
  <c r="J105" i="33"/>
  <c r="K107" i="33"/>
  <c r="L113" i="33"/>
  <c r="K113" i="33"/>
  <c r="N113" i="33"/>
  <c r="J113" i="33"/>
  <c r="K115" i="33"/>
  <c r="L117" i="33"/>
  <c r="N117" i="33"/>
  <c r="K117" i="33"/>
  <c r="J117" i="33"/>
  <c r="K119" i="33"/>
  <c r="L125" i="33"/>
  <c r="N125" i="33"/>
  <c r="K125" i="33"/>
  <c r="J125" i="33"/>
  <c r="L129" i="33"/>
  <c r="N129" i="33"/>
  <c r="J129" i="33"/>
  <c r="K129" i="33"/>
  <c r="N140" i="33"/>
  <c r="J140" i="33"/>
  <c r="M140" i="33"/>
  <c r="L140" i="33"/>
  <c r="K140" i="33"/>
  <c r="K184" i="33"/>
  <c r="J184" i="33"/>
  <c r="N184" i="33"/>
  <c r="M184" i="33"/>
  <c r="L184" i="33"/>
  <c r="K233" i="33"/>
  <c r="M233" i="33"/>
  <c r="L233" i="33"/>
  <c r="J233" i="33"/>
  <c r="N233" i="33"/>
  <c r="L264" i="33"/>
  <c r="M264" i="33"/>
  <c r="K264" i="33"/>
  <c r="J264" i="33"/>
  <c r="N264" i="33"/>
  <c r="K293" i="33"/>
  <c r="L293" i="33"/>
  <c r="J293" i="33"/>
  <c r="N293" i="33"/>
  <c r="M293" i="33"/>
  <c r="N320" i="33"/>
  <c r="J320" i="33"/>
  <c r="K320" i="33"/>
  <c r="M320" i="33"/>
  <c r="L320" i="33"/>
  <c r="K367" i="33"/>
  <c r="N367" i="33"/>
  <c r="M367" i="33"/>
  <c r="L367" i="33"/>
  <c r="J367" i="33"/>
  <c r="K420" i="33"/>
  <c r="M420" i="33"/>
  <c r="N420" i="33"/>
  <c r="L420" i="33"/>
  <c r="J420" i="33"/>
  <c r="L7" i="33"/>
  <c r="N13" i="33"/>
  <c r="J13" i="33"/>
  <c r="M13" i="33"/>
  <c r="L15" i="33"/>
  <c r="K15" i="33"/>
  <c r="L18" i="33"/>
  <c r="L22" i="33"/>
  <c r="L26" i="33"/>
  <c r="L30" i="33"/>
  <c r="L34" i="33"/>
  <c r="L38" i="33"/>
  <c r="L42" i="33"/>
  <c r="L46" i="33"/>
  <c r="L50" i="33"/>
  <c r="L54" i="33"/>
  <c r="L58" i="33"/>
  <c r="L62" i="33"/>
  <c r="L66" i="33"/>
  <c r="L70" i="33"/>
  <c r="K80" i="33"/>
  <c r="M80" i="33"/>
  <c r="N80" i="33"/>
  <c r="J80" i="33"/>
  <c r="M81" i="33"/>
  <c r="L88" i="33"/>
  <c r="L92" i="33"/>
  <c r="L96" i="33"/>
  <c r="L100" i="33"/>
  <c r="L104" i="33"/>
  <c r="L108" i="33"/>
  <c r="L112" i="33"/>
  <c r="L116" i="33"/>
  <c r="L120" i="33"/>
  <c r="L124" i="33"/>
  <c r="L128" i="33"/>
  <c r="M134" i="33"/>
  <c r="L134" i="33"/>
  <c r="J134" i="33"/>
  <c r="K134" i="33"/>
  <c r="M141" i="33"/>
  <c r="K151" i="33"/>
  <c r="J151" i="33"/>
  <c r="N151" i="33"/>
  <c r="M151" i="33"/>
  <c r="L158" i="33"/>
  <c r="J158" i="33"/>
  <c r="N158" i="33"/>
  <c r="K158" i="33"/>
  <c r="M158" i="33"/>
  <c r="N167" i="33"/>
  <c r="J167" i="33"/>
  <c r="L167" i="33"/>
  <c r="M167" i="33"/>
  <c r="K167" i="33"/>
  <c r="N175" i="33"/>
  <c r="J175" i="33"/>
  <c r="L175" i="33"/>
  <c r="M175" i="33"/>
  <c r="K175" i="33"/>
  <c r="N183" i="33"/>
  <c r="J183" i="33"/>
  <c r="L183" i="33"/>
  <c r="K183" i="33"/>
  <c r="M183" i="33"/>
  <c r="N191" i="33"/>
  <c r="J191" i="33"/>
  <c r="L191" i="33"/>
  <c r="M191" i="33"/>
  <c r="K191" i="33"/>
  <c r="K200" i="33"/>
  <c r="L200" i="33"/>
  <c r="J200" i="33"/>
  <c r="M200" i="33"/>
  <c r="N208" i="33"/>
  <c r="J208" i="33"/>
  <c r="M208" i="33"/>
  <c r="L208" i="33"/>
  <c r="K208" i="33"/>
  <c r="N240" i="33"/>
  <c r="J240" i="33"/>
  <c r="M240" i="33"/>
  <c r="L240" i="33"/>
  <c r="K240" i="33"/>
  <c r="L272" i="33"/>
  <c r="K272" i="33"/>
  <c r="N272" i="33"/>
  <c r="M272" i="33"/>
  <c r="J272" i="33"/>
  <c r="N288" i="33"/>
  <c r="J288" i="33"/>
  <c r="K288" i="33"/>
  <c r="M288" i="33"/>
  <c r="L288" i="33"/>
  <c r="N296" i="33"/>
  <c r="J296" i="33"/>
  <c r="K296" i="33"/>
  <c r="M296" i="33"/>
  <c r="L296" i="33"/>
  <c r="N308" i="33"/>
  <c r="J308" i="33"/>
  <c r="M308" i="33"/>
  <c r="L308" i="33"/>
  <c r="K308" i="33"/>
  <c r="N332" i="33"/>
  <c r="J332" i="33"/>
  <c r="M332" i="33"/>
  <c r="L332" i="33"/>
  <c r="K332" i="33"/>
  <c r="N344" i="33"/>
  <c r="J344" i="33"/>
  <c r="K344" i="33"/>
  <c r="M344" i="33"/>
  <c r="L344" i="33"/>
  <c r="K365" i="33"/>
  <c r="L365" i="33"/>
  <c r="J365" i="33"/>
  <c r="N365" i="33"/>
  <c r="M365" i="33"/>
  <c r="K404" i="33"/>
  <c r="M404" i="33"/>
  <c r="N404" i="33"/>
  <c r="L404" i="33"/>
  <c r="J404" i="33"/>
  <c r="L413" i="33"/>
  <c r="J413" i="33"/>
  <c r="M413" i="33"/>
  <c r="K413" i="33"/>
  <c r="N413" i="33"/>
  <c r="M444" i="33"/>
  <c r="K444" i="33"/>
  <c r="N444" i="33"/>
  <c r="L444" i="33"/>
  <c r="J444" i="33"/>
  <c r="M463" i="33"/>
  <c r="J463" i="33"/>
  <c r="N463" i="33"/>
  <c r="L463" i="33"/>
  <c r="K463" i="33"/>
  <c r="N163" i="33"/>
  <c r="J163" i="33"/>
  <c r="L169" i="33"/>
  <c r="M169" i="33"/>
  <c r="N171" i="33"/>
  <c r="J171" i="33"/>
  <c r="M178" i="33"/>
  <c r="K178" i="33"/>
  <c r="M186" i="33"/>
  <c r="K186" i="33"/>
  <c r="K225" i="33"/>
  <c r="M225" i="33"/>
  <c r="L225" i="33"/>
  <c r="J225" i="33"/>
  <c r="N232" i="33"/>
  <c r="J232" i="33"/>
  <c r="M232" i="33"/>
  <c r="L232" i="33"/>
  <c r="M247" i="33"/>
  <c r="K247" i="33"/>
  <c r="N247" i="33"/>
  <c r="L247" i="33"/>
  <c r="M279" i="33"/>
  <c r="L279" i="33"/>
  <c r="K279" i="33"/>
  <c r="J279" i="33"/>
  <c r="K289" i="33"/>
  <c r="N289" i="33"/>
  <c r="M289" i="33"/>
  <c r="L289" i="33"/>
  <c r="L322" i="33"/>
  <c r="K322" i="33"/>
  <c r="M322" i="33"/>
  <c r="J322" i="33"/>
  <c r="N328" i="33"/>
  <c r="J328" i="33"/>
  <c r="K328" i="33"/>
  <c r="M328" i="33"/>
  <c r="N340" i="33"/>
  <c r="J340" i="33"/>
  <c r="M340" i="33"/>
  <c r="L340" i="33"/>
  <c r="N378" i="33"/>
  <c r="J378" i="33"/>
  <c r="M378" i="33"/>
  <c r="L378" i="33"/>
  <c r="K378" i="33"/>
  <c r="K428" i="33"/>
  <c r="L428" i="33"/>
  <c r="N428" i="33"/>
  <c r="M428" i="33"/>
  <c r="N460" i="33"/>
  <c r="J460" i="33"/>
  <c r="K460" i="33"/>
  <c r="M460" i="33"/>
  <c r="L460" i="33"/>
  <c r="N488" i="33"/>
  <c r="J488" i="33"/>
  <c r="M488" i="33"/>
  <c r="K488" i="33"/>
  <c r="L488" i="33"/>
  <c r="L12" i="33"/>
  <c r="L16" i="33"/>
  <c r="L20" i="33"/>
  <c r="L24" i="33"/>
  <c r="L28" i="33"/>
  <c r="L32" i="33"/>
  <c r="L36" i="33"/>
  <c r="L40" i="33"/>
  <c r="L44" i="33"/>
  <c r="L48" i="33"/>
  <c r="L52" i="33"/>
  <c r="L56" i="33"/>
  <c r="L60" i="33"/>
  <c r="L64" i="33"/>
  <c r="L68" i="33"/>
  <c r="L75" i="33"/>
  <c r="L78" i="33"/>
  <c r="L82" i="33"/>
  <c r="L90" i="33"/>
  <c r="L94" i="33"/>
  <c r="L98" i="33"/>
  <c r="L102" i="33"/>
  <c r="L106" i="33"/>
  <c r="L110" i="33"/>
  <c r="L114" i="33"/>
  <c r="L118" i="33"/>
  <c r="L122" i="33"/>
  <c r="L126" i="33"/>
  <c r="N130" i="33"/>
  <c r="M133" i="33"/>
  <c r="M142" i="33"/>
  <c r="N148" i="33"/>
  <c r="L149" i="33"/>
  <c r="K163" i="33"/>
  <c r="K164" i="33"/>
  <c r="M164" i="33"/>
  <c r="J169" i="33"/>
  <c r="K171" i="33"/>
  <c r="K172" i="33"/>
  <c r="M172" i="33"/>
  <c r="J178" i="33"/>
  <c r="K180" i="33"/>
  <c r="M180" i="33"/>
  <c r="J186" i="33"/>
  <c r="K188" i="33"/>
  <c r="M188" i="33"/>
  <c r="M207" i="33"/>
  <c r="K207" i="33"/>
  <c r="N207" i="33"/>
  <c r="L207" i="33"/>
  <c r="K217" i="33"/>
  <c r="M217" i="33"/>
  <c r="L217" i="33"/>
  <c r="J217" i="33"/>
  <c r="L222" i="33"/>
  <c r="M222" i="33"/>
  <c r="N222" i="33"/>
  <c r="K222" i="33"/>
  <c r="N224" i="33"/>
  <c r="J224" i="33"/>
  <c r="M224" i="33"/>
  <c r="L224" i="33"/>
  <c r="N225" i="33"/>
  <c r="K232" i="33"/>
  <c r="M239" i="33"/>
  <c r="K239" i="33"/>
  <c r="N239" i="33"/>
  <c r="L239" i="33"/>
  <c r="J247" i="33"/>
  <c r="K249" i="33"/>
  <c r="M249" i="33"/>
  <c r="L249" i="33"/>
  <c r="J249" i="33"/>
  <c r="L254" i="33"/>
  <c r="M254" i="33"/>
  <c r="N254" i="33"/>
  <c r="K254" i="33"/>
  <c r="M265" i="33"/>
  <c r="K265" i="33"/>
  <c r="L265" i="33"/>
  <c r="J265" i="33"/>
  <c r="M273" i="33"/>
  <c r="J273" i="33"/>
  <c r="N273" i="33"/>
  <c r="L273" i="33"/>
  <c r="N279" i="33"/>
  <c r="J289" i="33"/>
  <c r="M291" i="33"/>
  <c r="J291" i="33"/>
  <c r="L291" i="33"/>
  <c r="K291" i="33"/>
  <c r="L298" i="33"/>
  <c r="K298" i="33"/>
  <c r="N298" i="33"/>
  <c r="M298" i="33"/>
  <c r="M311" i="33"/>
  <c r="L311" i="33"/>
  <c r="K311" i="33"/>
  <c r="J311" i="33"/>
  <c r="K313" i="33"/>
  <c r="N313" i="33"/>
  <c r="L313" i="33"/>
  <c r="J313" i="33"/>
  <c r="M319" i="33"/>
  <c r="L319" i="33"/>
  <c r="N319" i="33"/>
  <c r="K319" i="33"/>
  <c r="K321" i="33"/>
  <c r="N321" i="33"/>
  <c r="M321" i="33"/>
  <c r="L321" i="33"/>
  <c r="N322" i="33"/>
  <c r="L328" i="33"/>
  <c r="K340" i="33"/>
  <c r="M351" i="33"/>
  <c r="L351" i="33"/>
  <c r="K351" i="33"/>
  <c r="N351" i="33"/>
  <c r="J351" i="33"/>
  <c r="N360" i="33"/>
  <c r="J360" i="33"/>
  <c r="K360" i="33"/>
  <c r="M360" i="33"/>
  <c r="L368" i="33"/>
  <c r="K368" i="33"/>
  <c r="M368" i="33"/>
  <c r="J368" i="33"/>
  <c r="N374" i="33"/>
  <c r="J374" i="33"/>
  <c r="K374" i="33"/>
  <c r="M374" i="33"/>
  <c r="K379" i="33"/>
  <c r="L379" i="33"/>
  <c r="M379" i="33"/>
  <c r="J379" i="33"/>
  <c r="N379" i="33"/>
  <c r="M388" i="33"/>
  <c r="L388" i="33"/>
  <c r="N388" i="33"/>
  <c r="K388" i="33"/>
  <c r="K393" i="33"/>
  <c r="L393" i="33"/>
  <c r="J393" i="33"/>
  <c r="N393" i="33"/>
  <c r="K396" i="33"/>
  <c r="M396" i="33"/>
  <c r="N396" i="33"/>
  <c r="L396" i="33"/>
  <c r="J396" i="33"/>
  <c r="L405" i="33"/>
  <c r="J405" i="33"/>
  <c r="M405" i="33"/>
  <c r="K405" i="33"/>
  <c r="K408" i="33"/>
  <c r="J408" i="33"/>
  <c r="L408" i="33"/>
  <c r="N408" i="33"/>
  <c r="K412" i="33"/>
  <c r="M412" i="33"/>
  <c r="N412" i="33"/>
  <c r="L412" i="33"/>
  <c r="J412" i="33"/>
  <c r="L421" i="33"/>
  <c r="J421" i="33"/>
  <c r="M421" i="33"/>
  <c r="K421" i="33"/>
  <c r="J428" i="33"/>
  <c r="M436" i="33"/>
  <c r="K436" i="33"/>
  <c r="N436" i="33"/>
  <c r="L436" i="33"/>
  <c r="J436" i="33"/>
  <c r="N449" i="33"/>
  <c r="J449" i="33"/>
  <c r="L449" i="33"/>
  <c r="M449" i="33"/>
  <c r="M455" i="33"/>
  <c r="J455" i="33"/>
  <c r="L455" i="33"/>
  <c r="N455" i="33"/>
  <c r="K455" i="33"/>
  <c r="K457" i="33"/>
  <c r="L457" i="33"/>
  <c r="J457" i="33"/>
  <c r="N457" i="33"/>
  <c r="M457" i="33"/>
  <c r="N484" i="33"/>
  <c r="J484" i="33"/>
  <c r="K484" i="33"/>
  <c r="M484" i="33"/>
  <c r="L484" i="33"/>
  <c r="M162" i="33"/>
  <c r="K162" i="33"/>
  <c r="M170" i="33"/>
  <c r="K170" i="33"/>
  <c r="L177" i="33"/>
  <c r="M177" i="33"/>
  <c r="N179" i="33"/>
  <c r="J179" i="33"/>
  <c r="L185" i="33"/>
  <c r="M185" i="33"/>
  <c r="N187" i="33"/>
  <c r="J187" i="33"/>
  <c r="L193" i="33"/>
  <c r="N193" i="33"/>
  <c r="M193" i="33"/>
  <c r="M202" i="33"/>
  <c r="L202" i="33"/>
  <c r="K202" i="33"/>
  <c r="M215" i="33"/>
  <c r="K215" i="33"/>
  <c r="N215" i="33"/>
  <c r="L215" i="33"/>
  <c r="L230" i="33"/>
  <c r="M230" i="33"/>
  <c r="N230" i="33"/>
  <c r="K230" i="33"/>
  <c r="K281" i="33"/>
  <c r="N281" i="33"/>
  <c r="L281" i="33"/>
  <c r="J281" i="33"/>
  <c r="M287" i="33"/>
  <c r="L287" i="33"/>
  <c r="N287" i="33"/>
  <c r="K287" i="33"/>
  <c r="K325" i="33"/>
  <c r="L325" i="33"/>
  <c r="J325" i="33"/>
  <c r="M331" i="33"/>
  <c r="J331" i="33"/>
  <c r="N331" i="33"/>
  <c r="L331" i="33"/>
  <c r="M359" i="33"/>
  <c r="L359" i="33"/>
  <c r="K359" i="33"/>
  <c r="N359" i="33"/>
  <c r="J359" i="33"/>
  <c r="K465" i="33"/>
  <c r="L465" i="33"/>
  <c r="M465" i="33"/>
  <c r="N465" i="33"/>
  <c r="J465" i="33"/>
  <c r="L486" i="33"/>
  <c r="K486" i="33"/>
  <c r="M486" i="33"/>
  <c r="N486" i="33"/>
  <c r="J486" i="33"/>
  <c r="N133" i="33"/>
  <c r="N142" i="33"/>
  <c r="N149" i="33"/>
  <c r="L162" i="33"/>
  <c r="L163" i="33"/>
  <c r="L165" i="33"/>
  <c r="J165" i="33"/>
  <c r="K169" i="33"/>
  <c r="L170" i="33"/>
  <c r="L171" i="33"/>
  <c r="L173" i="33"/>
  <c r="J173" i="33"/>
  <c r="K177" i="33"/>
  <c r="L178" i="33"/>
  <c r="L179" i="33"/>
  <c r="L181" i="33"/>
  <c r="J181" i="33"/>
  <c r="K185" i="33"/>
  <c r="L186" i="33"/>
  <c r="L187" i="33"/>
  <c r="L189" i="33"/>
  <c r="J189" i="33"/>
  <c r="K193" i="33"/>
  <c r="N195" i="33"/>
  <c r="J195" i="33"/>
  <c r="K195" i="33"/>
  <c r="L197" i="33"/>
  <c r="K197" i="33"/>
  <c r="J197" i="33"/>
  <c r="N199" i="33"/>
  <c r="J199" i="33"/>
  <c r="M199" i="33"/>
  <c r="L199" i="33"/>
  <c r="N202" i="33"/>
  <c r="K209" i="33"/>
  <c r="M209" i="33"/>
  <c r="L209" i="33"/>
  <c r="J209" i="33"/>
  <c r="L214" i="33"/>
  <c r="M214" i="33"/>
  <c r="N214" i="33"/>
  <c r="K214" i="33"/>
  <c r="N216" i="33"/>
  <c r="J216" i="33"/>
  <c r="M216" i="33"/>
  <c r="L216" i="33"/>
  <c r="M231" i="33"/>
  <c r="K231" i="33"/>
  <c r="N231" i="33"/>
  <c r="L231" i="33"/>
  <c r="K241" i="33"/>
  <c r="M241" i="33"/>
  <c r="L241" i="33"/>
  <c r="J241" i="33"/>
  <c r="L246" i="33"/>
  <c r="M246" i="33"/>
  <c r="N246" i="33"/>
  <c r="K246" i="33"/>
  <c r="N248" i="33"/>
  <c r="J248" i="33"/>
  <c r="M248" i="33"/>
  <c r="L248" i="33"/>
  <c r="N280" i="33"/>
  <c r="J280" i="33"/>
  <c r="K280" i="33"/>
  <c r="L280" i="33"/>
  <c r="N300" i="33"/>
  <c r="J300" i="33"/>
  <c r="M300" i="33"/>
  <c r="L300" i="33"/>
  <c r="K300" i="33"/>
  <c r="K309" i="33"/>
  <c r="L309" i="33"/>
  <c r="N309" i="33"/>
  <c r="M309" i="33"/>
  <c r="M323" i="33"/>
  <c r="J323" i="33"/>
  <c r="L323" i="33"/>
  <c r="K323" i="33"/>
  <c r="N325" i="33"/>
  <c r="L330" i="33"/>
  <c r="K330" i="33"/>
  <c r="N330" i="33"/>
  <c r="M330" i="33"/>
  <c r="M343" i="33"/>
  <c r="L343" i="33"/>
  <c r="K343" i="33"/>
  <c r="N343" i="33"/>
  <c r="J343" i="33"/>
  <c r="N352" i="33"/>
  <c r="J352" i="33"/>
  <c r="K352" i="33"/>
  <c r="M352" i="33"/>
  <c r="K357" i="33"/>
  <c r="L357" i="33"/>
  <c r="J357" i="33"/>
  <c r="N357" i="33"/>
  <c r="M357" i="33"/>
  <c r="M377" i="33"/>
  <c r="J377" i="33"/>
  <c r="N377" i="33"/>
  <c r="L377" i="33"/>
  <c r="K377" i="33"/>
  <c r="N382" i="33"/>
  <c r="J382" i="33"/>
  <c r="K382" i="33"/>
  <c r="M382" i="33"/>
  <c r="N427" i="33"/>
  <c r="J427" i="33"/>
  <c r="M427" i="33"/>
  <c r="L427" i="33"/>
  <c r="K427" i="33"/>
  <c r="N476" i="33"/>
  <c r="J476" i="33"/>
  <c r="K476" i="33"/>
  <c r="L476" i="33"/>
  <c r="M476" i="33"/>
  <c r="L478" i="33"/>
  <c r="K478" i="33"/>
  <c r="J478" i="33"/>
  <c r="N478" i="33"/>
  <c r="M478" i="33"/>
  <c r="N492" i="33"/>
  <c r="J492" i="33"/>
  <c r="K492" i="33"/>
  <c r="M492" i="33"/>
  <c r="N500" i="33"/>
  <c r="J500" i="33"/>
  <c r="K500" i="33"/>
  <c r="M500" i="33"/>
  <c r="L500" i="33"/>
  <c r="K506" i="33"/>
  <c r="J506" i="33"/>
  <c r="N506" i="33"/>
  <c r="M506" i="33"/>
  <c r="L506" i="33"/>
  <c r="N155" i="33"/>
  <c r="N159" i="33"/>
  <c r="N166" i="33"/>
  <c r="N174" i="33"/>
  <c r="N182" i="33"/>
  <c r="N190" i="33"/>
  <c r="M196" i="33"/>
  <c r="N198" i="33"/>
  <c r="M201" i="33"/>
  <c r="L210" i="33"/>
  <c r="J210" i="33"/>
  <c r="L218" i="33"/>
  <c r="J218" i="33"/>
  <c r="L226" i="33"/>
  <c r="J226" i="33"/>
  <c r="L234" i="33"/>
  <c r="J234" i="33"/>
  <c r="L242" i="33"/>
  <c r="J242" i="33"/>
  <c r="L250" i="33"/>
  <c r="J250" i="33"/>
  <c r="M258" i="33"/>
  <c r="L258" i="33"/>
  <c r="K260" i="33"/>
  <c r="N260" i="33"/>
  <c r="K267" i="33"/>
  <c r="M267" i="33"/>
  <c r="L282" i="33"/>
  <c r="K282" i="33"/>
  <c r="M283" i="33"/>
  <c r="J283" i="33"/>
  <c r="N292" i="33"/>
  <c r="J292" i="33"/>
  <c r="M292" i="33"/>
  <c r="M303" i="33"/>
  <c r="L303" i="33"/>
  <c r="K305" i="33"/>
  <c r="N305" i="33"/>
  <c r="L314" i="33"/>
  <c r="K314" i="33"/>
  <c r="M315" i="33"/>
  <c r="J315" i="33"/>
  <c r="N324" i="33"/>
  <c r="J324" i="33"/>
  <c r="M324" i="33"/>
  <c r="M335" i="33"/>
  <c r="L335" i="33"/>
  <c r="K337" i="33"/>
  <c r="N337" i="33"/>
  <c r="N348" i="33"/>
  <c r="J348" i="33"/>
  <c r="M348" i="33"/>
  <c r="L348" i="33"/>
  <c r="N356" i="33"/>
  <c r="J356" i="33"/>
  <c r="M356" i="33"/>
  <c r="L356" i="33"/>
  <c r="N364" i="33"/>
  <c r="J364" i="33"/>
  <c r="M364" i="33"/>
  <c r="L364" i="33"/>
  <c r="M369" i="33"/>
  <c r="J369" i="33"/>
  <c r="L369" i="33"/>
  <c r="K369" i="33"/>
  <c r="N399" i="33"/>
  <c r="J399" i="33"/>
  <c r="L399" i="33"/>
  <c r="K399" i="33"/>
  <c r="N407" i="33"/>
  <c r="J407" i="33"/>
  <c r="L407" i="33"/>
  <c r="K407" i="33"/>
  <c r="N415" i="33"/>
  <c r="J415" i="33"/>
  <c r="L415" i="33"/>
  <c r="K415" i="33"/>
  <c r="K438" i="33"/>
  <c r="M438" i="33"/>
  <c r="L438" i="33"/>
  <c r="J438" i="33"/>
  <c r="K446" i="33"/>
  <c r="M446" i="33"/>
  <c r="L446" i="33"/>
  <c r="J446" i="33"/>
  <c r="N452" i="33"/>
  <c r="J452" i="33"/>
  <c r="K452" i="33"/>
  <c r="M452" i="33"/>
  <c r="K469" i="33"/>
  <c r="N469" i="33"/>
  <c r="J469" i="33"/>
  <c r="M469" i="33"/>
  <c r="L469" i="33"/>
  <c r="K477" i="33"/>
  <c r="N477" i="33"/>
  <c r="L477" i="33"/>
  <c r="M477" i="33"/>
  <c r="M487" i="33"/>
  <c r="J487" i="33"/>
  <c r="L487" i="33"/>
  <c r="N487" i="33"/>
  <c r="N196" i="33"/>
  <c r="N201" i="33"/>
  <c r="N204" i="33"/>
  <c r="J204" i="33"/>
  <c r="L204" i="33"/>
  <c r="K205" i="33"/>
  <c r="J205" i="33"/>
  <c r="N212" i="33"/>
  <c r="J212" i="33"/>
  <c r="L212" i="33"/>
  <c r="K213" i="33"/>
  <c r="J213" i="33"/>
  <c r="N220" i="33"/>
  <c r="J220" i="33"/>
  <c r="L220" i="33"/>
  <c r="K221" i="33"/>
  <c r="J221" i="33"/>
  <c r="N228" i="33"/>
  <c r="J228" i="33"/>
  <c r="L228" i="33"/>
  <c r="K229" i="33"/>
  <c r="J229" i="33"/>
  <c r="N236" i="33"/>
  <c r="J236" i="33"/>
  <c r="L236" i="33"/>
  <c r="K237" i="33"/>
  <c r="J237" i="33"/>
  <c r="N244" i="33"/>
  <c r="J244" i="33"/>
  <c r="L244" i="33"/>
  <c r="K245" i="33"/>
  <c r="J245" i="33"/>
  <c r="N252" i="33"/>
  <c r="J252" i="33"/>
  <c r="L252" i="33"/>
  <c r="K253" i="33"/>
  <c r="J253" i="33"/>
  <c r="N259" i="33"/>
  <c r="J259" i="33"/>
  <c r="K259" i="33"/>
  <c r="L261" i="33"/>
  <c r="K261" i="33"/>
  <c r="K271" i="33"/>
  <c r="N271" i="33"/>
  <c r="N284" i="33"/>
  <c r="J284" i="33"/>
  <c r="M284" i="33"/>
  <c r="K285" i="33"/>
  <c r="L285" i="33"/>
  <c r="M295" i="33"/>
  <c r="L295" i="33"/>
  <c r="K297" i="33"/>
  <c r="N297" i="33"/>
  <c r="N304" i="33"/>
  <c r="J304" i="33"/>
  <c r="K304" i="33"/>
  <c r="L306" i="33"/>
  <c r="K306" i="33"/>
  <c r="M307" i="33"/>
  <c r="J307" i="33"/>
  <c r="N316" i="33"/>
  <c r="J316" i="33"/>
  <c r="M316" i="33"/>
  <c r="K317" i="33"/>
  <c r="L317" i="33"/>
  <c r="M327" i="33"/>
  <c r="L327" i="33"/>
  <c r="K329" i="33"/>
  <c r="N329" i="33"/>
  <c r="N336" i="33"/>
  <c r="J336" i="33"/>
  <c r="K336" i="33"/>
  <c r="L338" i="33"/>
  <c r="K338" i="33"/>
  <c r="M339" i="33"/>
  <c r="J339" i="33"/>
  <c r="K345" i="33"/>
  <c r="N345" i="33"/>
  <c r="M345" i="33"/>
  <c r="L346" i="33"/>
  <c r="K346" i="33"/>
  <c r="J346" i="33"/>
  <c r="K353" i="33"/>
  <c r="N353" i="33"/>
  <c r="M353" i="33"/>
  <c r="L354" i="33"/>
  <c r="K354" i="33"/>
  <c r="J354" i="33"/>
  <c r="K361" i="33"/>
  <c r="N361" i="33"/>
  <c r="M361" i="33"/>
  <c r="L362" i="33"/>
  <c r="K362" i="33"/>
  <c r="J362" i="33"/>
  <c r="K371" i="33"/>
  <c r="L371" i="33"/>
  <c r="J371" i="33"/>
  <c r="L376" i="33"/>
  <c r="K376" i="33"/>
  <c r="N376" i="33"/>
  <c r="M376" i="33"/>
  <c r="M391" i="33"/>
  <c r="J391" i="33"/>
  <c r="L391" i="33"/>
  <c r="K391" i="33"/>
  <c r="N437" i="33"/>
  <c r="J437" i="33"/>
  <c r="M437" i="33"/>
  <c r="L437" i="33"/>
  <c r="K442" i="33"/>
  <c r="J442" i="33"/>
  <c r="N442" i="33"/>
  <c r="L443" i="33"/>
  <c r="M443" i="33"/>
  <c r="N443" i="33"/>
  <c r="K443" i="33"/>
  <c r="N445" i="33"/>
  <c r="J445" i="33"/>
  <c r="M445" i="33"/>
  <c r="L445" i="33"/>
  <c r="K450" i="33"/>
  <c r="J450" i="33"/>
  <c r="N450" i="33"/>
  <c r="M451" i="33"/>
  <c r="L451" i="33"/>
  <c r="N451" i="33"/>
  <c r="K451" i="33"/>
  <c r="N456" i="33"/>
  <c r="J456" i="33"/>
  <c r="M456" i="33"/>
  <c r="K456" i="33"/>
  <c r="L456" i="33"/>
  <c r="L462" i="33"/>
  <c r="K462" i="33"/>
  <c r="N462" i="33"/>
  <c r="M462" i="33"/>
  <c r="J462" i="33"/>
  <c r="N464" i="33"/>
  <c r="J464" i="33"/>
  <c r="M464" i="33"/>
  <c r="L464" i="33"/>
  <c r="K485" i="33"/>
  <c r="N485" i="33"/>
  <c r="M485" i="33"/>
  <c r="L485" i="33"/>
  <c r="J485" i="33"/>
  <c r="K489" i="33"/>
  <c r="L489" i="33"/>
  <c r="J489" i="33"/>
  <c r="L494" i="33"/>
  <c r="K494" i="33"/>
  <c r="N494" i="33"/>
  <c r="M494" i="33"/>
  <c r="K497" i="33"/>
  <c r="L497" i="33"/>
  <c r="M497" i="33"/>
  <c r="J497" i="33"/>
  <c r="L507" i="33"/>
  <c r="M507" i="33"/>
  <c r="K507" i="33"/>
  <c r="N507" i="33"/>
  <c r="J507" i="33"/>
  <c r="N347" i="33"/>
  <c r="N355" i="33"/>
  <c r="N363" i="33"/>
  <c r="N370" i="33"/>
  <c r="J370" i="33"/>
  <c r="M370" i="33"/>
  <c r="M381" i="33"/>
  <c r="L381" i="33"/>
  <c r="K383" i="33"/>
  <c r="N383" i="33"/>
  <c r="N392" i="33"/>
  <c r="J392" i="33"/>
  <c r="M392" i="33"/>
  <c r="K431" i="33"/>
  <c r="M431" i="33"/>
  <c r="L439" i="33"/>
  <c r="J439" i="33"/>
  <c r="L447" i="33"/>
  <c r="J447" i="33"/>
  <c r="K453" i="33"/>
  <c r="N453" i="33"/>
  <c r="M453" i="33"/>
  <c r="L454" i="33"/>
  <c r="K454" i="33"/>
  <c r="M454" i="33"/>
  <c r="N468" i="33"/>
  <c r="J468" i="33"/>
  <c r="K468" i="33"/>
  <c r="N472" i="33"/>
  <c r="J472" i="33"/>
  <c r="M472" i="33"/>
  <c r="K473" i="33"/>
  <c r="L473" i="33"/>
  <c r="N473" i="33"/>
  <c r="M475" i="33"/>
  <c r="L475" i="33"/>
  <c r="K475" i="33"/>
  <c r="K481" i="33"/>
  <c r="L481" i="33"/>
  <c r="M499" i="33"/>
  <c r="L499" i="33"/>
  <c r="J499" i="33"/>
  <c r="N211" i="33"/>
  <c r="N219" i="33"/>
  <c r="N227" i="33"/>
  <c r="N235" i="33"/>
  <c r="N243" i="33"/>
  <c r="N251" i="33"/>
  <c r="N257" i="33"/>
  <c r="N286" i="33"/>
  <c r="N294" i="33"/>
  <c r="N302" i="33"/>
  <c r="N310" i="33"/>
  <c r="N318" i="33"/>
  <c r="N326" i="33"/>
  <c r="N334" i="33"/>
  <c r="N342" i="33"/>
  <c r="J347" i="33"/>
  <c r="N350" i="33"/>
  <c r="J355" i="33"/>
  <c r="N358" i="33"/>
  <c r="J363" i="33"/>
  <c r="N366" i="33"/>
  <c r="K370" i="33"/>
  <c r="M373" i="33"/>
  <c r="L373" i="33"/>
  <c r="K375" i="33"/>
  <c r="N375" i="33"/>
  <c r="J381" i="33"/>
  <c r="J383" i="33"/>
  <c r="L384" i="33"/>
  <c r="K384" i="33"/>
  <c r="M385" i="33"/>
  <c r="J385" i="33"/>
  <c r="K392" i="33"/>
  <c r="L401" i="33"/>
  <c r="M401" i="33"/>
  <c r="M402" i="33"/>
  <c r="K402" i="33"/>
  <c r="N403" i="33"/>
  <c r="J403" i="33"/>
  <c r="L409" i="33"/>
  <c r="M409" i="33"/>
  <c r="M410" i="33"/>
  <c r="K410" i="33"/>
  <c r="N411" i="33"/>
  <c r="J411" i="33"/>
  <c r="L417" i="33"/>
  <c r="M417" i="33"/>
  <c r="M418" i="33"/>
  <c r="K418" i="33"/>
  <c r="N419" i="33"/>
  <c r="J419" i="33"/>
  <c r="L425" i="33"/>
  <c r="K425" i="33"/>
  <c r="M426" i="33"/>
  <c r="J426" i="33"/>
  <c r="J431" i="33"/>
  <c r="L432" i="33"/>
  <c r="J432" i="33"/>
  <c r="K439" i="33"/>
  <c r="K447" i="33"/>
  <c r="J453" i="33"/>
  <c r="J454" i="33"/>
  <c r="M467" i="33"/>
  <c r="L467" i="33"/>
  <c r="J467" i="33"/>
  <c r="L468" i="33"/>
  <c r="K472" i="33"/>
  <c r="J473" i="33"/>
  <c r="J475" i="33"/>
  <c r="M479" i="33"/>
  <c r="J479" i="33"/>
  <c r="K479" i="33"/>
  <c r="J481" i="33"/>
  <c r="M483" i="33"/>
  <c r="L483" i="33"/>
  <c r="N483" i="33"/>
  <c r="M495" i="33"/>
  <c r="J495" i="33"/>
  <c r="N495" i="33"/>
  <c r="N496" i="33"/>
  <c r="J496" i="33"/>
  <c r="M496" i="33"/>
  <c r="L496" i="33"/>
  <c r="K499" i="33"/>
  <c r="N372" i="33"/>
  <c r="N380" i="33"/>
  <c r="N398" i="33"/>
  <c r="N406" i="33"/>
  <c r="N414" i="33"/>
  <c r="N433" i="33"/>
  <c r="N440" i="33"/>
  <c r="N448" i="33"/>
  <c r="M459" i="33"/>
  <c r="L459" i="33"/>
  <c r="K461" i="33"/>
  <c r="N461" i="33"/>
  <c r="L470" i="33"/>
  <c r="K470" i="33"/>
  <c r="M471" i="33"/>
  <c r="J471" i="33"/>
  <c r="N480" i="33"/>
  <c r="J480" i="33"/>
  <c r="M480" i="33"/>
  <c r="M491" i="33"/>
  <c r="L491" i="33"/>
  <c r="K493" i="33"/>
  <c r="N493" i="33"/>
  <c r="N458" i="33"/>
  <c r="N466" i="33"/>
  <c r="N474" i="33"/>
  <c r="N482" i="33"/>
  <c r="N490" i="33"/>
  <c r="N498" i="33"/>
  <c r="K528" i="33" l="1"/>
  <c r="N530" i="33"/>
  <c r="N508" i="33"/>
  <c r="N528" i="33"/>
  <c r="K508" i="33"/>
  <c r="M530" i="33"/>
  <c r="M508" i="33"/>
  <c r="M528" i="33"/>
  <c r="K530" i="33"/>
  <c r="L528" i="33"/>
  <c r="L508" i="33"/>
  <c r="L530" i="33"/>
  <c r="J530" i="33"/>
  <c r="J508" i="33"/>
  <c r="J528" i="33"/>
  <c r="Y953" i="4" l="1"/>
  <c r="W956" i="4"/>
  <c r="W955" i="4"/>
  <c r="W954" i="4"/>
  <c r="U956" i="4"/>
  <c r="U953" i="4"/>
  <c r="Y956" i="4" l="1"/>
  <c r="T495" i="4"/>
  <c r="V495" i="4" s="1"/>
  <c r="X495" i="4" s="1"/>
  <c r="Y954" i="4"/>
  <c r="T493" i="4"/>
  <c r="V493" i="4" s="1"/>
  <c r="X493" i="4" s="1"/>
  <c r="Y955" i="4"/>
  <c r="T494" i="4"/>
  <c r="V494" i="4" s="1"/>
  <c r="X494" i="4" s="1"/>
  <c r="W957" i="4"/>
  <c r="Y957" i="4" l="1"/>
  <c r="X496" i="4"/>
  <c r="U55" i="44"/>
  <c r="R55" i="44"/>
  <c r="S55" i="44" s="1"/>
  <c r="P55" i="44"/>
  <c r="Q55" i="44" s="1"/>
  <c r="U54" i="44"/>
  <c r="R54" i="44"/>
  <c r="S54" i="44" s="1"/>
  <c r="P54" i="44"/>
  <c r="Q54" i="44" s="1"/>
  <c r="U53" i="44"/>
  <c r="R53" i="44"/>
  <c r="S53" i="44" s="1"/>
  <c r="P53" i="44"/>
  <c r="Q53" i="44" s="1"/>
  <c r="V53" i="44" s="1"/>
  <c r="U52" i="44"/>
  <c r="R52" i="44"/>
  <c r="S52" i="44" s="1"/>
  <c r="P52" i="44"/>
  <c r="Q52" i="44" s="1"/>
  <c r="U51" i="44"/>
  <c r="R51" i="44"/>
  <c r="S51" i="44" s="1"/>
  <c r="P51" i="44"/>
  <c r="Q51" i="44" s="1"/>
  <c r="U50" i="44"/>
  <c r="R50" i="44"/>
  <c r="S50" i="44" s="1"/>
  <c r="P50" i="44"/>
  <c r="Q50" i="44" s="1"/>
  <c r="U49" i="44"/>
  <c r="R49" i="44"/>
  <c r="S49" i="44" s="1"/>
  <c r="P49" i="44"/>
  <c r="Q49" i="44" s="1"/>
  <c r="U48" i="44"/>
  <c r="R48" i="44"/>
  <c r="S48" i="44" s="1"/>
  <c r="P48" i="44"/>
  <c r="Q48" i="44" s="1"/>
  <c r="U47" i="44"/>
  <c r="R47" i="44"/>
  <c r="S47" i="44" s="1"/>
  <c r="P47" i="44"/>
  <c r="Q47" i="44" s="1"/>
  <c r="U46" i="44"/>
  <c r="R46" i="44"/>
  <c r="S46" i="44" s="1"/>
  <c r="P46" i="44"/>
  <c r="Q46" i="44" s="1"/>
  <c r="U45" i="44"/>
  <c r="R45" i="44"/>
  <c r="S45" i="44" s="1"/>
  <c r="P45" i="44"/>
  <c r="Q45" i="44" s="1"/>
  <c r="U44" i="44"/>
  <c r="R44" i="44"/>
  <c r="S44" i="44" s="1"/>
  <c r="P44" i="44"/>
  <c r="Q44" i="44" s="1"/>
  <c r="U43" i="44"/>
  <c r="R43" i="44"/>
  <c r="S43" i="44" s="1"/>
  <c r="P43" i="44"/>
  <c r="Q43" i="44" s="1"/>
  <c r="U42" i="44"/>
  <c r="R42" i="44"/>
  <c r="S42" i="44" s="1"/>
  <c r="P42" i="44"/>
  <c r="Q42" i="44" s="1"/>
  <c r="U41" i="44"/>
  <c r="R41" i="44"/>
  <c r="S41" i="44" s="1"/>
  <c r="P41" i="44"/>
  <c r="Q41" i="44" s="1"/>
  <c r="U40" i="44"/>
  <c r="R40" i="44"/>
  <c r="S40" i="44" s="1"/>
  <c r="P40" i="44"/>
  <c r="Q40" i="44" s="1"/>
  <c r="U39" i="44"/>
  <c r="R39" i="44"/>
  <c r="S39" i="44" s="1"/>
  <c r="P39" i="44"/>
  <c r="Q39" i="44" s="1"/>
  <c r="U38" i="44"/>
  <c r="R38" i="44"/>
  <c r="S38" i="44" s="1"/>
  <c r="P38" i="44"/>
  <c r="Q38" i="44" s="1"/>
  <c r="U33" i="44"/>
  <c r="R33" i="44"/>
  <c r="S33" i="44" s="1"/>
  <c r="P33" i="44"/>
  <c r="Q33" i="44" s="1"/>
  <c r="U32" i="44"/>
  <c r="R32" i="44"/>
  <c r="S32" i="44" s="1"/>
  <c r="P32" i="44"/>
  <c r="Q32" i="44" s="1"/>
  <c r="U31" i="44"/>
  <c r="R31" i="44"/>
  <c r="S31" i="44" s="1"/>
  <c r="P31" i="44"/>
  <c r="Q31" i="44" s="1"/>
  <c r="U30" i="44"/>
  <c r="R30" i="44"/>
  <c r="S30" i="44" s="1"/>
  <c r="P30" i="44"/>
  <c r="Q30" i="44" s="1"/>
  <c r="U29" i="44"/>
  <c r="R29" i="44"/>
  <c r="S29" i="44" s="1"/>
  <c r="P29" i="44"/>
  <c r="Q29" i="44" s="1"/>
  <c r="U28" i="44"/>
  <c r="R28" i="44"/>
  <c r="S28" i="44" s="1"/>
  <c r="P28" i="44"/>
  <c r="Q28" i="44" s="1"/>
  <c r="U27" i="44"/>
  <c r="R27" i="44"/>
  <c r="S27" i="44" s="1"/>
  <c r="P27" i="44"/>
  <c r="Q27" i="44" s="1"/>
  <c r="U26" i="44"/>
  <c r="R26" i="44"/>
  <c r="S26" i="44" s="1"/>
  <c r="P26" i="44"/>
  <c r="Q26" i="44" s="1"/>
  <c r="U25" i="44"/>
  <c r="R25" i="44"/>
  <c r="S25" i="44" s="1"/>
  <c r="P25" i="44"/>
  <c r="Q25" i="44" s="1"/>
  <c r="V25" i="44" s="1"/>
  <c r="U24" i="44"/>
  <c r="R24" i="44"/>
  <c r="S24" i="44" s="1"/>
  <c r="P24" i="44"/>
  <c r="Q24" i="44" s="1"/>
  <c r="U23" i="44"/>
  <c r="R23" i="44"/>
  <c r="S23" i="44" s="1"/>
  <c r="P23" i="44"/>
  <c r="Q23" i="44" s="1"/>
  <c r="U22" i="44"/>
  <c r="R22" i="44"/>
  <c r="S22" i="44" s="1"/>
  <c r="P22" i="44"/>
  <c r="Q22" i="44" s="1"/>
  <c r="U21" i="44"/>
  <c r="R21" i="44"/>
  <c r="S21" i="44" s="1"/>
  <c r="P21" i="44"/>
  <c r="Q21" i="44" s="1"/>
  <c r="U20" i="44"/>
  <c r="R20" i="44"/>
  <c r="S20" i="44" s="1"/>
  <c r="P20" i="44"/>
  <c r="Q20" i="44" s="1"/>
  <c r="U19" i="44"/>
  <c r="R19" i="44"/>
  <c r="S19" i="44" s="1"/>
  <c r="P19" i="44"/>
  <c r="Q19" i="44" s="1"/>
  <c r="U18" i="44"/>
  <c r="R18" i="44"/>
  <c r="S18" i="44" s="1"/>
  <c r="P18" i="44"/>
  <c r="Q18" i="44" s="1"/>
  <c r="U17" i="44"/>
  <c r="R17" i="44"/>
  <c r="S17" i="44" s="1"/>
  <c r="P17" i="44"/>
  <c r="Q17" i="44" s="1"/>
  <c r="U16" i="44"/>
  <c r="R16" i="44"/>
  <c r="S16" i="44" s="1"/>
  <c r="P16" i="44"/>
  <c r="Q16" i="44" s="1"/>
  <c r="U15" i="44"/>
  <c r="R15" i="44"/>
  <c r="S15" i="44" s="1"/>
  <c r="P15" i="44"/>
  <c r="Q15" i="44" s="1"/>
  <c r="U14" i="44"/>
  <c r="R14" i="44"/>
  <c r="S14" i="44" s="1"/>
  <c r="P14" i="44"/>
  <c r="Q14" i="44" s="1"/>
  <c r="U13" i="44"/>
  <c r="R13" i="44"/>
  <c r="S13" i="44" s="1"/>
  <c r="P13" i="44"/>
  <c r="Q13" i="44" s="1"/>
  <c r="U12" i="44"/>
  <c r="R12" i="44"/>
  <c r="S12" i="44" s="1"/>
  <c r="P12" i="44"/>
  <c r="Q12" i="44" s="1"/>
  <c r="U11" i="44"/>
  <c r="R11" i="44"/>
  <c r="S11" i="44" s="1"/>
  <c r="P11" i="44"/>
  <c r="Q11" i="44" s="1"/>
  <c r="U10" i="44"/>
  <c r="R10" i="44"/>
  <c r="S10" i="44" s="1"/>
  <c r="P10" i="44"/>
  <c r="Q10" i="44" s="1"/>
  <c r="U9" i="44"/>
  <c r="R9" i="44"/>
  <c r="S9" i="44" s="1"/>
  <c r="P9" i="44"/>
  <c r="Q9" i="44" s="1"/>
  <c r="W25" i="44" l="1"/>
  <c r="W49" i="44"/>
  <c r="W53" i="44"/>
  <c r="X53" i="44" s="1"/>
  <c r="V9" i="44"/>
  <c r="W12" i="44"/>
  <c r="W13" i="44"/>
  <c r="V16" i="44"/>
  <c r="V21" i="44"/>
  <c r="W9" i="44"/>
  <c r="W16" i="44"/>
  <c r="W26" i="44"/>
  <c r="V12" i="44"/>
  <c r="W32" i="44"/>
  <c r="V49" i="44"/>
  <c r="X49" i="44" s="1"/>
  <c r="W20" i="44"/>
  <c r="T30" i="44"/>
  <c r="T38" i="44"/>
  <c r="T42" i="44"/>
  <c r="T46" i="44"/>
  <c r="T50" i="44"/>
  <c r="W28" i="44"/>
  <c r="W40" i="44"/>
  <c r="W10" i="44"/>
  <c r="T12" i="44"/>
  <c r="T39" i="44"/>
  <c r="V17" i="44"/>
  <c r="T21" i="44"/>
  <c r="V29" i="44"/>
  <c r="W39" i="44"/>
  <c r="V41" i="44"/>
  <c r="W24" i="44"/>
  <c r="T27" i="44"/>
  <c r="T11" i="44"/>
  <c r="T14" i="44"/>
  <c r="V20" i="44"/>
  <c r="X20" i="44" s="1"/>
  <c r="W29" i="44"/>
  <c r="V33" i="44"/>
  <c r="W41" i="44"/>
  <c r="V45" i="44"/>
  <c r="T54" i="44"/>
  <c r="W44" i="44"/>
  <c r="W48" i="44"/>
  <c r="W52" i="44"/>
  <c r="T15" i="44"/>
  <c r="W18" i="44"/>
  <c r="T47" i="44"/>
  <c r="W47" i="44"/>
  <c r="T20" i="44"/>
  <c r="T23" i="44"/>
  <c r="V24" i="44"/>
  <c r="W31" i="44"/>
  <c r="W33" i="44"/>
  <c r="W43" i="44"/>
  <c r="W45" i="44"/>
  <c r="W51" i="44"/>
  <c r="T55" i="44"/>
  <c r="T13" i="44"/>
  <c r="V13" i="44"/>
  <c r="W17" i="44"/>
  <c r="T19" i="44"/>
  <c r="W21" i="44"/>
  <c r="T22" i="44"/>
  <c r="T31" i="44"/>
  <c r="T43" i="44"/>
  <c r="T51" i="44"/>
  <c r="W15" i="44"/>
  <c r="V15" i="44"/>
  <c r="V26" i="44"/>
  <c r="V32" i="44"/>
  <c r="X32" i="44" s="1"/>
  <c r="T32" i="44"/>
  <c r="V40" i="44"/>
  <c r="T40" i="44"/>
  <c r="V44" i="44"/>
  <c r="T44" i="44"/>
  <c r="V48" i="44"/>
  <c r="T48" i="44"/>
  <c r="V52" i="44"/>
  <c r="T52" i="44"/>
  <c r="T10" i="44"/>
  <c r="W14" i="44"/>
  <c r="T16" i="44"/>
  <c r="T18" i="44"/>
  <c r="W22" i="44"/>
  <c r="T24" i="44"/>
  <c r="T26" i="44"/>
  <c r="V30" i="44"/>
  <c r="W30" i="44"/>
  <c r="W38" i="44"/>
  <c r="V38" i="44"/>
  <c r="X41" i="44"/>
  <c r="V42" i="44"/>
  <c r="W42" i="44"/>
  <c r="W46" i="44"/>
  <c r="V46" i="44"/>
  <c r="V50" i="44"/>
  <c r="W50" i="44"/>
  <c r="V54" i="44"/>
  <c r="W54" i="44"/>
  <c r="W55" i="44"/>
  <c r="V10" i="44"/>
  <c r="V18" i="44"/>
  <c r="W23" i="44"/>
  <c r="V23" i="44"/>
  <c r="V28" i="44"/>
  <c r="T28" i="44"/>
  <c r="T9" i="44"/>
  <c r="W11" i="44"/>
  <c r="V11" i="44"/>
  <c r="V14" i="44"/>
  <c r="T17" i="44"/>
  <c r="W19" i="44"/>
  <c r="V19" i="44"/>
  <c r="V22" i="44"/>
  <c r="T25" i="44"/>
  <c r="X25" i="44"/>
  <c r="W27" i="44"/>
  <c r="V27" i="44"/>
  <c r="T29" i="44"/>
  <c r="T33" i="44"/>
  <c r="T41" i="44"/>
  <c r="T45" i="44"/>
  <c r="T49" i="44"/>
  <c r="T53" i="44"/>
  <c r="V31" i="44"/>
  <c r="V39" i="44"/>
  <c r="V43" i="44"/>
  <c r="V47" i="44"/>
  <c r="V51" i="44"/>
  <c r="V55" i="44"/>
  <c r="X48" i="44" l="1"/>
  <c r="X16" i="44"/>
  <c r="X26" i="44"/>
  <c r="X29" i="44"/>
  <c r="X12" i="44"/>
  <c r="X21" i="44"/>
  <c r="X9" i="44"/>
  <c r="X28" i="44"/>
  <c r="X13" i="44"/>
  <c r="X38" i="44"/>
  <c r="X47" i="44"/>
  <c r="X24" i="44"/>
  <c r="X51" i="44"/>
  <c r="X31" i="44"/>
  <c r="X55" i="44"/>
  <c r="X33" i="44"/>
  <c r="X39" i="44"/>
  <c r="X19" i="44"/>
  <c r="X11" i="44"/>
  <c r="X45" i="44"/>
  <c r="X40" i="44"/>
  <c r="X17" i="44"/>
  <c r="X14" i="44"/>
  <c r="X18" i="44"/>
  <c r="X43" i="44"/>
  <c r="X10" i="44"/>
  <c r="X46" i="44"/>
  <c r="X44" i="44"/>
  <c r="W56" i="44"/>
  <c r="X42" i="44"/>
  <c r="X52" i="44"/>
  <c r="X27" i="44"/>
  <c r="X22" i="44"/>
  <c r="X23" i="44"/>
  <c r="V56" i="44"/>
  <c r="X50" i="44"/>
  <c r="X30" i="44"/>
  <c r="X54" i="44"/>
  <c r="X15" i="44"/>
  <c r="X56" i="44" l="1"/>
  <c r="C13" i="34"/>
  <c r="L5" i="35"/>
  <c r="H7" i="35"/>
  <c r="I7" i="35"/>
  <c r="J7" i="35"/>
  <c r="K7" i="35"/>
  <c r="H8" i="35"/>
  <c r="I8" i="35"/>
  <c r="J8" i="35"/>
  <c r="K8" i="35"/>
  <c r="H9" i="35"/>
  <c r="I9" i="35"/>
  <c r="J9" i="35"/>
  <c r="K9" i="35"/>
  <c r="H10" i="35"/>
  <c r="I10" i="35"/>
  <c r="J10" i="35"/>
  <c r="K10" i="35"/>
  <c r="H11" i="35"/>
  <c r="I11" i="35"/>
  <c r="J11" i="35"/>
  <c r="K11" i="35"/>
  <c r="H12" i="35"/>
  <c r="I12" i="35"/>
  <c r="J12" i="35"/>
  <c r="K12" i="35"/>
  <c r="H13" i="35"/>
  <c r="I13" i="35"/>
  <c r="J13" i="35"/>
  <c r="K13" i="35"/>
  <c r="H14" i="35"/>
  <c r="I14" i="35"/>
  <c r="J14" i="35"/>
  <c r="K14" i="35"/>
  <c r="H15" i="35"/>
  <c r="I15" i="35"/>
  <c r="J15" i="35"/>
  <c r="K15" i="35"/>
  <c r="H16" i="35"/>
  <c r="I16" i="35"/>
  <c r="J16" i="35"/>
  <c r="K16" i="35"/>
  <c r="I6" i="35"/>
  <c r="J6" i="35"/>
  <c r="K6" i="35"/>
  <c r="H6" i="35"/>
  <c r="F17" i="35"/>
  <c r="D17" i="35"/>
  <c r="C17" i="35"/>
  <c r="G16" i="35"/>
  <c r="G15" i="35"/>
  <c r="G14" i="35"/>
  <c r="G13" i="35"/>
  <c r="G12" i="35"/>
  <c r="G11" i="35"/>
  <c r="G10" i="35"/>
  <c r="G9" i="35"/>
  <c r="G8" i="35"/>
  <c r="G7" i="35"/>
  <c r="G6" i="35"/>
  <c r="G5" i="35"/>
  <c r="M5" i="35" l="1"/>
  <c r="H17" i="35"/>
  <c r="K17" i="35"/>
  <c r="L16" i="35"/>
  <c r="M16" i="35" s="1"/>
  <c r="L12" i="35"/>
  <c r="M12" i="35" s="1"/>
  <c r="L8" i="35"/>
  <c r="M8" i="35" s="1"/>
  <c r="J17" i="35"/>
  <c r="L15" i="35"/>
  <c r="M15" i="35" s="1"/>
  <c r="L11" i="35"/>
  <c r="M11" i="35" s="1"/>
  <c r="L7" i="35"/>
  <c r="L6" i="35"/>
  <c r="M6" i="35" s="1"/>
  <c r="L14" i="35"/>
  <c r="M14" i="35" s="1"/>
  <c r="L13" i="35"/>
  <c r="M13" i="35" s="1"/>
  <c r="L10" i="35"/>
  <c r="M10" i="35" s="1"/>
  <c r="L9" i="35"/>
  <c r="M9" i="35" s="1"/>
  <c r="I17" i="35"/>
  <c r="G17" i="35"/>
  <c r="E17" i="35"/>
  <c r="C23" i="34" s="1"/>
  <c r="C19" i="34" l="1"/>
  <c r="C20" i="34" s="1"/>
  <c r="L17" i="35"/>
  <c r="M7" i="35"/>
  <c r="M17" i="35" s="1"/>
  <c r="I30" i="16"/>
  <c r="L8" i="16"/>
  <c r="L9" i="16" s="1"/>
  <c r="L69" i="6"/>
  <c r="J69" i="6"/>
  <c r="E124" i="6"/>
  <c r="H124" i="6" s="1"/>
  <c r="E118" i="6"/>
  <c r="D114" i="6"/>
  <c r="D113" i="6"/>
  <c r="D112" i="6"/>
  <c r="I97" i="6"/>
  <c r="I95" i="6"/>
  <c r="I96" i="6" s="1"/>
  <c r="K94" i="6"/>
  <c r="K95" i="6" s="1"/>
  <c r="K97" i="6" s="1"/>
  <c r="H94" i="6"/>
  <c r="H97" i="6" s="1"/>
  <c r="J87" i="6"/>
  <c r="I86" i="6"/>
  <c r="H85" i="6"/>
  <c r="K84" i="6"/>
  <c r="K85" i="6" s="1"/>
  <c r="H84" i="6"/>
  <c r="F55" i="6"/>
  <c r="O43" i="6"/>
  <c r="P41" i="6"/>
  <c r="L40" i="6"/>
  <c r="J40" i="6"/>
  <c r="R30" i="6"/>
  <c r="C86" i="7"/>
  <c r="B74" i="7"/>
  <c r="E56" i="7"/>
  <c r="C50" i="7"/>
  <c r="G47" i="7"/>
  <c r="F47" i="7"/>
  <c r="F46" i="7"/>
  <c r="H46" i="7" s="1"/>
  <c r="J46" i="7" s="1"/>
  <c r="P38" i="7"/>
  <c r="F38" i="7"/>
  <c r="P37" i="7"/>
  <c r="F37" i="7"/>
  <c r="P36" i="7"/>
  <c r="F36" i="7"/>
  <c r="R35" i="7"/>
  <c r="P35" i="7"/>
  <c r="C42" i="7"/>
  <c r="P34" i="7"/>
  <c r="S34" i="7" s="1"/>
  <c r="R32" i="7"/>
  <c r="P32" i="7"/>
  <c r="R31" i="7"/>
  <c r="P31" i="7"/>
  <c r="L31" i="7"/>
  <c r="L32" i="7" s="1"/>
  <c r="C29" i="7"/>
  <c r="BC27" i="7"/>
  <c r="AZ27" i="7"/>
  <c r="R27" i="7"/>
  <c r="R33" i="7" s="1"/>
  <c r="P27" i="7"/>
  <c r="P33" i="7" s="1"/>
  <c r="F27" i="7"/>
  <c r="H27" i="7" s="1"/>
  <c r="J27" i="7" s="1"/>
  <c r="AZ26" i="7"/>
  <c r="BB26" i="7" s="1"/>
  <c r="AY26" i="7"/>
  <c r="F26" i="7"/>
  <c r="H26" i="7" s="1"/>
  <c r="J26" i="7" s="1"/>
  <c r="BC25" i="7"/>
  <c r="AZ25" i="7"/>
  <c r="BB25" i="7" s="1"/>
  <c r="AY25" i="7"/>
  <c r="T25" i="7"/>
  <c r="F25" i="7"/>
  <c r="H25" i="7" s="1"/>
  <c r="J25" i="7" s="1"/>
  <c r="AZ24" i="7"/>
  <c r="BB24" i="7" s="1"/>
  <c r="AY24" i="7"/>
  <c r="T24" i="7"/>
  <c r="F24" i="7"/>
  <c r="H24" i="7" s="1"/>
  <c r="J24" i="7" s="1"/>
  <c r="AZ23" i="7"/>
  <c r="BB23" i="7" s="1"/>
  <c r="AY23" i="7"/>
  <c r="T23" i="7"/>
  <c r="G23" i="7"/>
  <c r="F23" i="7"/>
  <c r="AZ22" i="7"/>
  <c r="BB22" i="7" s="1"/>
  <c r="AY22" i="7"/>
  <c r="T22" i="7"/>
  <c r="F22" i="7"/>
  <c r="H22" i="7" s="1"/>
  <c r="J22" i="7" s="1"/>
  <c r="AZ21" i="7"/>
  <c r="BB21" i="7" s="1"/>
  <c r="AY21" i="7"/>
  <c r="T21" i="7"/>
  <c r="F21" i="7"/>
  <c r="H21" i="7" s="1"/>
  <c r="J21" i="7" s="1"/>
  <c r="AZ20" i="7"/>
  <c r="BB20" i="7" s="1"/>
  <c r="AY20" i="7"/>
  <c r="T20" i="7"/>
  <c r="F20" i="7"/>
  <c r="H20" i="7" s="1"/>
  <c r="J20" i="7" s="1"/>
  <c r="AZ19" i="7"/>
  <c r="BB19" i="7" s="1"/>
  <c r="AY19" i="7"/>
  <c r="T19" i="7"/>
  <c r="F19" i="7"/>
  <c r="H19" i="7" s="1"/>
  <c r="J19" i="7" s="1"/>
  <c r="AZ18" i="7"/>
  <c r="BB18" i="7" s="1"/>
  <c r="AY18" i="7"/>
  <c r="T18" i="7"/>
  <c r="F18" i="7"/>
  <c r="H18" i="7" s="1"/>
  <c r="J18" i="7" s="1"/>
  <c r="AZ17" i="7"/>
  <c r="BB17" i="7" s="1"/>
  <c r="AY17" i="7"/>
  <c r="T17" i="7"/>
  <c r="F17" i="7"/>
  <c r="H17" i="7" s="1"/>
  <c r="J17" i="7" s="1"/>
  <c r="AZ16" i="7"/>
  <c r="BB16" i="7" s="1"/>
  <c r="AY16" i="7"/>
  <c r="T16" i="7"/>
  <c r="F16" i="7"/>
  <c r="H16" i="7" s="1"/>
  <c r="J16" i="7" s="1"/>
  <c r="T15" i="7"/>
  <c r="T14" i="7"/>
  <c r="S18" i="6"/>
  <c r="S23" i="6"/>
  <c r="H47" i="7" l="1"/>
  <c r="I98" i="6"/>
  <c r="H23" i="7"/>
  <c r="J23" i="7" s="1"/>
  <c r="H95" i="6"/>
  <c r="H86" i="6"/>
  <c r="S32" i="7"/>
  <c r="K87" i="6"/>
  <c r="H96" i="6"/>
  <c r="H98" i="6" s="1"/>
  <c r="S31" i="7"/>
  <c r="S35" i="7"/>
  <c r="H35" i="7"/>
  <c r="L20" i="6"/>
  <c r="E114" i="6"/>
  <c r="E119" i="6" s="1"/>
  <c r="S33" i="7"/>
  <c r="L10" i="16"/>
  <c r="L11" i="16" s="1"/>
  <c r="J7" i="16" s="1"/>
  <c r="M71" i="6"/>
  <c r="O26" i="6"/>
  <c r="P24" i="6"/>
  <c r="K71" i="6"/>
  <c r="P29" i="7"/>
  <c r="Q47" i="15" l="1"/>
  <c r="L47" i="15"/>
  <c r="P47" i="15" s="1"/>
  <c r="M49" i="15"/>
  <c r="E21" i="15"/>
  <c r="F75" i="15"/>
  <c r="D68" i="15"/>
  <c r="F68" i="15" s="1"/>
  <c r="F71" i="15" s="1"/>
  <c r="D67" i="15"/>
  <c r="F67" i="15" s="1"/>
  <c r="Q59" i="15"/>
  <c r="N59" i="15"/>
  <c r="M59" i="15"/>
  <c r="J59" i="15"/>
  <c r="I59" i="15"/>
  <c r="H59" i="15"/>
  <c r="G59" i="15"/>
  <c r="F59" i="15"/>
  <c r="E59" i="15"/>
  <c r="L59" i="15"/>
  <c r="K57" i="15"/>
  <c r="Q53" i="15"/>
  <c r="N53" i="15"/>
  <c r="M53" i="15"/>
  <c r="J53" i="15"/>
  <c r="G53" i="15"/>
  <c r="F53" i="15"/>
  <c r="E53" i="15"/>
  <c r="O51" i="15"/>
  <c r="O53" i="15" s="1"/>
  <c r="K51" i="15"/>
  <c r="K53" i="15" s="1"/>
  <c r="N49" i="15"/>
  <c r="N54" i="15" s="1"/>
  <c r="J49" i="15"/>
  <c r="I49" i="15"/>
  <c r="I54" i="15" s="1"/>
  <c r="H49" i="15"/>
  <c r="H54" i="15" s="1"/>
  <c r="G49" i="15"/>
  <c r="F49" i="15"/>
  <c r="E49" i="15"/>
  <c r="Q46" i="15"/>
  <c r="Q49" i="15" s="1"/>
  <c r="Q54" i="15" s="1"/>
  <c r="M46" i="15"/>
  <c r="K46" i="15"/>
  <c r="O45" i="15"/>
  <c r="K45" i="15"/>
  <c r="K44" i="15"/>
  <c r="K49" i="15" s="1"/>
  <c r="Q41" i="15"/>
  <c r="N41" i="15"/>
  <c r="M41" i="15"/>
  <c r="J41" i="15"/>
  <c r="I41" i="15"/>
  <c r="H41" i="15"/>
  <c r="G41" i="15"/>
  <c r="F41" i="15"/>
  <c r="E41" i="15"/>
  <c r="L41" i="15"/>
  <c r="K39" i="15"/>
  <c r="Q35" i="15"/>
  <c r="N35" i="15"/>
  <c r="M35" i="15"/>
  <c r="J35" i="15"/>
  <c r="I35" i="15"/>
  <c r="H35" i="15"/>
  <c r="G35" i="15"/>
  <c r="F35" i="15"/>
  <c r="E35" i="15"/>
  <c r="L35" i="15"/>
  <c r="K33" i="15"/>
  <c r="Q31" i="15"/>
  <c r="N31" i="15"/>
  <c r="M31" i="15"/>
  <c r="J31" i="15"/>
  <c r="I31" i="15"/>
  <c r="H31" i="15"/>
  <c r="G31" i="15"/>
  <c r="F31" i="15"/>
  <c r="E31" i="15"/>
  <c r="O29" i="15"/>
  <c r="O31" i="15" s="1"/>
  <c r="K29" i="15"/>
  <c r="K31" i="15" s="1"/>
  <c r="Q26" i="15"/>
  <c r="N26" i="15"/>
  <c r="M26" i="15"/>
  <c r="J26" i="15"/>
  <c r="G26" i="15"/>
  <c r="F26" i="15"/>
  <c r="E26" i="15"/>
  <c r="L26" i="15"/>
  <c r="K24" i="15"/>
  <c r="K26" i="15" s="1"/>
  <c r="Q21" i="15"/>
  <c r="N21" i="15"/>
  <c r="M21" i="15"/>
  <c r="J21" i="15"/>
  <c r="I21" i="15"/>
  <c r="H21" i="15"/>
  <c r="G21" i="15"/>
  <c r="F21" i="15"/>
  <c r="L19" i="15"/>
  <c r="O19" i="15" s="1"/>
  <c r="O21" i="15" s="1"/>
  <c r="K19" i="15"/>
  <c r="K21" i="15" s="1"/>
  <c r="N36" i="15" l="1"/>
  <c r="N61" i="15" s="1"/>
  <c r="O46" i="15"/>
  <c r="P33" i="15"/>
  <c r="P35" i="15" s="1"/>
  <c r="M36" i="15"/>
  <c r="F70" i="15"/>
  <c r="M54" i="15"/>
  <c r="J36" i="15"/>
  <c r="G36" i="15"/>
  <c r="G61" i="15" s="1"/>
  <c r="H36" i="15"/>
  <c r="J54" i="15"/>
  <c r="O47" i="15"/>
  <c r="F36" i="15"/>
  <c r="F61" i="15" s="1"/>
  <c r="I36" i="15"/>
  <c r="Q36" i="15"/>
  <c r="Q61" i="15" s="1"/>
  <c r="F54" i="15"/>
  <c r="O44" i="15"/>
  <c r="K35" i="15"/>
  <c r="K36" i="15" s="1"/>
  <c r="G54" i="15"/>
  <c r="P57" i="15"/>
  <c r="P59" i="15" s="1"/>
  <c r="E54" i="15"/>
  <c r="P45" i="15"/>
  <c r="P44" i="15"/>
  <c r="P46" i="15"/>
  <c r="P39" i="15"/>
  <c r="P41" i="15" s="1"/>
  <c r="O33" i="15"/>
  <c r="O35" i="15" s="1"/>
  <c r="O36" i="15" s="1"/>
  <c r="P29" i="15"/>
  <c r="P31" i="15" s="1"/>
  <c r="L31" i="15"/>
  <c r="L36" i="15" s="1"/>
  <c r="E36" i="15"/>
  <c r="E61" i="15" s="1"/>
  <c r="E63" i="15" s="1"/>
  <c r="E64" i="15" s="1"/>
  <c r="O24" i="15"/>
  <c r="O26" i="15" s="1"/>
  <c r="P24" i="15"/>
  <c r="P26" i="15" s="1"/>
  <c r="P19" i="15"/>
  <c r="P21" i="15" s="1"/>
  <c r="L21" i="15"/>
  <c r="K54" i="15"/>
  <c r="L53" i="15"/>
  <c r="O39" i="15"/>
  <c r="O41" i="15" s="1"/>
  <c r="K41" i="15"/>
  <c r="L49" i="15"/>
  <c r="O57" i="15"/>
  <c r="O59" i="15" s="1"/>
  <c r="K59" i="15"/>
  <c r="P51" i="15"/>
  <c r="P53" i="15" s="1"/>
  <c r="L61" i="15" l="1"/>
  <c r="K61" i="15"/>
  <c r="I25" i="16"/>
  <c r="L30" i="6"/>
  <c r="O49" i="15"/>
  <c r="O54" i="15" s="1"/>
  <c r="O61" i="15" s="1"/>
  <c r="P36" i="15"/>
  <c r="P61" i="15" s="1"/>
  <c r="M61" i="15"/>
  <c r="P49" i="15"/>
  <c r="P54" i="15" s="1"/>
  <c r="L54" i="15"/>
  <c r="O64" i="15" l="1"/>
  <c r="B90" i="36"/>
  <c r="U954" i="4"/>
  <c r="U955" i="4"/>
  <c r="P64" i="15" l="1"/>
  <c r="M37" i="6"/>
  <c r="K37" i="6"/>
  <c r="U957" i="4"/>
  <c r="D32" i="36"/>
  <c r="D33" i="36"/>
  <c r="D34" i="36"/>
  <c r="D35" i="36"/>
  <c r="D36" i="36"/>
  <c r="D37" i="36"/>
  <c r="D31" i="36"/>
  <c r="D26" i="36"/>
  <c r="D27" i="36"/>
  <c r="D28" i="36"/>
  <c r="D29" i="36"/>
  <c r="D30" i="36"/>
  <c r="H4" i="37" l="1"/>
  <c r="G261" i="37"/>
  <c r="G260" i="37"/>
  <c r="G383" i="37"/>
  <c r="G259" i="37"/>
  <c r="G382" i="37"/>
  <c r="G94" i="37"/>
  <c r="G123" i="37"/>
  <c r="G39" i="37"/>
  <c r="G258" i="37"/>
  <c r="G381" i="37"/>
  <c r="G395" i="37"/>
  <c r="G285" i="37"/>
  <c r="G380" i="37"/>
  <c r="G69" i="37"/>
  <c r="G269" i="37"/>
  <c r="G257" i="37"/>
  <c r="G262" i="37"/>
  <c r="G379" i="37"/>
  <c r="G378" i="37"/>
  <c r="G256" i="37"/>
  <c r="G255" i="37"/>
  <c r="G254" i="37"/>
  <c r="G377" i="37"/>
  <c r="G253" i="37"/>
  <c r="G252" i="37"/>
  <c r="G376" i="37"/>
  <c r="G251" i="37"/>
  <c r="G250" i="37"/>
  <c r="G249" i="37"/>
  <c r="G248" i="37"/>
  <c r="G93" i="37"/>
  <c r="G375" i="37"/>
  <c r="G374" i="37"/>
  <c r="G59" i="37"/>
  <c r="G247" i="37"/>
  <c r="G373" i="37"/>
  <c r="G122" i="37"/>
  <c r="G246" i="37"/>
  <c r="G245" i="37"/>
  <c r="G121" i="37"/>
  <c r="G284" i="37"/>
  <c r="G244" i="37"/>
  <c r="G120" i="37"/>
  <c r="G243" i="37"/>
  <c r="G372" i="37"/>
  <c r="G425" i="37"/>
  <c r="G242" i="37"/>
  <c r="G241" i="37"/>
  <c r="G240" i="37"/>
  <c r="G371" i="37"/>
  <c r="G370" i="37"/>
  <c r="G119" i="37"/>
  <c r="G292" i="37"/>
  <c r="G283" i="37"/>
  <c r="G239" i="37"/>
  <c r="G291" i="37"/>
  <c r="G268" i="37"/>
  <c r="G267" i="37"/>
  <c r="G238" i="37"/>
  <c r="G424" i="37"/>
  <c r="G237" i="37"/>
  <c r="G236" i="37"/>
  <c r="G369" i="37"/>
  <c r="G368" i="37"/>
  <c r="G367" i="37"/>
  <c r="G97" i="37"/>
  <c r="G235" i="37"/>
  <c r="G366" i="37"/>
  <c r="G266" i="37"/>
  <c r="G423" i="37"/>
  <c r="G399" i="37"/>
  <c r="G92" i="37"/>
  <c r="G91" i="37"/>
  <c r="G422" i="37"/>
  <c r="G365" i="37"/>
  <c r="G234" i="37"/>
  <c r="G233" i="37"/>
  <c r="G364" i="37"/>
  <c r="G232" i="37"/>
  <c r="G421" i="37"/>
  <c r="G76" i="37"/>
  <c r="G231" i="37"/>
  <c r="G363" i="37"/>
  <c r="G420" i="37"/>
  <c r="G131" i="37"/>
  <c r="G90" i="37"/>
  <c r="G419" i="37"/>
  <c r="G362" i="37"/>
  <c r="G40" i="37"/>
  <c r="G230" i="37"/>
  <c r="G130" i="37"/>
  <c r="G229" i="37"/>
  <c r="G361" i="37"/>
  <c r="G89" i="37"/>
  <c r="G228" i="37"/>
  <c r="G135" i="37"/>
  <c r="G118" i="37"/>
  <c r="G117" i="37"/>
  <c r="G227" i="37"/>
  <c r="G360" i="37"/>
  <c r="G265" i="37"/>
  <c r="G226" i="37"/>
  <c r="G225" i="37"/>
  <c r="G359" i="37"/>
  <c r="G358" i="37"/>
  <c r="G357" i="37"/>
  <c r="G282" i="37"/>
  <c r="G356" i="37"/>
  <c r="G290" i="37"/>
  <c r="G224" i="37"/>
  <c r="G223" i="37"/>
  <c r="G222" i="37"/>
  <c r="G221" i="37"/>
  <c r="G355" i="37"/>
  <c r="G220" i="37"/>
  <c r="G219" i="37"/>
  <c r="G354" i="37"/>
  <c r="G218" i="37"/>
  <c r="G353" i="37"/>
  <c r="G96" i="37"/>
  <c r="G352" i="37"/>
  <c r="G125" i="37"/>
  <c r="G351" i="37"/>
  <c r="G217" i="37"/>
  <c r="G129" i="37"/>
  <c r="G216" i="37"/>
  <c r="G215" i="37"/>
  <c r="G214" i="37"/>
  <c r="G398" i="37"/>
  <c r="G350" i="37"/>
  <c r="G213" i="37"/>
  <c r="G281" i="37"/>
  <c r="G212" i="37"/>
  <c r="G280" i="37"/>
  <c r="G349" i="37"/>
  <c r="G348" i="37"/>
  <c r="G211" i="37"/>
  <c r="G210" i="37"/>
  <c r="G209" i="37"/>
  <c r="G347" i="37"/>
  <c r="G116" i="37"/>
  <c r="G346" i="37"/>
  <c r="G345" i="37"/>
  <c r="G344" i="37"/>
  <c r="G418" i="37"/>
  <c r="G343" i="37"/>
  <c r="G88" i="37"/>
  <c r="G208" i="37"/>
  <c r="G207" i="37"/>
  <c r="G115" i="37"/>
  <c r="G342" i="37"/>
  <c r="G341" i="37"/>
  <c r="G391" i="37"/>
  <c r="G340" i="37"/>
  <c r="G206" i="37"/>
  <c r="G128" i="37"/>
  <c r="G417" i="37"/>
  <c r="G114" i="37"/>
  <c r="G205" i="37"/>
  <c r="G60" i="37"/>
  <c r="G58" i="37"/>
  <c r="G339" i="37"/>
  <c r="G338" i="37"/>
  <c r="G204" i="37"/>
  <c r="G203" i="37"/>
  <c r="G202" i="37"/>
  <c r="G43" i="37"/>
  <c r="G337" i="37"/>
  <c r="G388" i="37"/>
  <c r="G336" i="37"/>
  <c r="G201" i="37"/>
  <c r="G335" i="37"/>
  <c r="G334" i="37"/>
  <c r="G416" i="37"/>
  <c r="G200" i="37"/>
  <c r="G87" i="37"/>
  <c r="G270" i="37"/>
  <c r="G333" i="37"/>
  <c r="G199" i="37"/>
  <c r="G198" i="37"/>
  <c r="G86" i="37"/>
  <c r="G197" i="37"/>
  <c r="G397" i="37"/>
  <c r="G196" i="37"/>
  <c r="G113" i="37"/>
  <c r="G332" i="37"/>
  <c r="G195" i="37"/>
  <c r="G331" i="37"/>
  <c r="G330" i="37"/>
  <c r="G329" i="37"/>
  <c r="G194" i="37"/>
  <c r="G415" i="37"/>
  <c r="G112" i="37"/>
  <c r="G279" i="37"/>
  <c r="G278" i="37"/>
  <c r="G193" i="37"/>
  <c r="G328" i="37"/>
  <c r="G192" i="37"/>
  <c r="G68" i="37"/>
  <c r="G327" i="37"/>
  <c r="G57" i="37"/>
  <c r="G191" i="37"/>
  <c r="G414" i="37"/>
  <c r="G42" i="37"/>
  <c r="G45" i="37"/>
  <c r="G75" i="37"/>
  <c r="G413" i="37"/>
  <c r="G190" i="37"/>
  <c r="G26" i="37"/>
  <c r="G289" i="37"/>
  <c r="G326" i="37"/>
  <c r="G36" i="37"/>
  <c r="G189" i="37"/>
  <c r="G38" i="37"/>
  <c r="G188" i="37"/>
  <c r="G325" i="37"/>
  <c r="G187" i="37"/>
  <c r="G186" i="37"/>
  <c r="G67" i="37"/>
  <c r="G185" i="37"/>
  <c r="G184" i="37"/>
  <c r="G74" i="37"/>
  <c r="G183" i="37"/>
  <c r="G85" i="37"/>
  <c r="G84" i="37"/>
  <c r="G48" i="37"/>
  <c r="G20" i="37"/>
  <c r="G35" i="37"/>
  <c r="G324" i="37"/>
  <c r="G100" i="37"/>
  <c r="G182" i="37"/>
  <c r="G412" i="37"/>
  <c r="G27" i="37"/>
  <c r="G181" i="37"/>
  <c r="G323" i="37"/>
  <c r="G277" i="37"/>
  <c r="G322" i="37"/>
  <c r="G127" i="37"/>
  <c r="G44" i="37"/>
  <c r="G264" i="37"/>
  <c r="G14" i="37"/>
  <c r="G12" i="37"/>
  <c r="G9" i="37"/>
  <c r="G7" i="37"/>
  <c r="G47" i="37"/>
  <c r="G321" i="37"/>
  <c r="G411" i="37"/>
  <c r="G320" i="37"/>
  <c r="G390" i="37"/>
  <c r="G124" i="37"/>
  <c r="G180" i="37"/>
  <c r="G56" i="37"/>
  <c r="G410" i="37"/>
  <c r="G319" i="37"/>
  <c r="G179" i="37"/>
  <c r="G178" i="37"/>
  <c r="G177" i="37"/>
  <c r="G176" i="37"/>
  <c r="G111" i="37"/>
  <c r="G396" i="37"/>
  <c r="G272" i="37"/>
  <c r="G110" i="37"/>
  <c r="G10" i="37"/>
  <c r="G83" i="37"/>
  <c r="G175" i="37"/>
  <c r="G318" i="37"/>
  <c r="G174" i="37"/>
  <c r="G55" i="37"/>
  <c r="G173" i="37"/>
  <c r="G172" i="37"/>
  <c r="G171" i="37"/>
  <c r="G317" i="37"/>
  <c r="G316" i="37"/>
  <c r="G276" i="37"/>
  <c r="G109" i="37"/>
  <c r="G170" i="37"/>
  <c r="G169" i="37"/>
  <c r="G275" i="37"/>
  <c r="G315" i="37"/>
  <c r="G168" i="37"/>
  <c r="G314" i="37"/>
  <c r="G313" i="37"/>
  <c r="G167" i="37"/>
  <c r="G312" i="37"/>
  <c r="G166" i="37"/>
  <c r="G134" i="37"/>
  <c r="G311" i="37"/>
  <c r="G82" i="37"/>
  <c r="G409" i="37"/>
  <c r="G165" i="37"/>
  <c r="G164" i="37"/>
  <c r="G108" i="37"/>
  <c r="G310" i="37"/>
  <c r="G163" i="37"/>
  <c r="G309" i="37"/>
  <c r="G81" i="37"/>
  <c r="G385" i="37"/>
  <c r="G162" i="37"/>
  <c r="G308" i="37"/>
  <c r="G161" i="37"/>
  <c r="G160" i="37"/>
  <c r="G307" i="37"/>
  <c r="G107" i="37"/>
  <c r="G274" i="37"/>
  <c r="G41" i="37"/>
  <c r="G159" i="37"/>
  <c r="G158" i="37"/>
  <c r="G157" i="37"/>
  <c r="G73" i="37"/>
  <c r="G156" i="37"/>
  <c r="G306" i="37"/>
  <c r="G305" i="37"/>
  <c r="G155" i="37"/>
  <c r="G46" i="37"/>
  <c r="G387" i="37"/>
  <c r="G106" i="37"/>
  <c r="G154" i="37"/>
  <c r="G153" i="37"/>
  <c r="G152" i="37"/>
  <c r="G304" i="37"/>
  <c r="G151" i="37"/>
  <c r="G105" i="37"/>
  <c r="G150" i="37"/>
  <c r="G303" i="37"/>
  <c r="G149" i="37"/>
  <c r="G148" i="37"/>
  <c r="G104" i="37"/>
  <c r="G103" i="37"/>
  <c r="G147" i="37"/>
  <c r="G146" i="37"/>
  <c r="G302" i="37"/>
  <c r="G145" i="37"/>
  <c r="G144" i="37"/>
  <c r="G29" i="37"/>
  <c r="G72" i="37"/>
  <c r="G301" i="37"/>
  <c r="G143" i="37"/>
  <c r="G300" i="37"/>
  <c r="G142" i="37"/>
  <c r="G141" i="37"/>
  <c r="G54" i="37"/>
  <c r="G408" i="37"/>
  <c r="G140" i="37"/>
  <c r="G80" i="37"/>
  <c r="G79" i="37"/>
  <c r="G299" i="37"/>
  <c r="G298" i="37"/>
  <c r="G407" i="37"/>
  <c r="G297" i="37"/>
  <c r="G273" i="37"/>
  <c r="G384" i="37"/>
  <c r="G99" i="37"/>
  <c r="G296" i="37"/>
  <c r="G53" i="37"/>
  <c r="G263" i="37"/>
  <c r="G139" i="37"/>
  <c r="G138" i="37"/>
  <c r="G101" i="37"/>
  <c r="G52" i="37"/>
  <c r="G98" i="37"/>
  <c r="G288" i="37"/>
  <c r="G66" i="37"/>
  <c r="G22" i="37"/>
  <c r="G19" i="37"/>
  <c r="G24" i="37"/>
  <c r="G23" i="37"/>
  <c r="G295" i="37"/>
  <c r="G102" i="37"/>
  <c r="G406" i="37"/>
  <c r="G11" i="37"/>
  <c r="G15" i="37"/>
  <c r="G405" i="37"/>
  <c r="G294" i="37"/>
  <c r="G51" i="37"/>
  <c r="G132" i="37"/>
  <c r="G34" i="37"/>
  <c r="G33" i="37"/>
  <c r="G4" i="37"/>
  <c r="G16" i="37"/>
  <c r="G21" i="37"/>
  <c r="G8" i="37"/>
  <c r="G61" i="37"/>
  <c r="G13" i="37"/>
  <c r="G65" i="37"/>
  <c r="G18" i="37"/>
  <c r="G49" i="37"/>
  <c r="G78" i="37"/>
  <c r="G64" i="37"/>
  <c r="G63" i="37"/>
  <c r="G17" i="37"/>
  <c r="G133" i="37"/>
  <c r="G293" i="37"/>
  <c r="G77" i="37"/>
  <c r="G71" i="37"/>
  <c r="G137" i="37"/>
  <c r="G6" i="37"/>
  <c r="G62" i="37"/>
  <c r="G70" i="37"/>
  <c r="G394" i="37"/>
  <c r="G402" i="37"/>
  <c r="G401" i="37"/>
  <c r="G400" i="37"/>
  <c r="G393" i="37"/>
  <c r="G389" i="37"/>
  <c r="G386" i="37"/>
  <c r="G392" i="37"/>
  <c r="G136" i="37"/>
  <c r="G95" i="37"/>
  <c r="G5" i="37"/>
  <c r="G126" i="37"/>
  <c r="G32" i="37"/>
  <c r="G50" i="37"/>
  <c r="G25" i="37"/>
  <c r="G28" i="37"/>
  <c r="G30" i="37"/>
  <c r="G37" i="37"/>
  <c r="G31" i="37"/>
  <c r="G404" i="37"/>
  <c r="G271" i="37"/>
  <c r="G287" i="37"/>
  <c r="G286" i="37"/>
  <c r="G403" i="37"/>
  <c r="G42" i="4" l="1"/>
  <c r="H8" i="27" l="1"/>
  <c r="O8" i="13"/>
  <c r="C43" i="2"/>
  <c r="F64" i="9" l="1"/>
  <c r="F66" i="9"/>
  <c r="F68" i="9"/>
  <c r="F65" i="9"/>
  <c r="F70" i="9"/>
  <c r="F69" i="9"/>
  <c r="F67" i="9"/>
  <c r="R28" i="14"/>
  <c r="R29" i="14"/>
  <c r="P44" i="14"/>
  <c r="M30" i="14" s="1"/>
  <c r="P30" i="14" s="1"/>
  <c r="M29" i="14" s="1"/>
  <c r="P29" i="14" s="1"/>
  <c r="M28" i="14" s="1"/>
  <c r="P28" i="14" s="1"/>
  <c r="H11" i="14" l="1"/>
  <c r="G11" i="14"/>
  <c r="F11" i="14"/>
  <c r="E11" i="14"/>
  <c r="C11" i="14"/>
  <c r="B11" i="14"/>
  <c r="B17" i="14"/>
  <c r="I109" i="14"/>
  <c r="H109" i="14"/>
  <c r="H111" i="14" s="1"/>
  <c r="G109" i="14"/>
  <c r="F109" i="14"/>
  <c r="G96" i="14"/>
  <c r="B16" i="14" s="1"/>
  <c r="C101" i="14"/>
  <c r="G7" i="14" s="1"/>
  <c r="C96" i="14"/>
  <c r="B7" i="14" s="1"/>
  <c r="D107" i="14" l="1"/>
  <c r="D109" i="14" s="1"/>
  <c r="J8" i="14" s="1"/>
  <c r="D111" i="14" l="1"/>
  <c r="C27" i="36"/>
  <c r="C28" i="36"/>
  <c r="C29" i="36"/>
  <c r="C30" i="36"/>
  <c r="C32" i="36"/>
  <c r="C33" i="36"/>
  <c r="C34" i="36"/>
  <c r="C35" i="36"/>
  <c r="C36" i="36"/>
  <c r="C26" i="36"/>
  <c r="E5" i="36"/>
  <c r="C31" i="36"/>
  <c r="E6" i="36"/>
  <c r="D68" i="36"/>
  <c r="D6" i="36" s="1"/>
  <c r="C82" i="36"/>
  <c r="H6" i="36" s="1"/>
  <c r="D38" i="36" l="1"/>
  <c r="D5" i="36" s="1"/>
  <c r="D7" i="36" s="1"/>
  <c r="C37" i="36"/>
  <c r="E5" i="38"/>
  <c r="C68" i="36"/>
  <c r="H7" i="36" s="1"/>
  <c r="E54" i="36"/>
  <c r="D54" i="36"/>
  <c r="C54" i="36"/>
  <c r="F53" i="36"/>
  <c r="F52" i="36"/>
  <c r="F51" i="36"/>
  <c r="F50" i="36"/>
  <c r="F49" i="36"/>
  <c r="F48" i="36"/>
  <c r="F47" i="36"/>
  <c r="F46" i="36"/>
  <c r="F45" i="36"/>
  <c r="I44" i="36"/>
  <c r="G42" i="36"/>
  <c r="B43" i="36" s="1"/>
  <c r="G43" i="36" s="1"/>
  <c r="B44" i="36" s="1"/>
  <c r="G44" i="36" s="1"/>
  <c r="B45" i="36" s="1"/>
  <c r="G45" i="36" s="1"/>
  <c r="B46" i="36" s="1"/>
  <c r="G46" i="36" s="1"/>
  <c r="B47" i="36" s="1"/>
  <c r="G47" i="36" s="1"/>
  <c r="B48" i="36" s="1"/>
  <c r="G48" i="36" s="1"/>
  <c r="B49" i="36" s="1"/>
  <c r="G49" i="36" s="1"/>
  <c r="B50" i="36" s="1"/>
  <c r="G50" i="36" s="1"/>
  <c r="B51" i="36" s="1"/>
  <c r="G51" i="36" s="1"/>
  <c r="B52" i="36" s="1"/>
  <c r="G52" i="36" s="1"/>
  <c r="B53" i="36" s="1"/>
  <c r="G53" i="36" s="1"/>
  <c r="M39" i="36"/>
  <c r="E21" i="36"/>
  <c r="G7" i="36" s="1"/>
  <c r="D21" i="36"/>
  <c r="L20" i="36"/>
  <c r="G9" i="36" s="1"/>
  <c r="J19" i="36"/>
  <c r="M18" i="36"/>
  <c r="K17" i="36"/>
  <c r="K20" i="36" s="1"/>
  <c r="D9" i="36" s="1"/>
  <c r="J17" i="36"/>
  <c r="J16" i="36"/>
  <c r="N16" i="36" s="1"/>
  <c r="I17" i="36" s="1"/>
  <c r="F16" i="36"/>
  <c r="B17" i="36" s="1"/>
  <c r="F17" i="36" s="1"/>
  <c r="B18" i="36" s="1"/>
  <c r="F18" i="36" s="1"/>
  <c r="B19" i="36" s="1"/>
  <c r="F19" i="36" s="1"/>
  <c r="B20" i="36" s="1"/>
  <c r="F20" i="36" s="1"/>
  <c r="B6" i="36"/>
  <c r="I5" i="36"/>
  <c r="F5" i="36"/>
  <c r="E7" i="36"/>
  <c r="O9" i="13" l="1"/>
  <c r="H9" i="27"/>
  <c r="B23" i="36"/>
  <c r="D23" i="36" s="1"/>
  <c r="B26" i="36"/>
  <c r="F26" i="36" s="1"/>
  <c r="B27" i="36" s="1"/>
  <c r="F27" i="36" s="1"/>
  <c r="B28" i="36" s="1"/>
  <c r="F28" i="36" s="1"/>
  <c r="B29" i="36" s="1"/>
  <c r="F29" i="36" s="1"/>
  <c r="B30" i="36" s="1"/>
  <c r="F30" i="36" s="1"/>
  <c r="B31" i="36" s="1"/>
  <c r="F31" i="36" s="1"/>
  <c r="B32" i="36" s="1"/>
  <c r="F32" i="36" s="1"/>
  <c r="B33" i="36" s="1"/>
  <c r="F33" i="36" s="1"/>
  <c r="B34" i="36" s="1"/>
  <c r="F34" i="36" s="1"/>
  <c r="B35" i="36" s="1"/>
  <c r="F35" i="36" s="1"/>
  <c r="B36" i="36" s="1"/>
  <c r="F36" i="36" s="1"/>
  <c r="B37" i="36" s="1"/>
  <c r="F37" i="36" s="1"/>
  <c r="I54" i="36"/>
  <c r="N17" i="36"/>
  <c r="I18" i="36" s="1"/>
  <c r="N18" i="36" s="1"/>
  <c r="I19" i="36" s="1"/>
  <c r="N19" i="36" s="1"/>
  <c r="I21" i="36" s="1"/>
  <c r="N22" i="36" s="1"/>
  <c r="I22" i="36" s="1"/>
  <c r="N23" i="36" s="1"/>
  <c r="I23" i="36" s="1"/>
  <c r="N24" i="36" s="1"/>
  <c r="I24" i="36" s="1"/>
  <c r="N36" i="36" s="1"/>
  <c r="F23" i="36"/>
  <c r="B24" i="36" s="1"/>
  <c r="B56" i="36"/>
  <c r="F6" i="36"/>
  <c r="F7" i="36" s="1"/>
  <c r="D13" i="41"/>
  <c r="C7" i="36" l="1"/>
  <c r="I6" i="36"/>
  <c r="I7" i="36" s="1"/>
  <c r="E56" i="36"/>
  <c r="G56" i="36" s="1"/>
  <c r="B57" i="36" s="1"/>
  <c r="E261" i="37"/>
  <c r="E260" i="37"/>
  <c r="E383" i="37"/>
  <c r="E259" i="37"/>
  <c r="E382" i="37"/>
  <c r="E94" i="37"/>
  <c r="E123" i="37"/>
  <c r="E39" i="37"/>
  <c r="E258" i="37"/>
  <c r="E381" i="37"/>
  <c r="E395" i="37"/>
  <c r="E285" i="37"/>
  <c r="E380" i="37"/>
  <c r="E69" i="37"/>
  <c r="E269" i="37"/>
  <c r="E257" i="37"/>
  <c r="E262" i="37"/>
  <c r="E379" i="37"/>
  <c r="E378" i="37"/>
  <c r="E256" i="37"/>
  <c r="E255" i="37"/>
  <c r="E254" i="37"/>
  <c r="E377" i="37"/>
  <c r="E253" i="37"/>
  <c r="E252" i="37"/>
  <c r="E376" i="37"/>
  <c r="E251" i="37"/>
  <c r="E250" i="37"/>
  <c r="E249" i="37"/>
  <c r="E248" i="37"/>
  <c r="E93" i="37"/>
  <c r="E375" i="37"/>
  <c r="E374" i="37"/>
  <c r="E59" i="37"/>
  <c r="E247" i="37"/>
  <c r="E373" i="37"/>
  <c r="E122" i="37"/>
  <c r="E246" i="37"/>
  <c r="E245" i="37"/>
  <c r="E121" i="37"/>
  <c r="E284" i="37"/>
  <c r="E244" i="37"/>
  <c r="E120" i="37"/>
  <c r="E243" i="37"/>
  <c r="E372" i="37"/>
  <c r="E425" i="37"/>
  <c r="E242" i="37"/>
  <c r="E241" i="37"/>
  <c r="E240" i="37"/>
  <c r="E371" i="37"/>
  <c r="E370" i="37"/>
  <c r="E119" i="37"/>
  <c r="E292" i="37"/>
  <c r="E283" i="37"/>
  <c r="E239" i="37"/>
  <c r="E291" i="37"/>
  <c r="E268" i="37"/>
  <c r="E267" i="37"/>
  <c r="E238" i="37"/>
  <c r="E424" i="37"/>
  <c r="E237" i="37"/>
  <c r="E236" i="37"/>
  <c r="E369" i="37"/>
  <c r="E368" i="37"/>
  <c r="E367" i="37"/>
  <c r="E97" i="37"/>
  <c r="E235" i="37"/>
  <c r="E366" i="37"/>
  <c r="E266" i="37"/>
  <c r="E423" i="37"/>
  <c r="E399" i="37"/>
  <c r="E92" i="37"/>
  <c r="E91" i="37"/>
  <c r="E422" i="37"/>
  <c r="E365" i="37"/>
  <c r="E234" i="37"/>
  <c r="E233" i="37"/>
  <c r="E364" i="37"/>
  <c r="E232" i="37"/>
  <c r="E421" i="37"/>
  <c r="E76" i="37"/>
  <c r="E231" i="37"/>
  <c r="E363" i="37"/>
  <c r="E420" i="37"/>
  <c r="E131" i="37"/>
  <c r="E90" i="37"/>
  <c r="E419" i="37"/>
  <c r="E362" i="37"/>
  <c r="E40" i="37"/>
  <c r="E230" i="37"/>
  <c r="E130" i="37"/>
  <c r="E229" i="37"/>
  <c r="E361" i="37"/>
  <c r="E89" i="37"/>
  <c r="E228" i="37"/>
  <c r="E135" i="37"/>
  <c r="E118" i="37"/>
  <c r="E117" i="37"/>
  <c r="E227" i="37"/>
  <c r="E360" i="37"/>
  <c r="E265" i="37"/>
  <c r="E226" i="37"/>
  <c r="E225" i="37"/>
  <c r="E359" i="37"/>
  <c r="E358" i="37"/>
  <c r="E357" i="37"/>
  <c r="E282" i="37"/>
  <c r="E356" i="37"/>
  <c r="E290" i="37"/>
  <c r="E224" i="37"/>
  <c r="E223" i="37"/>
  <c r="E222" i="37"/>
  <c r="E221" i="37"/>
  <c r="E355" i="37"/>
  <c r="E220" i="37"/>
  <c r="E219" i="37"/>
  <c r="E354" i="37"/>
  <c r="E218" i="37"/>
  <c r="E353" i="37"/>
  <c r="E96" i="37"/>
  <c r="E352" i="37"/>
  <c r="E125" i="37"/>
  <c r="E351" i="37"/>
  <c r="E217" i="37"/>
  <c r="E129" i="37"/>
  <c r="E216" i="37"/>
  <c r="E215" i="37"/>
  <c r="E214" i="37"/>
  <c r="E398" i="37"/>
  <c r="E350" i="37"/>
  <c r="E213" i="37"/>
  <c r="E281" i="37"/>
  <c r="E212" i="37"/>
  <c r="E280" i="37"/>
  <c r="E349" i="37"/>
  <c r="E348" i="37"/>
  <c r="E211" i="37"/>
  <c r="E210" i="37"/>
  <c r="E209" i="37"/>
  <c r="E347" i="37"/>
  <c r="E116" i="37"/>
  <c r="E346" i="37"/>
  <c r="E345" i="37"/>
  <c r="E344" i="37"/>
  <c r="E418" i="37"/>
  <c r="E343" i="37"/>
  <c r="E88" i="37"/>
  <c r="E208" i="37"/>
  <c r="E207" i="37"/>
  <c r="E115" i="37"/>
  <c r="E342" i="37"/>
  <c r="E341" i="37"/>
  <c r="E391" i="37"/>
  <c r="E340" i="37"/>
  <c r="E206" i="37"/>
  <c r="E128" i="37"/>
  <c r="E417" i="37"/>
  <c r="E114" i="37"/>
  <c r="E205" i="37"/>
  <c r="E60" i="37"/>
  <c r="E58" i="37"/>
  <c r="E339" i="37"/>
  <c r="E338" i="37"/>
  <c r="E204" i="37"/>
  <c r="E203" i="37"/>
  <c r="E202" i="37"/>
  <c r="E43" i="37"/>
  <c r="E337" i="37"/>
  <c r="E388" i="37"/>
  <c r="E336" i="37"/>
  <c r="E201" i="37"/>
  <c r="E335" i="37"/>
  <c r="E334" i="37"/>
  <c r="E416" i="37"/>
  <c r="E200" i="37"/>
  <c r="E87" i="37"/>
  <c r="E270" i="37"/>
  <c r="E333" i="37"/>
  <c r="E199" i="37"/>
  <c r="E198" i="37"/>
  <c r="E86" i="37"/>
  <c r="E197" i="37"/>
  <c r="E397" i="37"/>
  <c r="E196" i="37"/>
  <c r="E113" i="37"/>
  <c r="E332" i="37"/>
  <c r="E195" i="37"/>
  <c r="E331" i="37"/>
  <c r="E330" i="37"/>
  <c r="E329" i="37"/>
  <c r="E194" i="37"/>
  <c r="E415" i="37"/>
  <c r="E112" i="37"/>
  <c r="E279" i="37"/>
  <c r="E278" i="37"/>
  <c r="E193" i="37"/>
  <c r="E328" i="37"/>
  <c r="E192" i="37"/>
  <c r="E68" i="37"/>
  <c r="E327" i="37"/>
  <c r="E57" i="37"/>
  <c r="E191" i="37"/>
  <c r="E414" i="37"/>
  <c r="E42" i="37"/>
  <c r="E45" i="37"/>
  <c r="E75" i="37"/>
  <c r="E413" i="37"/>
  <c r="E190" i="37"/>
  <c r="E26" i="37"/>
  <c r="E289" i="37"/>
  <c r="E326" i="37"/>
  <c r="E36" i="37"/>
  <c r="E189" i="37"/>
  <c r="E38" i="37"/>
  <c r="E188" i="37"/>
  <c r="E325" i="37"/>
  <c r="E187" i="37"/>
  <c r="E186" i="37"/>
  <c r="E67" i="37"/>
  <c r="E185" i="37"/>
  <c r="E184" i="37"/>
  <c r="E74" i="37"/>
  <c r="E183" i="37"/>
  <c r="E85" i="37"/>
  <c r="E84" i="37"/>
  <c r="E48" i="37"/>
  <c r="E20" i="37"/>
  <c r="E35" i="37"/>
  <c r="E324" i="37"/>
  <c r="E412" i="37"/>
  <c r="E27" i="37"/>
  <c r="E181" i="37"/>
  <c r="E323" i="37"/>
  <c r="E277" i="37"/>
  <c r="E44" i="37"/>
  <c r="E264" i="37"/>
  <c r="E14" i="37"/>
  <c r="E12" i="37"/>
  <c r="E9" i="37"/>
  <c r="E7" i="37"/>
  <c r="E47" i="37"/>
  <c r="E321" i="37"/>
  <c r="E411" i="37"/>
  <c r="E320" i="37"/>
  <c r="E390" i="37"/>
  <c r="E124" i="37"/>
  <c r="E180" i="37"/>
  <c r="E56" i="37"/>
  <c r="E410" i="37"/>
  <c r="E319" i="37"/>
  <c r="E179" i="37"/>
  <c r="E178" i="37"/>
  <c r="E177" i="37"/>
  <c r="E176" i="37"/>
  <c r="E396" i="37"/>
  <c r="E272" i="37"/>
  <c r="E110" i="37"/>
  <c r="E10" i="37"/>
  <c r="E83" i="37"/>
  <c r="E175" i="37"/>
  <c r="E318" i="37"/>
  <c r="E174" i="37"/>
  <c r="E55" i="37"/>
  <c r="E173" i="37"/>
  <c r="E172" i="37"/>
  <c r="E171" i="37"/>
  <c r="E317" i="37"/>
  <c r="E316" i="37"/>
  <c r="E276" i="37"/>
  <c r="E109" i="37"/>
  <c r="E170" i="37"/>
  <c r="E169" i="37"/>
  <c r="E275" i="37"/>
  <c r="E315" i="37"/>
  <c r="E168" i="37"/>
  <c r="E314" i="37"/>
  <c r="E313" i="37"/>
  <c r="E167" i="37"/>
  <c r="E312" i="37"/>
  <c r="E166" i="37"/>
  <c r="E134" i="37"/>
  <c r="E311" i="37"/>
  <c r="E82" i="37"/>
  <c r="E409" i="37"/>
  <c r="E165" i="37"/>
  <c r="E164" i="37"/>
  <c r="E108" i="37"/>
  <c r="E310" i="37"/>
  <c r="E163" i="37"/>
  <c r="E309" i="37"/>
  <c r="E81" i="37"/>
  <c r="E385" i="37"/>
  <c r="E162" i="37"/>
  <c r="E308" i="37"/>
  <c r="E161" i="37"/>
  <c r="E160" i="37"/>
  <c r="E307" i="37"/>
  <c r="E107" i="37"/>
  <c r="E274" i="37"/>
  <c r="E41" i="37"/>
  <c r="E159" i="37"/>
  <c r="E158" i="37"/>
  <c r="E157" i="37"/>
  <c r="E73" i="37"/>
  <c r="E156" i="37"/>
  <c r="E306" i="37"/>
  <c r="E305" i="37"/>
  <c r="E155" i="37"/>
  <c r="E46" i="37"/>
  <c r="E387" i="37"/>
  <c r="E106" i="37"/>
  <c r="E154" i="37"/>
  <c r="E153" i="37"/>
  <c r="E152" i="37"/>
  <c r="E304" i="37"/>
  <c r="E151" i="37"/>
  <c r="E105" i="37"/>
  <c r="E150" i="37"/>
  <c r="E303" i="37"/>
  <c r="E149" i="37"/>
  <c r="E148" i="37"/>
  <c r="E104" i="37"/>
  <c r="E103" i="37"/>
  <c r="E147" i="37"/>
  <c r="E146" i="37"/>
  <c r="E302" i="37"/>
  <c r="E145" i="37"/>
  <c r="E144" i="37"/>
  <c r="E29" i="37"/>
  <c r="E72" i="37"/>
  <c r="E301" i="37"/>
  <c r="E143" i="37"/>
  <c r="E300" i="37"/>
  <c r="E142" i="37"/>
  <c r="E141" i="37"/>
  <c r="E408" i="37"/>
  <c r="E140" i="37"/>
  <c r="E80" i="37"/>
  <c r="E79" i="37"/>
  <c r="E299" i="37"/>
  <c r="E407" i="37"/>
  <c r="E273" i="37"/>
  <c r="E384" i="37"/>
  <c r="E99" i="37"/>
  <c r="E53" i="37"/>
  <c r="E263" i="37"/>
  <c r="E139" i="37"/>
  <c r="E138" i="37"/>
  <c r="E101" i="37"/>
  <c r="E288" i="37"/>
  <c r="E66" i="37"/>
  <c r="E22" i="37"/>
  <c r="E19" i="37"/>
  <c r="E24" i="37"/>
  <c r="E23" i="37"/>
  <c r="E295" i="37"/>
  <c r="E102" i="37"/>
  <c r="E406" i="37"/>
  <c r="E11" i="37"/>
  <c r="E15" i="37"/>
  <c r="E405" i="37"/>
  <c r="E294" i="37"/>
  <c r="E132" i="37"/>
  <c r="E33" i="37"/>
  <c r="E16" i="37"/>
  <c r="E21" i="37"/>
  <c r="E8" i="37"/>
  <c r="E61" i="37"/>
  <c r="E13" i="37"/>
  <c r="E65" i="37"/>
  <c r="E18" i="37"/>
  <c r="E49" i="37"/>
  <c r="E78" i="37"/>
  <c r="E64" i="37"/>
  <c r="E63" i="37"/>
  <c r="E17" i="37"/>
  <c r="E293" i="37"/>
  <c r="E77" i="37"/>
  <c r="E71" i="37"/>
  <c r="E137" i="37"/>
  <c r="E6" i="37"/>
  <c r="E62" i="37"/>
  <c r="E70" i="37"/>
  <c r="E394" i="37"/>
  <c r="E402" i="37"/>
  <c r="E401" i="37"/>
  <c r="E400" i="37"/>
  <c r="E393" i="37"/>
  <c r="E389" i="37"/>
  <c r="E386" i="37"/>
  <c r="E392" i="37"/>
  <c r="E136" i="37"/>
  <c r="E95" i="37"/>
  <c r="E5" i="37"/>
  <c r="E126" i="37"/>
  <c r="E32" i="37"/>
  <c r="E50" i="37"/>
  <c r="E25" i="37"/>
  <c r="E28" i="37"/>
  <c r="E30" i="37"/>
  <c r="E37" i="37"/>
  <c r="E31" i="37"/>
  <c r="E404" i="37"/>
  <c r="E271" i="37"/>
  <c r="E287" i="37"/>
  <c r="E286" i="37"/>
  <c r="E403" i="37"/>
  <c r="E57" i="36" l="1"/>
  <c r="G57" i="36" l="1"/>
  <c r="B58" i="36" s="1"/>
  <c r="H7" i="20"/>
  <c r="E58" i="36" l="1"/>
  <c r="F9" i="20"/>
  <c r="G7" i="20"/>
  <c r="G9" i="20" s="1"/>
  <c r="G10" i="20" s="1"/>
  <c r="H10" i="20" s="1"/>
  <c r="H32" i="20"/>
  <c r="I20" i="20"/>
  <c r="K19" i="20"/>
  <c r="K23" i="20" s="1"/>
  <c r="K24" i="20" s="1"/>
  <c r="K27" i="20" s="1"/>
  <c r="J10" i="20"/>
  <c r="I9" i="20"/>
  <c r="M10" i="20" s="1"/>
  <c r="K9" i="20"/>
  <c r="E32" i="20"/>
  <c r="C13" i="20"/>
  <c r="C23" i="20" s="1"/>
  <c r="C24" i="20" s="1"/>
  <c r="C9" i="20"/>
  <c r="L10" i="20" s="1"/>
  <c r="P44" i="12"/>
  <c r="F45" i="12" s="1"/>
  <c r="P45" i="12"/>
  <c r="F46" i="12" s="1"/>
  <c r="P46" i="12"/>
  <c r="F47" i="12" s="1"/>
  <c r="G47" i="12" s="1"/>
  <c r="P47" i="12"/>
  <c r="F48" i="12" s="1"/>
  <c r="P48" i="12"/>
  <c r="F49" i="12" s="1"/>
  <c r="P49" i="12"/>
  <c r="F50" i="12" s="1"/>
  <c r="P43" i="12"/>
  <c r="F44" i="12" s="1"/>
  <c r="P21" i="40"/>
  <c r="Q21" i="40"/>
  <c r="L21" i="40"/>
  <c r="E51" i="12"/>
  <c r="J19" i="20" l="1"/>
  <c r="K20" i="20"/>
  <c r="J20" i="20" s="1"/>
  <c r="G58" i="36"/>
  <c r="B59" i="36" s="1"/>
  <c r="K29" i="20"/>
  <c r="K32" i="20" s="1"/>
  <c r="K33" i="20" s="1"/>
  <c r="C19" i="20"/>
  <c r="C20" i="20" s="1"/>
  <c r="E59" i="36" l="1"/>
  <c r="M9" i="20"/>
  <c r="G59" i="36" l="1"/>
  <c r="B60" i="36" s="1"/>
  <c r="E60" i="36" l="1"/>
  <c r="G60" i="36" l="1"/>
  <c r="B61" i="36" s="1"/>
  <c r="E61" i="36" s="1"/>
  <c r="E11" i="39"/>
  <c r="F10" i="39"/>
  <c r="D9" i="39"/>
  <c r="D8" i="39"/>
  <c r="D7" i="39"/>
  <c r="G61" i="36" l="1"/>
  <c r="B62" i="36" s="1"/>
  <c r="F9" i="39"/>
  <c r="F8" i="39"/>
  <c r="D11" i="39"/>
  <c r="F7" i="39"/>
  <c r="E62" i="36" l="1"/>
  <c r="G62" i="36" s="1"/>
  <c r="B63" i="36" s="1"/>
  <c r="F11" i="39"/>
  <c r="E63" i="36" l="1"/>
  <c r="F12" i="9" l="1"/>
  <c r="F13" i="9" s="1"/>
  <c r="G488" i="4"/>
  <c r="C41" i="20"/>
  <c r="E7" i="20"/>
  <c r="C40" i="20"/>
  <c r="G63" i="36"/>
  <c r="B64" i="36" s="1"/>
  <c r="E64" i="36" s="1"/>
  <c r="A21" i="28"/>
  <c r="A19" i="28"/>
  <c r="A17" i="28"/>
  <c r="G364" i="4"/>
  <c r="H364" i="4" s="1"/>
  <c r="G363" i="4"/>
  <c r="H363" i="4" s="1"/>
  <c r="G362" i="4"/>
  <c r="H362" i="4" s="1"/>
  <c r="G361" i="4"/>
  <c r="H361" i="4" s="1"/>
  <c r="G360" i="4"/>
  <c r="H360" i="4" s="1"/>
  <c r="G359" i="4"/>
  <c r="H359" i="4" s="1"/>
  <c r="G358" i="4"/>
  <c r="H358" i="4" s="1"/>
  <c r="G349" i="4"/>
  <c r="H349" i="4" s="1"/>
  <c r="G350" i="4"/>
  <c r="H350" i="4" s="1"/>
  <c r="G351" i="4"/>
  <c r="H351" i="4" s="1"/>
  <c r="G352" i="4"/>
  <c r="H352" i="4" s="1"/>
  <c r="G353" i="4"/>
  <c r="H353" i="4" s="1"/>
  <c r="G354" i="4"/>
  <c r="H354" i="4" s="1"/>
  <c r="G348" i="4"/>
  <c r="H348" i="4" s="1"/>
  <c r="F38" i="9" l="1"/>
  <c r="F31" i="9"/>
  <c r="D7" i="20"/>
  <c r="D9" i="20" s="1"/>
  <c r="G64" i="36"/>
  <c r="B65" i="36" s="1"/>
  <c r="D40" i="3" l="1"/>
  <c r="E65" i="36"/>
  <c r="G65" i="36" l="1"/>
  <c r="B66" i="36" s="1"/>
  <c r="I26" i="12"/>
  <c r="I24" i="12"/>
  <c r="I23" i="12"/>
  <c r="I20" i="12"/>
  <c r="I19" i="12"/>
  <c r="I18" i="12"/>
  <c r="I17" i="12"/>
  <c r="I16" i="12"/>
  <c r="I15" i="12"/>
  <c r="I14" i="12"/>
  <c r="I13" i="12"/>
  <c r="I11" i="12"/>
  <c r="I10" i="12"/>
  <c r="G50" i="12"/>
  <c r="G49" i="12"/>
  <c r="G48" i="12"/>
  <c r="G46" i="12"/>
  <c r="G45" i="12"/>
  <c r="G44" i="12"/>
  <c r="G25" i="12"/>
  <c r="B23" i="12"/>
  <c r="G22" i="12"/>
  <c r="B19" i="12"/>
  <c r="B18" i="12"/>
  <c r="G12" i="12"/>
  <c r="N9" i="12"/>
  <c r="N8" i="12"/>
  <c r="N7" i="12"/>
  <c r="L41" i="13" l="1"/>
  <c r="E41" i="27"/>
  <c r="E66" i="36"/>
  <c r="G66" i="36" s="1"/>
  <c r="B67" i="36" s="1"/>
  <c r="N10" i="12"/>
  <c r="G51" i="12"/>
  <c r="G37" i="12" s="1"/>
  <c r="H28" i="12"/>
  <c r="H29" i="12" s="1"/>
  <c r="E67" i="36" l="1"/>
  <c r="F51" i="12"/>
  <c r="K23" i="40"/>
  <c r="L10" i="40"/>
  <c r="M10" i="40" s="1"/>
  <c r="L13" i="40"/>
  <c r="M13" i="40" s="1"/>
  <c r="L14" i="40"/>
  <c r="M14" i="40" s="1"/>
  <c r="L17" i="40"/>
  <c r="M17" i="40" s="1"/>
  <c r="L18" i="40"/>
  <c r="M18" i="40" s="1"/>
  <c r="M21" i="40"/>
  <c r="L6" i="40"/>
  <c r="J23" i="40"/>
  <c r="G23" i="40"/>
  <c r="M22" i="40"/>
  <c r="L20" i="40"/>
  <c r="M20" i="40" s="1"/>
  <c r="L19" i="40"/>
  <c r="M19" i="40" s="1"/>
  <c r="L16" i="40"/>
  <c r="M16" i="40" s="1"/>
  <c r="L15" i="40"/>
  <c r="M15" i="40" s="1"/>
  <c r="L12" i="40"/>
  <c r="M12" i="40" s="1"/>
  <c r="L11" i="40"/>
  <c r="M11" i="40" s="1"/>
  <c r="L8" i="40"/>
  <c r="M8" i="40" s="1"/>
  <c r="L7" i="40"/>
  <c r="M7" i="40" s="1"/>
  <c r="H7" i="40"/>
  <c r="H8" i="40" s="1"/>
  <c r="H9" i="40" s="1"/>
  <c r="H10" i="40" s="1"/>
  <c r="H11" i="40" s="1"/>
  <c r="H12" i="40" s="1"/>
  <c r="H13" i="40" s="1"/>
  <c r="H14" i="40" s="1"/>
  <c r="H15" i="40" s="1"/>
  <c r="H16" i="40" s="1"/>
  <c r="H17" i="40" s="1"/>
  <c r="H18" i="40" s="1"/>
  <c r="H19" i="40" s="1"/>
  <c r="H20" i="40" s="1"/>
  <c r="H21" i="40" s="1"/>
  <c r="G67" i="36" l="1"/>
  <c r="B70" i="36" s="1"/>
  <c r="L9" i="40"/>
  <c r="M9" i="40" s="1"/>
  <c r="M6" i="40"/>
  <c r="D70" i="36" l="1"/>
  <c r="E70" i="36" s="1"/>
  <c r="L23" i="40"/>
  <c r="M23" i="40"/>
  <c r="M25" i="40" s="1"/>
  <c r="G70" i="36" l="1"/>
  <c r="B71" i="36" s="1"/>
  <c r="F96" i="14"/>
  <c r="I96" i="14" l="1"/>
  <c r="F75" i="14" s="1"/>
  <c r="I75" i="14" s="1"/>
  <c r="B15" i="14"/>
  <c r="D71" i="36"/>
  <c r="E71" i="36" s="1"/>
  <c r="J149" i="14"/>
  <c r="I149" i="14"/>
  <c r="H149" i="14"/>
  <c r="G149" i="14"/>
  <c r="F149" i="14"/>
  <c r="D149" i="14"/>
  <c r="C149" i="14"/>
  <c r="B149" i="14"/>
  <c r="K148" i="14"/>
  <c r="E148" i="14"/>
  <c r="K147" i="14"/>
  <c r="E147" i="14"/>
  <c r="K146" i="14"/>
  <c r="E146" i="14"/>
  <c r="K145" i="14"/>
  <c r="E145" i="14"/>
  <c r="K144" i="14"/>
  <c r="E144" i="14"/>
  <c r="E143" i="14"/>
  <c r="E142" i="14"/>
  <c r="E141" i="14"/>
  <c r="I133" i="14"/>
  <c r="H133" i="14"/>
  <c r="G133" i="14"/>
  <c r="F133" i="14"/>
  <c r="D132" i="14"/>
  <c r="B132" i="14"/>
  <c r="J132" i="14" s="1"/>
  <c r="D131" i="14"/>
  <c r="C131" i="14"/>
  <c r="C133" i="14" s="1"/>
  <c r="B131" i="14"/>
  <c r="J131" i="14" s="1"/>
  <c r="H127" i="14"/>
  <c r="G127" i="14"/>
  <c r="F127" i="14"/>
  <c r="D127" i="14"/>
  <c r="C127" i="14"/>
  <c r="B127" i="14"/>
  <c r="H126" i="14"/>
  <c r="G126" i="14"/>
  <c r="F126" i="14"/>
  <c r="D126" i="14"/>
  <c r="C126" i="14"/>
  <c r="B126" i="14"/>
  <c r="H125" i="14"/>
  <c r="G125" i="14"/>
  <c r="F125" i="14"/>
  <c r="D125" i="14"/>
  <c r="C125" i="14"/>
  <c r="B125" i="14"/>
  <c r="H124" i="14"/>
  <c r="G124" i="14"/>
  <c r="F124" i="14"/>
  <c r="D124" i="14"/>
  <c r="C124" i="14"/>
  <c r="B124" i="14"/>
  <c r="H123" i="14"/>
  <c r="G123" i="14"/>
  <c r="E16" i="14" s="1"/>
  <c r="F123" i="14"/>
  <c r="D123" i="14"/>
  <c r="C123" i="14"/>
  <c r="B123" i="14"/>
  <c r="H122" i="14"/>
  <c r="G122" i="14"/>
  <c r="F122" i="14"/>
  <c r="D122" i="14"/>
  <c r="C122" i="14"/>
  <c r="B122" i="14"/>
  <c r="H121" i="14"/>
  <c r="G121" i="14"/>
  <c r="F121" i="14"/>
  <c r="D121" i="14"/>
  <c r="C121" i="14"/>
  <c r="B121" i="14"/>
  <c r="G120" i="14"/>
  <c r="F120" i="14"/>
  <c r="D120" i="14"/>
  <c r="C120" i="14"/>
  <c r="B120" i="14"/>
  <c r="B20" i="14"/>
  <c r="J16" i="14"/>
  <c r="J18" i="14" s="1"/>
  <c r="J21" i="14" s="1"/>
  <c r="H89" i="46" l="1"/>
  <c r="H91" i="46" s="1"/>
  <c r="H92" i="46" s="1"/>
  <c r="H95" i="46" s="1"/>
  <c r="H102" i="46" s="1"/>
  <c r="H88" i="4"/>
  <c r="O11" i="13"/>
  <c r="P11" i="13"/>
  <c r="L12" i="13"/>
  <c r="M12" i="13"/>
  <c r="M11" i="13"/>
  <c r="L11" i="13"/>
  <c r="E12" i="27"/>
  <c r="F12" i="27"/>
  <c r="H11" i="27"/>
  <c r="I11" i="27"/>
  <c r="E11" i="27"/>
  <c r="F11" i="27"/>
  <c r="H427" i="4"/>
  <c r="H41" i="4" s="1"/>
  <c r="G427" i="4"/>
  <c r="E120" i="14"/>
  <c r="B96" i="14" s="1"/>
  <c r="B6" i="14" s="1"/>
  <c r="B9" i="14" s="1"/>
  <c r="E121" i="14"/>
  <c r="B97" i="14" s="1"/>
  <c r="C6" i="14" s="1"/>
  <c r="C20" i="14"/>
  <c r="C17" i="14"/>
  <c r="E20" i="14"/>
  <c r="E17" i="14"/>
  <c r="G20" i="14"/>
  <c r="G17" i="14"/>
  <c r="I17" i="14"/>
  <c r="B18" i="14"/>
  <c r="D17" i="14"/>
  <c r="F20" i="14"/>
  <c r="F17" i="14"/>
  <c r="H20" i="14"/>
  <c r="H17" i="14"/>
  <c r="G71" i="36"/>
  <c r="B72" i="36" s="1"/>
  <c r="D72" i="36" s="1"/>
  <c r="G299" i="4"/>
  <c r="H475" i="4"/>
  <c r="H44" i="4" s="1"/>
  <c r="B19" i="28"/>
  <c r="B21" i="28"/>
  <c r="E26" i="12"/>
  <c r="G26" i="12" s="1"/>
  <c r="K149" i="14"/>
  <c r="E122" i="14"/>
  <c r="B98" i="14" s="1"/>
  <c r="D6" i="14" s="1"/>
  <c r="E124" i="14"/>
  <c r="B100" i="14" s="1"/>
  <c r="F6" i="14" s="1"/>
  <c r="F9" i="14" s="1"/>
  <c r="E126" i="14"/>
  <c r="B102" i="14" s="1"/>
  <c r="H6" i="14" s="1"/>
  <c r="H9" i="14" s="1"/>
  <c r="H12" i="14" s="1"/>
  <c r="E127" i="14"/>
  <c r="B103" i="14" s="1"/>
  <c r="I6" i="14" s="1"/>
  <c r="H128" i="14"/>
  <c r="H135" i="14" s="1"/>
  <c r="I121" i="14"/>
  <c r="F97" i="14" s="1"/>
  <c r="C15" i="14" s="1"/>
  <c r="I123" i="14"/>
  <c r="F99" i="14" s="1"/>
  <c r="E15" i="14" s="1"/>
  <c r="J120" i="14"/>
  <c r="D128" i="14"/>
  <c r="E149" i="14"/>
  <c r="J121" i="14"/>
  <c r="J123" i="14"/>
  <c r="J125" i="14"/>
  <c r="J127" i="14"/>
  <c r="D133" i="14"/>
  <c r="C128" i="14"/>
  <c r="C135" i="14" s="1"/>
  <c r="G128" i="14"/>
  <c r="G135" i="14" s="1"/>
  <c r="I122" i="14"/>
  <c r="F98" i="14" s="1"/>
  <c r="D15" i="14" s="1"/>
  <c r="I124" i="14"/>
  <c r="F100" i="14" s="1"/>
  <c r="F15" i="14" s="1"/>
  <c r="I126" i="14"/>
  <c r="F102" i="14" s="1"/>
  <c r="H15" i="14" s="1"/>
  <c r="I127" i="14"/>
  <c r="F103" i="14" s="1"/>
  <c r="I15" i="14" s="1"/>
  <c r="J133" i="14"/>
  <c r="J122" i="14"/>
  <c r="J124" i="14"/>
  <c r="J126" i="14"/>
  <c r="F128" i="14"/>
  <c r="F135" i="14" s="1"/>
  <c r="E123" i="14"/>
  <c r="B99" i="14" s="1"/>
  <c r="E6" i="14" s="1"/>
  <c r="E125" i="14"/>
  <c r="B101" i="14" s="1"/>
  <c r="G6" i="14" s="1"/>
  <c r="I125" i="14"/>
  <c r="F101" i="14" s="1"/>
  <c r="G15" i="14" s="1"/>
  <c r="E131" i="14"/>
  <c r="B107" i="14" s="1"/>
  <c r="B133" i="14"/>
  <c r="B128" i="14"/>
  <c r="E132" i="14"/>
  <c r="G519" i="4"/>
  <c r="G526" i="4"/>
  <c r="G520" i="4"/>
  <c r="C11" i="10" l="1"/>
  <c r="G18" i="1"/>
  <c r="C10" i="7"/>
  <c r="E10" i="3" s="1"/>
  <c r="H17" i="20"/>
  <c r="I21" i="12"/>
  <c r="H112" i="46"/>
  <c r="H586" i="46"/>
  <c r="H186" i="46"/>
  <c r="H188" i="46" s="1"/>
  <c r="H194" i="46" s="1"/>
  <c r="G632" i="4"/>
  <c r="D23" i="14"/>
  <c r="B23" i="14"/>
  <c r="C18" i="14"/>
  <c r="I23" i="14"/>
  <c r="E18" i="14"/>
  <c r="I18" i="14"/>
  <c r="I21" i="14" s="1"/>
  <c r="I9" i="14"/>
  <c r="I12" i="14" s="1"/>
  <c r="G18" i="14"/>
  <c r="G21" i="14" s="1"/>
  <c r="G23" i="14"/>
  <c r="F18" i="14"/>
  <c r="F21" i="14" s="1"/>
  <c r="C23" i="14"/>
  <c r="H18" i="14"/>
  <c r="H24" i="14" s="1"/>
  <c r="D18" i="14"/>
  <c r="H23" i="14"/>
  <c r="F23" i="14"/>
  <c r="E23" i="14"/>
  <c r="G9" i="14"/>
  <c r="G12" i="14" s="1"/>
  <c r="E14" i="12"/>
  <c r="G14" i="12" s="1"/>
  <c r="F51" i="9"/>
  <c r="F60" i="9" s="1"/>
  <c r="E11" i="12"/>
  <c r="G11" i="12" s="1"/>
  <c r="F62" i="9"/>
  <c r="L14" i="13"/>
  <c r="E14" i="27"/>
  <c r="I101" i="14"/>
  <c r="F80" i="14" s="1"/>
  <c r="I80" i="14" s="1"/>
  <c r="I103" i="14"/>
  <c r="F82" i="14" s="1"/>
  <c r="I82" i="14" s="1"/>
  <c r="C9" i="14"/>
  <c r="C12" i="14" s="1"/>
  <c r="J107" i="14"/>
  <c r="E107" i="14"/>
  <c r="K132" i="14"/>
  <c r="B108" i="14"/>
  <c r="E72" i="36"/>
  <c r="G72" i="36" s="1"/>
  <c r="B73" i="36" s="1"/>
  <c r="D73" i="36" s="1"/>
  <c r="E73" i="36" s="1"/>
  <c r="D135" i="14"/>
  <c r="B17" i="28"/>
  <c r="B24" i="14"/>
  <c r="K120" i="14"/>
  <c r="E103" i="14"/>
  <c r="K123" i="14"/>
  <c r="K124" i="14"/>
  <c r="I100" i="14"/>
  <c r="F79" i="14" s="1"/>
  <c r="I79" i="14" s="1"/>
  <c r="E102" i="14"/>
  <c r="B81" i="14" s="1"/>
  <c r="E81" i="14" s="1"/>
  <c r="E101" i="14"/>
  <c r="B80" i="14" s="1"/>
  <c r="E80" i="14" s="1"/>
  <c r="K126" i="14"/>
  <c r="I102" i="14"/>
  <c r="F81" i="14" s="1"/>
  <c r="I81" i="14" s="1"/>
  <c r="K121" i="14"/>
  <c r="K122" i="14"/>
  <c r="E96" i="14"/>
  <c r="B75" i="14" s="1"/>
  <c r="J96" i="14"/>
  <c r="E100" i="14"/>
  <c r="B79" i="14" s="1"/>
  <c r="K127" i="14"/>
  <c r="B135" i="14"/>
  <c r="I128" i="14"/>
  <c r="I135" i="14" s="1"/>
  <c r="B12" i="14"/>
  <c r="J128" i="14"/>
  <c r="J135" i="14" s="1"/>
  <c r="F12" i="14"/>
  <c r="B21" i="14"/>
  <c r="K125" i="14"/>
  <c r="K131" i="14"/>
  <c r="E133" i="14"/>
  <c r="E128" i="14"/>
  <c r="E1022" i="4"/>
  <c r="E1020" i="4"/>
  <c r="E1016" i="4"/>
  <c r="E1015" i="4"/>
  <c r="E1011" i="4"/>
  <c r="E1010" i="4"/>
  <c r="E1006" i="4"/>
  <c r="E1005" i="4"/>
  <c r="E1001" i="4"/>
  <c r="E1000" i="4"/>
  <c r="H735" i="4"/>
  <c r="G735" i="4"/>
  <c r="H734" i="4"/>
  <c r="G734" i="4"/>
  <c r="H727" i="4"/>
  <c r="G727" i="4"/>
  <c r="H726" i="4"/>
  <c r="G726" i="4"/>
  <c r="H725" i="4"/>
  <c r="G725" i="4"/>
  <c r="H724" i="4"/>
  <c r="G724" i="4"/>
  <c r="H718" i="4"/>
  <c r="G713" i="4" s="1"/>
  <c r="H728" i="4"/>
  <c r="G728" i="4"/>
  <c r="H702" i="4"/>
  <c r="G702" i="4"/>
  <c r="G682" i="4"/>
  <c r="H681" i="4"/>
  <c r="G681" i="4"/>
  <c r="H680" i="4"/>
  <c r="H644" i="4"/>
  <c r="H646" i="4" s="1"/>
  <c r="H643" i="4"/>
  <c r="H650" i="4" s="1"/>
  <c r="H679" i="4" s="1"/>
  <c r="H694" i="4" s="1"/>
  <c r="G643" i="4"/>
  <c r="G650" i="4" s="1"/>
  <c r="G679" i="4" s="1"/>
  <c r="G694" i="4" s="1"/>
  <c r="G618" i="4"/>
  <c r="H585" i="4"/>
  <c r="G585" i="4"/>
  <c r="H567" i="4"/>
  <c r="H561" i="4"/>
  <c r="H593" i="4"/>
  <c r="H514" i="4" s="1"/>
  <c r="G593" i="4"/>
  <c r="G514" i="4" s="1"/>
  <c r="H529" i="4"/>
  <c r="H512" i="4"/>
  <c r="H87" i="4" s="1"/>
  <c r="C12" i="10" s="1"/>
  <c r="H508" i="4"/>
  <c r="H497" i="4"/>
  <c r="H493" i="4"/>
  <c r="H535" i="4"/>
  <c r="G535" i="4"/>
  <c r="H480" i="4"/>
  <c r="H45" i="4" s="1"/>
  <c r="H451" i="4"/>
  <c r="H432" i="4"/>
  <c r="H42" i="4" s="1"/>
  <c r="H405" i="4"/>
  <c r="H399" i="4"/>
  <c r="H36" i="4" s="1"/>
  <c r="H395" i="4"/>
  <c r="H462" i="4" s="1"/>
  <c r="G395" i="4"/>
  <c r="G462" i="4" s="1"/>
  <c r="H391" i="4"/>
  <c r="H35" i="4" s="1"/>
  <c r="H370" i="4"/>
  <c r="G370" i="4"/>
  <c r="H302" i="4"/>
  <c r="H23" i="4" s="1"/>
  <c r="H299" i="4"/>
  <c r="H22" i="4" s="1"/>
  <c r="H282" i="4"/>
  <c r="H20" i="4" s="1"/>
  <c r="H229" i="4"/>
  <c r="H12" i="4" s="1"/>
  <c r="H222" i="4"/>
  <c r="H275" i="4" s="1"/>
  <c r="G222" i="4"/>
  <c r="G275" i="4" s="1"/>
  <c r="H183" i="4"/>
  <c r="H175" i="4"/>
  <c r="H177" i="4" s="1"/>
  <c r="G172" i="4" s="1"/>
  <c r="G175" i="4" s="1"/>
  <c r="G177" i="4" s="1"/>
  <c r="H167" i="4"/>
  <c r="H169" i="4" s="1"/>
  <c r="G165" i="4" s="1"/>
  <c r="G167" i="4" s="1"/>
  <c r="G169" i="4" s="1"/>
  <c r="H160" i="4"/>
  <c r="H162" i="4" s="1"/>
  <c r="G158" i="4" s="1"/>
  <c r="H153" i="4"/>
  <c r="H155" i="4" s="1"/>
  <c r="G151" i="4" s="1"/>
  <c r="H147" i="4"/>
  <c r="H143" i="4"/>
  <c r="G143" i="4"/>
  <c r="F139" i="4"/>
  <c r="F218" i="4" s="1"/>
  <c r="F138" i="4"/>
  <c r="F217" i="4" s="1"/>
  <c r="F136" i="4"/>
  <c r="F215" i="4" s="1"/>
  <c r="F133" i="4"/>
  <c r="F212" i="4" s="1"/>
  <c r="F132" i="4"/>
  <c r="F211" i="4" s="1"/>
  <c r="B209" i="4"/>
  <c r="B131" i="4"/>
  <c r="B208" i="4" s="1"/>
  <c r="B1009" i="4" s="1"/>
  <c r="B130" i="4"/>
  <c r="B207" i="4" s="1"/>
  <c r="F129" i="4"/>
  <c r="F208" i="4" s="1"/>
  <c r="F128" i="4"/>
  <c r="F207" i="4" s="1"/>
  <c r="B128" i="4"/>
  <c r="B205" i="4" s="1"/>
  <c r="B127" i="4"/>
  <c r="B204" i="4" s="1"/>
  <c r="B126" i="4"/>
  <c r="B203" i="4" s="1"/>
  <c r="F125" i="4"/>
  <c r="F204" i="4" s="1"/>
  <c r="F124" i="4"/>
  <c r="F203" i="4" s="1"/>
  <c r="B122" i="4"/>
  <c r="B199" i="4" s="1"/>
  <c r="F121" i="4"/>
  <c r="F200" i="4" s="1"/>
  <c r="B121" i="4"/>
  <c r="B198" i="4" s="1"/>
  <c r="F120" i="4"/>
  <c r="F199" i="4" s="1"/>
  <c r="B120" i="4"/>
  <c r="B197" i="4" s="1"/>
  <c r="B118" i="4"/>
  <c r="B196" i="4" s="1"/>
  <c r="H100" i="4"/>
  <c r="H78" i="4"/>
  <c r="G78" i="4"/>
  <c r="H77" i="4"/>
  <c r="G77" i="4"/>
  <c r="H195" i="46" l="1"/>
  <c r="G182" i="46"/>
  <c r="G185" i="46" s="1"/>
  <c r="H589" i="46"/>
  <c r="H115" i="46" s="1"/>
  <c r="H588" i="46"/>
  <c r="H114" i="46" s="1"/>
  <c r="G160" i="4"/>
  <c r="G162" i="4" s="1"/>
  <c r="C6" i="34" s="1"/>
  <c r="H572" i="4"/>
  <c r="G153" i="4"/>
  <c r="G155" i="4" s="1"/>
  <c r="G145" i="4"/>
  <c r="H314" i="4"/>
  <c r="G63" i="9"/>
  <c r="H86" i="4"/>
  <c r="H8" i="20"/>
  <c r="H9" i="20" s="1"/>
  <c r="H80" i="4"/>
  <c r="I8" i="27"/>
  <c r="B22" i="10"/>
  <c r="R42" i="4"/>
  <c r="I24" i="14"/>
  <c r="F24" i="14"/>
  <c r="H18" i="20"/>
  <c r="G17" i="9"/>
  <c r="H21" i="14"/>
  <c r="H25" i="14" s="1"/>
  <c r="B82" i="14"/>
  <c r="E82" i="14" s="1"/>
  <c r="E75" i="14"/>
  <c r="J75" i="14"/>
  <c r="G24" i="14"/>
  <c r="E79" i="14"/>
  <c r="K79" i="14" s="1"/>
  <c r="J79" i="14"/>
  <c r="G25" i="14"/>
  <c r="J80" i="14"/>
  <c r="K80" i="14"/>
  <c r="G572" i="4"/>
  <c r="E15" i="12"/>
  <c r="G15" i="12" s="1"/>
  <c r="F61" i="9"/>
  <c r="O41" i="13"/>
  <c r="D21" i="13" s="1"/>
  <c r="F21" i="13" s="1"/>
  <c r="P8" i="13"/>
  <c r="I14" i="27"/>
  <c r="P14" i="13"/>
  <c r="M9" i="13"/>
  <c r="F10" i="27"/>
  <c r="M10" i="13"/>
  <c r="M14" i="13"/>
  <c r="H41" i="27"/>
  <c r="J40" i="27" s="1"/>
  <c r="C988" i="46" s="1"/>
  <c r="E988" i="46" s="1"/>
  <c r="F14" i="27"/>
  <c r="F9" i="27"/>
  <c r="J103" i="14"/>
  <c r="D22" i="2"/>
  <c r="D37" i="2"/>
  <c r="D45" i="2"/>
  <c r="D46" i="2"/>
  <c r="J101" i="14"/>
  <c r="K103" i="14"/>
  <c r="C24" i="14"/>
  <c r="K101" i="14"/>
  <c r="D23" i="2"/>
  <c r="D43" i="2"/>
  <c r="B21" i="7"/>
  <c r="D19" i="3" s="1"/>
  <c r="D14" i="2"/>
  <c r="D24" i="2"/>
  <c r="D21" i="2"/>
  <c r="D25" i="2"/>
  <c r="H16" i="20"/>
  <c r="G16" i="1"/>
  <c r="H657" i="4"/>
  <c r="D42" i="2"/>
  <c r="H653" i="4"/>
  <c r="H652" i="4"/>
  <c r="H654" i="4"/>
  <c r="H658" i="4"/>
  <c r="I25" i="14"/>
  <c r="F25" i="14"/>
  <c r="K133" i="14"/>
  <c r="K107" i="14"/>
  <c r="B86" i="14" s="1"/>
  <c r="H21" i="20"/>
  <c r="E108" i="14"/>
  <c r="J108" i="14"/>
  <c r="J109" i="14" s="1"/>
  <c r="B109" i="14"/>
  <c r="J6" i="14" s="1"/>
  <c r="H22" i="20"/>
  <c r="G11" i="1"/>
  <c r="G73" i="36"/>
  <c r="B74" i="36" s="1"/>
  <c r="D74" i="36" s="1"/>
  <c r="E74" i="36" s="1"/>
  <c r="H711" i="4"/>
  <c r="H721" i="4" s="1"/>
  <c r="G633" i="4"/>
  <c r="K100" i="14"/>
  <c r="J100" i="14"/>
  <c r="K128" i="14"/>
  <c r="E24" i="12"/>
  <c r="G24" i="12" s="1"/>
  <c r="E18" i="12"/>
  <c r="G18" i="12" s="1"/>
  <c r="E20" i="12"/>
  <c r="G20" i="12" s="1"/>
  <c r="E17" i="12"/>
  <c r="G17" i="12" s="1"/>
  <c r="E19" i="12"/>
  <c r="G19" i="12" s="1"/>
  <c r="E13" i="12"/>
  <c r="G13" i="12" s="1"/>
  <c r="E10" i="12"/>
  <c r="G10" i="12" s="1"/>
  <c r="E16" i="12"/>
  <c r="G16" i="12" s="1"/>
  <c r="H615" i="4"/>
  <c r="J99" i="14"/>
  <c r="K96" i="14"/>
  <c r="J102" i="14"/>
  <c r="J98" i="14"/>
  <c r="B104" i="14"/>
  <c r="J97" i="14"/>
  <c r="E97" i="14"/>
  <c r="B76" i="14" s="1"/>
  <c r="K102" i="14"/>
  <c r="F104" i="14"/>
  <c r="F111" i="14" s="1"/>
  <c r="B25" i="14"/>
  <c r="E135" i="14"/>
  <c r="H633" i="4"/>
  <c r="G497" i="4"/>
  <c r="G499" i="4" s="1"/>
  <c r="F15" i="9" s="1"/>
  <c r="F49" i="9" s="1"/>
  <c r="F57" i="9" s="1"/>
  <c r="H568" i="4"/>
  <c r="H625" i="4"/>
  <c r="H729" i="4"/>
  <c r="H503" i="4"/>
  <c r="G729" i="4"/>
  <c r="H499" i="4"/>
  <c r="G615" i="4"/>
  <c r="H619" i="4"/>
  <c r="G229" i="4"/>
  <c r="G475" i="4"/>
  <c r="G44" i="4" s="1"/>
  <c r="G13" i="4"/>
  <c r="G22" i="4"/>
  <c r="G302" i="4"/>
  <c r="G23" i="4" s="1"/>
  <c r="G41" i="4"/>
  <c r="G493" i="4"/>
  <c r="G529" i="4"/>
  <c r="G567" i="4"/>
  <c r="G282" i="4"/>
  <c r="G20" i="4" s="1"/>
  <c r="G21" i="4"/>
  <c r="G391" i="4"/>
  <c r="G680" i="4"/>
  <c r="G683" i="4" s="1"/>
  <c r="G43" i="4"/>
  <c r="G512" i="4"/>
  <c r="G644" i="4"/>
  <c r="G646" i="4" s="1"/>
  <c r="H682" i="4"/>
  <c r="H683" i="4" s="1"/>
  <c r="P16" i="13"/>
  <c r="G619" i="4"/>
  <c r="G625" i="4"/>
  <c r="H697" i="4"/>
  <c r="G718" i="4"/>
  <c r="H412" i="4"/>
  <c r="H720" i="4"/>
  <c r="H32" i="46" l="1"/>
  <c r="H33" i="46" s="1"/>
  <c r="H48" i="46" s="1"/>
  <c r="T195" i="46"/>
  <c r="T194" i="46" s="1"/>
  <c r="B32" i="10"/>
  <c r="H576" i="4"/>
  <c r="H581" i="4" s="1"/>
  <c r="H104" i="4" s="1"/>
  <c r="B19" i="10"/>
  <c r="B28" i="10"/>
  <c r="G147" i="4"/>
  <c r="G30" i="4" s="1"/>
  <c r="B24" i="10"/>
  <c r="AW57" i="10"/>
  <c r="G576" i="4"/>
  <c r="G581" i="4" s="1"/>
  <c r="G104" i="4" s="1"/>
  <c r="G108" i="4" s="1"/>
  <c r="G185" i="4" s="1"/>
  <c r="G19" i="9"/>
  <c r="G50" i="9" s="1"/>
  <c r="H85" i="4"/>
  <c r="G15" i="1" s="1"/>
  <c r="H89" i="4"/>
  <c r="G19" i="1" s="1"/>
  <c r="G15" i="9"/>
  <c r="G49" i="9" s="1"/>
  <c r="H83" i="4"/>
  <c r="G508" i="4"/>
  <c r="G86" i="4" s="1"/>
  <c r="E23" i="12"/>
  <c r="G23" i="12" s="1"/>
  <c r="R44" i="4"/>
  <c r="B25" i="10"/>
  <c r="B20" i="10"/>
  <c r="B23" i="7"/>
  <c r="D21" i="3" s="1"/>
  <c r="R43" i="4"/>
  <c r="L10" i="13"/>
  <c r="B27" i="7"/>
  <c r="D25" i="3" s="1"/>
  <c r="R41" i="4"/>
  <c r="J86" i="14"/>
  <c r="E86" i="14"/>
  <c r="E76" i="14"/>
  <c r="J23" i="14"/>
  <c r="K75" i="14"/>
  <c r="E18" i="20"/>
  <c r="F17" i="9"/>
  <c r="L40" i="27"/>
  <c r="C987" i="4"/>
  <c r="E987" i="4" s="1"/>
  <c r="O16" i="13"/>
  <c r="M37" i="13"/>
  <c r="E19" i="13" s="1"/>
  <c r="P49" i="13"/>
  <c r="M45" i="13"/>
  <c r="H33" i="27"/>
  <c r="O33" i="13"/>
  <c r="P17" i="13"/>
  <c r="I16" i="27"/>
  <c r="I17" i="27" s="1"/>
  <c r="H16" i="27"/>
  <c r="E10" i="27"/>
  <c r="G10" i="1"/>
  <c r="G12" i="1" s="1"/>
  <c r="I49" i="27"/>
  <c r="F45" i="27"/>
  <c r="F37" i="27"/>
  <c r="K36" i="27" s="1"/>
  <c r="D986" i="46" s="1"/>
  <c r="D31" i="2"/>
  <c r="B18" i="7"/>
  <c r="D17" i="3" s="1"/>
  <c r="B31" i="7"/>
  <c r="D28" i="3" s="1"/>
  <c r="H243" i="4"/>
  <c r="C22" i="2"/>
  <c r="D36" i="2"/>
  <c r="C15" i="2"/>
  <c r="S13" i="4"/>
  <c r="B24" i="7"/>
  <c r="D22" i="3" s="1"/>
  <c r="S44" i="4"/>
  <c r="B19" i="7"/>
  <c r="D18" i="3" s="1"/>
  <c r="S22" i="4"/>
  <c r="G79" i="4"/>
  <c r="C42" i="2"/>
  <c r="C25" i="2"/>
  <c r="C45" i="2"/>
  <c r="C11" i="7"/>
  <c r="E11" i="3" s="1"/>
  <c r="G17" i="1"/>
  <c r="D15" i="2"/>
  <c r="C23" i="2"/>
  <c r="H659" i="4"/>
  <c r="H660" i="4" s="1"/>
  <c r="D44" i="2"/>
  <c r="D47" i="2" s="1"/>
  <c r="G659" i="4"/>
  <c r="C44" i="2"/>
  <c r="C24" i="2"/>
  <c r="H655" i="4"/>
  <c r="H414" i="4"/>
  <c r="H37" i="4" s="1"/>
  <c r="G12" i="4"/>
  <c r="C14" i="2" s="1"/>
  <c r="G653" i="4"/>
  <c r="AW56" i="7"/>
  <c r="G35" i="4"/>
  <c r="C8" i="34"/>
  <c r="G704" i="4"/>
  <c r="G711" i="4" s="1"/>
  <c r="G721" i="4" s="1"/>
  <c r="K135" i="14"/>
  <c r="E22" i="20"/>
  <c r="B111" i="14"/>
  <c r="K108" i="14"/>
  <c r="E109" i="14"/>
  <c r="G87" i="4"/>
  <c r="E21" i="20"/>
  <c r="G80" i="4"/>
  <c r="E8" i="20"/>
  <c r="E9" i="20" s="1"/>
  <c r="H81" i="4"/>
  <c r="C109" i="14"/>
  <c r="G74" i="36"/>
  <c r="B75" i="36" s="1"/>
  <c r="D75" i="36" s="1"/>
  <c r="H722" i="4"/>
  <c r="I9" i="12"/>
  <c r="I28" i="12" s="1"/>
  <c r="I29" i="12" s="1"/>
  <c r="I32" i="12" s="1"/>
  <c r="I35" i="12" s="1"/>
  <c r="G654" i="4"/>
  <c r="G658" i="4"/>
  <c r="G83" i="4"/>
  <c r="E9" i="12"/>
  <c r="G9" i="12" s="1"/>
  <c r="J104" i="14"/>
  <c r="J111" i="14" s="1"/>
  <c r="G568" i="4"/>
  <c r="G89" i="4" s="1"/>
  <c r="G720" i="4"/>
  <c r="G697" i="4"/>
  <c r="G657" i="4"/>
  <c r="H46" i="4"/>
  <c r="H15" i="20" l="1"/>
  <c r="G314" i="4"/>
  <c r="G20" i="9"/>
  <c r="G22" i="9" s="1"/>
  <c r="G24" i="9" s="1"/>
  <c r="L33" i="13"/>
  <c r="F16" i="1"/>
  <c r="C16" i="1" s="1"/>
  <c r="B27" i="10"/>
  <c r="F11" i="1"/>
  <c r="C11" i="1" s="1"/>
  <c r="B12" i="10"/>
  <c r="B49" i="10" s="1"/>
  <c r="T79" i="4"/>
  <c r="F35" i="1"/>
  <c r="F37" i="1" s="1"/>
  <c r="H108" i="4"/>
  <c r="G35" i="1"/>
  <c r="G37" i="1" s="1"/>
  <c r="R30" i="4"/>
  <c r="C5" i="34"/>
  <c r="C31" i="2"/>
  <c r="F63" i="9"/>
  <c r="F71" i="9" s="1"/>
  <c r="B10" i="10"/>
  <c r="B46" i="7"/>
  <c r="D39" i="3" s="1"/>
  <c r="B47" i="10"/>
  <c r="H17" i="4"/>
  <c r="H24" i="4" s="1"/>
  <c r="B9" i="7"/>
  <c r="D9" i="3" s="1"/>
  <c r="R35" i="4"/>
  <c r="G57" i="9"/>
  <c r="G71" i="9" s="1"/>
  <c r="G53" i="9"/>
  <c r="K109" i="14"/>
  <c r="B87" i="14"/>
  <c r="K86" i="14"/>
  <c r="J7" i="14"/>
  <c r="J9" i="14" s="1"/>
  <c r="J24" i="14" s="1"/>
  <c r="H11" i="46" s="1"/>
  <c r="F19" i="1"/>
  <c r="C19" i="1" s="1"/>
  <c r="E16" i="20"/>
  <c r="D985" i="4"/>
  <c r="D17" i="13"/>
  <c r="F33" i="27"/>
  <c r="K32" i="27" s="1"/>
  <c r="D984" i="46" s="1"/>
  <c r="M33" i="13"/>
  <c r="E17" i="13" s="1"/>
  <c r="L37" i="13"/>
  <c r="O49" i="13"/>
  <c r="L45" i="13"/>
  <c r="R83" i="4"/>
  <c r="E33" i="27"/>
  <c r="J32" i="27" s="1"/>
  <c r="C984" i="46" s="1"/>
  <c r="F10" i="1"/>
  <c r="C10" i="1" s="1"/>
  <c r="C12" i="1" s="1"/>
  <c r="H49" i="27"/>
  <c r="E45" i="27"/>
  <c r="E37" i="27"/>
  <c r="F8" i="27"/>
  <c r="F17" i="27" s="1"/>
  <c r="R87" i="4"/>
  <c r="B26" i="7"/>
  <c r="D24" i="3" s="1"/>
  <c r="C36" i="2"/>
  <c r="S35" i="4"/>
  <c r="I10" i="16"/>
  <c r="I33" i="16" s="1"/>
  <c r="D38" i="2"/>
  <c r="D39" i="2" s="1"/>
  <c r="E13" i="20"/>
  <c r="D13" i="20" s="1"/>
  <c r="F14" i="1"/>
  <c r="H13" i="20"/>
  <c r="G14" i="1"/>
  <c r="G20" i="1" s="1"/>
  <c r="B11" i="7"/>
  <c r="B48" i="7" s="1"/>
  <c r="F17" i="1"/>
  <c r="C17" i="1" s="1"/>
  <c r="G722" i="4"/>
  <c r="G479" i="4" s="1"/>
  <c r="H38" i="4"/>
  <c r="G81" i="4"/>
  <c r="H90" i="4"/>
  <c r="H91" i="4" s="1"/>
  <c r="M53" i="13" s="1"/>
  <c r="D10" i="20"/>
  <c r="E10" i="20" s="1"/>
  <c r="L9" i="20" s="1"/>
  <c r="E75" i="36"/>
  <c r="G75" i="36" s="1"/>
  <c r="B76" i="36" s="1"/>
  <c r="D76" i="36" s="1"/>
  <c r="E76" i="36" s="1"/>
  <c r="G660" i="4"/>
  <c r="B51" i="10" l="1"/>
  <c r="E984" i="46"/>
  <c r="C35" i="1"/>
  <c r="C37" i="1" s="1"/>
  <c r="C10" i="10"/>
  <c r="H185" i="4"/>
  <c r="C9" i="7"/>
  <c r="E9" i="3" s="1"/>
  <c r="D19" i="2"/>
  <c r="D26" i="2" s="1"/>
  <c r="M8" i="13"/>
  <c r="M17" i="13" s="1"/>
  <c r="P45" i="13" s="1"/>
  <c r="E23" i="13" s="1"/>
  <c r="B26" i="10"/>
  <c r="B25" i="7"/>
  <c r="D23" i="3" s="1"/>
  <c r="H10" i="4"/>
  <c r="D12" i="2" s="1"/>
  <c r="G74" i="9"/>
  <c r="H19" i="20"/>
  <c r="G13" i="20"/>
  <c r="J12" i="14"/>
  <c r="J25" i="14" s="1"/>
  <c r="D983" i="4"/>
  <c r="F17" i="13"/>
  <c r="L32" i="27"/>
  <c r="C983" i="4"/>
  <c r="F12" i="1"/>
  <c r="H94" i="4"/>
  <c r="C8" i="10" s="1"/>
  <c r="F53" i="27"/>
  <c r="K44" i="27"/>
  <c r="D990" i="46" s="1"/>
  <c r="K7" i="27"/>
  <c r="D975" i="46" s="1"/>
  <c r="D11" i="3"/>
  <c r="G21" i="1"/>
  <c r="G23" i="1" s="1"/>
  <c r="G25" i="1"/>
  <c r="G32" i="1" s="1"/>
  <c r="C14" i="1"/>
  <c r="G19" i="4"/>
  <c r="G76" i="36"/>
  <c r="B77" i="36" s="1"/>
  <c r="D77" i="36" s="1"/>
  <c r="E77" i="36" s="1"/>
  <c r="G77" i="36" s="1"/>
  <c r="B78" i="36" s="1"/>
  <c r="G398" i="4"/>
  <c r="I19" i="16" l="1"/>
  <c r="I21" i="16" s="1"/>
  <c r="J21" i="16" s="1"/>
  <c r="I479" i="4"/>
  <c r="C14" i="10"/>
  <c r="C31" i="10" s="1"/>
  <c r="C33" i="10" s="1"/>
  <c r="C53" i="10" s="1"/>
  <c r="C57" i="10" s="1"/>
  <c r="B55" i="10" s="1"/>
  <c r="E7" i="13"/>
  <c r="E983" i="4"/>
  <c r="B18" i="10"/>
  <c r="H20" i="20"/>
  <c r="G20" i="20" s="1"/>
  <c r="G19" i="20"/>
  <c r="H23" i="20"/>
  <c r="G29" i="9"/>
  <c r="G33" i="9" s="1"/>
  <c r="L12" i="14"/>
  <c r="D974" i="4"/>
  <c r="D989" i="4"/>
  <c r="C7" i="7"/>
  <c r="C13" i="7" s="1"/>
  <c r="C30" i="7" s="1"/>
  <c r="C32" i="7" s="1"/>
  <c r="C52" i="7" s="1"/>
  <c r="C56" i="7" s="1"/>
  <c r="B54" i="7" s="1"/>
  <c r="D46" i="3" s="1"/>
  <c r="L9" i="13"/>
  <c r="O37" i="13"/>
  <c r="D19" i="13" s="1"/>
  <c r="F19" i="13" s="1"/>
  <c r="H101" i="4"/>
  <c r="H184" i="4" s="1"/>
  <c r="E9" i="27"/>
  <c r="H37" i="27"/>
  <c r="J36" i="27" s="1"/>
  <c r="C986" i="46" s="1"/>
  <c r="E986" i="46" s="1"/>
  <c r="B17" i="7"/>
  <c r="D16" i="3" s="1"/>
  <c r="C21" i="2"/>
  <c r="G38" i="1"/>
  <c r="G42" i="1"/>
  <c r="G43" i="1"/>
  <c r="B50" i="7"/>
  <c r="D41" i="3"/>
  <c r="D43" i="3" s="1"/>
  <c r="G652" i="4"/>
  <c r="G655" i="4" s="1"/>
  <c r="D78" i="36"/>
  <c r="E78" i="36" s="1"/>
  <c r="G410" i="4" l="1"/>
  <c r="G412" i="46"/>
  <c r="L58" i="10"/>
  <c r="H24" i="20"/>
  <c r="G23" i="20"/>
  <c r="E7" i="3"/>
  <c r="E13" i="3" s="1"/>
  <c r="E27" i="3" s="1"/>
  <c r="E29" i="3" s="1"/>
  <c r="E45" i="3" s="1"/>
  <c r="E47" i="3" s="1"/>
  <c r="L36" i="27"/>
  <c r="C985" i="4"/>
  <c r="E985" i="4" s="1"/>
  <c r="H111" i="4"/>
  <c r="M28" i="13"/>
  <c r="E15" i="13" s="1"/>
  <c r="M24" i="13"/>
  <c r="E12" i="13" s="1"/>
  <c r="M49" i="13"/>
  <c r="H584" i="4"/>
  <c r="H186" i="4"/>
  <c r="H192" i="4" s="1"/>
  <c r="G180" i="4" s="1"/>
  <c r="F24" i="27"/>
  <c r="K23" i="27" s="1"/>
  <c r="D980" i="46" s="1"/>
  <c r="F49" i="27"/>
  <c r="F56" i="27" s="1"/>
  <c r="F28" i="27"/>
  <c r="K27" i="27" s="1"/>
  <c r="D982" i="46" s="1"/>
  <c r="L57" i="7"/>
  <c r="B13" i="28"/>
  <c r="G78" i="36"/>
  <c r="B79" i="36" s="1"/>
  <c r="D79" i="36" s="1"/>
  <c r="E79" i="36" s="1"/>
  <c r="H586" i="4" l="1"/>
  <c r="H113" i="4" s="1"/>
  <c r="G183" i="4"/>
  <c r="H27" i="20"/>
  <c r="H33" i="20" s="1"/>
  <c r="H39" i="20" s="1"/>
  <c r="G24" i="20"/>
  <c r="D981" i="4"/>
  <c r="D979" i="4"/>
  <c r="H587" i="4"/>
  <c r="H114" i="4" s="1"/>
  <c r="H193" i="4"/>
  <c r="H31" i="4" s="1"/>
  <c r="M56" i="13"/>
  <c r="E25" i="13"/>
  <c r="K48" i="27"/>
  <c r="D992" i="46" s="1"/>
  <c r="G79" i="36"/>
  <c r="B80" i="36" s="1"/>
  <c r="D80" i="36" s="1"/>
  <c r="E80" i="36" s="1"/>
  <c r="D32" i="2" l="1"/>
  <c r="D33" i="2" s="1"/>
  <c r="D48" i="2" s="1"/>
  <c r="T193" i="4"/>
  <c r="T192" i="4" s="1"/>
  <c r="D991" i="4"/>
  <c r="G80" i="36"/>
  <c r="B81" i="36" s="1"/>
  <c r="D81" i="36" s="1"/>
  <c r="H32" i="4" l="1"/>
  <c r="P20" i="13" s="1"/>
  <c r="E81" i="36"/>
  <c r="G81" i="36" s="1"/>
  <c r="I20" i="27" l="1"/>
  <c r="P53" i="13"/>
  <c r="E27" i="13" s="1"/>
  <c r="I53" i="27"/>
  <c r="K52" i="27" s="1"/>
  <c r="D994" i="46" s="1"/>
  <c r="H47" i="4"/>
  <c r="M20" i="13" s="1"/>
  <c r="E9" i="13" s="1"/>
  <c r="G399" i="4"/>
  <c r="G36" i="4" s="1"/>
  <c r="G480" i="4"/>
  <c r="G45" i="4" s="1"/>
  <c r="B23" i="10" l="1"/>
  <c r="D993" i="4"/>
  <c r="O14" i="13"/>
  <c r="O17" i="13" s="1"/>
  <c r="R45" i="4"/>
  <c r="R36" i="4"/>
  <c r="F20" i="27"/>
  <c r="K19" i="27" s="1"/>
  <c r="D977" i="46" s="1"/>
  <c r="H14" i="27"/>
  <c r="H17" i="27" s="1"/>
  <c r="B22" i="7"/>
  <c r="D20" i="3" s="1"/>
  <c r="C37" i="2"/>
  <c r="G46" i="4"/>
  <c r="C46" i="2"/>
  <c r="C47" i="2" s="1"/>
  <c r="D976" i="4" l="1"/>
  <c r="B4" i="28"/>
  <c r="C99" i="14" l="1"/>
  <c r="E7" i="14" s="1"/>
  <c r="E9" i="14" s="1"/>
  <c r="E24" i="14" s="1"/>
  <c r="E12" i="14" l="1"/>
  <c r="E99" i="14"/>
  <c r="B78" i="14" s="1"/>
  <c r="C98" i="14"/>
  <c r="D7" i="14" s="1"/>
  <c r="D9" i="14" s="1"/>
  <c r="D24" i="14" l="1"/>
  <c r="E78" i="14"/>
  <c r="C104" i="14"/>
  <c r="C111" i="14" s="1"/>
  <c r="E98" i="14"/>
  <c r="B77" i="14" s="1"/>
  <c r="H9" i="4" l="1"/>
  <c r="H10" i="46"/>
  <c r="H16" i="46" s="1"/>
  <c r="H28" i="46" s="1"/>
  <c r="H2" i="46" s="1"/>
  <c r="E77" i="14"/>
  <c r="B83" i="14"/>
  <c r="E104" i="14"/>
  <c r="D12" i="14"/>
  <c r="D11" i="2" l="1"/>
  <c r="D17" i="2" s="1"/>
  <c r="D27" i="2" s="1"/>
  <c r="H15" i="4"/>
  <c r="H27" i="4" s="1"/>
  <c r="H2" i="4" s="1"/>
  <c r="E111" i="14"/>
  <c r="E83" i="14"/>
  <c r="F49" i="2" l="1"/>
  <c r="D1" i="2"/>
  <c r="J87" i="14"/>
  <c r="J88" i="14" s="1"/>
  <c r="E87" i="14"/>
  <c r="B88" i="14"/>
  <c r="B90" i="14" s="1"/>
  <c r="K87" i="14" l="1"/>
  <c r="K88" i="14" s="1"/>
  <c r="E88" i="14"/>
  <c r="E90" i="14" s="1"/>
  <c r="E21" i="14"/>
  <c r="E25" i="14" s="1"/>
  <c r="I99" i="14"/>
  <c r="K99" i="14" l="1"/>
  <c r="F78" i="14"/>
  <c r="I78" i="14" l="1"/>
  <c r="K78" i="14" s="1"/>
  <c r="J78" i="14"/>
  <c r="C21" i="14"/>
  <c r="C25" i="14" s="1"/>
  <c r="I97" i="14"/>
  <c r="F76" i="14" s="1"/>
  <c r="I76" i="14" l="1"/>
  <c r="J76" i="14"/>
  <c r="K81" i="14"/>
  <c r="J81" i="14"/>
  <c r="K97" i="14"/>
  <c r="K76" i="14" l="1"/>
  <c r="D21" i="14" l="1"/>
  <c r="D25" i="14" s="1"/>
  <c r="I13" i="16" s="1"/>
  <c r="I98" i="14"/>
  <c r="F77" i="14" s="1"/>
  <c r="G104" i="14"/>
  <c r="G9" i="4" l="1"/>
  <c r="C11" i="2" s="1"/>
  <c r="G10" i="46"/>
  <c r="I77" i="14"/>
  <c r="J77" i="14"/>
  <c r="K82" i="14"/>
  <c r="J82" i="14"/>
  <c r="F83" i="14"/>
  <c r="F90" i="14" s="1"/>
  <c r="G111" i="14"/>
  <c r="K98" i="14"/>
  <c r="K104" i="14" s="1"/>
  <c r="I104" i="14"/>
  <c r="I111" i="14" s="1"/>
  <c r="S10" i="4" l="1"/>
  <c r="J70" i="14"/>
  <c r="B12" i="28"/>
  <c r="B18" i="28" s="1"/>
  <c r="J69" i="22"/>
  <c r="T9" i="4"/>
  <c r="B36" i="10"/>
  <c r="B43" i="10" s="1"/>
  <c r="S11" i="46"/>
  <c r="T10" i="46"/>
  <c r="J83" i="14"/>
  <c r="J90" i="14" s="1"/>
  <c r="K77" i="14"/>
  <c r="K83" i="14" s="1"/>
  <c r="K90" i="14" s="1"/>
  <c r="I83" i="14"/>
  <c r="I90" i="14" s="1"/>
  <c r="I15" i="16"/>
  <c r="J15" i="16" s="1"/>
  <c r="K111" i="14"/>
  <c r="J18" i="6"/>
  <c r="E21" i="12"/>
  <c r="G21" i="12" s="1"/>
  <c r="G28" i="12" s="1"/>
  <c r="G29" i="12" s="1"/>
  <c r="B10" i="7"/>
  <c r="R112" i="4"/>
  <c r="E17" i="20"/>
  <c r="F18" i="1"/>
  <c r="C18" i="1" s="1"/>
  <c r="G404" i="4" l="1"/>
  <c r="G405" i="4" s="1"/>
  <c r="G406" i="46"/>
  <c r="G407" i="46" s="1"/>
  <c r="D10" i="3"/>
  <c r="B35" i="7"/>
  <c r="K26" i="6"/>
  <c r="L18" i="6"/>
  <c r="M26" i="6" s="1"/>
  <c r="G35" i="12"/>
  <c r="G39" i="12" s="1"/>
  <c r="E32" i="12"/>
  <c r="J29" i="16"/>
  <c r="G502" i="4" l="1"/>
  <c r="G504" i="46"/>
  <c r="D31" i="3"/>
  <c r="D37" i="3" s="1"/>
  <c r="B42" i="7"/>
  <c r="G243" i="46" l="1"/>
  <c r="G245" i="46" s="1"/>
  <c r="G18" i="46" s="1"/>
  <c r="G505" i="46"/>
  <c r="G86" i="46" s="1"/>
  <c r="G91" i="46" s="1"/>
  <c r="G92" i="46" s="1"/>
  <c r="G95" i="46" s="1"/>
  <c r="R95" i="46" s="1"/>
  <c r="G241" i="4"/>
  <c r="G503" i="4"/>
  <c r="G25" i="46" l="1"/>
  <c r="G85" i="4"/>
  <c r="F19" i="9"/>
  <c r="F40" i="9"/>
  <c r="F42" i="9" s="1"/>
  <c r="G243" i="4"/>
  <c r="G17" i="4" s="1"/>
  <c r="J17" i="4" s="1"/>
  <c r="G90" i="4" l="1"/>
  <c r="G91" i="4" s="1"/>
  <c r="B17" i="10"/>
  <c r="B30" i="10" s="1"/>
  <c r="F20" i="9"/>
  <c r="F22" i="9" s="1"/>
  <c r="F24" i="9" s="1"/>
  <c r="F50" i="9"/>
  <c r="F53" i="9" s="1"/>
  <c r="F74" i="9" s="1"/>
  <c r="E15" i="20"/>
  <c r="E19" i="20" s="1"/>
  <c r="F15" i="1"/>
  <c r="G24" i="4"/>
  <c r="C19" i="2"/>
  <c r="C26" i="2" s="1"/>
  <c r="B16" i="7"/>
  <c r="E8" i="27"/>
  <c r="E17" i="27" s="1"/>
  <c r="L8" i="13"/>
  <c r="L17" i="13" s="1"/>
  <c r="E20" i="20" l="1"/>
  <c r="D20" i="20" s="1"/>
  <c r="D19" i="20"/>
  <c r="E23" i="20"/>
  <c r="D15" i="3"/>
  <c r="D26" i="3" s="1"/>
  <c r="B29" i="7"/>
  <c r="O45" i="13"/>
  <c r="D23" i="13" s="1"/>
  <c r="F23" i="13" s="1"/>
  <c r="D7" i="13"/>
  <c r="F7" i="13" s="1"/>
  <c r="B3" i="28"/>
  <c r="B5" i="28" s="1"/>
  <c r="G94" i="4"/>
  <c r="I94" i="4" s="1"/>
  <c r="E53" i="27"/>
  <c r="L53" i="13"/>
  <c r="J7" i="27"/>
  <c r="C975" i="46" s="1"/>
  <c r="E975" i="46" s="1"/>
  <c r="H45" i="27"/>
  <c r="J44" i="27" s="1"/>
  <c r="C990" i="46" s="1"/>
  <c r="E990" i="46" s="1"/>
  <c r="F20" i="1"/>
  <c r="C15" i="1"/>
  <c r="C20" i="1" s="1"/>
  <c r="B8" i="10" l="1"/>
  <c r="B14" i="10" s="1"/>
  <c r="B31" i="10" s="1"/>
  <c r="B33" i="10" s="1"/>
  <c r="B53" i="10" s="1"/>
  <c r="B57" i="10" s="1"/>
  <c r="AX57" i="10" s="1"/>
  <c r="M15" i="6"/>
  <c r="C989" i="4"/>
  <c r="E989" i="4" s="1"/>
  <c r="L44" i="27"/>
  <c r="D23" i="20"/>
  <c r="E24" i="20"/>
  <c r="C974" i="4"/>
  <c r="E974" i="4" s="1"/>
  <c r="L7" i="27"/>
  <c r="C21" i="1"/>
  <c r="C23" i="1" s="1"/>
  <c r="C25" i="1"/>
  <c r="R94" i="4"/>
  <c r="F29" i="9"/>
  <c r="F33" i="9" s="1"/>
  <c r="B7" i="7"/>
  <c r="F21" i="1"/>
  <c r="F23" i="1" s="1"/>
  <c r="F25" i="1"/>
  <c r="D7" i="3" l="1"/>
  <c r="D13" i="3" s="1"/>
  <c r="D27" i="3" s="1"/>
  <c r="D29" i="3" s="1"/>
  <c r="D45" i="3" s="1"/>
  <c r="D47" i="3" s="1"/>
  <c r="B13" i="7"/>
  <c r="B30" i="7" s="1"/>
  <c r="B32" i="7" s="1"/>
  <c r="B52" i="7" s="1"/>
  <c r="B56" i="7" s="1"/>
  <c r="AX56" i="7" s="1"/>
  <c r="E27" i="20"/>
  <c r="E33" i="20" s="1"/>
  <c r="D24" i="20"/>
  <c r="C44" i="20" l="1"/>
  <c r="D866" i="4" l="1"/>
  <c r="M27" i="6" l="1"/>
  <c r="M38" i="6" s="1"/>
  <c r="I24" i="16" s="1"/>
  <c r="J25" i="16" l="1"/>
  <c r="I26" i="16"/>
  <c r="O24" i="6"/>
  <c r="M42" i="6"/>
  <c r="M46" i="6" s="1"/>
  <c r="M49" i="6" s="1"/>
  <c r="M61" i="6" s="1"/>
  <c r="M63" i="6" s="1"/>
  <c r="M64" i="6" s="1"/>
  <c r="J26" i="16" l="1"/>
  <c r="J28" i="16" s="1"/>
  <c r="I32" i="16" s="1"/>
  <c r="I35" i="16" s="1"/>
  <c r="G100" i="46" s="1"/>
  <c r="G411" i="46"/>
  <c r="G413" i="46" s="1"/>
  <c r="G414" i="46" s="1"/>
  <c r="G409" i="4"/>
  <c r="M65" i="6"/>
  <c r="M66" i="6" s="1"/>
  <c r="J30" i="16"/>
  <c r="C32" i="16"/>
  <c r="F30" i="16" l="1"/>
  <c r="G416" i="46"/>
  <c r="G15" i="46"/>
  <c r="G16" i="46" s="1"/>
  <c r="G28" i="46" s="1"/>
  <c r="S38" i="46"/>
  <c r="G39" i="46"/>
  <c r="R38" i="46"/>
  <c r="R100" i="46"/>
  <c r="G101" i="46"/>
  <c r="G102" i="46" s="1"/>
  <c r="G411" i="4"/>
  <c r="G412" i="4" s="1"/>
  <c r="G414" i="4" s="1"/>
  <c r="J40" i="16"/>
  <c r="I39" i="16" s="1"/>
  <c r="G99" i="4"/>
  <c r="S55" i="6"/>
  <c r="M72" i="6"/>
  <c r="M74" i="6" s="1"/>
  <c r="M76" i="6" s="1"/>
  <c r="O44" i="6" s="1"/>
  <c r="G38" i="4" l="1"/>
  <c r="G14" i="4"/>
  <c r="R18" i="46"/>
  <c r="R21" i="46"/>
  <c r="R10" i="46"/>
  <c r="R22" i="46"/>
  <c r="R20" i="46"/>
  <c r="R24" i="46"/>
  <c r="R14" i="46"/>
  <c r="R13" i="46"/>
  <c r="R23" i="46"/>
  <c r="R11" i="46"/>
  <c r="R37" i="4"/>
  <c r="G112" i="46"/>
  <c r="R112" i="46" s="1"/>
  <c r="G586" i="46"/>
  <c r="G186" i="46"/>
  <c r="G188" i="46" s="1"/>
  <c r="G194" i="46" s="1"/>
  <c r="G195" i="46" s="1"/>
  <c r="S37" i="4"/>
  <c r="C38" i="2"/>
  <c r="C39" i="2" s="1"/>
  <c r="R99" i="4"/>
  <c r="F30" i="1"/>
  <c r="G100" i="4"/>
  <c r="G101" i="4" s="1"/>
  <c r="S56" i="6"/>
  <c r="U55" i="6"/>
  <c r="W55" i="6" s="1"/>
  <c r="Y55" i="6" s="1"/>
  <c r="G15" i="4" l="1"/>
  <c r="G27" i="4" s="1"/>
  <c r="C16" i="2"/>
  <c r="C17" i="2" s="1"/>
  <c r="C27" i="2" s="1"/>
  <c r="S195" i="46"/>
  <c r="S194" i="46" s="1"/>
  <c r="G32" i="46"/>
  <c r="G589" i="46"/>
  <c r="G115" i="46" s="1"/>
  <c r="G588" i="46"/>
  <c r="G114" i="46" s="1"/>
  <c r="C39" i="20"/>
  <c r="D41" i="20" s="1"/>
  <c r="D42" i="20" s="1"/>
  <c r="E28" i="27"/>
  <c r="G111" i="4"/>
  <c r="R111" i="4" s="1"/>
  <c r="E49" i="27"/>
  <c r="L49" i="13"/>
  <c r="L28" i="13"/>
  <c r="K15" i="6"/>
  <c r="G584" i="4"/>
  <c r="G184" i="4"/>
  <c r="G186" i="4" s="1"/>
  <c r="G192" i="4" s="1"/>
  <c r="L24" i="13"/>
  <c r="D12" i="13" s="1"/>
  <c r="F12" i="13" s="1"/>
  <c r="E24" i="27"/>
  <c r="J23" i="27" s="1"/>
  <c r="C980" i="46" s="1"/>
  <c r="E980" i="46" s="1"/>
  <c r="C30" i="1"/>
  <c r="C31" i="1" s="1"/>
  <c r="C32" i="1" s="1"/>
  <c r="F31" i="1"/>
  <c r="F32" i="1" s="1"/>
  <c r="S57" i="6"/>
  <c r="U56" i="6"/>
  <c r="W56" i="6" s="1"/>
  <c r="Y56" i="6" s="1"/>
  <c r="B14" i="28" l="1"/>
  <c r="B22" i="28" s="1"/>
  <c r="R9" i="4"/>
  <c r="R20" i="4"/>
  <c r="R23" i="4"/>
  <c r="R10" i="4"/>
  <c r="R19" i="4"/>
  <c r="R22" i="4"/>
  <c r="R17" i="4"/>
  <c r="R13" i="4"/>
  <c r="R12" i="4"/>
  <c r="R21" i="4"/>
  <c r="S32" i="46"/>
  <c r="S48" i="46" s="1"/>
  <c r="R32" i="46"/>
  <c r="G33" i="46"/>
  <c r="G48" i="46" s="1"/>
  <c r="G2" i="46" s="1"/>
  <c r="G586" i="4"/>
  <c r="G113" i="4" s="1"/>
  <c r="G587" i="4"/>
  <c r="G114" i="4" s="1"/>
  <c r="K55" i="6"/>
  <c r="K57" i="6" s="1"/>
  <c r="K27" i="6"/>
  <c r="K38" i="6" s="1"/>
  <c r="K42" i="6" s="1"/>
  <c r="K46" i="6" s="1"/>
  <c r="K49" i="6" s="1"/>
  <c r="J111" i="6" s="1"/>
  <c r="J112" i="6" s="1"/>
  <c r="J113" i="6" s="1"/>
  <c r="J114" i="6" s="1"/>
  <c r="F42" i="1"/>
  <c r="F38" i="1"/>
  <c r="F43" i="1"/>
  <c r="D25" i="13"/>
  <c r="F25" i="13" s="1"/>
  <c r="L56" i="13"/>
  <c r="C43" i="1"/>
  <c r="C42" i="1"/>
  <c r="C38" i="1"/>
  <c r="J48" i="27"/>
  <c r="C992" i="46" s="1"/>
  <c r="E992" i="46" s="1"/>
  <c r="E56" i="27"/>
  <c r="C979" i="4"/>
  <c r="E979" i="4" s="1"/>
  <c r="L23" i="27"/>
  <c r="G193" i="4"/>
  <c r="C7" i="34"/>
  <c r="C9" i="34" s="1"/>
  <c r="C14" i="34" s="1"/>
  <c r="U57" i="6"/>
  <c r="W57" i="6" s="1"/>
  <c r="Y57" i="6" s="1"/>
  <c r="Y59" i="6" s="1"/>
  <c r="S58" i="6"/>
  <c r="U58" i="6" s="1"/>
  <c r="W58" i="6" s="1"/>
  <c r="L48" i="27" l="1"/>
  <c r="C991" i="4"/>
  <c r="E991" i="4" s="1"/>
  <c r="K59" i="6"/>
  <c r="K63" i="6"/>
  <c r="G31" i="4"/>
  <c r="S193" i="4"/>
  <c r="S192" i="4" s="1"/>
  <c r="C32" i="2" l="1"/>
  <c r="C33" i="2" s="1"/>
  <c r="C48" i="2" s="1"/>
  <c r="G32" i="4"/>
  <c r="S31" i="4"/>
  <c r="S47" i="4" s="1"/>
  <c r="R31" i="4"/>
  <c r="K111" i="6"/>
  <c r="K112" i="6" s="1"/>
  <c r="K113" i="6" s="1"/>
  <c r="K114" i="6" s="1"/>
  <c r="L114" i="6" s="1"/>
  <c r="K61" i="6"/>
  <c r="P62" i="6" l="1"/>
  <c r="K64" i="6"/>
  <c r="K65" i="6" s="1"/>
  <c r="K66" i="6" s="1"/>
  <c r="H53" i="27"/>
  <c r="J52" i="27" s="1"/>
  <c r="C994" i="46" s="1"/>
  <c r="E994" i="46" s="1"/>
  <c r="O28" i="13"/>
  <c r="D15" i="13" s="1"/>
  <c r="F15" i="13" s="1"/>
  <c r="B7" i="28"/>
  <c r="B9" i="28" s="1"/>
  <c r="B24" i="28" s="1"/>
  <c r="O20" i="13"/>
  <c r="H20" i="27"/>
  <c r="H28" i="27"/>
  <c r="J27" i="27" s="1"/>
  <c r="C982" i="46" s="1"/>
  <c r="E982" i="46" s="1"/>
  <c r="O53" i="13"/>
  <c r="D27" i="13" s="1"/>
  <c r="F27" i="13" s="1"/>
  <c r="G47" i="4"/>
  <c r="E49" i="2"/>
  <c r="C1" i="2"/>
  <c r="L27" i="27" l="1"/>
  <c r="C981" i="4"/>
  <c r="E981" i="4" s="1"/>
  <c r="L52" i="27"/>
  <c r="C993" i="4"/>
  <c r="E993" i="4" s="1"/>
  <c r="E20" i="27"/>
  <c r="J19" i="27" s="1"/>
  <c r="C977" i="46" s="1"/>
  <c r="E977" i="46" s="1"/>
  <c r="L20" i="13"/>
  <c r="D9" i="13" s="1"/>
  <c r="F9" i="13" s="1"/>
  <c r="G2" i="4"/>
  <c r="S48" i="6"/>
  <c r="K72" i="6"/>
  <c r="K74" i="6" s="1"/>
  <c r="K76" i="6" s="1"/>
  <c r="L19" i="27" l="1"/>
  <c r="C976" i="4"/>
  <c r="E976" i="4" s="1"/>
  <c r="S49" i="6"/>
  <c r="U48" i="6"/>
  <c r="W48" i="6" s="1"/>
  <c r="Y48" i="6" s="1"/>
  <c r="U49" i="6" l="1"/>
  <c r="W49" i="6" s="1"/>
  <c r="Y49" i="6" s="1"/>
  <c r="S50" i="6"/>
  <c r="S51" i="6" l="1"/>
  <c r="U51" i="6" s="1"/>
  <c r="W51" i="6" s="1"/>
  <c r="Y51" i="6" s="1"/>
  <c r="U50" i="6"/>
  <c r="W50" i="6" s="1"/>
  <c r="Y50" i="6" s="1"/>
  <c r="Y52"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 TIWARI</author>
  </authors>
  <commentList>
    <comment ref="J9" authorId="0" shapeId="0" xr:uid="{385AFB00-F94A-4332-AF0E-4422ADD59D64}">
      <text>
        <r>
          <rPr>
            <b/>
            <sz val="9"/>
            <color indexed="81"/>
            <rFont val="Tahoma"/>
            <family val="2"/>
          </rPr>
          <t>SANJAY TIWARI:</t>
        </r>
        <r>
          <rPr>
            <sz val="9"/>
            <color indexed="81"/>
            <rFont val="Tahoma"/>
            <family val="2"/>
          </rPr>
          <t xml:space="preserve">
Debit of Local Raw Material Minus from Purchase</t>
        </r>
      </text>
    </comment>
    <comment ref="J18" authorId="0" shapeId="0" xr:uid="{48CB69C8-0766-4946-A4A8-145E20967A0C}">
      <text>
        <r>
          <rPr>
            <b/>
            <sz val="9"/>
            <color indexed="81"/>
            <rFont val="Tahoma"/>
            <family val="2"/>
          </rPr>
          <t>SANJAY TIWARI:</t>
        </r>
        <r>
          <rPr>
            <sz val="9"/>
            <color indexed="81"/>
            <rFont val="Tahoma"/>
            <family val="2"/>
          </rPr>
          <t xml:space="preserve">
Debit of Local Raw Material Minus from Purchase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K21" authorId="0" shapeId="0" xr:uid="{00000000-0006-0000-2000-000001000000}">
      <text>
        <r>
          <rPr>
            <b/>
            <sz val="9"/>
            <color indexed="81"/>
            <rFont val="Tahoma"/>
            <family val="2"/>
          </rPr>
          <t>Kaustubh:</t>
        </r>
        <r>
          <rPr>
            <sz val="9"/>
            <color indexed="81"/>
            <rFont val="Tahoma"/>
            <family val="2"/>
          </rPr>
          <t xml:space="preserve">
Deduction per month is Rs 3000 from salary. As such, it will take approx 22 months to recover the amount. Calculation is done accordingly.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20" authorId="0" shapeId="0" xr:uid="{036810BD-36AF-4C49-A410-28D84258D264}">
      <text>
        <r>
          <rPr>
            <b/>
            <sz val="9"/>
            <color indexed="81"/>
            <rFont val="Tahoma"/>
            <family val="2"/>
          </rPr>
          <t>Administrator:</t>
        </r>
        <r>
          <rPr>
            <sz val="9"/>
            <color indexed="81"/>
            <rFont val="Tahoma"/>
            <family val="2"/>
          </rPr>
          <t xml:space="preserve">
Received 10% Additional on Dated 07/03/2022, Amount Rs. 9,43,000/-</t>
        </r>
      </text>
    </comment>
    <comment ref="I20" authorId="0" shapeId="0" xr:uid="{E2D60A3B-4D5F-4807-91FD-5737ACD5C466}">
      <text>
        <r>
          <rPr>
            <b/>
            <sz val="9"/>
            <color indexed="81"/>
            <rFont val="Tahoma"/>
            <family val="2"/>
          </rPr>
          <t>Administrator:</t>
        </r>
        <r>
          <rPr>
            <sz val="9"/>
            <color indexed="81"/>
            <rFont val="Tahoma"/>
            <family val="2"/>
          </rPr>
          <t xml:space="preserve">
Received 10% Additional on Dated 07/03/2022, Amount Rs. 9,43,000/-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24" authorId="0" shapeId="0" xr:uid="{70A66EAC-2A54-4603-BA93-D8CBE459A267}">
      <text>
        <r>
          <rPr>
            <b/>
            <sz val="9"/>
            <color indexed="81"/>
            <rFont val="Tahoma"/>
            <family val="2"/>
          </rPr>
          <t>user:</t>
        </r>
        <r>
          <rPr>
            <sz val="9"/>
            <color indexed="81"/>
            <rFont val="Tahoma"/>
            <family val="2"/>
          </rPr>
          <t xml:space="preserve">
Excess received on 28.03.24
</t>
        </r>
      </text>
    </comment>
  </commentList>
</comments>
</file>

<file path=xl/sharedStrings.xml><?xml version="1.0" encoding="utf-8"?>
<sst xmlns="http://schemas.openxmlformats.org/spreadsheetml/2006/main" count="18657" uniqueCount="4765">
  <si>
    <t>PARTICULARS</t>
  </si>
  <si>
    <t>Note</t>
  </si>
  <si>
    <t>BS Main Head</t>
  </si>
  <si>
    <t>BS Sub Head</t>
  </si>
  <si>
    <t>Dr.</t>
  </si>
  <si>
    <t>Adj</t>
  </si>
  <si>
    <t>Cr.</t>
  </si>
  <si>
    <t>A K R G &amp; Associates, Nagpur</t>
  </si>
  <si>
    <t>Trade Payables</t>
  </si>
  <si>
    <t>Trade Payables - Others</t>
  </si>
  <si>
    <t>Uttej Polymers &amp; Chemicals</t>
  </si>
  <si>
    <t>MNS Credit Management Group Pvt Ltd</t>
  </si>
  <si>
    <t>SHUBHAM ENTERPRISES (SALE)</t>
  </si>
  <si>
    <t>Financial Assets</t>
  </si>
  <si>
    <t>Trade Receivables</t>
  </si>
  <si>
    <t>ANAMIKA TRADERS(SALES)</t>
  </si>
  <si>
    <t>Seion Enterprises</t>
  </si>
  <si>
    <t>Pratik Enterprises</t>
  </si>
  <si>
    <t>ANAMIKA TRADERS [ WP ]</t>
  </si>
  <si>
    <t>Maheshwari Agency</t>
  </si>
  <si>
    <t>Aayush Chem</t>
  </si>
  <si>
    <t>NAV DURGA BOILER &amp; EQUIPMENTS P. LTD.</t>
  </si>
  <si>
    <t>Other Non Current Assets</t>
  </si>
  <si>
    <t>Advance For Capital Goods</t>
  </si>
  <si>
    <t>CENTRAL SCIENTIFIC CO.</t>
  </si>
  <si>
    <t>Current Tax Assets</t>
  </si>
  <si>
    <t>Advance Income Tax</t>
  </si>
  <si>
    <t>Advertisement Expenses</t>
  </si>
  <si>
    <t>Other - Selling &amp; Distribution Expenses</t>
  </si>
  <si>
    <t>AJANTA KRAFT</t>
  </si>
  <si>
    <t>ACCURATE SALES AGENCIES</t>
  </si>
  <si>
    <t>ALIGN COMPONENTS (P) LTD., (BU-II)</t>
  </si>
  <si>
    <t>Other Current Assets</t>
  </si>
  <si>
    <t>Advance to Suppliers</t>
  </si>
  <si>
    <t>Advance Ag, Clearing-Frwd :OCC</t>
  </si>
  <si>
    <t>Other Financial Assets</t>
  </si>
  <si>
    <t>Loans and Advances to Employees</t>
  </si>
  <si>
    <t>Sudhakar Raut</t>
  </si>
  <si>
    <t>Nitin Thakre</t>
  </si>
  <si>
    <t>CANUSA HERSHMAN RECYCLING CO.</t>
  </si>
  <si>
    <t>Cellmark Netherlands B.V.</t>
  </si>
  <si>
    <t>Amruta Enterprises, Nagpur</t>
  </si>
  <si>
    <t>SAVITRI ENTERPRISES</t>
  </si>
  <si>
    <t>DR. B. P. TAORI</t>
  </si>
  <si>
    <t>Long Term Borrowings</t>
  </si>
  <si>
    <t>Unsecured-From Related Party</t>
  </si>
  <si>
    <t>Anita Lakhotiya</t>
  </si>
  <si>
    <t>Festival Expenses</t>
  </si>
  <si>
    <t>Other - Establishment Expenses</t>
  </si>
  <si>
    <t>General Expenses</t>
  </si>
  <si>
    <t>Annual Custody Fees</t>
  </si>
  <si>
    <t>Annual Listing Fees</t>
  </si>
  <si>
    <t>Listing Expenses</t>
  </si>
  <si>
    <t>Prior Period Expenses</t>
  </si>
  <si>
    <t>Other Current Liabilities</t>
  </si>
  <si>
    <t>Other Income</t>
  </si>
  <si>
    <t>Audit Expenses (Darak)</t>
  </si>
  <si>
    <t>Audit Expenses</t>
  </si>
  <si>
    <t>Audit Fees Payable</t>
  </si>
  <si>
    <t>Bad Debts</t>
  </si>
  <si>
    <t>Balaji Enterprises</t>
  </si>
  <si>
    <t>Baljit Kaur Manindersingh Saini</t>
  </si>
  <si>
    <t>Bank Commission &amp; Charges</t>
  </si>
  <si>
    <t>CSR (CORPORATE SOCIAL RESPONSIBILITY)</t>
  </si>
  <si>
    <t>CSR Expenses</t>
  </si>
  <si>
    <t>Bank Facility Charges</t>
  </si>
  <si>
    <t>BANK GUARANTEE CHARGES</t>
  </si>
  <si>
    <t>Finance Costs</t>
  </si>
  <si>
    <t>Other Borrowing Costs</t>
  </si>
  <si>
    <t>Bearing Centre</t>
  </si>
  <si>
    <t>ANANT SHREE AGENCY</t>
  </si>
  <si>
    <t>BHOLANATH MITRA</t>
  </si>
  <si>
    <t>Boiler Fireman  (Feeding Charges)</t>
  </si>
  <si>
    <t>Other - Manufacturing Expenses</t>
  </si>
  <si>
    <t>Factory Expenses</t>
  </si>
  <si>
    <t>Office Expenses</t>
  </si>
  <si>
    <t>Building</t>
  </si>
  <si>
    <t>Property, Plant and Equipment</t>
  </si>
  <si>
    <t>Tangible Asset</t>
  </si>
  <si>
    <t>Capital Reserves</t>
  </si>
  <si>
    <t>Reserves &amp; Surplus</t>
  </si>
  <si>
    <t>Capital Reserve</t>
  </si>
  <si>
    <t>Rates &amp; Taxes</t>
  </si>
  <si>
    <t>Interest on TCS</t>
  </si>
  <si>
    <t>Carriage Inward : Machinery Rep&amp;Maint</t>
  </si>
  <si>
    <t>Repairs &amp; Maintainence - Machinery</t>
  </si>
  <si>
    <t>Carriage Inward { Store }</t>
  </si>
  <si>
    <t>Carriage Outward Machinery</t>
  </si>
  <si>
    <t>Cash and cash Equivalents</t>
  </si>
  <si>
    <t>Cash On Hand</t>
  </si>
  <si>
    <t>GST</t>
  </si>
  <si>
    <t>CGST @ 6 % SALES</t>
  </si>
  <si>
    <t>SGST @  6% SALES</t>
  </si>
  <si>
    <t>CHANDRA COAL PVT. LTD. (SALE)</t>
  </si>
  <si>
    <t>CHANDRA SALES CORPORATION(SALE)</t>
  </si>
  <si>
    <t>Chemical Purchase</t>
  </si>
  <si>
    <t>Raw Material Consumed</t>
  </si>
  <si>
    <t>Raw Material Purchase</t>
  </si>
  <si>
    <t>CIPARO B.V.</t>
  </si>
  <si>
    <t>Clearing &amp; Forwarding on WP Import</t>
  </si>
  <si>
    <t>Power and Fuel</t>
  </si>
  <si>
    <t>Coal Purchase</t>
  </si>
  <si>
    <t>Computer</t>
  </si>
  <si>
    <t>Consultation Charges</t>
  </si>
  <si>
    <t>Legal and Professional Charges</t>
  </si>
  <si>
    <t>CONTAINER CORPORATION OF INDIA LTD</t>
  </si>
  <si>
    <t>Contribution to ESIC Payable</t>
  </si>
  <si>
    <t>Statutory Dues</t>
  </si>
  <si>
    <t>Travelling and Conveyance Expense</t>
  </si>
  <si>
    <t>Conveyance To Directors</t>
  </si>
  <si>
    <t>COSMIC CORPORATION</t>
  </si>
  <si>
    <t>Covid-19 Expenses (Corona)</t>
  </si>
  <si>
    <t>Balance with Government Authorities</t>
  </si>
  <si>
    <t>Deekay &amp; Company</t>
  </si>
  <si>
    <t>Deferred Tax Liabilities (Net)</t>
  </si>
  <si>
    <t xml:space="preserve">Deferred Tax Liabilities </t>
  </si>
  <si>
    <t>Deferred Tax Liability</t>
  </si>
  <si>
    <t>Deposit for  COAL to MSMC</t>
  </si>
  <si>
    <t>Deposit for LPG Domestic Cylender Connection</t>
  </si>
  <si>
    <t>Long Term Deposits</t>
  </si>
  <si>
    <t>Other Financial Assets - Non Current</t>
  </si>
  <si>
    <t>Balance with Bank in Deposit Accounts</t>
  </si>
  <si>
    <t>Deposit with SBI for Custom 8.25 Lac BG[Rs. 206250]</t>
  </si>
  <si>
    <t>Deposit with Import (OCC)</t>
  </si>
  <si>
    <t>Deposit with M.S.E.B.</t>
  </si>
  <si>
    <t>Deposit With SBI for MPCB 5 Lac BG [Rs.1,25,000]</t>
  </si>
  <si>
    <t>Non Current - Provisions</t>
  </si>
  <si>
    <t>Provision for Employee Benefit</t>
  </si>
  <si>
    <t>Deposits Group Gratuity Fund (New Policy 707003372)</t>
  </si>
  <si>
    <t>Deposits Group Gratuity Fund (Policy No. 707000291)</t>
  </si>
  <si>
    <t>Depreciation Electrical Installation</t>
  </si>
  <si>
    <t>Depreciation &amp; Amortisation</t>
  </si>
  <si>
    <t>Depreciation</t>
  </si>
  <si>
    <t>Depreciation on Furniture &amp; Fixture</t>
  </si>
  <si>
    <t>Depreciation on Office Equipment</t>
  </si>
  <si>
    <t>Depreciation on Vehicle</t>
  </si>
  <si>
    <t>CHANDRASHEKHAR JAPULKAR</t>
  </si>
  <si>
    <t>Dhawal Dinesh Kawade</t>
  </si>
  <si>
    <t>DILIPKUMAR PATEL</t>
  </si>
  <si>
    <t>Directors Sitting Fees</t>
  </si>
  <si>
    <t>Employee Benefit Expenses</t>
  </si>
  <si>
    <t>Salary &amp; Wages</t>
  </si>
  <si>
    <t>Discount &amp; Billing Diff Account (HSN/SAC: 4804)</t>
  </si>
  <si>
    <t>Revenue From Operations</t>
  </si>
  <si>
    <t>Sale of Goods - Manufacturing Sales</t>
  </si>
  <si>
    <t>SALES A/C INTERASTATE</t>
  </si>
  <si>
    <t>DISTRIBUTION LOGISTICS INFRASTRUCTURE PVT.LTD.</t>
  </si>
  <si>
    <t>Donation Account</t>
  </si>
  <si>
    <t>Donation</t>
  </si>
  <si>
    <t>Drashta Power Consultants Pvt. Ltd.</t>
  </si>
  <si>
    <t>DURGA INDUSTRIAL  SECURITY, NAGPUR</t>
  </si>
  <si>
    <t>Durga Traders</t>
  </si>
  <si>
    <t>Electrical Installation</t>
  </si>
  <si>
    <t>Equity Share Capital</t>
  </si>
  <si>
    <t>Share Capital</t>
  </si>
  <si>
    <t>Issued, Subscribed &amp; Paid Up</t>
  </si>
  <si>
    <t>ESIC (Employees State Insurance Corpn)</t>
  </si>
  <si>
    <t>Contribution to Funds</t>
  </si>
  <si>
    <t>E-Voting Expenses</t>
  </si>
  <si>
    <t>Insurance Premium in Group Gratuity</t>
  </si>
  <si>
    <t>Exempted Ag.Chemical Purchase</t>
  </si>
  <si>
    <t>Export Expenses for Clearing &amp; Forwarding</t>
  </si>
  <si>
    <t>Clearing &amp; Forwarding Expenses</t>
  </si>
  <si>
    <t>EXPORT SALE</t>
  </si>
  <si>
    <t>Factory Cleaning Charges</t>
  </si>
  <si>
    <t>Factory Misc Expenses</t>
  </si>
  <si>
    <t>Factory Power &amp; Electricity Charges</t>
  </si>
  <si>
    <t>Factory Tea &amp; Other Expenses</t>
  </si>
  <si>
    <t>Finished Goods Expenses</t>
  </si>
  <si>
    <t>Finished Goods Packing &amp; Allied Charges</t>
  </si>
  <si>
    <t>Finished Goods Packing and Allied Charges</t>
  </si>
  <si>
    <t>For BG[MSEB] 12.50 LAC :A/c 35633066338</t>
  </si>
  <si>
    <t>Foreign Exchange Fluctuation</t>
  </si>
  <si>
    <t>Foreign Exchange Fluctuation Gain on RM</t>
  </si>
  <si>
    <t>Franking Charges for Import O.C.C.</t>
  </si>
  <si>
    <t>Freehold Land</t>
  </si>
  <si>
    <t>Furniture &amp; Fixture</t>
  </si>
  <si>
    <t>Ganpat Steel Industries</t>
  </si>
  <si>
    <t>General Reserves</t>
  </si>
  <si>
    <t>General Reserve</t>
  </si>
  <si>
    <t>Globe Engineering Company</t>
  </si>
  <si>
    <t>Green Agro Industries</t>
  </si>
  <si>
    <t>GST ANNUAL FEES F.Y. 2021-22</t>
  </si>
  <si>
    <t>Payable to GST Annual Fees F.Y.21-22</t>
  </si>
  <si>
    <t>GST E-Return Charges</t>
  </si>
  <si>
    <t>Gupta Machinery Stores, Nagpur</t>
  </si>
  <si>
    <t>Hazelkaur Manindersingh Saini</t>
  </si>
  <si>
    <t>Hemant Mahure</t>
  </si>
  <si>
    <t>Hindustan Mill Stores, Nagpur</t>
  </si>
  <si>
    <t>House Rent</t>
  </si>
  <si>
    <t>Rent Expense</t>
  </si>
  <si>
    <t>Import Waste Paper Purchase</t>
  </si>
  <si>
    <t>Incentive/ Bonus Payable</t>
  </si>
  <si>
    <t>Short Term Provisions</t>
  </si>
  <si>
    <t>Incentive/ Bonus to Staff</t>
  </si>
  <si>
    <t>Inder Trade &amp; Industry, Bikaner</t>
  </si>
  <si>
    <t>Insurance on Sales</t>
  </si>
  <si>
    <t>Insurance Charges</t>
  </si>
  <si>
    <t>Insurance Claim Receivable( Accident Claim)</t>
  </si>
  <si>
    <t>Insurance claim Receivable</t>
  </si>
  <si>
    <t>Insurance Pre-Paid</t>
  </si>
  <si>
    <t>Prepaid Expenses</t>
  </si>
  <si>
    <t>Interest Receivable on Power</t>
  </si>
  <si>
    <t>Interest  From Bank (F.D.)</t>
  </si>
  <si>
    <t>Interest Received</t>
  </si>
  <si>
    <t>Interest Expenses</t>
  </si>
  <si>
    <t>Interest on Add.T/L (1.5Cr)...6669</t>
  </si>
  <si>
    <t>Interest on Bank Term Loan ( 2 Cr.)...0563</t>
  </si>
  <si>
    <t>Interest on CGST</t>
  </si>
  <si>
    <t>Interest On Custom Duty</t>
  </si>
  <si>
    <t>Interest On IGST</t>
  </si>
  <si>
    <t>Interest on Income Tax</t>
  </si>
  <si>
    <t>INTEREST ON PROFESSIONAL TAX</t>
  </si>
  <si>
    <t>Interest on SGST</t>
  </si>
  <si>
    <t>Other Financial Liabilities - Current</t>
  </si>
  <si>
    <t>Internal Audit Fees (Khandelwal)</t>
  </si>
  <si>
    <t>Internal Audit Fees</t>
  </si>
  <si>
    <t>SHREE ENTERPRISES [WP]</t>
  </si>
  <si>
    <t>JAI MAHALAXMI ENTERPRISES</t>
  </si>
  <si>
    <t>Supreme Elmech Pvt. Ltd.</t>
  </si>
  <si>
    <t>Jarnailsingh Saini (Loan A/c)</t>
  </si>
  <si>
    <t>Jenson Trading Corporation</t>
  </si>
  <si>
    <t>Jitendra Nikhare</t>
  </si>
  <si>
    <t>K.R.V. Express</t>
  </si>
  <si>
    <t>Kailash Kaur Jarnailsingh Saini</t>
  </si>
  <si>
    <t>KARAN ENTERPRISES (WP)</t>
  </si>
  <si>
    <t>KEDAR PAPER CONVERSIONS</t>
  </si>
  <si>
    <t>Kunal Jain</t>
  </si>
  <si>
    <t>L.I.C. Payable</t>
  </si>
  <si>
    <t>Labour Welfare Fund</t>
  </si>
  <si>
    <t>Lakhotiya Traders Pvt. Ltd. (Sale)</t>
  </si>
  <si>
    <t>Late Fee</t>
  </si>
  <si>
    <t>Leave Encashment</t>
  </si>
  <si>
    <t>Leave Encashment Payable</t>
  </si>
  <si>
    <t>Legal &amp; Proffessional  Charges</t>
  </si>
  <si>
    <t>Maa Tarini Traders</t>
  </si>
  <si>
    <t>Machinery Exp for Boiler Material BED</t>
  </si>
  <si>
    <t>Machinery Repair &amp; Maint Diesel Exp.</t>
  </si>
  <si>
    <t>Machinery Repair &amp; Maintenance</t>
  </si>
  <si>
    <t>Maharashtra State Mining Corp. Ltd.</t>
  </si>
  <si>
    <t>Mahesh Mirashe</t>
  </si>
  <si>
    <t>Makharia Machineries Pvt. Ltd.</t>
  </si>
  <si>
    <t>Manish Computer</t>
  </si>
  <si>
    <t>Manoj Gore</t>
  </si>
  <si>
    <t>Staff Welfare Expenses</t>
  </si>
  <si>
    <t>Membership &amp; Subscription</t>
  </si>
  <si>
    <t>Mohd. Anish Abdul Aziz</t>
  </si>
  <si>
    <t>Narayan Auto Part Service</t>
  </si>
  <si>
    <t>Nilkanth Nikhare</t>
  </si>
  <si>
    <t>Office Equipment</t>
  </si>
  <si>
    <t>OM SAI ENGINEERING</t>
  </si>
  <si>
    <t>Opening Stock</t>
  </si>
  <si>
    <t>opening stock</t>
  </si>
  <si>
    <t>ORIGAMI CELLULO PVT.LTD.</t>
  </si>
  <si>
    <t>Other Charges : Chemical</t>
  </si>
  <si>
    <t>Other Charges : Chemical (NON-GST)</t>
  </si>
  <si>
    <t>Other Charges : Coal</t>
  </si>
  <si>
    <t>Packing Material Purchase</t>
  </si>
  <si>
    <t>Other Charges : Packing Material</t>
  </si>
  <si>
    <t>Repairs &amp; Maintainence - Others</t>
  </si>
  <si>
    <t>Other Import OCC Expenses</t>
  </si>
  <si>
    <t>PACKING CHARGES</t>
  </si>
  <si>
    <t>PACKSAFE</t>
  </si>
  <si>
    <t>PANCHSHEEL TRADING CORPN., NAGPUR</t>
  </si>
  <si>
    <t>Payable to Boiler Fireman Charges</t>
  </si>
  <si>
    <t>Payable Waste Paper Feeding Charges</t>
  </si>
  <si>
    <t>PENALTY ON CGST</t>
  </si>
  <si>
    <t>Penalty on Custom Duty</t>
  </si>
  <si>
    <t>PENALTY ON SGST</t>
  </si>
  <si>
    <t>Penalty to Compliance (MSEI)</t>
  </si>
  <si>
    <t>Plant &amp; Machinery</t>
  </si>
  <si>
    <t>Power &amp; Electricity Payable</t>
  </si>
  <si>
    <t>PRANSHU PAPER PVT. LTD.</t>
  </si>
  <si>
    <t>Pre-Paid Renewal &amp; Registration</t>
  </si>
  <si>
    <t>Interest Receivable</t>
  </si>
  <si>
    <t>Professional Fees</t>
  </si>
  <si>
    <t>Professional Tax</t>
  </si>
  <si>
    <t>Surplus</t>
  </si>
  <si>
    <t>Other Comprehensive Income</t>
  </si>
  <si>
    <t>Profit on Sales Tax Under P.S.I.Scheme</t>
  </si>
  <si>
    <t>PSI Subsidy</t>
  </si>
  <si>
    <t>Provision for Acturial Gratuity</t>
  </si>
  <si>
    <t>Provision for Depreciation Building</t>
  </si>
  <si>
    <t>Tangible Asset - PFD</t>
  </si>
  <si>
    <t>Provision for Depreciation Factory Building</t>
  </si>
  <si>
    <t>Provision for I.T, A.Y.2017-18</t>
  </si>
  <si>
    <t>Advance Income Tax (A.Y.2022-23)</t>
  </si>
  <si>
    <t>Income Tax Receivable (Refund)</t>
  </si>
  <si>
    <t>Provision For I.T. A.Y, 2005-06</t>
  </si>
  <si>
    <t>Income Tax Refunf A.Y. 2020-21</t>
  </si>
  <si>
    <t>Provision for I.T. A.Y, 2013-14</t>
  </si>
  <si>
    <t>Provision for I.T. A.Y. 2008-09</t>
  </si>
  <si>
    <t>PSI Under Sales Tax Deferal Receivable</t>
  </si>
  <si>
    <t>Purchase Expenses : Chemical</t>
  </si>
  <si>
    <t>Purchase Expenses : Coal</t>
  </si>
  <si>
    <t>Purchase Expenses : Packing Material</t>
  </si>
  <si>
    <t>Purchase Import in Transit</t>
  </si>
  <si>
    <t>Stores &amp; Spares Consumed</t>
  </si>
  <si>
    <t>Agrawal Sales Corporation</t>
  </si>
  <si>
    <t>R.C.CORRUPACK PVT. LTD.</t>
  </si>
  <si>
    <t>R.S. Kraft Papers Ltd</t>
  </si>
  <si>
    <t>Raghav Enterprises</t>
  </si>
  <si>
    <t>Rajesh Gas Agencies</t>
  </si>
  <si>
    <t>Raw Material Sorting Charges</t>
  </si>
  <si>
    <t>RCM CGST PAYABLE</t>
  </si>
  <si>
    <t>RCM IGST PAYABLE</t>
  </si>
  <si>
    <t>RCM SGST PAYABLE</t>
  </si>
  <si>
    <t>CGST @ 9% on OCC Expenses</t>
  </si>
  <si>
    <t>SGST @ 9% on OCC Expenses</t>
  </si>
  <si>
    <t>Renewal &amp; Registration Expenses</t>
  </si>
  <si>
    <t>Repairs &amp; Maintainence - Building</t>
  </si>
  <si>
    <t>Repair &amp; Maintenance to Other Assets</t>
  </si>
  <si>
    <t>Revaluation Reserve</t>
  </si>
  <si>
    <t>ROC Filing Charges</t>
  </si>
  <si>
    <t>ROUNAK STEEL</t>
  </si>
  <si>
    <t>Round Offf</t>
  </si>
  <si>
    <t>S.B.I. Indl.Fin.Br. Trustee HPML Empl.G.G.Scheme</t>
  </si>
  <si>
    <t>Balance With Bank - Current A/c</t>
  </si>
  <si>
    <t>Secured - From Banks - Term Loan</t>
  </si>
  <si>
    <t>Sachin Dehankar</t>
  </si>
  <si>
    <t>Saini Transport Co.</t>
  </si>
  <si>
    <t>Salary Payable</t>
  </si>
  <si>
    <t>Employee Payables</t>
  </si>
  <si>
    <t>Salary to Company Secretary</t>
  </si>
  <si>
    <t>SALES A/C GST</t>
  </si>
  <si>
    <t>Sanjamkaur Saini</t>
  </si>
  <si>
    <t>Securities Premium (351165@25)</t>
  </si>
  <si>
    <t>Securities Premium</t>
  </si>
  <si>
    <t>Security Service Charges</t>
  </si>
  <si>
    <t>SEZ SALE (SPECIAL ECONOMIC ZONE)</t>
  </si>
  <si>
    <t>Shankar Traders (Sale)</t>
  </si>
  <si>
    <t>SHREE FLEX PRINT PVT.LTD.</t>
  </si>
  <si>
    <t>SHREE INDUSTRIES</t>
  </si>
  <si>
    <t>Shri Balaji Tradelink</t>
  </si>
  <si>
    <t>SHUBHAM ENTERPRISES</t>
  </si>
  <si>
    <t>Site Development Expenses (Gardening)</t>
  </si>
  <si>
    <t>SIZE REBATE</t>
  </si>
  <si>
    <t>Snehlata A. Lakhotiya</t>
  </si>
  <si>
    <t>Staff Profession Tax Payable</t>
  </si>
  <si>
    <t>Short Term Borrowings</t>
  </si>
  <si>
    <t>Secured - From Banks - Working Capital Loan</t>
  </si>
  <si>
    <t>State Compensation on Cess</t>
  </si>
  <si>
    <t>Printing &amp; Stationery</t>
  </si>
  <si>
    <t>Statutory Audit Fees (Darak &amp; Asso)</t>
  </si>
  <si>
    <t>Statutory Audit Fees</t>
  </si>
  <si>
    <t>Stock Audit Bank Charges</t>
  </si>
  <si>
    <t>Sumed Borkar</t>
  </si>
  <si>
    <t>Summit Agencies</t>
  </si>
  <si>
    <t>Sunil Nate</t>
  </si>
  <si>
    <t>Suryakant Sadawarti</t>
  </si>
  <si>
    <t>Tanisha Resins P. Ltd., Nagpur</t>
  </si>
  <si>
    <t>TCS Payable ON SALES ( 6 CR)</t>
  </si>
  <si>
    <t>TDS Payable Dealers Commission</t>
  </si>
  <si>
    <t>TDS Payable on Transporter</t>
  </si>
  <si>
    <t>TDSPAYABLE ON REMUNERATION</t>
  </si>
  <si>
    <t>Telephone Charges</t>
  </si>
  <si>
    <t>Telephone Expenses</t>
  </si>
  <si>
    <t>Telephone Charges Payable</t>
  </si>
  <si>
    <t>Testing &amp; Inspection Fees</t>
  </si>
  <si>
    <t>Travelling Expenses</t>
  </si>
  <si>
    <t>Unipack</t>
  </si>
  <si>
    <t>UNIPACK (SALE)</t>
  </si>
  <si>
    <t>Ari Armaturen Steamline LLP,Pune</t>
  </si>
  <si>
    <t>ARYAN PACKAGING INDUSTRIES</t>
  </si>
  <si>
    <t>Balaji Medical Stores</t>
  </si>
  <si>
    <t>CARRIAGE OUTWARD (SALE)</t>
  </si>
  <si>
    <t>Freight on Sales</t>
  </si>
  <si>
    <t>CGST PAYABLE (F.Y. 2021-22)</t>
  </si>
  <si>
    <t>Chaitanya Constructions</t>
  </si>
  <si>
    <t>Choudhary Trading Company</t>
  </si>
  <si>
    <t>Commission on Sales</t>
  </si>
  <si>
    <t>Conquest Enterprises</t>
  </si>
  <si>
    <t>CSR F.Y. 2019-20</t>
  </si>
  <si>
    <t>CUSTOM DUTY A/C.</t>
  </si>
  <si>
    <t>Discount &amp; Billing Diff. On Sales</t>
  </si>
  <si>
    <t>DP Papertech, Pune</t>
  </si>
  <si>
    <t>Earlier Tax Paid</t>
  </si>
  <si>
    <t>ELE+MECH ENGINEERING SOLUTIONS</t>
  </si>
  <si>
    <t>For Addl.FD[MSEB] 2.5Lac: A/c 40198297304</t>
  </si>
  <si>
    <t>FREIGHT CHARGES</t>
  </si>
  <si>
    <t>Gaurav Lakhotiya (Loan A/c)</t>
  </si>
  <si>
    <t>Global Technologies</t>
  </si>
  <si>
    <t>Highrise Transformer</t>
  </si>
  <si>
    <t>I G S T PAYABLE ( F. Y. 2021-22 )</t>
  </si>
  <si>
    <t>I G S T RECEIVABLE ( F.Y. 2021-22 )</t>
  </si>
  <si>
    <t>I-Kcal Systems Engineering LLP</t>
  </si>
  <si>
    <t>Incentive/ Bonus to Contractor</t>
  </si>
  <si>
    <t>Indian Machinery Store</t>
  </si>
  <si>
    <t>Indian Traders</t>
  </si>
  <si>
    <t>Insurance Claim Receivable</t>
  </si>
  <si>
    <t>Interest On Local Body Tax</t>
  </si>
  <si>
    <t>Interest to Bank on T/L ( 73 Lakhs)....9457</t>
  </si>
  <si>
    <t>LAKHOTIYA TRADERS [WP]</t>
  </si>
  <si>
    <t>NARESH CHARDE</t>
  </si>
  <si>
    <t>OSWAL UDHYOG</t>
  </si>
  <si>
    <t>Paharpur Cooling Towers Limited</t>
  </si>
  <si>
    <t>Polypick Engineers Pvt. Ltd., Indore</t>
  </si>
  <si>
    <t>Prakash Kupale</t>
  </si>
  <si>
    <t>Pre-Operative Expenses on Elect Installation</t>
  </si>
  <si>
    <t>Capital WIP</t>
  </si>
  <si>
    <t>Pre-Operative Exp. on Machinery</t>
  </si>
  <si>
    <t>Pre-Operative (Intt &amp; Other ) Expenses</t>
  </si>
  <si>
    <t>Pre-Operative Travelling Expenses</t>
  </si>
  <si>
    <t>PURCHASE  OF HUSK</t>
  </si>
  <si>
    <t>Rishi Kumar Yadav</t>
  </si>
  <si>
    <t>RoDTEP (Export Incentive Scheme) Claim Receivable</t>
  </si>
  <si>
    <t>Import Claim Receivable</t>
  </si>
  <si>
    <t>R.S.KRAFT PAPERS PVT LTD</t>
  </si>
  <si>
    <t>Satish Kalbande</t>
  </si>
  <si>
    <t>S.B.I. ( COVID) A/C. 40590939457 (GECL30%) 73 Lakh</t>
  </si>
  <si>
    <t>S. B I. TERM LOAN  ( 7.75 Cr) A/c 40667225452</t>
  </si>
  <si>
    <t>Seema Enterprises [WP]</t>
  </si>
  <si>
    <t>SGST PAYABLE (F.Y.2021-22)</t>
  </si>
  <si>
    <t>SHRINIWAS ENTERPRISES</t>
  </si>
  <si>
    <t>SHRI RAM PACKERS</t>
  </si>
  <si>
    <t>S S Controls</t>
  </si>
  <si>
    <t>Stamp Paper &amp; Notary Charges</t>
  </si>
  <si>
    <t>Subhash Shirsagar</t>
  </si>
  <si>
    <t>Sunil Nagose</t>
  </si>
  <si>
    <t>T C S F. Y. 2021-22</t>
  </si>
  <si>
    <t>TDS ( A.Y. 2022-23)</t>
  </si>
  <si>
    <t>TDS Payable on Purchase (194Q)</t>
  </si>
  <si>
    <t>Tds Receivable F.Y. 2021-22</t>
  </si>
  <si>
    <t>VIJAY TRADERS WP</t>
  </si>
  <si>
    <t>Vimta Labs Limited</t>
  </si>
  <si>
    <t>W-I-P ELECTRICAL INSTALLATION</t>
  </si>
  <si>
    <t>W - I - P Power Plant</t>
  </si>
  <si>
    <t>Uttam Shetty &amp; Co</t>
  </si>
  <si>
    <t>Vaibhav Enterprises</t>
  </si>
  <si>
    <t>Dashmesh Dhaba (Kondhali Restaurnt)</t>
  </si>
  <si>
    <t>Girish Murarka &amp; Co., Mumbai</t>
  </si>
  <si>
    <t>Interest on GECLBank T/L (1.46 Cr).....1281</t>
  </si>
  <si>
    <t>Jai Hanuman Industries, Nagpur</t>
  </si>
  <si>
    <t>JAYSHREE INDUSTRIES</t>
  </si>
  <si>
    <t>Lathia Rubber Mfg Co Pvt Ltd [Unit : Vapi]</t>
  </si>
  <si>
    <t>NAGPUR AUTO SERVICES</t>
  </si>
  <si>
    <t>S.A. ENTERPRISES</t>
  </si>
  <si>
    <t>S.B.I. ( GECL)  Term Loan A/c 39366011281(1.46 Cr)</t>
  </si>
  <si>
    <t>Vehicle</t>
  </si>
  <si>
    <t>Repairs &amp; Maintainence - Vehicle</t>
  </si>
  <si>
    <t>Vehicle Repair &amp; Maintenance</t>
  </si>
  <si>
    <t>Vidhanis Tradelink Pvt. Ltd.</t>
  </si>
  <si>
    <t>Voith Paper Fabrics India Ltd.</t>
  </si>
  <si>
    <t>Walter &amp; Associates, Mumbai</t>
  </si>
  <si>
    <t>Waste Desposable Expenses(Plastic Dispose)</t>
  </si>
  <si>
    <t>Waste Paper Feeding  Charges</t>
  </si>
  <si>
    <t>Waste Paper Feeding Charges</t>
  </si>
  <si>
    <t>Waste Paper Purchase</t>
  </si>
  <si>
    <t>Western Coal Fields Ltd.</t>
  </si>
  <si>
    <t>W-I-P Building</t>
  </si>
  <si>
    <t>W-I-P Plant &amp; Machinery</t>
  </si>
  <si>
    <t>YASH COMMERCIALS</t>
  </si>
  <si>
    <t>Kessels Engineering Works Pvt. Ltd.</t>
  </si>
  <si>
    <t>AAR Tech Engineering</t>
  </si>
  <si>
    <t>Dr. Final 22-23</t>
  </si>
  <si>
    <t>Cr. Final 22-23</t>
  </si>
  <si>
    <t>Hardoli Paper Mills Ltd.</t>
  </si>
  <si>
    <t>1st Floor Krishna Kunj</t>
  </si>
  <si>
    <t>Bhavsar Chowk C A Road</t>
  </si>
  <si>
    <t>Nagpur</t>
  </si>
  <si>
    <t>CIN: L21010MH1995PLCO85883</t>
  </si>
  <si>
    <t>Trial Balance</t>
  </si>
  <si>
    <t/>
  </si>
  <si>
    <t>Particulars</t>
  </si>
  <si>
    <t>Closing Balance</t>
  </si>
  <si>
    <t>Debit</t>
  </si>
  <si>
    <t>Credit</t>
  </si>
  <si>
    <t>Advance Custom Duty</t>
  </si>
  <si>
    <t>AMASHA LTD</t>
  </si>
  <si>
    <t>AnilKumar M. Lakhotiya (Loan A/c)</t>
  </si>
  <si>
    <t>ANISH TRADERS</t>
  </si>
  <si>
    <t>ASJ Consultancy Pvt. Ltd.</t>
  </si>
  <si>
    <t>AVADHOOT PACKAGING SOLUTIONS PVT LTD.</t>
  </si>
  <si>
    <t>AVADHOOT PACKAGING SOLUTIONS PVT LTD[ WP]</t>
  </si>
  <si>
    <t>Blue International Trading LLC</t>
  </si>
  <si>
    <t>BOOKS NEWS PAPER &amp; PERODICALS</t>
  </si>
  <si>
    <t>BUILDING</t>
  </si>
  <si>
    <t>Cancelled Sales Invoice</t>
  </si>
  <si>
    <t>CASH</t>
  </si>
  <si>
    <t>CGST PAYABLE (F.Y. 2022-23)</t>
  </si>
  <si>
    <t>CGST RECEIVABLE (F.Y. 2022-23)</t>
  </si>
  <si>
    <t>CHOWDHARY PACKAGERS</t>
  </si>
  <si>
    <t>Contribution to P.F. Payable</t>
  </si>
  <si>
    <t>CONVEYANCE EXPENSES</t>
  </si>
  <si>
    <t>COURIER &amp; POSTAGE CHARGES</t>
  </si>
  <si>
    <t>Deposits for Office Premises</t>
  </si>
  <si>
    <t>Deposits for Telephone</t>
  </si>
  <si>
    <t>Deposit with SBI 9 Lac  [MSEB 36la] A/c 41131339460</t>
  </si>
  <si>
    <t>Depreciation on Building</t>
  </si>
  <si>
    <t>Depreciation on Computer</t>
  </si>
  <si>
    <t>Depreciation on Plant &amp; Machinery</t>
  </si>
  <si>
    <t>Eastern Bearings Pvt. Ltd.</t>
  </si>
  <si>
    <t>Eetamax Energy Solutions Pvt. Ltd.</t>
  </si>
  <si>
    <t>Fees to Registrar</t>
  </si>
  <si>
    <t>FINISHED GOODS PACKING &amp; ALLIED PAYABLE</t>
  </si>
  <si>
    <t>Freight on Other Expenses</t>
  </si>
  <si>
    <t>Garima Maheshwari</t>
  </si>
  <si>
    <t>Gratuity to Staff</t>
  </si>
  <si>
    <t>GST TAX Paid on Assesment</t>
  </si>
  <si>
    <t>HARIWANSH PACKAGING PRODUCT[WP]</t>
  </si>
  <si>
    <t>HEMANT MAHURE</t>
  </si>
  <si>
    <t>IGST PAYABLE (F.Y. 2022-23)</t>
  </si>
  <si>
    <t>IGST RECEIVABLE (F. Y. 2022-23)</t>
  </si>
  <si>
    <t>Income Tax Refund (A.Y. 2022-23)</t>
  </si>
  <si>
    <t>INSURANCE CHARGES FOR MARINE</t>
  </si>
  <si>
    <t>Insurance Charges to Other</t>
  </si>
  <si>
    <t>Interest on Staff Professional Tax</t>
  </si>
  <si>
    <t>Interest On TDS</t>
  </si>
  <si>
    <t>Interest to Bank</t>
  </si>
  <si>
    <t>Interest to Others</t>
  </si>
  <si>
    <t>Ishwar Nagose</t>
  </si>
  <si>
    <t>J.S.M. MARKETING, NAGPUR</t>
  </si>
  <si>
    <t>Kailashchandra P. Agrawal (Loan A/c)</t>
  </si>
  <si>
    <t>Machinery Repair &amp; Maint to Electrical</t>
  </si>
  <si>
    <t>Maroti Katlam</t>
  </si>
  <si>
    <t>MEDICAL AIDS TO STAFF</t>
  </si>
  <si>
    <t>Nagpur Techno Marketing P. Ltd.</t>
  </si>
  <si>
    <t>OFFICE CLEANING CHARGES</t>
  </si>
  <si>
    <t>OFFICE ELECTRICITY CHARGES</t>
  </si>
  <si>
    <t>OFFICE MISC. EXPENSES</t>
  </si>
  <si>
    <t>OFFICE RENT</t>
  </si>
  <si>
    <t>OFFICE TEA &amp; OTHER EXP.</t>
  </si>
  <si>
    <t>OMPRAKASH D. RATHI (Loan A/c)</t>
  </si>
  <si>
    <t>Parason Machinery (I) Pvt. Ltd.</t>
  </si>
  <si>
    <t>Payable to Legal &amp; Proff</t>
  </si>
  <si>
    <t>PAYABLE TO RAW MATERIAL SORTING</t>
  </si>
  <si>
    <t>P.M.Logistics</t>
  </si>
  <si>
    <t>POOJA EXPENSES</t>
  </si>
  <si>
    <t>Professional Tax Payable</t>
  </si>
  <si>
    <t>Profit &amp; Loss A/c</t>
  </si>
  <si>
    <t>PROVIDENT FUND CONTRIBUTION EXP.</t>
  </si>
  <si>
    <t>Provision for Depreciation Computer</t>
  </si>
  <si>
    <t>Provision for Depreciation Electrical Installation</t>
  </si>
  <si>
    <t>Provision for Depreciation Furniture &amp; Fixture</t>
  </si>
  <si>
    <t>Provision for Depreciation Office Equipment</t>
  </si>
  <si>
    <t>Provision for Depreciation Plant &amp; Machinery</t>
  </si>
  <si>
    <t>Provision for Depreciation Vehicle</t>
  </si>
  <si>
    <t>Provisions for Gratuity Payable</t>
  </si>
  <si>
    <t>PUNJAB MACHINE TOOLS</t>
  </si>
  <si>
    <t>Purchase Exp. : Husk</t>
  </si>
  <si>
    <t>Purchase of Store</t>
  </si>
  <si>
    <t>Raju Kukde</t>
  </si>
  <si>
    <t>Ramjan Transport</t>
  </si>
  <si>
    <t>RAMKRISHNA FIBERS PVT LTD</t>
  </si>
  <si>
    <t>REMONDIS TRADE &amp; SALES GMBH</t>
  </si>
  <si>
    <t>Remuneration to Directors</t>
  </si>
  <si>
    <t>REPAIR &amp; MAINT. TO BUILDING</t>
  </si>
  <si>
    <t>Riddhi Corporation, Surat</t>
  </si>
  <si>
    <t>Right Issue Share Expenses</t>
  </si>
  <si>
    <t>R.K. Engineering Services</t>
  </si>
  <si>
    <t>SAFETY PACKAGERS (P) LTD.</t>
  </si>
  <si>
    <t>Sai Baba Refrigeration</t>
  </si>
  <si>
    <t>Salary to Factory Adm. Staff</t>
  </si>
  <si>
    <t>Salary to Office Staff</t>
  </si>
  <si>
    <t>Salary to Other Factory Staff</t>
  </si>
  <si>
    <t>Sales Tax Assessment Expenses</t>
  </si>
  <si>
    <t>SALE TRANSIT INSURANCE @0.30%</t>
  </si>
  <si>
    <t>SARTAJ MANINDERSINGH SAINI</t>
  </si>
  <si>
    <t>S.B.I. Add.Term  Loan (1.40lac)A/c.No.41345851422</t>
  </si>
  <si>
    <t>SGST PAYABLE (F.Y. 2022-23)</t>
  </si>
  <si>
    <t>SGST RECEIVABLE (F.Y. 2022-23)</t>
  </si>
  <si>
    <t>S.R. CORE AND CONES</t>
  </si>
  <si>
    <t>STATE BANK OF INDIA C.C.,SME Br.</t>
  </si>
  <si>
    <t>STATIONERY &amp; PRINTING CHARGES</t>
  </si>
  <si>
    <t>Summit Enterprise</t>
  </si>
  <si>
    <t>Sundry Balance W/off</t>
  </si>
  <si>
    <t>Suryoday Textile Factory</t>
  </si>
  <si>
    <t>Tcs (0.1%)</t>
  </si>
  <si>
    <t>T C S ( A.Y. 2023-24)</t>
  </si>
  <si>
    <t>TDS (A.Y. 2023-24)</t>
  </si>
  <si>
    <t>TDS on Purchase @ .1%</t>
  </si>
  <si>
    <t>TDS PAYABLE ON CONTRACTORS</t>
  </si>
  <si>
    <t>TDS PAYABLE ON INTEREST</t>
  </si>
  <si>
    <t>TDS PAYABLE  ON OFFICE RENT</t>
  </si>
  <si>
    <t>TDS  PAYABLE ON  PROFESSIONAL</t>
  </si>
  <si>
    <t>TDS Payable on Salary</t>
  </si>
  <si>
    <t>Tds Receivable F.Y. 2022-23</t>
  </si>
  <si>
    <t>TELEPHONE CHARGES</t>
  </si>
  <si>
    <t>TRADE DISCOUNT</t>
  </si>
  <si>
    <t>Turnkey Inc.</t>
  </si>
  <si>
    <t>Ultraaweather Engineering Services</t>
  </si>
  <si>
    <t>United  Pipe Traders</t>
  </si>
  <si>
    <t>URD Purchase on Packing Material</t>
  </si>
  <si>
    <t>URD Purchase  on Waste Paper</t>
  </si>
  <si>
    <t>VEHICLE DIESEL EXPENSES</t>
  </si>
  <si>
    <t>Virendra Prasad Yadav</t>
  </si>
  <si>
    <t>WAHEGURU ENTERPRISES</t>
  </si>
  <si>
    <t>Walter Advisors Pvt Ltd</t>
  </si>
  <si>
    <t>W M RECYCLE AMERICA LLC</t>
  </si>
  <si>
    <t>WTE Infra Projects Pvt. Ltd.</t>
  </si>
  <si>
    <t>XEROX CHARGES</t>
  </si>
  <si>
    <t>Grand Total</t>
  </si>
  <si>
    <t>Unsecured-From Others</t>
  </si>
  <si>
    <t>Profession Tax</t>
  </si>
  <si>
    <t>(blank)</t>
  </si>
  <si>
    <t>Sum of Dr. Final 22-23</t>
  </si>
  <si>
    <t>Sum of Cr. Final 22-23</t>
  </si>
  <si>
    <t>Property, Plant and Equipment Total</t>
  </si>
  <si>
    <t>Other Financial Assets - Non Current Total</t>
  </si>
  <si>
    <t>Other Non Current Assets Total</t>
  </si>
  <si>
    <t>Financial Assets Total</t>
  </si>
  <si>
    <t>Cash and cash Equivalents Total</t>
  </si>
  <si>
    <t>Other Financial Assets Total</t>
  </si>
  <si>
    <t>Other Current Assets Total</t>
  </si>
  <si>
    <t>Current Tax Assets Total</t>
  </si>
  <si>
    <t>Reserves &amp; Surplus Total</t>
  </si>
  <si>
    <t>Share Capital Total</t>
  </si>
  <si>
    <t>Long Term Borrowings Total</t>
  </si>
  <si>
    <t>Non Current - Provisions Total</t>
  </si>
  <si>
    <t>Deferred Tax Liabilities  Total</t>
  </si>
  <si>
    <t>Short Term Borrowings Total</t>
  </si>
  <si>
    <t>Trade Payables Total</t>
  </si>
  <si>
    <t>Other Financial Liabilities - Current Total</t>
  </si>
  <si>
    <t>Other Current Liabilities Total</t>
  </si>
  <si>
    <t>Short Term Provisions Total</t>
  </si>
  <si>
    <t>Revenue From Operations Total</t>
  </si>
  <si>
    <t>Other Income Total</t>
  </si>
  <si>
    <t>Raw Material Consumed Total</t>
  </si>
  <si>
    <t>Employee Benefit Expenses Total</t>
  </si>
  <si>
    <t>Finance Costs Total</t>
  </si>
  <si>
    <t>Other - Establishment Expenses Total</t>
  </si>
  <si>
    <t>Other - Manufacturing Expenses Total</t>
  </si>
  <si>
    <t>Other - Selling &amp; Distribution Expenses Total</t>
  </si>
  <si>
    <t>Depreciation &amp; Amortisation Total</t>
  </si>
  <si>
    <t>opening stock Total</t>
  </si>
  <si>
    <t>Capital WIP Total</t>
  </si>
  <si>
    <t>Tangible Asset Total</t>
  </si>
  <si>
    <t>Tangible Asset - PFD Total</t>
  </si>
  <si>
    <t>Balance with Bank in Deposit Accounts Total</t>
  </si>
  <si>
    <t>Advance For Capital Goods Total</t>
  </si>
  <si>
    <t>Balance with Government Authorities Total</t>
  </si>
  <si>
    <t>Long Term Deposits Total</t>
  </si>
  <si>
    <t>Trade Receivables Total</t>
  </si>
  <si>
    <t>Balance With Bank - Current A/c Total</t>
  </si>
  <si>
    <t>Cash On Hand Total</t>
  </si>
  <si>
    <t>Loans and Advances to Employees Total</t>
  </si>
  <si>
    <t>Advance to Suppliers Total</t>
  </si>
  <si>
    <t>Import Claim Receivable Total</t>
  </si>
  <si>
    <t>Insurance claim Receivable Total</t>
  </si>
  <si>
    <t>Prepaid Expenses Total</t>
  </si>
  <si>
    <t>Advance Income Tax Total</t>
  </si>
  <si>
    <t>Capital Reserve Total</t>
  </si>
  <si>
    <t>Issued, Subscribed &amp; Paid Up Total</t>
  </si>
  <si>
    <t>Secured - From Banks - Term Loan Total</t>
  </si>
  <si>
    <t>Unsecured-From Others Total</t>
  </si>
  <si>
    <t>Unsecured-From Related Party Total</t>
  </si>
  <si>
    <t>Provision for Employee Benefit Total</t>
  </si>
  <si>
    <t>Deferred Tax Liability Total</t>
  </si>
  <si>
    <t>Secured - From Banks - Working Capital Loan Total</t>
  </si>
  <si>
    <t>Trade Payables - Others Total</t>
  </si>
  <si>
    <t>Employee Payables Total</t>
  </si>
  <si>
    <t>GST Total</t>
  </si>
  <si>
    <t>Profession Tax Total</t>
  </si>
  <si>
    <t>Statutory Dues Total</t>
  </si>
  <si>
    <t>PSI Subsidy Total</t>
  </si>
  <si>
    <t>Sale of Goods - Manufacturing Sales Total</t>
  </si>
  <si>
    <t>Foreign Exchange Fluctuation Gain on RM Total</t>
  </si>
  <si>
    <t>Interest Received Total</t>
  </si>
  <si>
    <t>Raw Material Purchase Total</t>
  </si>
  <si>
    <t>Contribution to Funds Total</t>
  </si>
  <si>
    <t>Salary &amp; Wages Total</t>
  </si>
  <si>
    <t>Staff Welfare Expenses Total</t>
  </si>
  <si>
    <t>Interest Expenses Total</t>
  </si>
  <si>
    <t>Other Borrowing Costs Total</t>
  </si>
  <si>
    <t>Audit Expenses Total</t>
  </si>
  <si>
    <t>Bad Debts Total</t>
  </si>
  <si>
    <t>Bank Commission &amp; Charges Total</t>
  </si>
  <si>
    <t>CSR Expenses Total</t>
  </si>
  <si>
    <t>Donation Total</t>
  </si>
  <si>
    <t>General Expenses Total</t>
  </si>
  <si>
    <t>Insurance Charges Total</t>
  </si>
  <si>
    <t>Internal Audit Fees Total</t>
  </si>
  <si>
    <t>Legal and Professional Charges Total</t>
  </si>
  <si>
    <t>Listing Expenses Total</t>
  </si>
  <si>
    <t>Office Expenses Total</t>
  </si>
  <si>
    <t>Printing &amp; Stationery Total</t>
  </si>
  <si>
    <t>Rates &amp; Taxes Total</t>
  </si>
  <si>
    <t>Rent Expense Total</t>
  </si>
  <si>
    <t>Repairs &amp; Maintainence - Others Total</t>
  </si>
  <si>
    <t>Repairs &amp; Maintainence - Vehicle Total</t>
  </si>
  <si>
    <t>Statutory Audit Fees Total</t>
  </si>
  <si>
    <t>Telephone Expenses Total</t>
  </si>
  <si>
    <t>Travelling and Conveyance Expense Total</t>
  </si>
  <si>
    <t>Factory Expenses Total</t>
  </si>
  <si>
    <t>Finished Goods Packing and Allied Charges Total</t>
  </si>
  <si>
    <t>Packing Material Purchase Total</t>
  </si>
  <si>
    <t>Power and Fuel Total</t>
  </si>
  <si>
    <t>Raw Material Sorting Charges Total</t>
  </si>
  <si>
    <t>Repairs &amp; Maintainence - Building Total</t>
  </si>
  <si>
    <t>Repairs &amp; Maintainence - Machinery Total</t>
  </si>
  <si>
    <t>Security Service Charges Total</t>
  </si>
  <si>
    <t>Stores &amp; Spares Consumed Total</t>
  </si>
  <si>
    <t>Waste Paper Feeding Charges Total</t>
  </si>
  <si>
    <t>Advertisement Expenses Total</t>
  </si>
  <si>
    <t>Clearing &amp; Forwarding Expenses Total</t>
  </si>
  <si>
    <t>Commission on Sales Total</t>
  </si>
  <si>
    <t>Freight on Sales Total</t>
  </si>
  <si>
    <t>Insurance on Sales Total</t>
  </si>
  <si>
    <t>Depreciation Total</t>
  </si>
  <si>
    <t>General Reserve Total</t>
  </si>
  <si>
    <t>Securities Premium Total</t>
  </si>
  <si>
    <t>Surplus Total</t>
  </si>
  <si>
    <t>HARDOLI PAPER MILLS LIMITED</t>
  </si>
  <si>
    <t>Note No.</t>
  </si>
  <si>
    <t xml:space="preserve">As At </t>
  </si>
  <si>
    <t>March 31, 2023 (₹)</t>
  </si>
  <si>
    <t>March 31, 2022 (₹)</t>
  </si>
  <si>
    <t>ASSETS</t>
  </si>
  <si>
    <t>Non-current assets</t>
  </si>
  <si>
    <t>Capital work-in-progress</t>
  </si>
  <si>
    <t xml:space="preserve"> (i) Deposits</t>
  </si>
  <si>
    <t>Other Non-current assets</t>
  </si>
  <si>
    <t>Total Non-current assets</t>
  </si>
  <si>
    <t>Current assets</t>
  </si>
  <si>
    <t>Inventories</t>
  </si>
  <si>
    <t xml:space="preserve">    (i) Trade receivables</t>
  </si>
  <si>
    <t xml:space="preserve">    (ii) Cash and cash equivalents</t>
  </si>
  <si>
    <t>Other current assets</t>
  </si>
  <si>
    <t>Current Tax assets (Net)</t>
  </si>
  <si>
    <t>Total Assets</t>
  </si>
  <si>
    <t>EQUITY AND LIABILITIES</t>
  </si>
  <si>
    <t>Equity</t>
  </si>
  <si>
    <t xml:space="preserve">    Equity Share capital</t>
  </si>
  <si>
    <t xml:space="preserve">    Other Equity</t>
  </si>
  <si>
    <t xml:space="preserve">Total Equity </t>
  </si>
  <si>
    <t>Non-current liabilities</t>
  </si>
  <si>
    <t>Financial Liabilities</t>
  </si>
  <si>
    <t>(i) Borrowings</t>
  </si>
  <si>
    <t>(ii) Provisions</t>
  </si>
  <si>
    <t>Deferred tax liabilities (Net)</t>
  </si>
  <si>
    <t>Current liabilities</t>
  </si>
  <si>
    <t>(ii) Trade payables</t>
  </si>
  <si>
    <t>(iii) Other financial liabilities</t>
  </si>
  <si>
    <t xml:space="preserve"> Other current liabilities</t>
  </si>
  <si>
    <t>Provisions</t>
  </si>
  <si>
    <t>Total Current liabilities</t>
  </si>
  <si>
    <t>Total Equity and Liabilities</t>
  </si>
  <si>
    <t xml:space="preserve">Significant accounting policies &amp; Notes to Accounts </t>
  </si>
  <si>
    <t>The accompanying notes are an integral part of these standalone financial statements.</t>
  </si>
  <si>
    <t>As per our report of even date</t>
  </si>
  <si>
    <t>For and on behalf of the Board</t>
  </si>
  <si>
    <t>FOR DARAK AND ASSOCIATES</t>
  </si>
  <si>
    <t>ANIL KUMAR LAKHOTIYA - MANAGING  DIRECTOR</t>
  </si>
  <si>
    <t>CHARTERED ACCOUNTANTS</t>
  </si>
  <si>
    <t>(DIN:00367361)</t>
  </si>
  <si>
    <t>FIRM REGISTRATION NO.: 132818W</t>
  </si>
  <si>
    <t>KAILASH AGARWAL - WHOLE TIME DIRECTOR</t>
  </si>
  <si>
    <t>(DIN:00367292)</t>
  </si>
  <si>
    <t>PARTNER</t>
  </si>
  <si>
    <t>JARNAIL SINGH SAINI - CHIEF FINANCIAL OFFICER &amp; EXECUTIVE DIRECTOR</t>
  </si>
  <si>
    <t>Place: Nagpur</t>
  </si>
  <si>
    <t>(DIN:00367656)</t>
  </si>
  <si>
    <t>OMPRAKASH RATHI - WHOLE TIME DIRECTOR</t>
  </si>
  <si>
    <t>(DIN:00895316)</t>
  </si>
  <si>
    <t>MAYANK LUNIYA - COMPANY SECRETARY</t>
  </si>
  <si>
    <t>NOTE</t>
  </si>
  <si>
    <t>Year Ended</t>
  </si>
  <si>
    <t xml:space="preserve"> </t>
  </si>
  <si>
    <t xml:space="preserve"> Revenue From Operations</t>
  </si>
  <si>
    <t xml:space="preserve"> Other Income</t>
  </si>
  <si>
    <t xml:space="preserve">Total Income </t>
  </si>
  <si>
    <t>EXPENSES</t>
  </si>
  <si>
    <t>Cost of materials consumed</t>
  </si>
  <si>
    <t>Trading Purchase</t>
  </si>
  <si>
    <t>Changes in inventories of finished goods</t>
  </si>
  <si>
    <t>Employee benefits expense</t>
  </si>
  <si>
    <t>Finance costs</t>
  </si>
  <si>
    <t>Depreciation and amortization expense</t>
  </si>
  <si>
    <t>Other expenses</t>
  </si>
  <si>
    <t xml:space="preserve">Total expenses </t>
  </si>
  <si>
    <t xml:space="preserve">Profit/(loss) before exceptional items and tax </t>
  </si>
  <si>
    <t>Exceptional Item</t>
  </si>
  <si>
    <t xml:space="preserve">Profit/(loss) before tax </t>
  </si>
  <si>
    <t>Tax expense:</t>
  </si>
  <si>
    <t>(1) Current tax</t>
  </si>
  <si>
    <t>(2) Earlier Year Taxes</t>
  </si>
  <si>
    <t>(4) Deferred tax</t>
  </si>
  <si>
    <t>Profit (Loss) for the year</t>
  </si>
  <si>
    <t>A (i) Items that will not be reclassified to profit or loss</t>
  </si>
  <si>
    <t>(ii) Income tax relating to items that will not be reclassified to profit or loss</t>
  </si>
  <si>
    <t>B (i) Items that will be reclassified to profit or loss</t>
  </si>
  <si>
    <t xml:space="preserve">Total other Comprehensive Income </t>
  </si>
  <si>
    <t xml:space="preserve">Total Comprehensive Income for the year </t>
  </si>
  <si>
    <t xml:space="preserve"> 1) Basic EPS</t>
  </si>
  <si>
    <t xml:space="preserve"> 1) Diluted EPS</t>
  </si>
  <si>
    <t xml:space="preserve">A. Equity Share Capital </t>
  </si>
  <si>
    <t>Balance at the beginning of the year</t>
  </si>
  <si>
    <t>Changes in the Equity Share Capital during the year</t>
  </si>
  <si>
    <t>Balance at the end of the year</t>
  </si>
  <si>
    <t>B. Other Equity</t>
  </si>
  <si>
    <t>Opening Balance</t>
  </si>
  <si>
    <t>Changes in accounting policy or prior  period errors</t>
  </si>
  <si>
    <t>Restated balance at the beginning of the  reporting period</t>
  </si>
  <si>
    <t>Movement during the year'</t>
  </si>
  <si>
    <t>Revaluation Surplus</t>
  </si>
  <si>
    <t>Additions During the year</t>
  </si>
  <si>
    <t>Retained Earnings</t>
  </si>
  <si>
    <t>Change in PY Provision for Income Tax</t>
  </si>
  <si>
    <t>Profit for the year</t>
  </si>
  <si>
    <t>Other Comprehensive Income for the year</t>
  </si>
  <si>
    <t>Total Comprehensive Income for the year</t>
  </si>
  <si>
    <t>Transactions with owners in capacity as owners</t>
  </si>
  <si>
    <t>Dividends (including tax on dividend)</t>
  </si>
  <si>
    <t>Transfer to retained earnings</t>
  </si>
  <si>
    <t>Bonus shares, if any</t>
  </si>
  <si>
    <t>NOTE 3 : DEPOSITS (FINANCIAL ASSETS)</t>
  </si>
  <si>
    <t>(Unsecured, considered good unless otherwise stated)</t>
  </si>
  <si>
    <t>Long term Deposit with Banks maturing after 12 months</t>
  </si>
  <si>
    <t>Fixed deposits are lien marked for total facility against the said fixed deposit.</t>
  </si>
  <si>
    <t xml:space="preserve">NOTE 4 : OTHER NON CURRENT ASSETS </t>
  </si>
  <si>
    <t>Advance for Capital Goods</t>
  </si>
  <si>
    <t>NOTE 5 :INVENTORIES</t>
  </si>
  <si>
    <t>(Valued at cost or net realisable value whichever is less)</t>
  </si>
  <si>
    <t>Raw Materials</t>
  </si>
  <si>
    <t xml:space="preserve">Stores, Packing Material &amp; Fuel </t>
  </si>
  <si>
    <t xml:space="preserve">Finished Goods </t>
  </si>
  <si>
    <t>(Note- Inventories have been hypothecated with banks against cash credit facility.)</t>
  </si>
  <si>
    <t>NOTE 6 :TRADE RECEIVABLES</t>
  </si>
  <si>
    <t>Trade Receivable ageing schedule</t>
  </si>
  <si>
    <t>Outstanding for following periods from due date of payment - March 31,2023</t>
  </si>
  <si>
    <t>&lt;6 Months</t>
  </si>
  <si>
    <t>6Month-1Year</t>
  </si>
  <si>
    <t>1-2 Years</t>
  </si>
  <si>
    <t>More than 2 Years</t>
  </si>
  <si>
    <t>Total</t>
  </si>
  <si>
    <t>(i) Undisputed Trade receivables -considered good</t>
  </si>
  <si>
    <t>(i) Undisputed Trade receivables -considered doubtful</t>
  </si>
  <si>
    <t>(iii) Disputed trade receivables  considered good</t>
  </si>
  <si>
    <t>(iv) Disputed trade receivables  considered doubtful</t>
  </si>
  <si>
    <t>(i) Undisputed Trade Receivables - Considered Good</t>
  </si>
  <si>
    <t>(ii) Undisputed Trade Receivables - which have significant increase in credit risk.</t>
  </si>
  <si>
    <t>(iii)Undisputed Trade Receivables - Credit Impaired</t>
  </si>
  <si>
    <t>Note- A) Trade Receivables  have been hypothecated with banks against cash credit facility.</t>
  </si>
  <si>
    <t>NOTE 7 :CASH AND CASH EQUIVALENTS</t>
  </si>
  <si>
    <t>Cash and Cash Equivalents</t>
  </si>
  <si>
    <t>Cash on Hand</t>
  </si>
  <si>
    <t>Balances with Banks</t>
  </si>
  <si>
    <t>Current Account</t>
  </si>
  <si>
    <t>Unsecured &amp; Considered Good</t>
  </si>
  <si>
    <t>Loans &amp; Advances to Employees</t>
  </si>
  <si>
    <t>PSI Under Sales Tax receivable</t>
  </si>
  <si>
    <t xml:space="preserve">Advance to Suppliers </t>
  </si>
  <si>
    <t xml:space="preserve">Insurance Claim Receivable </t>
  </si>
  <si>
    <t>Income Tax Receivables (Net)</t>
  </si>
  <si>
    <t>AUTHORISED CAPITAL</t>
  </si>
  <si>
    <t>35,00,000 Equity Shares of Rs.10/- each (35,00,000 Equity Shares of Rs.10/- each)</t>
  </si>
  <si>
    <t>ISSUED, SUBSCRIBED AND PAID UP CAPITAL</t>
  </si>
  <si>
    <t>26,92,265 Equity Shares of Rs.10/- each fully paid up (26,92,265 Equity Shares of Rs.10/- each fully paid up)</t>
  </si>
  <si>
    <t>a. Details of shareholders holding more than 5% shares in the company</t>
  </si>
  <si>
    <t>NAME OF SHAREHOLDER</t>
  </si>
  <si>
    <t>31.03.2022</t>
  </si>
  <si>
    <t>31.03.2021</t>
  </si>
  <si>
    <t>% Held</t>
  </si>
  <si>
    <t>No.of Shares</t>
  </si>
  <si>
    <t>Omprakash Damodar Rathi</t>
  </si>
  <si>
    <t xml:space="preserve">Kailash P. Agarwal </t>
  </si>
  <si>
    <t>Akshay Omprakash Rathi</t>
  </si>
  <si>
    <t>Anil Kumar Lakhotiya</t>
  </si>
  <si>
    <t xml:space="preserve">Mangla Omprakash Rathi  </t>
  </si>
  <si>
    <t>Anilkumar Lakhotiya HUF</t>
  </si>
  <si>
    <t>b. Reconciliation of the number of shares outstanding at the beginning and at the end of the reporting period</t>
  </si>
  <si>
    <t>Equity Shares at the beginning of the year</t>
  </si>
  <si>
    <t>Add: Shares issued during the year</t>
  </si>
  <si>
    <t>Equity Shares at the end of the year</t>
  </si>
  <si>
    <t>d. Rights, preferences and restrictions attached to shares</t>
  </si>
  <si>
    <t>Equity shares</t>
  </si>
  <si>
    <t>e. Details of Shares held by promoters:-</t>
  </si>
  <si>
    <t>As at March 31, 2023</t>
  </si>
  <si>
    <t>No. of Shares at the beginning of the year</t>
  </si>
  <si>
    <t>Change during the year</t>
  </si>
  <si>
    <t>No. of shares at the end of the year</t>
  </si>
  <si>
    <t>% of Total Shares</t>
  </si>
  <si>
    <t>Omprakash Rathi</t>
  </si>
  <si>
    <t>Kailash Purushottam Agrawal</t>
  </si>
  <si>
    <t>Anilkumar Murarilal Lakhotiya</t>
  </si>
  <si>
    <t>Jarnailsingh Gurdasssingh Saini</t>
  </si>
  <si>
    <t>Kamalkumar Kailash Agrawal</t>
  </si>
  <si>
    <t>Rajindrsingh Bishansingh Saini</t>
  </si>
  <si>
    <t>Rajiv Behal</t>
  </si>
  <si>
    <t xml:space="preserve">Secured </t>
  </si>
  <si>
    <t xml:space="preserve">From Banks </t>
  </si>
  <si>
    <t>Term Loan from Bank (Refer Note. 18)</t>
  </si>
  <si>
    <t>WCTL from Bank (Refer Note. 18)</t>
  </si>
  <si>
    <t>Unsecured Loans</t>
  </si>
  <si>
    <t>From Others</t>
  </si>
  <si>
    <t>Employee Benefits</t>
  </si>
  <si>
    <t>Deferred Tax</t>
  </si>
  <si>
    <t>Nature of Timing Difference</t>
  </si>
  <si>
    <t>Property Plant &amp; Equipment</t>
  </si>
  <si>
    <t>Total  Deferred Tax liability</t>
  </si>
  <si>
    <t>From Banks</t>
  </si>
  <si>
    <t>Working Capital Facilities</t>
  </si>
  <si>
    <t>Total outstanding due to micro, small and medium enterprise</t>
  </si>
  <si>
    <t>Total outstanding dues other than micro enterprises &amp; small enterprises</t>
  </si>
  <si>
    <t>(i) MSME</t>
  </si>
  <si>
    <t>(ii) Others</t>
  </si>
  <si>
    <t>(iii) Disputed dues- MSME</t>
  </si>
  <si>
    <t>(iv) Disputed dues - Others</t>
  </si>
  <si>
    <t>Not Due</t>
  </si>
  <si>
    <t>The Principal amount and interest due there on remaining unpaid to suppliers under MSMED Act:</t>
  </si>
  <si>
    <t>2022-23</t>
  </si>
  <si>
    <t>2021-22</t>
  </si>
  <si>
    <t>Principle</t>
  </si>
  <si>
    <t>Interest</t>
  </si>
  <si>
    <t>iv) The amount of interest accrued and remaining unpaid at the end of each accounting year.</t>
  </si>
  <si>
    <t>v) The amount of further interest remaining due and payable even in the succeeding years until such date when the interest dues as above are actually paid to the small enterprise for the purpose of disallowance as a deductible expenditure under section 23 of MSMED Act,2006.</t>
  </si>
  <si>
    <t>Current Portion of Long Term Borrowings (Refer Note. 13)</t>
  </si>
  <si>
    <t xml:space="preserve"> - Term Loan from Bank</t>
  </si>
  <si>
    <t xml:space="preserve"> - WCTL from Bank</t>
  </si>
  <si>
    <t>Remuneration Payable</t>
  </si>
  <si>
    <t>Bonus, Leave Encashment Payable</t>
  </si>
  <si>
    <t>Current Provision for Gratuity (Refer Note 34)</t>
  </si>
  <si>
    <t>Sale of Products</t>
  </si>
  <si>
    <t xml:space="preserve">     - Manufacturing Sales</t>
  </si>
  <si>
    <t>Other Operating Revenue</t>
  </si>
  <si>
    <t xml:space="preserve">     - PSI Subsidy</t>
  </si>
  <si>
    <t>Gain /(Loss) on Foreign Exchange Fluctuation</t>
  </si>
  <si>
    <t>Interest Income</t>
  </si>
  <si>
    <t>Add:  Purchases</t>
  </si>
  <si>
    <t xml:space="preserve">Less: Closing Stock </t>
  </si>
  <si>
    <t>Less : Closing Stock</t>
  </si>
  <si>
    <t>Other Borrowing Cost</t>
  </si>
  <si>
    <t>MANUFACTURING EXPENSES</t>
  </si>
  <si>
    <t>Packing Material Consumed</t>
  </si>
  <si>
    <t>Power and Fuel Consumed</t>
  </si>
  <si>
    <t>Repairs &amp; Maintenance</t>
  </si>
  <si>
    <t xml:space="preserve">     - Machinery</t>
  </si>
  <si>
    <t xml:space="preserve">      - Building</t>
  </si>
  <si>
    <t>Waste paper Feeding Charges</t>
  </si>
  <si>
    <t>( A )</t>
  </si>
  <si>
    <t>ESTABLISHMENT EXPENSES</t>
  </si>
  <si>
    <t>Auditors Remuneration</t>
  </si>
  <si>
    <t xml:space="preserve">Bad Debts </t>
  </si>
  <si>
    <t>CSR Expenses (Refer Note 37)</t>
  </si>
  <si>
    <t>Legal &amp; Professional Charges</t>
  </si>
  <si>
    <t>Listing Expense</t>
  </si>
  <si>
    <t xml:space="preserve">    - Vehicle </t>
  </si>
  <si>
    <t xml:space="preserve">    - Others</t>
  </si>
  <si>
    <t>Rent for Office Premises</t>
  </si>
  <si>
    <t>Travelling &amp; Conveyance</t>
  </si>
  <si>
    <t>( B )</t>
  </si>
  <si>
    <t>SELLING &amp; DISTRIBUTION EXPENSES</t>
  </si>
  <si>
    <t xml:space="preserve">Advertisement </t>
  </si>
  <si>
    <t>Commission on sales</t>
  </si>
  <si>
    <t>( C )</t>
  </si>
  <si>
    <t>( A+ B + C )</t>
  </si>
  <si>
    <t>A (i)Items that will not be reclassified in the profit &amp; loss</t>
  </si>
  <si>
    <t>Remeasurement of defined benefit liabilities</t>
  </si>
  <si>
    <t>B (i) Items that will be reclassified to the profit &amp; loss</t>
  </si>
  <si>
    <t xml:space="preserve">(ii) Income tax relating to items that will  be reclassified to profit or loss </t>
  </si>
  <si>
    <t>Total (A+B)</t>
  </si>
  <si>
    <t>Net Profit after tax from continuing operation</t>
  </si>
  <si>
    <t>Weighted average number of Equity shares outstanding (Face Value of ₹ 10 per Eq. Share)</t>
  </si>
  <si>
    <t>Earning per share</t>
  </si>
  <si>
    <t>Diluted Earning per Share</t>
  </si>
  <si>
    <t>A. CIF VALUE OF IMPORTS</t>
  </si>
  <si>
    <t>Raw Material - Waste Paper</t>
  </si>
  <si>
    <t>Capital Goods (Capital WIP)</t>
  </si>
  <si>
    <t>Stores &amp; Spare Parts</t>
  </si>
  <si>
    <t>B. STOCKS</t>
  </si>
  <si>
    <t>RAW MATERIAL</t>
  </si>
  <si>
    <t>Waste Paper</t>
  </si>
  <si>
    <t>Chemicals</t>
  </si>
  <si>
    <t>C. FINISHED GOODS</t>
  </si>
  <si>
    <t>Kraft Paper</t>
  </si>
  <si>
    <t>D. VALUE OF RAW MATERIAL, STORES &amp; SPARES CONSUMPTION:</t>
  </si>
  <si>
    <t>Imported</t>
  </si>
  <si>
    <t>Raw Material</t>
  </si>
  <si>
    <t>Value</t>
  </si>
  <si>
    <t>Percentage of Total Consumption</t>
  </si>
  <si>
    <t>Indigenous</t>
  </si>
  <si>
    <t>E. SALES</t>
  </si>
  <si>
    <t>Manufacturing Sales (Net of Taxes)</t>
  </si>
  <si>
    <t>Audit fee</t>
  </si>
  <si>
    <t>Notes</t>
  </si>
  <si>
    <t>a) Trade Receivables</t>
  </si>
  <si>
    <t>b) Cash and Cash Equivalents</t>
  </si>
  <si>
    <t>a) Borrowings</t>
  </si>
  <si>
    <t>b) Trade Payables</t>
  </si>
  <si>
    <t>c) Other Financial Liabilities</t>
  </si>
  <si>
    <t>Fair value hierarchy and method of valuation</t>
  </si>
  <si>
    <t>The company considers that the carrying value amount recognised in the financial statements approximate the fair value largely due to the short term maturities of these instruments.</t>
  </si>
  <si>
    <t>Risk Management Framework</t>
  </si>
  <si>
    <t>The company's principle financial liabilities includes borrowings, trade and other payables. The company's principal financial assets includes loans, cash and cash equivalents and others. The company is exposed to credit risk, liquidity risk and market risk. The company's senior management oversees the management of these risks. The Company's senior management provides assurance that the Company's financial risk activities are governed by appropriate policies and procedures and that financial risks are identified, measured and managed in accordance with the company's policies and risk objectives.</t>
  </si>
  <si>
    <t>Financial Risk Management</t>
  </si>
  <si>
    <t>The Company has exposure to the following risks arising from financial instruments:</t>
  </si>
  <si>
    <r>
      <t>i)</t>
    </r>
    <r>
      <rPr>
        <b/>
        <sz val="14"/>
        <rFont val="Calibri"/>
        <family val="2"/>
        <scheme val="minor"/>
      </rPr>
      <t xml:space="preserve"> Credit Risk :</t>
    </r>
    <r>
      <rPr>
        <sz val="14"/>
        <rFont val="Calibri"/>
        <family val="2"/>
        <scheme val="minor"/>
      </rPr>
      <t xml:space="preserve"> Credit risk is the risk of financial loss to the Company if a customer or counterparty to a financial instrument fails to meet its contractual obligations and arises principally from the Company's receivables from customers, investment in inter corporate deposit and loans given to related parties.</t>
    </r>
  </si>
  <si>
    <t>The carrying amount of following financial assets represents the maximum credit exposure:</t>
  </si>
  <si>
    <r>
      <t xml:space="preserve">Trade receivables : </t>
    </r>
    <r>
      <rPr>
        <sz val="14"/>
        <rFont val="Calibri"/>
        <family val="2"/>
        <scheme val="minor"/>
      </rPr>
      <t>The Company’s exposure to credit risk is influenced mainly by the individual characteristics of each customer. Each outstanding customer receivables are regularly monitored and if outstanding is above due date, the further sales are controlled and can only be released if there is a proper justification. No impairment is observed in the carrying value of trade receivables.</t>
    </r>
  </si>
  <si>
    <r>
      <t xml:space="preserve">Other Financial Assets: </t>
    </r>
    <r>
      <rPr>
        <sz val="14"/>
        <rFont val="Calibri"/>
        <family val="2"/>
        <scheme val="minor"/>
      </rPr>
      <t xml:space="preserve">Credit risk from balances with banks and loans, advances are managed by responsible and authorised person of the Company. Investments of surplus funds are made only with approved counterparties. </t>
    </r>
  </si>
  <si>
    <t>The Management monitors rolling forecasts of the Company's liquidity position on the basis of expected cash flows. The Company’s objective is to maintain a balance between continuity of funding and flexibility through the use of surplus funds and inter-corporate loans.</t>
  </si>
  <si>
    <r>
      <t xml:space="preserve">a) </t>
    </r>
    <r>
      <rPr>
        <b/>
        <sz val="14"/>
        <rFont val="Calibri"/>
        <family val="2"/>
        <scheme val="minor"/>
      </rPr>
      <t xml:space="preserve">Foreign currency risk </t>
    </r>
    <r>
      <rPr>
        <sz val="14"/>
        <rFont val="Calibri"/>
        <family val="2"/>
        <scheme val="minor"/>
      </rPr>
      <t>is the risk that the value of financial instruments will fluctuate due to changes in foreign exchange rates. It arises mainly where receivables and payables exist due to transactions entered in foreign currencies.</t>
    </r>
  </si>
  <si>
    <r>
      <t>b)</t>
    </r>
    <r>
      <rPr>
        <b/>
        <sz val="14"/>
        <rFont val="Calibri"/>
        <family val="2"/>
        <scheme val="minor"/>
      </rPr>
      <t xml:space="preserve"> Interest rate risk :</t>
    </r>
    <r>
      <rPr>
        <sz val="14"/>
        <rFont val="Calibri"/>
        <family val="2"/>
        <scheme val="minor"/>
      </rPr>
      <t xml:space="preserve"> Interest rate risk is the risk that the future cash flows of a financial instrument will fluctuate because of changes in market interest rates. The Company’s main interest rate risk arises from long-term borrowings with variable rates, which expose the Company to cash flow interest rate risk.</t>
    </r>
  </si>
  <si>
    <t>Exposure to interest rate risk</t>
  </si>
  <si>
    <t>The Company’s interest rate risk arises majorly from the term loans from banks carrying floating rate of interest. These obligations exposes the Company to cash flow interest rate risk. The exposure of the Company’s borrowing to interest rate changes as reported to the management at the end of the reporting period are as follows:</t>
  </si>
  <si>
    <t>Particulars Variable - rate Instruments</t>
  </si>
  <si>
    <t>Term Loan including WCTL  from Bank</t>
  </si>
  <si>
    <t>Current Borrowings (Working Capital Facility)</t>
  </si>
  <si>
    <t>Current maturities of non-current borrowings</t>
  </si>
  <si>
    <t>For the purpose of the Company’s capital management, capital includes issued equity share capital, share premium and all other equity reserves attributable to the equity holders. The primary objective of the management of the Company’s capital structure is to maintain an efficient mix of debt and equity in order to achieve a low cost of capital, while taking into account the desirability of retaining financial flexibility to pursue business opportunities and adequate access to liquidity to mitigate the effect of unforeseen events on cash flows.</t>
  </si>
  <si>
    <t>The Company manages its capital structure and makes adjustments to it in light of changes in economic conditions. To maintain or adjust the capital structure, the Company may return capital to shareholders, raise new debt or issue new shares.</t>
  </si>
  <si>
    <t>The Company monitors capital on the basis of the debt to capital ratio, which is calculated as interest-bearing debts divided by total capital (equity attributable to owners of the parent plus interest-bearing debts)</t>
  </si>
  <si>
    <t>(a) Defined Benefit Plans:</t>
  </si>
  <si>
    <t>Gratuity Fund</t>
  </si>
  <si>
    <t>The present value of the defined benefit obligations and the related current service cost were measured using the Projected Unit Credit Method, with actuarial valuations being carried out at each balance sheet date. The following table provides the disclosures in accordance with IND AS 19.</t>
  </si>
  <si>
    <t>Reconciliation of present value of the obligation and the fair value of plan assets</t>
  </si>
  <si>
    <t>Obligation at period beginning</t>
  </si>
  <si>
    <t>Current service cost</t>
  </si>
  <si>
    <t>Past Service Cost</t>
  </si>
  <si>
    <t>Interest Cost</t>
  </si>
  <si>
    <t>Actuarial (gain) /  loss</t>
  </si>
  <si>
    <t>Benefits paid</t>
  </si>
  <si>
    <t>Actuarial (gain) /  loss due to Experience</t>
  </si>
  <si>
    <t>Obligations at the year end</t>
  </si>
  <si>
    <t>Change in Plan Assets</t>
  </si>
  <si>
    <t>Plan assets at period beginning, at fair value</t>
  </si>
  <si>
    <t>Expected return on plan assets</t>
  </si>
  <si>
    <t>Actuarial gain /  (loss)</t>
  </si>
  <si>
    <t>Contributions</t>
  </si>
  <si>
    <t>Plan assets at the year end, at fair value</t>
  </si>
  <si>
    <t>Fair Value of plan assets at the end of the year</t>
  </si>
  <si>
    <t>Present value of the defined benefit obligations at the end of the year</t>
  </si>
  <si>
    <t>Liabilities/(Assets) recognised in the Balance Sheet</t>
  </si>
  <si>
    <t>Cost for the year</t>
  </si>
  <si>
    <t>Net Cost recognised in the Statement of Profit and Loss</t>
  </si>
  <si>
    <t>Assumptions used to determine the benefit obligation:</t>
  </si>
  <si>
    <t>Discount Rate</t>
  </si>
  <si>
    <t>Estimated rate of return on plan assets</t>
  </si>
  <si>
    <t>Expected rate of increase in salary</t>
  </si>
  <si>
    <t>Attrition Rate</t>
  </si>
  <si>
    <t>Actual return on plan assets</t>
  </si>
  <si>
    <t>(b) Provident Fund</t>
  </si>
  <si>
    <t>“Contribution to provident and other funds” is recognised as an expense in the Statement of Profit and Loss.</t>
  </si>
  <si>
    <t>NOTE 35 :</t>
  </si>
  <si>
    <t>Directors/ Key Management Personnel</t>
  </si>
  <si>
    <t>Mr. Kailash Chand Agarwal</t>
  </si>
  <si>
    <t>Mr. Anil kumar Lakhotiya</t>
  </si>
  <si>
    <t>Mr. Jarnailsingh Saini</t>
  </si>
  <si>
    <t>Mr. Omprakash D. Rathi</t>
  </si>
  <si>
    <t>Enterprises in which there is a significant influence of Members/Directors</t>
  </si>
  <si>
    <t>Kaygaon Paper Mills Private Limited</t>
  </si>
  <si>
    <t>Saini Transport Company</t>
  </si>
  <si>
    <t>Chandra Sales Corporation</t>
  </si>
  <si>
    <t>Chandra Coal Private Limited</t>
  </si>
  <si>
    <t>Others</t>
  </si>
  <si>
    <t>(a) Director's &amp;  Key Management Personnel Relative</t>
  </si>
  <si>
    <t>Mr. Sartaj Manindersingh Saini</t>
  </si>
  <si>
    <t>Mrs. Anita Lakhotiya</t>
  </si>
  <si>
    <t xml:space="preserve">Mrs. Sushil Kaur Saini </t>
  </si>
  <si>
    <t>Mrs. Kajal Sanjay Agarwal</t>
  </si>
  <si>
    <t>Mr. Karnailsingh Saini</t>
  </si>
  <si>
    <t>Mr. Kailash Kaur</t>
  </si>
  <si>
    <t>Mr. Baljit Singh Saini</t>
  </si>
  <si>
    <t>Mrs. Snehlata A Lakhotiya</t>
  </si>
  <si>
    <t>Mr. Kuldeepsingh Saini</t>
  </si>
  <si>
    <t>Mrs. Hazelkaur Manindersingh Saini</t>
  </si>
  <si>
    <t>Mrs. Baljit Kaur</t>
  </si>
  <si>
    <t>Mrs. Sanjamkaur Saini</t>
  </si>
  <si>
    <t>Ms. Navita K. Agrawal</t>
  </si>
  <si>
    <t>Mr. Prakashkaur Saini</t>
  </si>
  <si>
    <t>Mrs. Amarjit kaur Saini</t>
  </si>
  <si>
    <t>Gurmitsingh Gurdassingh (HUF)</t>
  </si>
  <si>
    <t>Mrs.Satnamkaur Karnail Singh Saini</t>
  </si>
  <si>
    <t>Mr. Gaurav A Lakhotiya</t>
  </si>
  <si>
    <t>Karnail singh Gurudassingh (HUF)</t>
  </si>
  <si>
    <t>Mrs. Garima  Maheswari</t>
  </si>
  <si>
    <t>Disclosure of material transaction with related parties</t>
  </si>
  <si>
    <t>RELATED PARTY TRANSACTIONS DURING THE YEAR</t>
  </si>
  <si>
    <t>Profit &amp; loss A/c</t>
  </si>
  <si>
    <t>Sales</t>
  </si>
  <si>
    <t>Freight Charges</t>
  </si>
  <si>
    <t>Mr.Omprakash Damodar Rathi</t>
  </si>
  <si>
    <t>Mrs. Baljit Kaur Manindersingh Saini</t>
  </si>
  <si>
    <t>Mrs. Kailash Kaur Jarnailsingh Saini</t>
  </si>
  <si>
    <t>Mr. Gaurav Lakhotiya</t>
  </si>
  <si>
    <t>Director's Remuneration and Incentives</t>
  </si>
  <si>
    <t>Purchase of Coal</t>
  </si>
  <si>
    <t>Chandra Coal Private Ltd (Coal Purchase &amp; Coal Liasoning Charges)</t>
  </si>
  <si>
    <t>Purchase of Raw material (Net)</t>
  </si>
  <si>
    <t>Sale of Finished Goods (Net)</t>
  </si>
  <si>
    <t>Balance Sheet</t>
  </si>
  <si>
    <t>Mr. Anil M. Lakhotiya</t>
  </si>
  <si>
    <t>Baljitkaur Manindersingh Saini</t>
  </si>
  <si>
    <t>Jarnailsingh Saini</t>
  </si>
  <si>
    <t>Gaurav Lakhotiya</t>
  </si>
  <si>
    <t>Maximum Outstandings</t>
  </si>
  <si>
    <t>Mrs. Baljitkaur Manindersingh Saini</t>
  </si>
  <si>
    <t xml:space="preserve">Trade Payables </t>
  </si>
  <si>
    <t>Chandra Coal Private Ltd</t>
  </si>
  <si>
    <t>Saini Transport company</t>
  </si>
  <si>
    <t>Contingent liabilities not provided for in respect of:</t>
  </si>
  <si>
    <t>Bank Guarantee given to M.S.E.D.C.L.</t>
  </si>
  <si>
    <t>Bank Guarantee given to M.P.C.B.</t>
  </si>
  <si>
    <t>Interest as per section 16 of MSMED Act</t>
  </si>
  <si>
    <t>TDS</t>
  </si>
  <si>
    <t>Excise Duty From F.Y.2008-09 to 2010-2011</t>
  </si>
  <si>
    <t xml:space="preserve"> - Demand Raised excluding interest</t>
  </si>
  <si>
    <t xml:space="preserve"> - Penalty Levied</t>
  </si>
  <si>
    <t>Excise Duty From July 2003 to March 2004</t>
  </si>
  <si>
    <t>Excise Duty From April 2004 to October 2004</t>
  </si>
  <si>
    <t>Capital Commitments (Net of Advances )</t>
  </si>
  <si>
    <t>Estimated amount of contracts remaining to be executed on Capital accounts and not provided</t>
  </si>
  <si>
    <t>NOTE 40 :</t>
  </si>
  <si>
    <t>The balances of Trade Payables, Trade Receivables and Loans &amp; Advances are subject to confirmation and reconciliation.</t>
  </si>
  <si>
    <t>The Company is into manufacturing of Kraft Paper which is considered as the only reportable segment. The Company’s operations are based in India.</t>
  </si>
  <si>
    <t>In the opinion of the Board and as certified by the management, all expenses charged to revenue and various cash payments to the suppliers of materials and services through out the accounting year are genuine and have been solely and exclusively incurred out of business expediency.</t>
  </si>
  <si>
    <t>Unhedged Foreign Exchange Exposure</t>
  </si>
  <si>
    <t>Outstanding in INR</t>
  </si>
  <si>
    <t>Advance to Suppliers for Capital goods and stores</t>
  </si>
  <si>
    <t>Nil</t>
  </si>
  <si>
    <t>Trade Payables for Raw Materials &amp; Stores</t>
  </si>
  <si>
    <t>Previous year's figures have been regrouped and rearranged to correspond with the figures of current year wherever necessary.</t>
  </si>
  <si>
    <t>FIRM REGISTRATION NO: 132818W</t>
  </si>
  <si>
    <t>AAR Tech Engineering P.Y.</t>
  </si>
  <si>
    <t>Chaitanya Constructions PY</t>
  </si>
  <si>
    <t xml:space="preserve">Global Technologies P. Y. </t>
  </si>
  <si>
    <t>I-Kcal Systems Engineering LLP P.Y.</t>
  </si>
  <si>
    <t>Kessels Engineering Works Pvt. Ltd. P.Y.</t>
  </si>
  <si>
    <t>Packing Material</t>
  </si>
  <si>
    <t>Opening Bal.</t>
  </si>
  <si>
    <t>Purchase</t>
  </si>
  <si>
    <t>Closing</t>
  </si>
  <si>
    <t>Consumption</t>
  </si>
  <si>
    <t>Power &amp; Fuel</t>
  </si>
  <si>
    <t>Stores &amp; Spares</t>
  </si>
  <si>
    <t>Note 2 : PROPERTY, PLANT &amp; EQUIPMENT</t>
  </si>
  <si>
    <t>Asset Category</t>
  </si>
  <si>
    <t>Buildings</t>
  </si>
  <si>
    <t>Motor Vehicles</t>
  </si>
  <si>
    <t>Computers</t>
  </si>
  <si>
    <t>Office Equipments</t>
  </si>
  <si>
    <t>Furniture and Fittings</t>
  </si>
  <si>
    <t>Electrical Installations</t>
  </si>
  <si>
    <t>Gross Block</t>
  </si>
  <si>
    <t>Additions</t>
  </si>
  <si>
    <t>Disposals</t>
  </si>
  <si>
    <t>Note :</t>
  </si>
  <si>
    <t>Capital Work in Progress (CWIP) ageing schedule</t>
  </si>
  <si>
    <t>CWIP</t>
  </si>
  <si>
    <t>Amount in CWIP for a period of</t>
  </si>
  <si>
    <t>&lt;1 Year</t>
  </si>
  <si>
    <t>1 - 2 Years</t>
  </si>
  <si>
    <t>2 - 3 Years</t>
  </si>
  <si>
    <t>&gt;3 Years</t>
  </si>
  <si>
    <t xml:space="preserve">  - Project in Progress</t>
  </si>
  <si>
    <t>Existing Plant</t>
  </si>
  <si>
    <t>2021-2022</t>
  </si>
  <si>
    <t>Gross  Block</t>
  </si>
  <si>
    <t>Additions From 01/04/2021-31/03/2022</t>
  </si>
  <si>
    <t>Deletions From 01/04/2021-31/03/2022</t>
  </si>
  <si>
    <t>Accumulated Depreciation on 01/04/2021</t>
  </si>
  <si>
    <t>Charge to P&amp;L</t>
  </si>
  <si>
    <t>Deletion</t>
  </si>
  <si>
    <t>Accumulated Depreciation</t>
  </si>
  <si>
    <t>Net Block</t>
  </si>
  <si>
    <t>Land</t>
  </si>
  <si>
    <t>Sub Total</t>
  </si>
  <si>
    <t>1. WIP Building</t>
  </si>
  <si>
    <t>2. WIP Plant &amp; Machinery</t>
  </si>
  <si>
    <t>2020-2021</t>
  </si>
  <si>
    <t>Additions From 01/04/2020-31/03/2021</t>
  </si>
  <si>
    <t>Deletions From 01/04/2020-31/03/2021</t>
  </si>
  <si>
    <t>Accumulated Depreciation on 01/04/2020</t>
  </si>
  <si>
    <t>2022-2023</t>
  </si>
  <si>
    <t>Additions From 01/04/2022-31/03/2023</t>
  </si>
  <si>
    <t>Deletions From 01/04/2022-31/03/2023</t>
  </si>
  <si>
    <t>Accumulated Depreciation on 01/04/2022</t>
  </si>
  <si>
    <t>At March 31 2023</t>
  </si>
  <si>
    <t>1201060002666327</t>
  </si>
  <si>
    <t>KAMALKUMAR KAILASH AGRAWAL</t>
  </si>
  <si>
    <t>1201060002936271</t>
  </si>
  <si>
    <t>JARNAILSINGH GURDASSINGH SAINI</t>
  </si>
  <si>
    <t>1201060002936284</t>
  </si>
  <si>
    <t>RAJINDERSINGH BISHANSINGH SAINI</t>
  </si>
  <si>
    <t>1201060002956621</t>
  </si>
  <si>
    <t>KAILASH PURUSHOTTAM AGRAWAL</t>
  </si>
  <si>
    <t>1201060100063921</t>
  </si>
  <si>
    <t>ANILKUMAR MURARILAL LAKHOTIYA</t>
  </si>
  <si>
    <t>IN300214/37282168</t>
  </si>
  <si>
    <t>RAJIV  BEHAL</t>
  </si>
  <si>
    <t>IN301604/10015674</t>
  </si>
  <si>
    <t>OMPRAKASH RATHI</t>
  </si>
  <si>
    <t>J0000306</t>
  </si>
  <si>
    <t>JARNAIL SINGH  SAINI</t>
  </si>
  <si>
    <t>00001006</t>
  </si>
  <si>
    <t>KHUZEMA Z  SAIFEE</t>
  </si>
  <si>
    <t>00001007</t>
  </si>
  <si>
    <t>MURTUZA SHABBIR  BOHRA</t>
  </si>
  <si>
    <t>00001008</t>
  </si>
  <si>
    <t>MUSTAFA SHABBIR  BOHRA</t>
  </si>
  <si>
    <t>00001061</t>
  </si>
  <si>
    <t>KAMAL K AGRAWAL</t>
  </si>
  <si>
    <t>00001067</t>
  </si>
  <si>
    <t>ANILKUMAR  LAKHOTIYA (HUF)</t>
  </si>
  <si>
    <t>00001090</t>
  </si>
  <si>
    <t>KAILASH  KAUR</t>
  </si>
  <si>
    <t>00001091</t>
  </si>
  <si>
    <t>BALJIT  KAUR</t>
  </si>
  <si>
    <t>00001092</t>
  </si>
  <si>
    <t>JASWINDER  KAUR</t>
  </si>
  <si>
    <t>00001093</t>
  </si>
  <si>
    <t>MANINDER SINGH SAINI</t>
  </si>
  <si>
    <t>00001094</t>
  </si>
  <si>
    <t>BALJIT SINGH SAINI</t>
  </si>
  <si>
    <t>00001095</t>
  </si>
  <si>
    <t>SUSHIL  KAUR</t>
  </si>
  <si>
    <t>00001096</t>
  </si>
  <si>
    <t>SATNAM  KAUR</t>
  </si>
  <si>
    <t>00001098</t>
  </si>
  <si>
    <t>ANITA GAURAV LAKHOTIYA</t>
  </si>
  <si>
    <t>00001105</t>
  </si>
  <si>
    <t>GAURAV ANILKUMAR LAKHOTIYA</t>
  </si>
  <si>
    <t>00001106</t>
  </si>
  <si>
    <t>MEGHA AKSHAY RATHI</t>
  </si>
  <si>
    <t>00001108</t>
  </si>
  <si>
    <t>RUBLEEN SUKHWINDERSINGH SAINI</t>
  </si>
  <si>
    <t>00001109</t>
  </si>
  <si>
    <t>INDERJITSINGH JASBIRSINGH SAINI</t>
  </si>
  <si>
    <t>00001110</t>
  </si>
  <si>
    <t>RAJESHWARI SHASHIKANT KAPSE</t>
  </si>
  <si>
    <t>00001111</t>
  </si>
  <si>
    <t>RAMESH TAORI</t>
  </si>
  <si>
    <t>00001112</t>
  </si>
  <si>
    <t>SHREE HOME DECOR</t>
  </si>
  <si>
    <t>00001113</t>
  </si>
  <si>
    <t>KIRAN HARI CHAOJI</t>
  </si>
  <si>
    <t>00001114</t>
  </si>
  <si>
    <t>TASNEEM MURTAZA BOHRA</t>
  </si>
  <si>
    <t>00001115</t>
  </si>
  <si>
    <t>00001116</t>
  </si>
  <si>
    <t>BHUSHAN SURESH TAORI</t>
  </si>
  <si>
    <t>00001117</t>
  </si>
  <si>
    <t>AMRITPAL KAUR SAINI</t>
  </si>
  <si>
    <t>00001123</t>
  </si>
  <si>
    <t>MADHURIMA  RATHI</t>
  </si>
  <si>
    <t>00001126</t>
  </si>
  <si>
    <t>00001129</t>
  </si>
  <si>
    <t>PRITHPALSINGH JOGINDERSINGH KHANIJON</t>
  </si>
  <si>
    <t>00001130</t>
  </si>
  <si>
    <t>NARINDER KAUR GILL</t>
  </si>
  <si>
    <t>00001131</t>
  </si>
  <si>
    <t>00001133</t>
  </si>
  <si>
    <t>PRITAM NARENDRA KHIVANSARA</t>
  </si>
  <si>
    <t>1201060002237604</t>
  </si>
  <si>
    <t>SANJAY KAILASHCHANDRA AGRAWAL</t>
  </si>
  <si>
    <t>1201060002421256</t>
  </si>
  <si>
    <t>VASUDEO MALU</t>
  </si>
  <si>
    <t>1201060002423895</t>
  </si>
  <si>
    <t>SASHIKALA VASUDEO MALU</t>
  </si>
  <si>
    <t>1201060002473725</t>
  </si>
  <si>
    <t>ANITA DILIP AGRAWAL</t>
  </si>
  <si>
    <t>1201060002473744</t>
  </si>
  <si>
    <t>DILIP PURUSHOTTAMDASJI AGRAWAL</t>
  </si>
  <si>
    <t>1201060002930001</t>
  </si>
  <si>
    <t>BANWARI BHANWARLAL MALU</t>
  </si>
  <si>
    <t>1201060002959878</t>
  </si>
  <si>
    <t>SHAILENDRA KAILASHCHANDRA AGRAWAL</t>
  </si>
  <si>
    <t>1201060002973126</t>
  </si>
  <si>
    <t>KAILASH AGRAWAL HUF</t>
  </si>
  <si>
    <t>1201060003300667</t>
  </si>
  <si>
    <t>1201060003378027</t>
  </si>
  <si>
    <t>1201060100019329</t>
  </si>
  <si>
    <t>Shiv Kumar Balbhadra Prasad Agrawal</t>
  </si>
  <si>
    <t>1201060100026596</t>
  </si>
  <si>
    <t>Krishna Gopal Gorishankar Newatia</t>
  </si>
  <si>
    <t>1201060100048939</t>
  </si>
  <si>
    <t>Prem Sadhuram Kewalramani</t>
  </si>
  <si>
    <t>1201060100063915</t>
  </si>
  <si>
    <t>SNEHLATA ANILKUMAR LAKHOTIYA</t>
  </si>
  <si>
    <t>1201060100064450</t>
  </si>
  <si>
    <t>Anilkumar Murarilal Lakhotiya (HUF)</t>
  </si>
  <si>
    <t>1201060100209616</t>
  </si>
  <si>
    <t>VEEJAY OMPRAKASH BANSALL</t>
  </si>
  <si>
    <t>1201060100233584</t>
  </si>
  <si>
    <t>DILIPKUMAR GHISULAL BOHRA</t>
  </si>
  <si>
    <t>1201060100260880</t>
  </si>
  <si>
    <t>PRABHA AGRAWAL</t>
  </si>
  <si>
    <t>1201060100260901</t>
  </si>
  <si>
    <t>ARCHANA SHAILENDRA AGRAWAL</t>
  </si>
  <si>
    <t>1201060100260920</t>
  </si>
  <si>
    <t>KAJAL SANJAY AGRAWAL</t>
  </si>
  <si>
    <t>1201060100264211</t>
  </si>
  <si>
    <t>NAVITA KAMAL AGRAWAL</t>
  </si>
  <si>
    <t>1201060100264870</t>
  </si>
  <si>
    <t>KAVERIDEVI JEETMAL MALU</t>
  </si>
  <si>
    <t>1201090000714254</t>
  </si>
  <si>
    <t>DHANRAJ MURLIDHAR MINIYAR</t>
  </si>
  <si>
    <t>1201690000074131</t>
  </si>
  <si>
    <t>ALOK KIRTI MEHTA</t>
  </si>
  <si>
    <t>1202200000018681</t>
  </si>
  <si>
    <t>VIJAY RANGNATHRAO JOSHI</t>
  </si>
  <si>
    <t>1202300000276320</t>
  </si>
  <si>
    <t>BABULAL AMARCHAND AGRAWAL</t>
  </si>
  <si>
    <t>1202890000052057</t>
  </si>
  <si>
    <t>RAJKUMAR RAMPRASADJI AGRAWAL</t>
  </si>
  <si>
    <t>1202890001886195</t>
  </si>
  <si>
    <t>PRAVIN SHANKARLAL TAPADIA</t>
  </si>
  <si>
    <t>1203320001296038</t>
  </si>
  <si>
    <t>SAGAR PRAFUL MALANI</t>
  </si>
  <si>
    <t>1203450000841674</t>
  </si>
  <si>
    <t>RAMPRASAD RAMBILAS AGRAWAL</t>
  </si>
  <si>
    <t>1203460000462054</t>
  </si>
  <si>
    <t>NARAYAN DAS DHANWANI .</t>
  </si>
  <si>
    <t>1203600000026531</t>
  </si>
  <si>
    <t>DINA PRAFUL RANDERIA</t>
  </si>
  <si>
    <t>1205520000000211</t>
  </si>
  <si>
    <t>PRAMOD HASTIMAL RUNWAL</t>
  </si>
  <si>
    <t>1206420004707505</t>
  </si>
  <si>
    <t>NAVIN J BOHARA</t>
  </si>
  <si>
    <t>1206420006939762</t>
  </si>
  <si>
    <t>KISHOR POPATLAL CHORDIA</t>
  </si>
  <si>
    <t>1302190000124989</t>
  </si>
  <si>
    <t>NARENDRA RAMNATH BHANGDIYA</t>
  </si>
  <si>
    <t>1304030000015780</t>
  </si>
  <si>
    <t>MAXIM ALEX CASTELINO</t>
  </si>
  <si>
    <t>A0000103</t>
  </si>
  <si>
    <t>ACHYUT MADHAV  DHAMDHARE</t>
  </si>
  <si>
    <t>A0000105</t>
  </si>
  <si>
    <t>AJAY SHANTILAL  KHETARPAL</t>
  </si>
  <si>
    <t>A0000114</t>
  </si>
  <si>
    <t>ANIL DATTATRAYA  HAROLIKAR</t>
  </si>
  <si>
    <t>A0000120</t>
  </si>
  <si>
    <t>ARUNKUMAR RAMKISHORSING  SAINI</t>
  </si>
  <si>
    <t>A0000123</t>
  </si>
  <si>
    <t>ASHADEVI JAYANARAYAN  SONI</t>
  </si>
  <si>
    <t>A0000160</t>
  </si>
  <si>
    <t>AMARSINGH BAWASINGH  SAINI</t>
  </si>
  <si>
    <t>A0000161</t>
  </si>
  <si>
    <t>A0000301</t>
  </si>
  <si>
    <t>A R  AWACHAT</t>
  </si>
  <si>
    <t>A0000302</t>
  </si>
  <si>
    <t>ABDUL RAHMAN SIDDIQUI</t>
  </si>
  <si>
    <t>A0000303</t>
  </si>
  <si>
    <t>ABHAY  WADYALKAR</t>
  </si>
  <si>
    <t>A0000304</t>
  </si>
  <si>
    <t>ABHISHEK  AGRAWAL</t>
  </si>
  <si>
    <t>A0000306</t>
  </si>
  <si>
    <t>ADESH  BHATIA</t>
  </si>
  <si>
    <t>A0000308</t>
  </si>
  <si>
    <t>AJAY  SHARMA</t>
  </si>
  <si>
    <t>A0000309</t>
  </si>
  <si>
    <t>AJAY MOHANLAL  SAPRA</t>
  </si>
  <si>
    <t>A0000314</t>
  </si>
  <si>
    <t>AMRIK SINGH  JOLLY</t>
  </si>
  <si>
    <t>A0000315</t>
  </si>
  <si>
    <t>ANAND JAGANNATH  GAIDHAN</t>
  </si>
  <si>
    <t>A0000320</t>
  </si>
  <si>
    <t>ANIL WASUDEORAO  BALWAIK</t>
  </si>
  <si>
    <t>A0000321</t>
  </si>
  <si>
    <t>ANIL  GOENKA</t>
  </si>
  <si>
    <t>A0000323</t>
  </si>
  <si>
    <t>ANIRBAN  MAITY</t>
  </si>
  <si>
    <t>A0000324</t>
  </si>
  <si>
    <t>ANITA  AGRAWAL</t>
  </si>
  <si>
    <t>A0000332</t>
  </si>
  <si>
    <t>ARUN KUMAR  SHARMA</t>
  </si>
  <si>
    <t>A0000335</t>
  </si>
  <si>
    <t>ARUN GULABCHAND  JAISWAL</t>
  </si>
  <si>
    <t>A0000336</t>
  </si>
  <si>
    <t>ARVIND KUMAR  JAIN</t>
  </si>
  <si>
    <t>A0000344</t>
  </si>
  <si>
    <t>ASHOK  DAGA</t>
  </si>
  <si>
    <t>A0000346</t>
  </si>
  <si>
    <t>ASHWIN KAMALKUMAR  SINGHANIA</t>
  </si>
  <si>
    <t>A0000351</t>
  </si>
  <si>
    <t>AVTAR SONGH  SONI</t>
  </si>
  <si>
    <t>B0000101</t>
  </si>
  <si>
    <t>BALJITSINGH JASWANTSINGH  SAINI</t>
  </si>
  <si>
    <t>B0000106</t>
  </si>
  <si>
    <t>BHAGWANDAS VISHNUDAS  LADDHA</t>
  </si>
  <si>
    <t>B0000108</t>
  </si>
  <si>
    <t>BHARTI CHANDRAHAS  CHAREKAR</t>
  </si>
  <si>
    <t>B0000110</t>
  </si>
  <si>
    <t>BHIMRAO KANTIK  CHAUDHARI</t>
  </si>
  <si>
    <t>B0000112</t>
  </si>
  <si>
    <t>BULAKIDAS A  VERMA</t>
  </si>
  <si>
    <t>B0000158</t>
  </si>
  <si>
    <t>BALJITSINGH   JASWANTSINGH SAINI</t>
  </si>
  <si>
    <t>B0000159</t>
  </si>
  <si>
    <t>B0000302</t>
  </si>
  <si>
    <t>BACKSIS SINGH  RANA</t>
  </si>
  <si>
    <t>B0000304</t>
  </si>
  <si>
    <t>BALDEV SINGH  GOYAL</t>
  </si>
  <si>
    <t>B0000305</t>
  </si>
  <si>
    <t>BALJITSINGH  SAINI</t>
  </si>
  <si>
    <t>B0000310</t>
  </si>
  <si>
    <t>BHANUKUMAR  SHAH</t>
  </si>
  <si>
    <t>B0000313</t>
  </si>
  <si>
    <t>BHARTI  BANTHIA</t>
  </si>
  <si>
    <t>B0000314</t>
  </si>
  <si>
    <t>BHOLAJI CHINDHUJI  SHENDE</t>
  </si>
  <si>
    <t>B0000315</t>
  </si>
  <si>
    <t>BHUPINDER SINGH  KOHLI</t>
  </si>
  <si>
    <t>B0000316</t>
  </si>
  <si>
    <t>BHUPINDER SING  JOLLY</t>
  </si>
  <si>
    <t>B0000317</t>
  </si>
  <si>
    <t>BIMAL  VORA</t>
  </si>
  <si>
    <t>B0000321</t>
  </si>
  <si>
    <t>BRINDAVAN RAMSUMER  MISHRA</t>
  </si>
  <si>
    <t>B0000322</t>
  </si>
  <si>
    <t>BRIJINDER SINGH  SONI</t>
  </si>
  <si>
    <t>C0000101</t>
  </si>
  <si>
    <t>CHANDRAKANT HARIKISAN  RATHI</t>
  </si>
  <si>
    <t>C0000306</t>
  </si>
  <si>
    <t>CHANDRASHEKHAR  MADAN</t>
  </si>
  <si>
    <t>C0000310</t>
  </si>
  <si>
    <t>CHARANPRIT SINGH  SAINI</t>
  </si>
  <si>
    <t>C0000311</t>
  </si>
  <si>
    <t>CHETAN  CHANDAK</t>
  </si>
  <si>
    <t>C0000312</t>
  </si>
  <si>
    <t>CHHAYA  AGRAWAL</t>
  </si>
  <si>
    <t>D0000101</t>
  </si>
  <si>
    <t>DAMYANTI HANUMANDAS  RATHI</t>
  </si>
  <si>
    <t>D0000106</t>
  </si>
  <si>
    <t>DHYANPRAKASH KANHAIYALAL  MODANI</t>
  </si>
  <si>
    <t>D0000303</t>
  </si>
  <si>
    <t>DEEPAK  KHANDELWAL</t>
  </si>
  <si>
    <t>D0000304</t>
  </si>
  <si>
    <t>DEEPAK H  LAKHIANI</t>
  </si>
  <si>
    <t>D0000310</t>
  </si>
  <si>
    <t>DHIRENDRA  KANABAR</t>
  </si>
  <si>
    <t>D0000318</t>
  </si>
  <si>
    <t>DINESH  TAWARI</t>
  </si>
  <si>
    <t>D0000319</t>
  </si>
  <si>
    <t>DIPAK CHAMANLAL  PAREKH</t>
  </si>
  <si>
    <t>D0000320</t>
  </si>
  <si>
    <t>DIPAK BABURAO  CHAFALE</t>
  </si>
  <si>
    <t>D0000322</t>
  </si>
  <si>
    <t>DORAB  PATEL</t>
  </si>
  <si>
    <t>D0000325</t>
  </si>
  <si>
    <t>DIVYESH  VORA</t>
  </si>
  <si>
    <t>G0000103</t>
  </si>
  <si>
    <t>GEETA RAMNARAYAN SHARMA</t>
  </si>
  <si>
    <t>G0000108</t>
  </si>
  <si>
    <t>GOVIND KRISHNAJI  KUBDE</t>
  </si>
  <si>
    <t>G0000303</t>
  </si>
  <si>
    <t>GANESH S  BHATTAD</t>
  </si>
  <si>
    <t>G0000313</t>
  </si>
  <si>
    <t>GIRISH PISUMAL DEWANI</t>
  </si>
  <si>
    <t>G0000317</t>
  </si>
  <si>
    <t>GOPAL  AGRAWAL</t>
  </si>
  <si>
    <t>G0000323</t>
  </si>
  <si>
    <t>GULREZ IMRAN  ALI</t>
  </si>
  <si>
    <t>G0000327</t>
  </si>
  <si>
    <t>GURDAYAL SINGH  PADDA</t>
  </si>
  <si>
    <t>G0000333</t>
  </si>
  <si>
    <t>GHANSHYAM J  SOMANI</t>
  </si>
  <si>
    <t>H0000102</t>
  </si>
  <si>
    <t>HARISHCHANDRA BHAGRIRATH SONI</t>
  </si>
  <si>
    <t>H0000302</t>
  </si>
  <si>
    <t>HARISHCAHANDRA  GUPTA</t>
  </si>
  <si>
    <t>H0000303</t>
  </si>
  <si>
    <t>HARJIT SINGH  SAINI</t>
  </si>
  <si>
    <t>H0000304</t>
  </si>
  <si>
    <t>HARJINDER PAL  SINGH</t>
  </si>
  <si>
    <t>H0000306</t>
  </si>
  <si>
    <t>HEMANT  BANSAL</t>
  </si>
  <si>
    <t>H0000308</t>
  </si>
  <si>
    <t>HENRY  D'SOUZA</t>
  </si>
  <si>
    <t>I0000101</t>
  </si>
  <si>
    <t>INDUMATI HARICHANDRA  SONI</t>
  </si>
  <si>
    <t>I0000302</t>
  </si>
  <si>
    <t>INDERCHAND  JAIN</t>
  </si>
  <si>
    <t>I0000306</t>
  </si>
  <si>
    <t>IQBAL SINGH  CHABRA</t>
  </si>
  <si>
    <t>IN300159/10247390</t>
  </si>
  <si>
    <t>NIRMAL MODI</t>
  </si>
  <si>
    <t>IN300183/12090888</t>
  </si>
  <si>
    <t>AKSHAY OMPRAKASH RATHI</t>
  </si>
  <si>
    <t>IN300214/13740590</t>
  </si>
  <si>
    <t>RAJESH SAJJAN JAIN</t>
  </si>
  <si>
    <t>IN300214/14654619</t>
  </si>
  <si>
    <t>SUDHA GUPTA</t>
  </si>
  <si>
    <t>IN300513/15045878</t>
  </si>
  <si>
    <t>MANJU MAYUR BAGADIA</t>
  </si>
  <si>
    <t>IN300513/15067950</t>
  </si>
  <si>
    <t>JYOTI K BAGADIA</t>
  </si>
  <si>
    <t>IN300513/86347801</t>
  </si>
  <si>
    <t>BHARATKUMAR BHOGILAL DOSHI</t>
  </si>
  <si>
    <t>IN300513/86429107</t>
  </si>
  <si>
    <t>PRAFULLACHANDRA BHOGILAL DOSHI</t>
  </si>
  <si>
    <t>IN300513/87778455</t>
  </si>
  <si>
    <t>SHANKARLAL BHAGWANDAS KHANDELWAL</t>
  </si>
  <si>
    <t>IN300757/10487373</t>
  </si>
  <si>
    <t>SHRAWAN KUMAR MALU</t>
  </si>
  <si>
    <t>IN300757/10488663</t>
  </si>
  <si>
    <t>PURUSHOTTAM MALU</t>
  </si>
  <si>
    <t>IN300888/13445440</t>
  </si>
  <si>
    <t>NAREN PRAVIN SANGHVI</t>
  </si>
  <si>
    <t>IN300974/10367045</t>
  </si>
  <si>
    <t>DILIP RAMESHCHANDRA LAL</t>
  </si>
  <si>
    <t>IN300982/10268941</t>
  </si>
  <si>
    <t>BHAVESH DHIRAJLAL TANNA</t>
  </si>
  <si>
    <t>IN301330/20523538</t>
  </si>
  <si>
    <t>GUNWANT VENKATRAO PATIL</t>
  </si>
  <si>
    <t>IN301330/21995605</t>
  </si>
  <si>
    <t>IN301549/19570178</t>
  </si>
  <si>
    <t>SUSHIL RAJENDRA SANGHI</t>
  </si>
  <si>
    <t>IN301549/54220696</t>
  </si>
  <si>
    <t>PLUTUS CAPITAL MANAGEMENT LLP</t>
  </si>
  <si>
    <t>IN301604/10015683</t>
  </si>
  <si>
    <t>AKSHAY RATHI</t>
  </si>
  <si>
    <t>IN301604/10015690</t>
  </si>
  <si>
    <t>MANGAL RATHI</t>
  </si>
  <si>
    <t>IN301604/10309670</t>
  </si>
  <si>
    <t>JUGALKISHORE ASARAMJI DHOOT</t>
  </si>
  <si>
    <t>IN301604/10587304</t>
  </si>
  <si>
    <t>NAVALKUMAR B AGRAWAL</t>
  </si>
  <si>
    <t>IN301604/11008207</t>
  </si>
  <si>
    <t>LATA JUGALKISHOR DHOOT</t>
  </si>
  <si>
    <t>IN302437/10078360</t>
  </si>
  <si>
    <t>KISHORE CHANGRANI</t>
  </si>
  <si>
    <t>IN302461/10145282</t>
  </si>
  <si>
    <t>VORA  CHANDRAKANT</t>
  </si>
  <si>
    <t>IN302679/30889008</t>
  </si>
  <si>
    <t>VITHALDAS CHUNILAL BAJAJ</t>
  </si>
  <si>
    <t>IN303028/67899511</t>
  </si>
  <si>
    <t>DIANA  DSOUZA</t>
  </si>
  <si>
    <t>IN303028/99847562</t>
  </si>
  <si>
    <t>ONKARSINGH SEWASINGH BAINS</t>
  </si>
  <si>
    <t>IN306114/20080716</t>
  </si>
  <si>
    <t>MANOJ KUMAR KOCHAR</t>
  </si>
  <si>
    <t>J0000102</t>
  </si>
  <si>
    <t>JASVINDERKAUR JASWANTSINGH  SAINI</t>
  </si>
  <si>
    <t>J0000103</t>
  </si>
  <si>
    <t>JASWANTSINGH AMARSINGH  SAINI</t>
  </si>
  <si>
    <t>J0000105</t>
  </si>
  <si>
    <t>JEETKAUR AMARSINGH  SAINI</t>
  </si>
  <si>
    <t>J0000158</t>
  </si>
  <si>
    <t>J0000159</t>
  </si>
  <si>
    <t>J0000160</t>
  </si>
  <si>
    <t>J0000161</t>
  </si>
  <si>
    <t>JEETKAUR   AMARSINGH SAINI</t>
  </si>
  <si>
    <t>J0000301</t>
  </si>
  <si>
    <t>JAGANNATH  SONI</t>
  </si>
  <si>
    <t>J0000307</t>
  </si>
  <si>
    <t>JARNAIL SINGH  DHOOT</t>
  </si>
  <si>
    <t>J0000308</t>
  </si>
  <si>
    <t>JASBIR SINGH  SAINI</t>
  </si>
  <si>
    <t>J0000309</t>
  </si>
  <si>
    <t>JASBIRSINGH  SAINI</t>
  </si>
  <si>
    <t>J0000315</t>
  </si>
  <si>
    <t>JAYESH  BAVISHI</t>
  </si>
  <si>
    <t>J0000325</t>
  </si>
  <si>
    <t>JUGALKISHORE  AGRAWAL</t>
  </si>
  <si>
    <t>J0000326</t>
  </si>
  <si>
    <t>JUZER  AMIN</t>
  </si>
  <si>
    <t>J0000330</t>
  </si>
  <si>
    <t>JYOTI KRISHNA HEDA</t>
  </si>
  <si>
    <t>K0000105</t>
  </si>
  <si>
    <t>KAILASHKAUR JARNAILSINGH  SAINI</t>
  </si>
  <si>
    <t>K0000107</t>
  </si>
  <si>
    <t>KALPANA GANGADHAR  LALPOTU</t>
  </si>
  <si>
    <t>K0000108</t>
  </si>
  <si>
    <t>KALPANA SANJAY SOMANI</t>
  </si>
  <si>
    <t>K0000115</t>
  </si>
  <si>
    <t>KARNALSINGH GURDASSINGH  SAINI</t>
  </si>
  <si>
    <t>K0000121</t>
  </si>
  <si>
    <t>KISHOR UTTAMCHAND  KHIVANSARA</t>
  </si>
  <si>
    <t>K0000124</t>
  </si>
  <si>
    <t>KULDEEPSINGH GURMITSINGH  SAINI</t>
  </si>
  <si>
    <t>K0000159</t>
  </si>
  <si>
    <t>K0000160</t>
  </si>
  <si>
    <t>KALYANI OMPRAKASH  RATHI</t>
  </si>
  <si>
    <t>K0000161</t>
  </si>
  <si>
    <t>KARNAILSINGH GURDASSING  SAINI</t>
  </si>
  <si>
    <t>K0000164</t>
  </si>
  <si>
    <t>K0000303</t>
  </si>
  <si>
    <t>KAILASH  RATHI</t>
  </si>
  <si>
    <t>K0000305</t>
  </si>
  <si>
    <t>KAILASH CHANDRA  NUWAL</t>
  </si>
  <si>
    <t>K0000306</t>
  </si>
  <si>
    <t>KAJORMAL  AGRAWAL</t>
  </si>
  <si>
    <t>K0000311</t>
  </si>
  <si>
    <t>KAMLADEVI B  MALU</t>
  </si>
  <si>
    <t>K0000312</t>
  </si>
  <si>
    <t>KAMLESH  RATHI</t>
  </si>
  <si>
    <t>K0000314</t>
  </si>
  <si>
    <t>KANAIYALAL  THAKKAR</t>
  </si>
  <si>
    <t>K0000315</t>
  </si>
  <si>
    <t>KANCHAN SANJAY  GANDHI</t>
  </si>
  <si>
    <t>K0000318</t>
  </si>
  <si>
    <t>KANTILAL MOHANLAL  JALAPARA</t>
  </si>
  <si>
    <t>K0000319</t>
  </si>
  <si>
    <t>KANTILAL CHAMPAKLAL  BHAYANI</t>
  </si>
  <si>
    <t>K0000320</t>
  </si>
  <si>
    <t>KASHIDEVI  AGRAWAL</t>
  </si>
  <si>
    <t>K0000326</t>
  </si>
  <si>
    <t>KHUZEMA  SAIFEE</t>
  </si>
  <si>
    <t>K0000327</t>
  </si>
  <si>
    <t>KIRAN  KHIVANSARA</t>
  </si>
  <si>
    <t>K0000330</t>
  </si>
  <si>
    <t>KIRIT GOVARDHAN  DAS KARIA</t>
  </si>
  <si>
    <t>K0000331</t>
  </si>
  <si>
    <t>KISAN VITHOBA  BHOLE</t>
  </si>
  <si>
    <t>K0000336</t>
  </si>
  <si>
    <t>KISHOR  SONI</t>
  </si>
  <si>
    <t>K0000338</t>
  </si>
  <si>
    <t>KRISHNA  HEDA</t>
  </si>
  <si>
    <t>K0000341</t>
  </si>
  <si>
    <t>KRUTI  VARMA</t>
  </si>
  <si>
    <t>K0000342</t>
  </si>
  <si>
    <t>KULVINDER SINGH  MANGAT</t>
  </si>
  <si>
    <t>K0000343</t>
  </si>
  <si>
    <t>KULWANT SINGH  TULI</t>
  </si>
  <si>
    <t>L0000101</t>
  </si>
  <si>
    <t>LAXMIDEVI DWARKADAS  SHARMA</t>
  </si>
  <si>
    <t>L0000102</t>
  </si>
  <si>
    <t>LAXMINARAYAN DHANRAJ  SHARMA</t>
  </si>
  <si>
    <t>L0000301</t>
  </si>
  <si>
    <t>LAHARI MANOHAR  VAKIL</t>
  </si>
  <si>
    <t>L0000302</t>
  </si>
  <si>
    <t>LAJINDER SINGH  BAWA</t>
  </si>
  <si>
    <t>L0000310</t>
  </si>
  <si>
    <t>LATA  DHOOT</t>
  </si>
  <si>
    <t>M0000102</t>
  </si>
  <si>
    <t>MADHURI SURESH  VAISHNAV</t>
  </si>
  <si>
    <t>M0000106</t>
  </si>
  <si>
    <t>MANINDERKAUR HARVINDERSINGH  SAINI</t>
  </si>
  <si>
    <t>M0000107</t>
  </si>
  <si>
    <t>MANINDERSINGH JARNAILSINGH  SAINI</t>
  </si>
  <si>
    <t>M0000109</t>
  </si>
  <si>
    <t>MANOJ DWARKANATH  LOYA</t>
  </si>
  <si>
    <t>M0000158</t>
  </si>
  <si>
    <t>M0000302</t>
  </si>
  <si>
    <t>MADHUSUDAN  BHATRIYA</t>
  </si>
  <si>
    <t>M0000303</t>
  </si>
  <si>
    <t>MADHU  TAORI</t>
  </si>
  <si>
    <t>M0000304</t>
  </si>
  <si>
    <t>MADHU  AGARWAL</t>
  </si>
  <si>
    <t>M0000322</t>
  </si>
  <si>
    <t>MANJEET SINGH  SAINI</t>
  </si>
  <si>
    <t>M0000323</t>
  </si>
  <si>
    <t>MANJIT SINGH  SONI</t>
  </si>
  <si>
    <t>M0000328</t>
  </si>
  <si>
    <t>MANOHARLAL  AGRAWAL</t>
  </si>
  <si>
    <t>M0000329</t>
  </si>
  <si>
    <t>MANOHAR  BHORKAR</t>
  </si>
  <si>
    <t>M0000330</t>
  </si>
  <si>
    <t>MANOHARRAO  GIRDE</t>
  </si>
  <si>
    <t>M0000337</t>
  </si>
  <si>
    <t>MD AZUM  S/O A RAZZAK TUMBI</t>
  </si>
  <si>
    <t>M0000338</t>
  </si>
  <si>
    <t>MEEMRAJ  AGARWAL</t>
  </si>
  <si>
    <t>M0000342</t>
  </si>
  <si>
    <t>MILIND  BHOLE</t>
  </si>
  <si>
    <t>M0000344</t>
  </si>
  <si>
    <t>MITA  BAVISHI</t>
  </si>
  <si>
    <t>M0000347</t>
  </si>
  <si>
    <t>MOHD AZAM  TUMBI</t>
  </si>
  <si>
    <t>M0000349</t>
  </si>
  <si>
    <t>MUFFADDAL  AMIN</t>
  </si>
  <si>
    <t>M0000350</t>
  </si>
  <si>
    <t>MUKESH  CHOURASIA</t>
  </si>
  <si>
    <t>M0000351</t>
  </si>
  <si>
    <t>MUKUL KUMAR  AGRAWAL</t>
  </si>
  <si>
    <t>M0000355</t>
  </si>
  <si>
    <t>MUSTAFA  COCHINWALA</t>
  </si>
  <si>
    <t>N0000101</t>
  </si>
  <si>
    <t>N  NARENDRAN</t>
  </si>
  <si>
    <t>N0000105</t>
  </si>
  <si>
    <t>NANDLAL GOVERDHANDAS  BHANSALI</t>
  </si>
  <si>
    <t>N0000110</t>
  </si>
  <si>
    <t>NAUNATH SHEKUJI  SHEWALE</t>
  </si>
  <si>
    <t>N0000113</t>
  </si>
  <si>
    <t>NAWNEETADAS VALLABHDAS  PAREKH</t>
  </si>
  <si>
    <t>N0000118</t>
  </si>
  <si>
    <t>NITIN JAYNARAYAN  SONI</t>
  </si>
  <si>
    <t>N0000302</t>
  </si>
  <si>
    <t>NAGESH  BURBURE</t>
  </si>
  <si>
    <t>N0000318</t>
  </si>
  <si>
    <t>NARESH ZUMBERLAL  JAIN</t>
  </si>
  <si>
    <t>N0000319</t>
  </si>
  <si>
    <t>NARINDER KUMAR  SAINI</t>
  </si>
  <si>
    <t>N0000320</t>
  </si>
  <si>
    <t>NAWALKISHORE  AGRAWAL</t>
  </si>
  <si>
    <t>N0000322</t>
  </si>
  <si>
    <t>NINNA Y  CHUGH</t>
  </si>
  <si>
    <t>N0000328</t>
  </si>
  <si>
    <t>NITA T  KOYA</t>
  </si>
  <si>
    <t>O0000102</t>
  </si>
  <si>
    <t>OMPRAKASH BHAULAL ASAWA</t>
  </si>
  <si>
    <t>P0000107</t>
  </si>
  <si>
    <t>PRAKASH BALWANTRAO  SARJE</t>
  </si>
  <si>
    <t>P0000111</t>
  </si>
  <si>
    <t>PRAVINCHANDRA SHIVRAM  DRAVID</t>
  </si>
  <si>
    <t>P0000301</t>
  </si>
  <si>
    <t>P P  TUNGLE</t>
  </si>
  <si>
    <t>P0000303</t>
  </si>
  <si>
    <t>PARAMJIT SINGH  MATHARU</t>
  </si>
  <si>
    <t>P0000304</t>
  </si>
  <si>
    <t>PAWAN KUMAR  RUNGTA</t>
  </si>
  <si>
    <t>P0000305</t>
  </si>
  <si>
    <t>PAWANKUMAR SHYAMSUNDAR  PODDAR</t>
  </si>
  <si>
    <t>P0000306</t>
  </si>
  <si>
    <t>PAWAN  BANSAL</t>
  </si>
  <si>
    <t>P0000308</t>
  </si>
  <si>
    <t>PRADIP  DESHMUKH</t>
  </si>
  <si>
    <t>P0000314</t>
  </si>
  <si>
    <t>PRAKASH GOVERDHAN  KARIYA</t>
  </si>
  <si>
    <t>P0000315</t>
  </si>
  <si>
    <t>PRAKASH DIWAN  RAJPUT</t>
  </si>
  <si>
    <t>P0000317</t>
  </si>
  <si>
    <t>PRAMILA  SHAH</t>
  </si>
  <si>
    <t>P0000320</t>
  </si>
  <si>
    <t>PRASHANT PURUSHOTTAM  JAGDALE</t>
  </si>
  <si>
    <t>P0000322</t>
  </si>
  <si>
    <t>PRASHANT VISHNU  ASHTIKAR</t>
  </si>
  <si>
    <t>P0000323</t>
  </si>
  <si>
    <t>PRATIBHA  DESHMUKH</t>
  </si>
  <si>
    <t>P0000324</t>
  </si>
  <si>
    <t>PRAVINABEN V  VORA</t>
  </si>
  <si>
    <t>P0000327</t>
  </si>
  <si>
    <t>PREM SHANKAR  MUNDHRA</t>
  </si>
  <si>
    <t>P0000331</t>
  </si>
  <si>
    <t>PREMLATA  BANSAL</t>
  </si>
  <si>
    <t>P0000332</t>
  </si>
  <si>
    <t>PRITAM  KHIVANSARA</t>
  </si>
  <si>
    <t>P0000334</t>
  </si>
  <si>
    <t>PRITPALSINGH  KHAIJOUN</t>
  </si>
  <si>
    <t>R0000101</t>
  </si>
  <si>
    <t>RACHNA MAHAVIR  PRASAD MODI</t>
  </si>
  <si>
    <t>R0000104</t>
  </si>
  <si>
    <t>RAGHUNATH GOVINDRAM  MINEEYAR</t>
  </si>
  <si>
    <t>R0000116</t>
  </si>
  <si>
    <t>RAJKAMAL RAMKISHAN  BAHETI</t>
  </si>
  <si>
    <t>R0000119</t>
  </si>
  <si>
    <t>RAMESH MOHANLAL  TAORI (HUF)</t>
  </si>
  <si>
    <t>R0000120</t>
  </si>
  <si>
    <t>RAMKISHAN DEVICHAND  BAHETI</t>
  </si>
  <si>
    <t>R0000121</t>
  </si>
  <si>
    <t>RAMPRASAD RAMBILAS  AGRAWAL</t>
  </si>
  <si>
    <t>R0000123</t>
  </si>
  <si>
    <t>RASHMI UMESH  PANDAV</t>
  </si>
  <si>
    <t>R0000124</t>
  </si>
  <si>
    <t>RAVINAND RAJARAM  SHARMA</t>
  </si>
  <si>
    <t>R0000125</t>
  </si>
  <si>
    <t>RAVINDRA JAYNARAYAN  SONI</t>
  </si>
  <si>
    <t>R0000127</t>
  </si>
  <si>
    <t>REETA  BIYANI</t>
  </si>
  <si>
    <t>R0000129</t>
  </si>
  <si>
    <t>REKHA  NARENDRAN</t>
  </si>
  <si>
    <t>R0000132</t>
  </si>
  <si>
    <t>ROSHANLAL ZUMBERLAL MEHAR</t>
  </si>
  <si>
    <t>R0000305</t>
  </si>
  <si>
    <t>RAJAN  MINOCHA</t>
  </si>
  <si>
    <t>R0000307</t>
  </si>
  <si>
    <t>RAJENDRA PRASAD  BAISWARA</t>
  </si>
  <si>
    <t>R0000311</t>
  </si>
  <si>
    <t>RAJENDRA PRASAD  SANGHI</t>
  </si>
  <si>
    <t>R0000313</t>
  </si>
  <si>
    <t>RAJESH  AGARWAL</t>
  </si>
  <si>
    <t>R0000316</t>
  </si>
  <si>
    <t>RAJESH R  LADDHA</t>
  </si>
  <si>
    <t>R0000317</t>
  </si>
  <si>
    <t>RAJESH  KUMAR</t>
  </si>
  <si>
    <t>R0000324</t>
  </si>
  <si>
    <t>RAMAGAURI KANTILAL  BHAYANI</t>
  </si>
  <si>
    <t>R0000325</t>
  </si>
  <si>
    <t>RAMAKRISHNA NAMDEORAO  LONDHE</t>
  </si>
  <si>
    <t>R0000326</t>
  </si>
  <si>
    <t>RAMAMOHANA RAO  APPALA</t>
  </si>
  <si>
    <t>R0000328</t>
  </si>
  <si>
    <t>RAMESHWAR  DHOOT</t>
  </si>
  <si>
    <t>R0000329</t>
  </si>
  <si>
    <t>RAMESHCHANDRA  SONI</t>
  </si>
  <si>
    <t>R0000330</t>
  </si>
  <si>
    <t>RAMESH RAMGOPAL  JAISWAL</t>
  </si>
  <si>
    <t>R0000332</t>
  </si>
  <si>
    <t>RAMHARI INVESTMENTS  PVT LTD</t>
  </si>
  <si>
    <t>R0000333</t>
  </si>
  <si>
    <t>RAMNARAYAN  JAISWAL</t>
  </si>
  <si>
    <t>R0000334</t>
  </si>
  <si>
    <t>RAMRAO  DESHMUKH</t>
  </si>
  <si>
    <t>R0000337</t>
  </si>
  <si>
    <t>RAVINDRA PAL  DHAWAN</t>
  </si>
  <si>
    <t>R0000338</t>
  </si>
  <si>
    <t>REKHA LAXMAN  MOGHE</t>
  </si>
  <si>
    <t>R0000340</t>
  </si>
  <si>
    <t>REKHA  TAORI</t>
  </si>
  <si>
    <t>R0000343</t>
  </si>
  <si>
    <t>ROCHINAM TILOKCHAND  GIDWANI</t>
  </si>
  <si>
    <t>S0000105</t>
  </si>
  <si>
    <t>SANDHYA CHANDRAKANT  RATHI</t>
  </si>
  <si>
    <t>S0000107</t>
  </si>
  <si>
    <t>SANGEETA RAVINDRA  SONI</t>
  </si>
  <si>
    <t>S0000108</t>
  </si>
  <si>
    <t>SANGEETA ASHOK  BORA</t>
  </si>
  <si>
    <t>S0000110</t>
  </si>
  <si>
    <t>SANJAY RAMASWAROOP  GANDHI</t>
  </si>
  <si>
    <t>S0000116</t>
  </si>
  <si>
    <t>SATISH MOHANLAL  TAORI</t>
  </si>
  <si>
    <t>S0000117</t>
  </si>
  <si>
    <t>SATNAMKAUR KARNAILSINGH  SAINI</t>
  </si>
  <si>
    <t>S0000120</t>
  </si>
  <si>
    <t>SEEMA VINOD  JAIN</t>
  </si>
  <si>
    <t>S0000124</t>
  </si>
  <si>
    <t>SHARAD LAXMINARAYAN NAVANDAR</t>
  </si>
  <si>
    <t>S0000125</t>
  </si>
  <si>
    <t>SHASHIKALA RAMESH  BAHETI</t>
  </si>
  <si>
    <t>S0000131</t>
  </si>
  <si>
    <t>SHOBHA RAMESH  MALANI</t>
  </si>
  <si>
    <t>S0000135</t>
  </si>
  <si>
    <t>SHYAMASUNDER LAXMINARAYAN  RATHI</t>
  </si>
  <si>
    <t>S0000138</t>
  </si>
  <si>
    <t>SUBHASHCHANDRA SHAMRAO  WAGHOLIKAR</t>
  </si>
  <si>
    <t>S0000140</t>
  </si>
  <si>
    <t>SUBHASH DAMODHAR  RATHI</t>
  </si>
  <si>
    <t>S0000142</t>
  </si>
  <si>
    <t>SUKHAVINDERSINGH JARNAILSINGH  SAINI</t>
  </si>
  <si>
    <t>S0000144</t>
  </si>
  <si>
    <t>SUMAN SHARAD  NAVANDAR</t>
  </si>
  <si>
    <t>S0000145</t>
  </si>
  <si>
    <t>SUMANT RAMESH  MALANI</t>
  </si>
  <si>
    <t>S0000147</t>
  </si>
  <si>
    <t>SUNANDA SHRIRAM  HOLANI</t>
  </si>
  <si>
    <t>S0000148</t>
  </si>
  <si>
    <t>SUNANDA SURYAKANT  MUNOTH</t>
  </si>
  <si>
    <t>S0000151</t>
  </si>
  <si>
    <t>SURYAKANT GOKULDAS  SOMANI</t>
  </si>
  <si>
    <t>S0000152</t>
  </si>
  <si>
    <t>SUSHAMA NITIN  SONI</t>
  </si>
  <si>
    <t>S0000155</t>
  </si>
  <si>
    <t>SUSHILKAUR GURMITSINGH  SAINI</t>
  </si>
  <si>
    <t>S0000158</t>
  </si>
  <si>
    <t>SAMEER JUGALKISHORE  DHOOT</t>
  </si>
  <si>
    <t>S0000164</t>
  </si>
  <si>
    <t>SATNAMKAUR KARANSINGH  SAINI</t>
  </si>
  <si>
    <t>S0000167</t>
  </si>
  <si>
    <t>SHIVKUMAR PURSHOTTAMDAS  AGRAWAL</t>
  </si>
  <si>
    <t>S0000170</t>
  </si>
  <si>
    <t>S0000308</t>
  </si>
  <si>
    <t>SANDEEP S  DENGLA</t>
  </si>
  <si>
    <t>S0000316</t>
  </si>
  <si>
    <t>SANJAY D  ARORA</t>
  </si>
  <si>
    <t>S0000319</t>
  </si>
  <si>
    <t>SANJAY RAMSWARUP  GANDHI</t>
  </si>
  <si>
    <t>S0000320</t>
  </si>
  <si>
    <t>SANJAY SANCHALAL  CHHAJED</t>
  </si>
  <si>
    <t>S0000322</t>
  </si>
  <si>
    <t>SANJEEV KUMAR  LIHALA</t>
  </si>
  <si>
    <t>S0000323</t>
  </si>
  <si>
    <t>SANJEEV  SAOJI</t>
  </si>
  <si>
    <t>S0000327</t>
  </si>
  <si>
    <t>SANTOSHDEVI  AGRAWAL</t>
  </si>
  <si>
    <t>S0000332</t>
  </si>
  <si>
    <t>SARBJIT SINGH  WIRK</t>
  </si>
  <si>
    <t>S0000334</t>
  </si>
  <si>
    <t>SARITA  AGARWAL</t>
  </si>
  <si>
    <t>S0000336</t>
  </si>
  <si>
    <t>SARLADEVI  GUPTA</t>
  </si>
  <si>
    <t>S0000342</t>
  </si>
  <si>
    <t>SATYABHAMA  AGARWAL</t>
  </si>
  <si>
    <t>S0000344</t>
  </si>
  <si>
    <t>SAVITA  AGRAWAL</t>
  </si>
  <si>
    <t>S0000346</t>
  </si>
  <si>
    <t>SAWARMAL S  DAINGLA</t>
  </si>
  <si>
    <t>S0000347</t>
  </si>
  <si>
    <t>SHABBIR  BOHRA</t>
  </si>
  <si>
    <t>S0000356</t>
  </si>
  <si>
    <t>SHASHI  AGRAWAL</t>
  </si>
  <si>
    <t>S0000359</t>
  </si>
  <si>
    <t>SHEETAL  DHOOT</t>
  </si>
  <si>
    <t>S0000360</t>
  </si>
  <si>
    <t>SHEHNAZ  BOHRA</t>
  </si>
  <si>
    <t>S0000361</t>
  </si>
  <si>
    <t>SHIMLA  AGRAWAL</t>
  </si>
  <si>
    <t>S0000363</t>
  </si>
  <si>
    <t>SHIVBHAGWAN  LAHOTI</t>
  </si>
  <si>
    <t>S0000364</t>
  </si>
  <si>
    <t>SHIVNARAYAN  JAISWAL</t>
  </si>
  <si>
    <t>S0000365</t>
  </si>
  <si>
    <t>SHIVSHANKAR  AGRAWAL</t>
  </si>
  <si>
    <t>S0000371</t>
  </si>
  <si>
    <t>SHUJKAT AHMED  SIDDIQUI</t>
  </si>
  <si>
    <t>S0000372</t>
  </si>
  <si>
    <t>SHYAM  RATHI</t>
  </si>
  <si>
    <t>S0000373</t>
  </si>
  <si>
    <t>SHYAM  AGRAWAL</t>
  </si>
  <si>
    <t>S0000377</t>
  </si>
  <si>
    <t>SITA DEVI  BANSAL</t>
  </si>
  <si>
    <t>S0000379</t>
  </si>
  <si>
    <t>SITALDAS TILOKCHAND  GIDWANI</t>
  </si>
  <si>
    <t>S0000387</t>
  </si>
  <si>
    <t>SUDESH  SHARMA</t>
  </si>
  <si>
    <t>S0000389</t>
  </si>
  <si>
    <t>SUKHVINDERSINGH  CHANNE</t>
  </si>
  <si>
    <t>S0000390</t>
  </si>
  <si>
    <t>SUMANBAI  LADE</t>
  </si>
  <si>
    <t>S0000394</t>
  </si>
  <si>
    <t>SUNIL  BANTHIA</t>
  </si>
  <si>
    <t>S0000396</t>
  </si>
  <si>
    <t>SURENDER SINGH  BEANT SINGH HODA</t>
  </si>
  <si>
    <t>S0000399</t>
  </si>
  <si>
    <t>SURESH  TAORI</t>
  </si>
  <si>
    <t>S0000401</t>
  </si>
  <si>
    <t>SURINDER KAUR SAINI</t>
  </si>
  <si>
    <t>S0000404</t>
  </si>
  <si>
    <t>SURYAKANT V  KORADIA</t>
  </si>
  <si>
    <t>S0000409</t>
  </si>
  <si>
    <t>SUSHILA  AGARWAL</t>
  </si>
  <si>
    <t>S0000415</t>
  </si>
  <si>
    <t>SHARDA PAPER  PRODUCTS PVT LTD</t>
  </si>
  <si>
    <t>T0000306</t>
  </si>
  <si>
    <t>TUSHAR K  KOYA</t>
  </si>
  <si>
    <t>U0000101</t>
  </si>
  <si>
    <t>UMESH RAMNARAYAN SHARMA</t>
  </si>
  <si>
    <t>V0000104</t>
  </si>
  <si>
    <t>VIJAYALAXMI  NARENDRAN</t>
  </si>
  <si>
    <t>V0000113</t>
  </si>
  <si>
    <t>VISHAL PADAMKUMAR  GANGWAL</t>
  </si>
  <si>
    <t>V0000304</t>
  </si>
  <si>
    <t>VASANT MOTIRAM  BARDE</t>
  </si>
  <si>
    <t>V0000305</t>
  </si>
  <si>
    <t>VASANTRAO  GIRDE</t>
  </si>
  <si>
    <t>V0000308</t>
  </si>
  <si>
    <t>VERONICA JOHN  FERREIRA</t>
  </si>
  <si>
    <t>V0000310</t>
  </si>
  <si>
    <t>VIDYA WASANT  GADKAR</t>
  </si>
  <si>
    <t>V0000312</t>
  </si>
  <si>
    <t>VIJAY  BAJAJ</t>
  </si>
  <si>
    <t>V0000314</t>
  </si>
  <si>
    <t>VIJAYA  BHANSALI</t>
  </si>
  <si>
    <t>V0000317</t>
  </si>
  <si>
    <t>VIJAY KIRAN  CHAOJI</t>
  </si>
  <si>
    <t>V0000320</t>
  </si>
  <si>
    <t>VIJAYA  SHETE</t>
  </si>
  <si>
    <t>V0000322</t>
  </si>
  <si>
    <t>VIJAYKUMAR  DESHPANDE</t>
  </si>
  <si>
    <t>V0000323</t>
  </si>
  <si>
    <t>VIKAS  SHETE</t>
  </si>
  <si>
    <t>V0000326</t>
  </si>
  <si>
    <t>VIMALKUMAR  AGRAWAL</t>
  </si>
  <si>
    <t>V0000328</t>
  </si>
  <si>
    <t>VINAYKUMAR S  VAHORA</t>
  </si>
  <si>
    <t>V0000330</t>
  </si>
  <si>
    <t>VINAY JANARDAN  VAITY</t>
  </si>
  <si>
    <t>V0000332</t>
  </si>
  <si>
    <t>VINOD M  KANANI</t>
  </si>
  <si>
    <t>V0000333</t>
  </si>
  <si>
    <t>VINODKUMAR  AGRAWAL</t>
  </si>
  <si>
    <t>V0000335</t>
  </si>
  <si>
    <t>IRENDRA KUMAR  AGRAWAL</t>
  </si>
  <si>
    <t>V0000336</t>
  </si>
  <si>
    <t>VISHAL   KIRAN LAKHANI</t>
  </si>
  <si>
    <t>V0000339</t>
  </si>
  <si>
    <t>VISHNU  ASHTIKAR</t>
  </si>
  <si>
    <t>V0000342</t>
  </si>
  <si>
    <t>VINOD  GANVIR</t>
  </si>
  <si>
    <t>W0000101</t>
  </si>
  <si>
    <t>WASUDEO TRIMBAKRAO  WASANTGADKAR</t>
  </si>
  <si>
    <t>W0000301</t>
  </si>
  <si>
    <t>WASANT  BORIKAR</t>
  </si>
  <si>
    <t>Y0000303</t>
  </si>
  <si>
    <t>YASMIN  AMIN</t>
  </si>
  <si>
    <t>Y0000304</t>
  </si>
  <si>
    <t>YESHAWANT  FUKE</t>
  </si>
  <si>
    <t>Y0000307</t>
  </si>
  <si>
    <t>YOGESH  CHUGH</t>
  </si>
  <si>
    <t>Y0000308</t>
  </si>
  <si>
    <t>YUG  VARMA</t>
  </si>
  <si>
    <t>Z0000301</t>
  </si>
  <si>
    <t>ZAKIUDDING  SAIFEE</t>
  </si>
  <si>
    <t>Z0000302</t>
  </si>
  <si>
    <t>ZARINA  MEMON</t>
  </si>
  <si>
    <t>Z0000303</t>
  </si>
  <si>
    <t>ZIA UL  HASAN</t>
  </si>
  <si>
    <t>Z0000304</t>
  </si>
  <si>
    <t>ZOHER  SABIR</t>
  </si>
  <si>
    <t>HARDOLI PAPER MILLS LTD,</t>
  </si>
  <si>
    <t>S.R.NO.</t>
  </si>
  <si>
    <t>PURCHASE</t>
  </si>
  <si>
    <t>CONSUMPTION</t>
  </si>
  <si>
    <t>QTY</t>
  </si>
  <si>
    <t>RATE</t>
  </si>
  <si>
    <t>AMOUNT</t>
  </si>
  <si>
    <t>FREIGHT</t>
  </si>
  <si>
    <t>A)</t>
  </si>
  <si>
    <t>WASTE KRAFT (LOCAL)</t>
  </si>
  <si>
    <t>B)</t>
  </si>
  <si>
    <t>COLOUR RECORD</t>
  </si>
  <si>
    <t>Date</t>
  </si>
  <si>
    <t>C)</t>
  </si>
  <si>
    <t>SUPERIOR KRAFT (OCC)</t>
  </si>
  <si>
    <t xml:space="preserve">TOTAL </t>
  </si>
  <si>
    <t>TOTAL (A+B+C)</t>
  </si>
  <si>
    <t>D)</t>
  </si>
  <si>
    <t>PACKING MATRIAL</t>
  </si>
  <si>
    <t>E)</t>
  </si>
  <si>
    <t>CHEMICAL</t>
  </si>
  <si>
    <t>F)</t>
  </si>
  <si>
    <t>COAL</t>
  </si>
  <si>
    <t>G)</t>
  </si>
  <si>
    <t>TOTAL (A+B+C+D+E+F+G)</t>
  </si>
  <si>
    <t>H)</t>
  </si>
  <si>
    <t>FINISHED GOODS</t>
  </si>
  <si>
    <t>I)</t>
  </si>
  <si>
    <t>STORE &amp; SPARES</t>
  </si>
  <si>
    <t>GRAND TOTAL(A:I )</t>
  </si>
  <si>
    <t>WASTE PAPER</t>
  </si>
  <si>
    <t>As  Per Tally</t>
  </si>
  <si>
    <t>As per Working</t>
  </si>
  <si>
    <t>diff</t>
  </si>
  <si>
    <t>COAL Purchase</t>
  </si>
  <si>
    <t>Hardoli Paper Mills Limited</t>
  </si>
  <si>
    <t>bookcd</t>
  </si>
  <si>
    <t>bookdes</t>
  </si>
  <si>
    <t>accd</t>
  </si>
  <si>
    <t>acname</t>
  </si>
  <si>
    <t>trcurcd</t>
  </si>
  <si>
    <t>subldcd</t>
  </si>
  <si>
    <t>S.No.</t>
  </si>
  <si>
    <t>Repayment</t>
  </si>
  <si>
    <t>Opening</t>
  </si>
  <si>
    <t>&lt; 1 Year</t>
  </si>
  <si>
    <t>&gt; 1 Year</t>
  </si>
  <si>
    <t>AP</t>
  </si>
  <si>
    <t>Amol Pharma</t>
  </si>
  <si>
    <t>200215</t>
  </si>
  <si>
    <t>Staff Loan</t>
  </si>
  <si>
    <t>RS</t>
  </si>
  <si>
    <t>AP/002</t>
  </si>
  <si>
    <t>AP/035</t>
  </si>
  <si>
    <t>SURESH KUMAR SAHU</t>
  </si>
  <si>
    <t>Staff Loan Repayment Schdule From 01.04.2022 to 31.01.2023</t>
  </si>
  <si>
    <t>Employee Name</t>
  </si>
  <si>
    <t>Bholanath Mitra</t>
  </si>
  <si>
    <t>Chandrashekhar Japulkar</t>
  </si>
  <si>
    <t>Dilipkumar Patel</t>
  </si>
  <si>
    <t>Naresh Charde</t>
  </si>
  <si>
    <t>Hardoli  Paper  Mills  Ltd</t>
  </si>
  <si>
    <t>Valuation as  per cost</t>
  </si>
  <si>
    <t>Raw Material Consumption</t>
  </si>
  <si>
    <t xml:space="preserve">Production  </t>
  </si>
  <si>
    <t>Excluded</t>
  </si>
  <si>
    <t>Overheads</t>
  </si>
  <si>
    <t>Amount</t>
  </si>
  <si>
    <t xml:space="preserve">Raw Material Consumption </t>
  </si>
  <si>
    <t>Salary  &amp; Wages</t>
  </si>
  <si>
    <t>Incentive on Power Consumption</t>
  </si>
  <si>
    <t>Security  Service  Charges</t>
  </si>
  <si>
    <t>Stores  &amp;  Spares  Consumed</t>
  </si>
  <si>
    <t>Packing  Material Consumed</t>
  </si>
  <si>
    <t>Repair  &amp;  Maint - Machinery</t>
  </si>
  <si>
    <t>Factory  Expenses</t>
  </si>
  <si>
    <t>Waste paper Fedding Charges</t>
  </si>
  <si>
    <t>Administration Cost</t>
  </si>
  <si>
    <t>Cost /MT</t>
  </si>
  <si>
    <t>Total Cost/MT</t>
  </si>
  <si>
    <t xml:space="preserve">Cl. Stock </t>
  </si>
  <si>
    <t>Valuation at cost</t>
  </si>
  <si>
    <t>Net Realisable Value</t>
  </si>
  <si>
    <t>Cost or NRV whichever is  lower</t>
  </si>
  <si>
    <t>Market Price</t>
  </si>
  <si>
    <t>18BF</t>
  </si>
  <si>
    <t>18BF (GY)</t>
  </si>
  <si>
    <t>16BF</t>
  </si>
  <si>
    <t>20BF</t>
  </si>
  <si>
    <t>20BF (GY)</t>
  </si>
  <si>
    <t>22BF</t>
  </si>
  <si>
    <t>Net Realizable Value</t>
  </si>
  <si>
    <t>FINANCIAL YEAR 2022-23</t>
  </si>
  <si>
    <t>Computation Of Working Capital</t>
  </si>
  <si>
    <t>Current Assets</t>
  </si>
  <si>
    <t>Current Liabilities</t>
  </si>
  <si>
    <t>Working Capital</t>
  </si>
  <si>
    <t>Capital &amp; Other Reserves</t>
  </si>
  <si>
    <t>PPE</t>
  </si>
  <si>
    <t>Other Non-Current Asset</t>
  </si>
  <si>
    <t>Non-Current Assets</t>
  </si>
  <si>
    <t>Loan</t>
  </si>
  <si>
    <t>Details of Capital Advance as on 31-03-2023</t>
  </si>
  <si>
    <t>Vendor Name</t>
  </si>
  <si>
    <t>Date of Advance</t>
  </si>
  <si>
    <t xml:space="preserve">Amt of Advance </t>
  </si>
  <si>
    <t>Amt of Bill / PO</t>
  </si>
  <si>
    <t>Contingent Liability</t>
  </si>
  <si>
    <t>Whether Purchase Order or Quotation received for which the payment is received…?</t>
  </si>
  <si>
    <t>HARDOLI PAPER MILLS LTD.</t>
  </si>
  <si>
    <t>AS PER SANCTION LETTER</t>
  </si>
  <si>
    <t>AS PER BOOKS</t>
  </si>
  <si>
    <t>Financial Years</t>
  </si>
  <si>
    <t xml:space="preserve">Date </t>
  </si>
  <si>
    <t>Admissible IPS Sanction</t>
  </si>
  <si>
    <t>85% IPS Claim Received</t>
  </si>
  <si>
    <t xml:space="preserve">Closing Balance Amount </t>
  </si>
  <si>
    <t>Dated</t>
  </si>
  <si>
    <t>Admissible IPS Provision</t>
  </si>
  <si>
    <t>Received As per Books</t>
  </si>
  <si>
    <t>Closing Balance Amount</t>
  </si>
  <si>
    <t>F. Y. 2008-09</t>
  </si>
  <si>
    <t>F. Y. 2009-10</t>
  </si>
  <si>
    <t>F. Y. 2010-11</t>
  </si>
  <si>
    <t>F. Y. 2011-12</t>
  </si>
  <si>
    <t>F. Y. 2012-13</t>
  </si>
  <si>
    <t>F. Y. 2013-14</t>
  </si>
  <si>
    <t>F. Y. 2014-15</t>
  </si>
  <si>
    <t>F. Y. 2015-16</t>
  </si>
  <si>
    <t>F. Y. 2016-17_Rem</t>
  </si>
  <si>
    <t>F. Y. 2016-17</t>
  </si>
  <si>
    <t>F. Y. 2017-18_Vat</t>
  </si>
  <si>
    <t>GST Act July-2017</t>
  </si>
  <si>
    <t>F. Y. 2017-18_GST</t>
  </si>
  <si>
    <t>F. Y. 2018-19</t>
  </si>
  <si>
    <t>F. Y. 2019-20</t>
  </si>
  <si>
    <t>F. Y. 2020-21</t>
  </si>
  <si>
    <t>F. Y. 2021-22</t>
  </si>
  <si>
    <t>TOTAL</t>
  </si>
  <si>
    <t>As per Sanction letter</t>
  </si>
  <si>
    <t>As per Books</t>
  </si>
  <si>
    <t>Admissible IPS Claimed As per Sanction Letter</t>
  </si>
  <si>
    <t>Admissible IPS Claimed as per Books</t>
  </si>
  <si>
    <t>IPS Claim Received 85% As per Sanction letter</t>
  </si>
  <si>
    <t>IPS Claimed Received as per Books</t>
  </si>
  <si>
    <t xml:space="preserve">Differences </t>
  </si>
  <si>
    <t>Promoter Name</t>
  </si>
  <si>
    <t>Gaurav Anilkumar Lakhotiya</t>
  </si>
  <si>
    <t>NOTES TO FINANCIAL STATEMENT FOR THE YEAR ENDED 31ST MARCH, 2023</t>
  </si>
  <si>
    <t>Mrs. Garima Maheshwari</t>
  </si>
  <si>
    <t>Purchase of Husk</t>
  </si>
  <si>
    <t>Mrs Garima Maheshwari</t>
  </si>
  <si>
    <t>16BF (GY)</t>
  </si>
  <si>
    <t>Rate 1</t>
  </si>
  <si>
    <t>Rate 2</t>
  </si>
  <si>
    <t>Rate 3</t>
  </si>
  <si>
    <t>Average</t>
  </si>
  <si>
    <t>Loan Amount as on 31.03.2023</t>
  </si>
  <si>
    <t>Rate 4</t>
  </si>
  <si>
    <t>Weight (Kg)</t>
  </si>
  <si>
    <t>Year Ended March 31, 2021 (₹)</t>
  </si>
  <si>
    <t>Rate</t>
  </si>
  <si>
    <t>Sales of Production Qty</t>
  </si>
  <si>
    <t>Changes in inventories of finished goods,</t>
  </si>
  <si>
    <t>Manufacturing Expenses</t>
  </si>
  <si>
    <t>Cost of Production</t>
  </si>
  <si>
    <t>Gross Profit</t>
  </si>
  <si>
    <t>Net Profit Before Tax</t>
  </si>
  <si>
    <t>(1) MAT credit Entilement</t>
  </si>
  <si>
    <t>(2) Deferred tax</t>
  </si>
  <si>
    <t>Year Ended March 31, 2023 (₹)</t>
  </si>
  <si>
    <t>Reconciliation of Profit as per PL and cost sheet</t>
  </si>
  <si>
    <t>Profit as per Statement of Profit &amp; Loss</t>
  </si>
  <si>
    <t>Profit as per Cost sheet</t>
  </si>
  <si>
    <t>Interest income</t>
  </si>
  <si>
    <t>00001135</t>
  </si>
  <si>
    <t>NAVDEEP SINGH SAINI</t>
  </si>
  <si>
    <t>1201060004805901</t>
  </si>
  <si>
    <t>1201060100019352</t>
  </si>
  <si>
    <t>Shrawan Kumar Ramlal Malu</t>
  </si>
  <si>
    <t>1201090006747574</t>
  </si>
  <si>
    <t>SHARAD LAXMINARAYAN NAVANDAR .</t>
  </si>
  <si>
    <t>1201090007185517</t>
  </si>
  <si>
    <t>SHYAM SOHANLAL AGRAWAL .</t>
  </si>
  <si>
    <t>1203000000525645</t>
  </si>
  <si>
    <t>1203600000007470</t>
  </si>
  <si>
    <t>DEEPAK SURESHCHANDRA KHANDELWAL</t>
  </si>
  <si>
    <t>1203600007946466</t>
  </si>
  <si>
    <t>1601430104288218</t>
  </si>
  <si>
    <t>WALTER DSOUZA</t>
  </si>
  <si>
    <t>IN300343/11384044</t>
  </si>
  <si>
    <t>MITESHKUMAR PRAKASHBHAI VAGHELA</t>
  </si>
  <si>
    <t>IN301774/21078683</t>
  </si>
  <si>
    <t>SHYAMSUNDER LAXMINARAYAN RATHI</t>
  </si>
  <si>
    <t>IN301862/60709967</t>
  </si>
  <si>
    <t>IN303116/14272424</t>
  </si>
  <si>
    <t>MUSTAFA SAIFUDDIN COCHINWALA</t>
  </si>
  <si>
    <t>IN303116/14276477</t>
  </si>
  <si>
    <t>KHUZEMA ZAKIUDDIN SAIFEE</t>
  </si>
  <si>
    <t>Shares as on 31/3/2022</t>
  </si>
  <si>
    <t>List of shareholders on 31/3/2022 and 31/3/2023</t>
  </si>
  <si>
    <t>Name</t>
  </si>
  <si>
    <t>Folio No.</t>
  </si>
  <si>
    <t>Closing Shares as on 31/3/2023</t>
  </si>
  <si>
    <t>Actual  Value (Rs.)</t>
  </si>
  <si>
    <t>Tax Value (Rs.)</t>
  </si>
  <si>
    <t>Difference on account of Depreciation</t>
  </si>
  <si>
    <t>WDV as per Companies Act (excluding Revaluation reserve)</t>
  </si>
  <si>
    <t>WDV as per Income Tax Act</t>
  </si>
  <si>
    <t xml:space="preserve">                  Deferred Tax Liability</t>
  </si>
  <si>
    <t>Provision for Bonus</t>
  </si>
  <si>
    <t>Provision for Gratuity</t>
  </si>
  <si>
    <t>Provision for Leave encashment</t>
  </si>
  <si>
    <t>Deferred Tax Asset</t>
  </si>
  <si>
    <t>Total Deferred Tax Asset</t>
  </si>
  <si>
    <t>Total Deferred Tax Liability</t>
  </si>
  <si>
    <t>Opening Balance of Deferred Tax Liability</t>
  </si>
  <si>
    <t>Clubbed Entry</t>
  </si>
  <si>
    <t xml:space="preserve"> Dr.</t>
  </si>
  <si>
    <t>AY 2023-24</t>
  </si>
  <si>
    <t>ADVANCE TO SUPPLIER 01-04-2022 TO 31-03-2023</t>
  </si>
  <si>
    <t>Sr. No.</t>
  </si>
  <si>
    <t>Party Name</t>
  </si>
  <si>
    <t>Remarks</t>
  </si>
  <si>
    <t>K/A PERSON</t>
  </si>
  <si>
    <t>CONTAINER CORPN. OF INDIA LTD.</t>
  </si>
  <si>
    <t>Extra Container Charges Debit Note</t>
  </si>
  <si>
    <t>Mr. Kunal</t>
  </si>
  <si>
    <t>NAV DURGA BOILER &amp; EQUIPMENTS</t>
  </si>
  <si>
    <t>Boiler work advance</t>
  </si>
  <si>
    <t>ULTRAWEATHER ENGINEERING SERVICES</t>
  </si>
  <si>
    <t>Ductible Split AC for Boiler</t>
  </si>
  <si>
    <t>SURYODAY TEXTILE FACTORY</t>
  </si>
  <si>
    <t>Excess paid received on 01.04.2023</t>
  </si>
  <si>
    <t>--</t>
  </si>
  <si>
    <t>VIRENDRA PRASAD YADAV</t>
  </si>
  <si>
    <t>Help done to Contractos labour (Laxmikant Rai's) treatment due to accidental case at outside.</t>
  </si>
  <si>
    <t>Mr. Suryakant</t>
  </si>
  <si>
    <t>METROPOLITAN STOCK EXCHANGE INDIA</t>
  </si>
  <si>
    <t>Short deduction of TDS now rectify</t>
  </si>
  <si>
    <t>Mrs.Jayashree</t>
  </si>
  <si>
    <t>MAHARASHTRA STATE MINING CORPN. LTD.</t>
  </si>
  <si>
    <t>Advance against Coal Purchase D.O.</t>
  </si>
  <si>
    <t>Mr. Neelkanth</t>
  </si>
  <si>
    <t>TERM LOAN DETAILS</t>
  </si>
  <si>
    <t>Sanction Amount / Op Balance</t>
  </si>
  <si>
    <t>Principle O/s</t>
  </si>
  <si>
    <t>Interest Exp</t>
  </si>
  <si>
    <t>Interest Payable</t>
  </si>
  <si>
    <t>Principle Payment</t>
  </si>
  <si>
    <t>Commitment</t>
  </si>
  <si>
    <t>Short Term Liability</t>
  </si>
  <si>
    <t>Long Term Outstandig</t>
  </si>
  <si>
    <t>Repyment Started from June 2021</t>
  </si>
  <si>
    <t>Repayment Schedule - WCTL GECL 4 - 73 Lacs - A/c No. 40590939457</t>
  </si>
  <si>
    <t>Repayment Schedule - Term Loan- 775 Lacs - A/c No. 40667225452</t>
  </si>
  <si>
    <t>Principle Amount</t>
  </si>
  <si>
    <t>Commitment Charges</t>
  </si>
  <si>
    <t>Balance</t>
  </si>
  <si>
    <t>Addition</t>
  </si>
  <si>
    <t>Payment</t>
  </si>
  <si>
    <t>Repayment Schedule - WCTL GECL 1 - 146 Lacs - A/c No. 39366011281</t>
  </si>
  <si>
    <t>Interest Payment</t>
  </si>
  <si>
    <t>EMI</t>
  </si>
  <si>
    <t>Account No. : 40590939457</t>
  </si>
  <si>
    <t>Due Date</t>
  </si>
  <si>
    <t>Projected Interest</t>
  </si>
  <si>
    <t>Principal Due</t>
  </si>
  <si>
    <t>Amount of Loan : Rs 73 Lakhs</t>
  </si>
  <si>
    <t>Amount of Loan : Rs 775 Lakhs</t>
  </si>
  <si>
    <t xml:space="preserve">Additional Term Loan (1.40 Cr) </t>
  </si>
  <si>
    <t>Repayment will start from December 23. Hence not short term principle amount payable for March 23</t>
  </si>
  <si>
    <t>Repayment Schedule - WCTL GECL 1 - 140 Lacs - A/c No. 41345851422</t>
  </si>
  <si>
    <t>(a) CWIP ageing schedule as on March 31, 2023</t>
  </si>
  <si>
    <t>(a) CWIP ageing schedule as on March 31, 2022</t>
  </si>
  <si>
    <t>2020-21</t>
  </si>
  <si>
    <t>2019-20</t>
  </si>
  <si>
    <t>&lt;1</t>
  </si>
  <si>
    <t>1 to 2</t>
  </si>
  <si>
    <t>2 to 3</t>
  </si>
  <si>
    <t>GST ANNUAL RETURN CHARGES</t>
  </si>
  <si>
    <t>Metropolitan Stock Exchange of India(MSEI)</t>
  </si>
  <si>
    <t>Omprakash D. Rathi (Remuneration)</t>
  </si>
  <si>
    <t>OTHER EQUIPMENTS</t>
  </si>
  <si>
    <t>Penalty on TDS</t>
  </si>
  <si>
    <t>GST Annual Return Fees Payable</t>
  </si>
  <si>
    <t>GST Annual Return Fees</t>
  </si>
  <si>
    <t xml:space="preserve">    (iii) Other Financial assets</t>
  </si>
  <si>
    <t>NOTE 8 : OTHER FINANCIAL ASSETS</t>
  </si>
  <si>
    <t>Payable for Capital Goods</t>
  </si>
  <si>
    <t>31.03.2023</t>
  </si>
  <si>
    <t>Mr. Omprakash D Rathi</t>
  </si>
  <si>
    <t>Import Party</t>
  </si>
  <si>
    <t>HARDOLI PAPER MILLS LTD</t>
  </si>
  <si>
    <t>ASSESSMENT YEAR 2022-23</t>
  </si>
  <si>
    <t>ANNEXURE A</t>
  </si>
  <si>
    <t>RE: PARTICULARS OF DEPRECIATION ALLOWABLE AS PER INCOME TAX ACT</t>
  </si>
  <si>
    <t>REF : CLAUSE '18' OF FORM 3CD</t>
  </si>
  <si>
    <t>Name Of Asset</t>
  </si>
  <si>
    <t xml:space="preserve">Rate of </t>
  </si>
  <si>
    <t>W.D.V.as on</t>
  </si>
  <si>
    <t>Exchange Difference (Gain)/ Loss</t>
  </si>
  <si>
    <t>Deletions</t>
  </si>
  <si>
    <t xml:space="preserve">Depreciation </t>
  </si>
  <si>
    <t>Additional Depreciation for the Current Year</t>
  </si>
  <si>
    <t>Additional Depreciation for the Preceeding Year</t>
  </si>
  <si>
    <t>Total 
Depreciation</t>
  </si>
  <si>
    <t xml:space="preserve">W.D.V.as on </t>
  </si>
  <si>
    <t>Additional Depreciation to be carried forward</t>
  </si>
  <si>
    <t>Depren</t>
  </si>
  <si>
    <t>Before 6</t>
  </si>
  <si>
    <t>After 6</t>
  </si>
  <si>
    <t>Allowable</t>
  </si>
  <si>
    <t>Months</t>
  </si>
  <si>
    <t>BLOCK I</t>
  </si>
  <si>
    <t>Block I Total</t>
  </si>
  <si>
    <t>BLOCK II</t>
  </si>
  <si>
    <t>Block II Total</t>
  </si>
  <si>
    <t>BLOCK III</t>
  </si>
  <si>
    <t xml:space="preserve">Furniture &amp; Fixtures </t>
  </si>
  <si>
    <t>Electric Installation</t>
  </si>
  <si>
    <t>Block III Total</t>
  </si>
  <si>
    <t>BLOCK IV</t>
  </si>
  <si>
    <t>Car &amp; Motor Vehicle</t>
  </si>
  <si>
    <t>Block IV Total</t>
  </si>
  <si>
    <t>BLOCK V</t>
  </si>
  <si>
    <t>a</t>
  </si>
  <si>
    <t>b</t>
  </si>
  <si>
    <t>Plant &amp; Machinery (No Add Dep)</t>
  </si>
  <si>
    <t>c</t>
  </si>
  <si>
    <t>Pollution Control Equipment</t>
  </si>
  <si>
    <t>d</t>
  </si>
  <si>
    <t>Amount Adjusted U/s 115BAA</t>
  </si>
  <si>
    <t>Block V Total</t>
  </si>
  <si>
    <t>BLOCK VI</t>
  </si>
  <si>
    <t>Block VI Total</t>
  </si>
  <si>
    <t>Computation of additional deprecation 2020-21</t>
  </si>
  <si>
    <t>Additonal Dep.</t>
  </si>
  <si>
    <t>Before</t>
  </si>
  <si>
    <t>After</t>
  </si>
  <si>
    <t>Additonal to be carried forward</t>
  </si>
  <si>
    <t>Additional dep of last year 2019-20</t>
  </si>
  <si>
    <t>(as per details given below)</t>
  </si>
  <si>
    <t>Plant and Machiney</t>
  </si>
  <si>
    <t>Year ended</t>
  </si>
  <si>
    <t>A CASH FLOW FROM OPERATING ACTIVITIES</t>
  </si>
  <si>
    <t xml:space="preserve">PROFIT BEFORE INCOME TAX </t>
  </si>
  <si>
    <t>Adjustments for:</t>
  </si>
  <si>
    <t>Other comprehensive Income - Acturial Gain / (loss)</t>
  </si>
  <si>
    <t xml:space="preserve">Depreciation, amortisation and impairment </t>
  </si>
  <si>
    <t xml:space="preserve">Net (Gain)/ Loss on disposal of property, plant and equipment </t>
  </si>
  <si>
    <t xml:space="preserve">Operating profit before working capital changes </t>
  </si>
  <si>
    <t>Advance Income Tax (A.Y. 2019-20)</t>
  </si>
  <si>
    <t>Change in operating assets and liabilities:</t>
  </si>
  <si>
    <t>Advance Income Tax (A.Y. 2020-21)</t>
  </si>
  <si>
    <t>Particular</t>
  </si>
  <si>
    <t>Closing 2020-21</t>
  </si>
  <si>
    <t>Opening 2020-21</t>
  </si>
  <si>
    <t>Difference 2020-21</t>
  </si>
  <si>
    <t>Closing 2019-20</t>
  </si>
  <si>
    <t>Opening 2019-20</t>
  </si>
  <si>
    <t>Difference  2019-20</t>
  </si>
  <si>
    <t xml:space="preserve">(Increase)/ Decrease in inventories </t>
  </si>
  <si>
    <t xml:space="preserve">(Increase)/ Decrease in trade receivables </t>
  </si>
  <si>
    <t>(Increase)/ Decrease in other financials assets</t>
  </si>
  <si>
    <t xml:space="preserve">(Increase)/ Decrease in other current assets </t>
  </si>
  <si>
    <t>(Increase)/ Decrease in other Bank Balance</t>
  </si>
  <si>
    <t>Other Bank Balance</t>
  </si>
  <si>
    <t>Provision for Income Tax (A.Y.2019-20)</t>
  </si>
  <si>
    <t xml:space="preserve">Increase/ (Decrease) in trade payables </t>
  </si>
  <si>
    <t>Trade Payable</t>
  </si>
  <si>
    <t>TDS  (A. Y. 2019-20)</t>
  </si>
  <si>
    <t>Increase/ (Decrease) in other Non Current Provisions</t>
  </si>
  <si>
    <t>Non Current Provisions</t>
  </si>
  <si>
    <t>TDS (A. Y. 2020-21)</t>
  </si>
  <si>
    <t xml:space="preserve">Increase/ (Decrease) in other financial liabilities </t>
  </si>
  <si>
    <t>Other Financial Liabilities</t>
  </si>
  <si>
    <t>TDS Excess Paid FY 15-16</t>
  </si>
  <si>
    <t xml:space="preserve">Increase/ (Decrease) in other current liabilities </t>
  </si>
  <si>
    <t xml:space="preserve">Increase/ (Decrease) in provisions </t>
  </si>
  <si>
    <t>Current Provisions</t>
  </si>
  <si>
    <t>T.C.S. (A.Y.2020-21)</t>
  </si>
  <si>
    <t xml:space="preserve">(Increase)/ Decrease in other financial assets (Non Current) </t>
  </si>
  <si>
    <t>Non Current Financial Assets</t>
  </si>
  <si>
    <t xml:space="preserve">(Increase)/ Decrease in other non-current assets </t>
  </si>
  <si>
    <t>Non Current Assets</t>
  </si>
  <si>
    <t>Provision</t>
  </si>
  <si>
    <t xml:space="preserve">Changes in Working Capital </t>
  </si>
  <si>
    <t xml:space="preserve">Cash generated from Operations </t>
  </si>
  <si>
    <t xml:space="preserve">Income taxes paid (net of refunds) </t>
  </si>
  <si>
    <t>Paid during the year</t>
  </si>
  <si>
    <t xml:space="preserve">NET CASH INFLOW GENERATED FROM OPERATING ACTIVITIES </t>
  </si>
  <si>
    <t>Other Tax Assets</t>
  </si>
  <si>
    <t>Income Tax Provision</t>
  </si>
  <si>
    <t>B CASH FLOW FROM INVESTING ACTIVITIES</t>
  </si>
  <si>
    <t>MAT adjustment</t>
  </si>
  <si>
    <t xml:space="preserve">Payment for property, plant and equipment </t>
  </si>
  <si>
    <t>MAT Credit</t>
  </si>
  <si>
    <t xml:space="preserve">Proceeds from sale of property, plant and equipment </t>
  </si>
  <si>
    <t xml:space="preserve">Payment for purchase of investments </t>
  </si>
  <si>
    <t xml:space="preserve">Payment for purchase of inter-corporate deposits placed </t>
  </si>
  <si>
    <t xml:space="preserve">(Given)/ Repayment of loans by related parties </t>
  </si>
  <si>
    <t xml:space="preserve">Interest received </t>
  </si>
  <si>
    <t xml:space="preserve">NET CASH (OUTFLOW) / INFLOW FROM INVESTING ACTIVITIES </t>
  </si>
  <si>
    <t>C CASH FLOW FROM FINANCING ACTIVITIES</t>
  </si>
  <si>
    <t xml:space="preserve">Proceeds from issuance of share capital (net of share issue expenses) </t>
  </si>
  <si>
    <t xml:space="preserve">Increase/ (Decrease) in Borrowing </t>
  </si>
  <si>
    <t>Borrowing</t>
  </si>
  <si>
    <t xml:space="preserve">Repayment of borrowings </t>
  </si>
  <si>
    <t xml:space="preserve">Interest paid </t>
  </si>
  <si>
    <t xml:space="preserve">NET CASH (OUTFLOW) / INFLOW FROM FINANCING ACTIVITIES </t>
  </si>
  <si>
    <t xml:space="preserve">D NET INCREASE / (DECREASE) IN CASH &amp; CASH EQUIVALENTS (A+B+C) </t>
  </si>
  <si>
    <t>E CASH AND CASH EQUIVALENTS AT THE BEGINNING OF THE FINANCIAL YEAR.</t>
  </si>
  <si>
    <t>F CASH AND CASH EQUIVALENTS AT END OF THE YEAR.</t>
  </si>
  <si>
    <t>The cash flow statement has been prepared under the indirect method as set out in Indian Accounting Standard (Ind AS 7) statement of cash flows.</t>
  </si>
  <si>
    <t>For DARAK AND ASSOCIATES</t>
  </si>
  <si>
    <t>FIRM REGISTRATION NO. 132818W</t>
  </si>
  <si>
    <t>OMPRAKASH RATHI - EXECUTIVE DIRECTOR</t>
  </si>
  <si>
    <t>31st March, 2023 (₹)</t>
  </si>
  <si>
    <t>Current Tax + (Current Tax Assets op - cl) + (Provision for Income tax op - cl)</t>
  </si>
  <si>
    <t xml:space="preserve">NAME                                                       </t>
  </si>
  <si>
    <t>:</t>
  </si>
  <si>
    <t>STATUS</t>
  </si>
  <si>
    <t>PUBLIC LIMITED COMPANY</t>
  </si>
  <si>
    <t>PREVIOUS YEAR</t>
  </si>
  <si>
    <t xml:space="preserve">ASSESSMENT YEAR                                 </t>
  </si>
  <si>
    <t>PAN NO.</t>
  </si>
  <si>
    <t>COMPUTATION OF INCOME</t>
  </si>
  <si>
    <t>Normal Taxation</t>
  </si>
  <si>
    <t>U/s 115BAA</t>
  </si>
  <si>
    <t>Profit as per Profit and Loss Statement after extraordinary item</t>
  </si>
  <si>
    <t>ADD : DISALLOWANCE CONSIDERED SEPARATELY</t>
  </si>
  <si>
    <t>2018-19</t>
  </si>
  <si>
    <t>Depreciation as per books</t>
  </si>
  <si>
    <t xml:space="preserve">Provision for Gratuity </t>
  </si>
  <si>
    <t>Penalty on Excise Duty</t>
  </si>
  <si>
    <t>Penalty on Sales Tax</t>
  </si>
  <si>
    <t>Penalty on Service Tax</t>
  </si>
  <si>
    <t xml:space="preserve">Bonus </t>
  </si>
  <si>
    <t>Penalties</t>
  </si>
  <si>
    <t>Loss on sales of asset</t>
  </si>
  <si>
    <t>LESS : ALLOWANCE CONSIDERED SEPARATELY</t>
  </si>
  <si>
    <t>Sec 37 Disallowance</t>
  </si>
  <si>
    <t>Depreciation as per Income Tax</t>
  </si>
  <si>
    <t>CSR</t>
  </si>
  <si>
    <t>LESS : UTILISATION OF UNABSORBED DEPRECIATION</t>
  </si>
  <si>
    <t>Loss on sale of writeoff of asset</t>
  </si>
  <si>
    <t>ADD : UNABSORBED DEPRECIATION TO BE CARRIED FORWARD</t>
  </si>
  <si>
    <t>Sec 40 Disallowance</t>
  </si>
  <si>
    <t>Deposit under Group Gratuity Fund</t>
  </si>
  <si>
    <t>Sec 43B Disallowance</t>
  </si>
  <si>
    <t>Excess provision for bonus for earlier year</t>
  </si>
  <si>
    <t>Provision Of Gratuity</t>
  </si>
  <si>
    <t>Bonus paid for last year u/s 43B</t>
  </si>
  <si>
    <t>Provision of Bonus</t>
  </si>
  <si>
    <t>GROSS TOTAL INCOME</t>
  </si>
  <si>
    <t xml:space="preserve">TOTAL INCOME </t>
  </si>
  <si>
    <t>Sec 43B Disallowance Allowed</t>
  </si>
  <si>
    <t>Profit on Sale of Mutual fund</t>
  </si>
  <si>
    <t>Payment Of Gratuity Pertaining to FY2019-20</t>
  </si>
  <si>
    <t>Less:Exempt Income - u/s 10(38)</t>
  </si>
  <si>
    <t>Payment of Bonus Pertaining to FY2019-20</t>
  </si>
  <si>
    <t xml:space="preserve">Total </t>
  </si>
  <si>
    <t>Less : Set off of Losses</t>
  </si>
  <si>
    <t>Interest Calculation u/s 234C</t>
  </si>
  <si>
    <t>S. No.</t>
  </si>
  <si>
    <t>Installment Period</t>
  </si>
  <si>
    <t>Total Tax Due</t>
  </si>
  <si>
    <t>To Be Deposited (In %)</t>
  </si>
  <si>
    <t>To Be Deposited (In Amount)</t>
  </si>
  <si>
    <t>Deposit Amount</t>
  </si>
  <si>
    <t>Remaining Tax Due</t>
  </si>
  <si>
    <t>Int Rate (In %)</t>
  </si>
  <si>
    <t>First (Up to June)</t>
  </si>
  <si>
    <t>TAX ON TOTAL INCOME  (A)</t>
  </si>
  <si>
    <t>Second (Up to Sep)</t>
  </si>
  <si>
    <t>Third (Up to Dec)</t>
  </si>
  <si>
    <t>Fourth (Up to March)</t>
  </si>
  <si>
    <t>Less : Depreciation or book loss (whichever is lower)</t>
  </si>
  <si>
    <t>BOOK PROFIT</t>
  </si>
  <si>
    <t xml:space="preserve">15% THEREOF </t>
  </si>
  <si>
    <t>TAX ON INCOME  (B)</t>
  </si>
  <si>
    <t>A OR B WHICHEVER IS HIGHER</t>
  </si>
  <si>
    <t>Add  : Surcharge @ 7%</t>
  </si>
  <si>
    <t>Add  : Education Cess @ 4%</t>
  </si>
  <si>
    <t>TOTAL TAX PAYABLE</t>
  </si>
  <si>
    <t>Less : Tax Paid</t>
  </si>
  <si>
    <t xml:space="preserve">           (a)  TDS and TCS ( As per 26 AS)</t>
  </si>
  <si>
    <t xml:space="preserve">           (b)  MAT Utilised</t>
  </si>
  <si>
    <t xml:space="preserve">           (c)  Advance Tax</t>
  </si>
  <si>
    <t>Add  : Interest  u/s 234C</t>
  </si>
  <si>
    <t>Less : Self Assessment Tax Paid</t>
  </si>
  <si>
    <t>BALANCE TAX PAYABLE / (REFUNDABLE)</t>
  </si>
  <si>
    <t xml:space="preserve">Brought Forward Loss / Unabsorbed Depreciation  </t>
  </si>
  <si>
    <t>Business Loss</t>
  </si>
  <si>
    <t>Unabsorbed Depreciation</t>
  </si>
  <si>
    <t>Normal Depreciation</t>
  </si>
  <si>
    <t>Additional Depreciation</t>
  </si>
  <si>
    <t>AY 2016-17</t>
  </si>
  <si>
    <t>Less: Set off Against Income of AY 2018-19</t>
  </si>
  <si>
    <t>Less: Set off Against Income of AY 2020-21</t>
  </si>
  <si>
    <t>Calculation of Maximum Remuneration to Director u/s 197 of  Companies Act 2013</t>
  </si>
  <si>
    <t>In case of No profit /Loss/Inedaqate Profit</t>
  </si>
  <si>
    <t>Mat Credit Utilisation working</t>
  </si>
  <si>
    <t>Effective capital :</t>
  </si>
  <si>
    <t>IT</t>
  </si>
  <si>
    <t>MAT</t>
  </si>
  <si>
    <t>Paid up capial</t>
  </si>
  <si>
    <t>SC</t>
  </si>
  <si>
    <t xml:space="preserve">Reserves </t>
  </si>
  <si>
    <t>EC</t>
  </si>
  <si>
    <t>Long term loans and deposit</t>
  </si>
  <si>
    <t>repayment after 1 year</t>
  </si>
  <si>
    <t>Investments</t>
  </si>
  <si>
    <t>Celing Limit</t>
  </si>
  <si>
    <t>Effective capital  between  5 Crores - 10 Crores</t>
  </si>
  <si>
    <t>Total Remuneration Allowable</t>
  </si>
  <si>
    <t>Actual Given</t>
  </si>
  <si>
    <t>Short</t>
  </si>
  <si>
    <t>2023-24</t>
  </si>
  <si>
    <t>AAACH1472N</t>
  </si>
  <si>
    <t xml:space="preserve">         To Profit and Loss</t>
  </si>
  <si>
    <t>Anilkumar Lakhotiya</t>
  </si>
  <si>
    <t>Kailashchandra Agarwal</t>
  </si>
  <si>
    <t>Jairnailsingh Saini</t>
  </si>
  <si>
    <t>Remuneration</t>
  </si>
  <si>
    <t>Remuneration Paid</t>
  </si>
  <si>
    <t>Calculation of Effective Capital as on 31/3/2023</t>
  </si>
  <si>
    <t>Paid up share capital</t>
  </si>
  <si>
    <t>Share Premium Account</t>
  </si>
  <si>
    <t>Reserves and Surplus
(Excluding Revaluation Reserve)</t>
  </si>
  <si>
    <t>Long Term Loans
(Excluding WCTL, OD and BG)</t>
  </si>
  <si>
    <t>Sub-Total (A)</t>
  </si>
  <si>
    <t>Accumulated Losses</t>
  </si>
  <si>
    <t>Preliminary Expenses not written off</t>
  </si>
  <si>
    <t>Sub-Total (B)</t>
  </si>
  <si>
    <t>Effective Capital (A-B)</t>
  </si>
  <si>
    <t>Managing Director</t>
  </si>
  <si>
    <t>Whole Time Director</t>
  </si>
  <si>
    <t>Adequacy of Remuneration Paid</t>
  </si>
  <si>
    <t>Remuneration Admissible to MD and WTD</t>
  </si>
  <si>
    <t>Remuneration Payable During the period</t>
  </si>
  <si>
    <t>Remuneration Admissible to Other Directors</t>
  </si>
  <si>
    <t>Excess Remuneration Paid</t>
  </si>
  <si>
    <t>LEAVE WITH WAGES STATEMENT 01.04.2022 TO 31.03-2023</t>
  </si>
  <si>
    <t>S.N.</t>
  </si>
  <si>
    <t>NAME OF EMPLOYEES</t>
  </si>
  <si>
    <t>MONTHS</t>
  </si>
  <si>
    <t>DAYS</t>
  </si>
  <si>
    <t>SALARY</t>
  </si>
  <si>
    <t xml:space="preserve">AMOUNT </t>
  </si>
  <si>
    <t>01.04.22</t>
  </si>
  <si>
    <t>01.01.23</t>
  </si>
  <si>
    <t>BASIC+DA</t>
  </si>
  <si>
    <t>TO</t>
  </si>
  <si>
    <t>RS.</t>
  </si>
  <si>
    <t>31.12.22</t>
  </si>
  <si>
    <t>31.03.23</t>
  </si>
  <si>
    <t>MR.</t>
  </si>
  <si>
    <t>NITIN  THAKRE</t>
  </si>
  <si>
    <t>SAMBHU RAI</t>
  </si>
  <si>
    <t>PRADIP THAKRE</t>
  </si>
  <si>
    <t>PRAKASH CHAPLE</t>
  </si>
  <si>
    <t>VINOD SAMDURKAR</t>
  </si>
  <si>
    <t>SATISH KALBANDE</t>
  </si>
  <si>
    <t>SUBHASH SHIRSAGAR</t>
  </si>
  <si>
    <t>SUBHASH JAISWAL</t>
  </si>
  <si>
    <t>SURESH KEDAR</t>
  </si>
  <si>
    <t>NASIR AHMAD KHAN</t>
  </si>
  <si>
    <t>SUDHAKAR RAUT</t>
  </si>
  <si>
    <t>NANDKISHOR AKOLKAR</t>
  </si>
  <si>
    <t>NARESH ERPATE</t>
  </si>
  <si>
    <t>MAHULAL YADAV</t>
  </si>
  <si>
    <t>PAWAN DIGAMBER</t>
  </si>
  <si>
    <t>MANOHAR REWATKAR</t>
  </si>
  <si>
    <t>VIKAS NEHARE</t>
  </si>
  <si>
    <t>PRAMOD NEHARE</t>
  </si>
  <si>
    <t>MANOJ GORE</t>
  </si>
  <si>
    <t>SACHIN DEHANKAR</t>
  </si>
  <si>
    <t>CHANDRASHEKHAR BALKI</t>
  </si>
  <si>
    <t>RAJU KUKADE</t>
  </si>
  <si>
    <t>CHANDRASHEKHAR CHOUDHARI</t>
  </si>
  <si>
    <t>ASHISHKUMAR PASWAN</t>
  </si>
  <si>
    <t>DILIP PATEL</t>
  </si>
  <si>
    <t>MANOHAR SHEREKAR</t>
  </si>
  <si>
    <t>MOHD ANISH ABDUL AZIZ</t>
  </si>
  <si>
    <t>RAMNARESH SINGH</t>
  </si>
  <si>
    <t>DIGAMBER  DHORE</t>
  </si>
  <si>
    <t>NANAJI  DIGORE</t>
  </si>
  <si>
    <t>RISHIKUMAR YADAV</t>
  </si>
  <si>
    <t>VISHNU ANMADWAR</t>
  </si>
  <si>
    <t>RAMDYAL HINGE</t>
  </si>
  <si>
    <t>DHANRAJ RAUT</t>
  </si>
  <si>
    <t>RAMSINGH PARTETI</t>
  </si>
  <si>
    <t>JIWAN WANDHARE</t>
  </si>
  <si>
    <t>NARAYAN WARTHI</t>
  </si>
  <si>
    <t>RAVINDRA KUMBHARE</t>
  </si>
  <si>
    <t>ISHWAR NAGOSE</t>
  </si>
  <si>
    <t>AMIL WARTHI</t>
  </si>
  <si>
    <t>MAROTI KATLAM</t>
  </si>
  <si>
    <t>TOTAL AMOUNT</t>
  </si>
  <si>
    <t>Remuneration Payable on 31/3/23</t>
  </si>
  <si>
    <t>Month</t>
  </si>
  <si>
    <t>Qty</t>
  </si>
  <si>
    <t>46.90 &amp; 100.32</t>
  </si>
  <si>
    <t>24.115 &amp; 47.274</t>
  </si>
  <si>
    <t>Invoice Amount (In USD)</t>
  </si>
  <si>
    <t>Amount (INR)</t>
  </si>
  <si>
    <t>Subsequent Payment</t>
  </si>
  <si>
    <t>03-04-2023 &amp; 18-04-2023</t>
  </si>
  <si>
    <t>Closing Rate</t>
  </si>
  <si>
    <t>Due Date Wise Debtor Ageing as on 31.03.2023</t>
  </si>
  <si>
    <t>Debtors Type</t>
  </si>
  <si>
    <t>Inv. No.</t>
  </si>
  <si>
    <t>Amount Rs.</t>
  </si>
  <si>
    <t>Credit Days</t>
  </si>
  <si>
    <t>Due  Date</t>
  </si>
  <si>
    <t>Due  Days</t>
  </si>
  <si>
    <t>Day's</t>
  </si>
  <si>
    <t>&lt; 30</t>
  </si>
  <si>
    <t>30-60</t>
  </si>
  <si>
    <t>61-90</t>
  </si>
  <si>
    <t>91-180</t>
  </si>
  <si>
    <t>&gt; 180</t>
  </si>
  <si>
    <t>TDS CNT</t>
  </si>
  <si>
    <t>CR-2481A</t>
  </si>
  <si>
    <t>Shreyansh</t>
  </si>
  <si>
    <t>TDS-22-23</t>
  </si>
  <si>
    <t>TDS-21-22</t>
  </si>
  <si>
    <t>TDS 22-23</t>
  </si>
  <si>
    <t>Compl DNT</t>
  </si>
  <si>
    <t>CR-3263</t>
  </si>
  <si>
    <t>CR-3291</t>
  </si>
  <si>
    <t>J-4</t>
  </si>
  <si>
    <t>CR-1155</t>
  </si>
  <si>
    <t>Compl</t>
  </si>
  <si>
    <t>Summery - Debtors Type</t>
  </si>
  <si>
    <t>Export Sales</t>
  </si>
  <si>
    <t>Domestic Sales</t>
  </si>
  <si>
    <t>Total Debtors</t>
  </si>
  <si>
    <t>Diff.</t>
  </si>
  <si>
    <t>Clearing &amp; Forwarding to Transit OCC</t>
  </si>
  <si>
    <t>GST Audit Fees Payable</t>
  </si>
  <si>
    <t>IGST @ 12 % SALES</t>
  </si>
  <si>
    <t>MANGAL  PAPERS</t>
  </si>
  <si>
    <t>W I P OTHER EQUIPMENTS</t>
  </si>
  <si>
    <t>MAERSK LINE INDIA PVT LTD</t>
  </si>
  <si>
    <t>MSC Mediterranean Shipping Company S.A.</t>
  </si>
  <si>
    <t>1-2 year</t>
  </si>
  <si>
    <t>W-I-P Power Plant</t>
  </si>
  <si>
    <t>Accurate Sales Agencies</t>
  </si>
  <si>
    <t>Mangal Papers</t>
  </si>
  <si>
    <t>Custom Duty Payable</t>
  </si>
  <si>
    <t>Custom Duty</t>
  </si>
  <si>
    <t>Custom Duty Total</t>
  </si>
  <si>
    <t>Related Parties - Repayable on demand after 1st April, 2024</t>
  </si>
  <si>
    <t>Loss</t>
  </si>
  <si>
    <t>SUMIT M DARAK</t>
  </si>
  <si>
    <t>Tax Losses</t>
  </si>
  <si>
    <t>SUMIT M. DARAK</t>
  </si>
  <si>
    <t>Membership No: 141902</t>
  </si>
  <si>
    <t>MEMBERSHIP NO. : 141902</t>
  </si>
  <si>
    <t>NOTE 39 :</t>
  </si>
  <si>
    <t>CA SUMIT M. DARAK</t>
  </si>
  <si>
    <t>Membership No. 141902</t>
  </si>
  <si>
    <t>Translation of Monetary Items to Functional Currency and Calculation of fluctuation thereon</t>
  </si>
  <si>
    <t>Party</t>
  </si>
  <si>
    <t>Amount (In USD)</t>
  </si>
  <si>
    <t>Amount in INR</t>
  </si>
  <si>
    <t>Fluctuation Gain/(Loss)</t>
  </si>
  <si>
    <t>Amount recognised in books</t>
  </si>
  <si>
    <t>NOTE 9 :OTHER CURRENT ASSETS</t>
  </si>
  <si>
    <t>NOTE 10 : CURRENT TAX ASSET (NET)</t>
  </si>
  <si>
    <t>NOTE 11 : SHARE CAPITAL</t>
  </si>
  <si>
    <t>NOTE 12 : BORROWINGS</t>
  </si>
  <si>
    <t>NOTE 13 : Non Current - Provisions</t>
  </si>
  <si>
    <t>NOTE 14 : DEFERRED TAX LIABILITIES / (ASSETS)</t>
  </si>
  <si>
    <t xml:space="preserve">NOTE 15 : SHORT TERM BORROWINGS </t>
  </si>
  <si>
    <t>NOTE 16: TRADE PAYABLES</t>
  </si>
  <si>
    <t>NOTE 17: OTHER FINANCIAL LIABILITIES : CURRENT</t>
  </si>
  <si>
    <t>NOTE 18 : OTHER CURRENT LIABILITIES</t>
  </si>
  <si>
    <t>NOTE 19 : PROVISIONS</t>
  </si>
  <si>
    <t>NOTE 20 : REVENUE FROM OPERATIONS</t>
  </si>
  <si>
    <t>NOTE 21 : OTHER INCOME</t>
  </si>
  <si>
    <t>NOTE 22 : COST OF MATERIAL CONSUMED</t>
  </si>
  <si>
    <t>NOTE 23 :CHANGES IN INVENTORIES OF FINISHED GOODS</t>
  </si>
  <si>
    <t>NOTE 24 :EMPLOYEE BENEFIT EXPENSES</t>
  </si>
  <si>
    <t>NOTE 25 :FINANCE COSTS</t>
  </si>
  <si>
    <t>NOTE 26 :OTHER EXPENSES</t>
  </si>
  <si>
    <t>NOTE 27 : OTHER COMPREHENSIVE INCOME</t>
  </si>
  <si>
    <t>NOTE 28 : EARNING PER SHARE</t>
  </si>
  <si>
    <t>NOTE 29 : SUPPLEMENTARY INFORMATION</t>
  </si>
  <si>
    <t>NOTE 30 : AUDITORS REMUNERATION</t>
  </si>
  <si>
    <t>NOTE 31: FAIR VALUE DISCLOSURES</t>
  </si>
  <si>
    <t>NOTE 32: CAPITAL MANAGEMENT</t>
  </si>
  <si>
    <t>NOTE 33 : Disclosure required by INDAS 19-Employee Benefits</t>
  </si>
  <si>
    <t>NOTE 34 :</t>
  </si>
  <si>
    <t>NOTE 36 :  RELATED PARTIES DISCLOSURE</t>
  </si>
  <si>
    <t>NOTE 37 :CONTINGENT LIABILITIES &amp; CAPITAL COMMITMENTS</t>
  </si>
  <si>
    <t>NOTE 38 :</t>
  </si>
  <si>
    <t>Details of Related Party Transactions During the year 2022-23</t>
  </si>
  <si>
    <t>List of Related Parties for the Period 2022-23</t>
  </si>
  <si>
    <t>Sr No.</t>
  </si>
  <si>
    <t>Name of Related Party</t>
  </si>
  <si>
    <t>Nature of Transaction</t>
  </si>
  <si>
    <t>Date of transaction</t>
  </si>
  <si>
    <t>Ledger Impacted</t>
  </si>
  <si>
    <t>Relation with the entity</t>
  </si>
  <si>
    <t>Nature of Transactions undertaken</t>
  </si>
  <si>
    <t>Anamika Traders (WP)</t>
  </si>
  <si>
    <t>Creditor</t>
  </si>
  <si>
    <t>Directors Brother</t>
  </si>
  <si>
    <t>Raw Material (Waste Paper) Purchase</t>
  </si>
  <si>
    <t>Shree Enterprises (WP)</t>
  </si>
  <si>
    <t>M. D's Brother</t>
  </si>
  <si>
    <t>GSL Enterprises (WP)</t>
  </si>
  <si>
    <t>M. D's  Brothers Grandson</t>
  </si>
  <si>
    <t>Chandra Sales Corporation(Sale)</t>
  </si>
  <si>
    <t>SALES</t>
  </si>
  <si>
    <t>Debtor</t>
  </si>
  <si>
    <t>Directors Son</t>
  </si>
  <si>
    <t>Kraft Paper Sale</t>
  </si>
  <si>
    <t>Chandra Coal Private Limited (Sale)</t>
  </si>
  <si>
    <t xml:space="preserve">Chandra Coal Private Ltd </t>
  </si>
  <si>
    <t>Husk Purchase</t>
  </si>
  <si>
    <t>COAL TRANSPORTATION</t>
  </si>
  <si>
    <t>Jarnail Singh Saini (Director)</t>
  </si>
  <si>
    <t xml:space="preserve">Anamika Traders </t>
  </si>
  <si>
    <t>Anamika Traders</t>
  </si>
  <si>
    <t>Shree Enterprises</t>
  </si>
  <si>
    <t>(₹ in Lacs, unless otherwise stated)</t>
  </si>
  <si>
    <t>Quarter Ended</t>
  </si>
  <si>
    <t>Un-Audited</t>
  </si>
  <si>
    <t>Audited</t>
  </si>
  <si>
    <t>1.Income from operations</t>
  </si>
  <si>
    <t xml:space="preserve">         (a)     Revenue from Operations</t>
  </si>
  <si>
    <t xml:space="preserve">         (b)    Other Income</t>
  </si>
  <si>
    <t xml:space="preserve">                   Total income from operations (net)</t>
  </si>
  <si>
    <t>2.Expenses</t>
  </si>
  <si>
    <t xml:space="preserve">         (a)     Cost of Material Consumed</t>
  </si>
  <si>
    <t xml:space="preserve">         (b)    Changes to inventories of finished goods and WIP</t>
  </si>
  <si>
    <t xml:space="preserve">         (c)    Employee benefit expense</t>
  </si>
  <si>
    <t xml:space="preserve">         (d)    Financial Cost</t>
  </si>
  <si>
    <t xml:space="preserve">         (e)    Depreciation and Amortisation expenses </t>
  </si>
  <si>
    <t xml:space="preserve">         (f)    Other expenses</t>
  </si>
  <si>
    <t xml:space="preserve">                   Total expenses </t>
  </si>
  <si>
    <t>3.Profit / (Loss) before exceptional and extraordinary Items and tax (1-2)</t>
  </si>
  <si>
    <t>4.Exceptional Item</t>
  </si>
  <si>
    <t>5.Profit / (Loss) before extraordinary items and tax(3+4)</t>
  </si>
  <si>
    <t xml:space="preserve">6. Extraordinary items </t>
  </si>
  <si>
    <t>7.Profit/(loss) before tax (5+6)</t>
  </si>
  <si>
    <t>8.Tax expenses</t>
  </si>
  <si>
    <t xml:space="preserve">         (a) Current tax</t>
  </si>
  <si>
    <t xml:space="preserve">         (b) Earlier year taxes</t>
  </si>
  <si>
    <t xml:space="preserve">         (c) MAT credit Entilement</t>
  </si>
  <si>
    <t xml:space="preserve">         (d) Deferred tax</t>
  </si>
  <si>
    <t xml:space="preserve">                   Total tax</t>
  </si>
  <si>
    <t>9.Net Profit for the period /year (7-8)</t>
  </si>
  <si>
    <t>10.Other comprehensive income</t>
  </si>
  <si>
    <t xml:space="preserve">                   (i) items that will not be reclassified to profit or loss</t>
  </si>
  <si>
    <t xml:space="preserve">                   (ii) income tax relating to item that will not be  reclassified to profit or loss</t>
  </si>
  <si>
    <t>11.Total Comprehensive Income for the Period(9+10)</t>
  </si>
  <si>
    <r>
      <t xml:space="preserve">12. Paid-up-equity share capital ( face value </t>
    </r>
    <r>
      <rPr>
        <sz val="11"/>
        <color theme="1"/>
        <rFont val="Rupee"/>
      </rPr>
      <t xml:space="preserve">₹ </t>
    </r>
    <r>
      <rPr>
        <sz val="11"/>
        <color theme="1"/>
        <rFont val="Calibri"/>
        <family val="2"/>
      </rPr>
      <t>10/- each )</t>
    </r>
  </si>
  <si>
    <t>13.Reserve excluding revaluation reserves as per balance sheet of previous accounting year</t>
  </si>
  <si>
    <t xml:space="preserve">14.Earnings per share </t>
  </si>
  <si>
    <r>
      <t xml:space="preserve">                          - Basic EPS (</t>
    </r>
    <r>
      <rPr>
        <sz val="11"/>
        <color theme="1"/>
        <rFont val="Rupee"/>
      </rPr>
      <t>₹</t>
    </r>
    <r>
      <rPr>
        <sz val="11"/>
        <color theme="1"/>
        <rFont val="Calibri"/>
        <family val="2"/>
      </rPr>
      <t>)</t>
    </r>
  </si>
  <si>
    <r>
      <t xml:space="preserve">                          - Diluted EPS (</t>
    </r>
    <r>
      <rPr>
        <sz val="11"/>
        <color theme="1"/>
        <rFont val="Rupee"/>
      </rPr>
      <t>₹</t>
    </r>
    <r>
      <rPr>
        <sz val="11"/>
        <color theme="1"/>
        <rFont val="Calibri"/>
        <family val="2"/>
      </rPr>
      <t>)</t>
    </r>
  </si>
  <si>
    <t>Notes:</t>
  </si>
  <si>
    <t>As At</t>
  </si>
  <si>
    <t>Sub-total - Non Current assets</t>
  </si>
  <si>
    <t xml:space="preserve">    (iv) Other Financial assets</t>
  </si>
  <si>
    <t>Sub-total -Current assets</t>
  </si>
  <si>
    <t>TOTAL ASSETS</t>
  </si>
  <si>
    <t>Shareholders Fund</t>
  </si>
  <si>
    <t>Sub- total Shareholders fund</t>
  </si>
  <si>
    <t>Sub-total Non-current liabilities</t>
  </si>
  <si>
    <t>Sub-total Current liabilities</t>
  </si>
  <si>
    <t>TOTAL - EQUITY &amp; LIABILITIES</t>
  </si>
  <si>
    <t>1)Previous Year Figures have been regrouped wherever necessary.</t>
  </si>
  <si>
    <t>Period Ended</t>
  </si>
  <si>
    <t>March 31, 2023</t>
  </si>
  <si>
    <t>As per published Quarterly Results</t>
  </si>
  <si>
    <t>Revaluation Surplus on Revaluation of Fixed Assets ( Land &amp; Building)</t>
  </si>
  <si>
    <t>The carrying value and fair value of financial assets/liabilities by categories are as follows:</t>
  </si>
  <si>
    <t xml:space="preserve">Pursuant to the enactment of Companies Act, 2013, the Company has applied the estimated useful lives as specified in Schedule II, Accordingly the unamortised carrying value is being depreciated /amortised over the revised/remaining useful lives. The entity adopts the revaluation model under IND AS 16 for Land and Building pertaining to same class of assets. As per the management's estimation their is no material change in the valuation of Factory Land &amp; Building hence the no change in the valuation of Factory &amp; Building. </t>
  </si>
  <si>
    <t>Mr. Anil Kumar Lakhotiya</t>
  </si>
  <si>
    <t>Bank Guarantee given to Customs Department</t>
  </si>
  <si>
    <t>(3) MAT credit Entitlement</t>
  </si>
  <si>
    <t>Addition During Prior prior period</t>
  </si>
  <si>
    <t xml:space="preserve">B) Credit risk arising from trade receivables is managed in accordance with company's established policy with regard to credit limits, control and approval procedure. The company provides for expected credit losses on trade receivables based on simplified approach as per Ind AS 109 Under this Approach, expected credit losses are computed basis the probability of defaults over the lifetime of the asset. This allowance is measured taking into account credit profile of the customer, geographical spread, trade channels, past experience of defaults, estimates of future uncertainties etc. Further, management believes that the unimpaired amounts that are past due by more than 180 days are still collectible in full, based on historical payment behaviour and extensive analysis of customer credit risk. </t>
  </si>
  <si>
    <t>2) Equitable Mortgage of Agriculture Land in the name of " Mr. Jarnailsingh Saini" being Survey Number, Khasra No. 20, situated at open Land at kh No. 20/1, P H No 67, Mouje: Hardoli, Tq: Katol, Dist: Nagpur- 441103, Admeasuring Total area 2.00 Hr.</t>
  </si>
  <si>
    <t>2) Fund Based Working Capital Term loan was sanctioned  on 05.04.2021 which is repayable in 4 years including the moratorium of 12 months. The repayment starts from June 21 with the monthly repayment of Rs. 4.06 Lacs payable in 36 monthly instalments.</t>
  </si>
  <si>
    <t>(a) Breakup of Deferred Tax Liability at the end of the year.</t>
  </si>
  <si>
    <t>(a) Breakup of Deferred Tax Assets at the end of the year.</t>
  </si>
  <si>
    <t>Disallowances u/s 43B and others</t>
  </si>
  <si>
    <t>Payable for Goods &amp; Services</t>
  </si>
  <si>
    <t>ii) The amount of interest credit by the buyer in terms of section 16, of the MSMED Act,2006 along with the amount at the payment made to the supplier beyond the appointed day during each accounting year.</t>
  </si>
  <si>
    <t>iii) The amount of interest due and payable for the period of delay in making payment (which have been paid but beyond the appointed day during the year) but without adding the interest specified under MSMED Act.</t>
  </si>
  <si>
    <t>Custom Duty Exp Ag.Transit OCC</t>
  </si>
  <si>
    <t>NOTE 41 :</t>
  </si>
  <si>
    <t>The company has not entered into any transaction with the companies whose name has been struck off by the Registrar of companies from the register of companies</t>
  </si>
  <si>
    <t>NOTE 42 :PSI Subsidy</t>
  </si>
  <si>
    <t>MSMED Interest Calculation (Contingent Liability)</t>
  </si>
  <si>
    <t>Opening balance due</t>
  </si>
  <si>
    <t>Interest for the month @ 19.5% p.a.</t>
  </si>
  <si>
    <t>Closing balance</t>
  </si>
  <si>
    <t>Total Interest</t>
  </si>
  <si>
    <t>Date of invoice</t>
  </si>
  <si>
    <t>45 Days from invoice date</t>
  </si>
  <si>
    <t>Date: 27/05/2023</t>
  </si>
  <si>
    <t>Ratio Analysis</t>
  </si>
  <si>
    <t>Numerator</t>
  </si>
  <si>
    <t>31.03.2022 (₹)</t>
  </si>
  <si>
    <t>Denominator</t>
  </si>
  <si>
    <t>Current Ratio</t>
  </si>
  <si>
    <t>Creditors for goods and services</t>
  </si>
  <si>
    <t>Sundry Debtors</t>
  </si>
  <si>
    <t>Short term loans</t>
  </si>
  <si>
    <t>Cash and Bank balances</t>
  </si>
  <si>
    <t>Bank Overdraft</t>
  </si>
  <si>
    <t>Receivables/Accruals</t>
  </si>
  <si>
    <t>Cash Credit</t>
  </si>
  <si>
    <t>Loans and Advances</t>
  </si>
  <si>
    <t>Outstanding Expenses</t>
  </si>
  <si>
    <t>Disposable Investments</t>
  </si>
  <si>
    <t>Provision for taxation</t>
  </si>
  <si>
    <t>Any other current assets</t>
  </si>
  <si>
    <t>Unclaimed Dividend</t>
  </si>
  <si>
    <t>Any other current liabilities</t>
  </si>
  <si>
    <t>Debt Equity Ratio</t>
  </si>
  <si>
    <t>Total Liabilities</t>
  </si>
  <si>
    <t>Shareholder's Equity</t>
  </si>
  <si>
    <t>Total Outside Liabilities</t>
  </si>
  <si>
    <t>Total Shareholders Equity</t>
  </si>
  <si>
    <t>Debt Service Coverage Ratio</t>
  </si>
  <si>
    <t>Net Operating Income</t>
  </si>
  <si>
    <t>Debt Service</t>
  </si>
  <si>
    <t>(For Ind AS Companies Profit before OCI)</t>
  </si>
  <si>
    <t>Net Profit after tax + non-cash operating expenses like depreciation and other amortizations + Interest+other adjustments like loss on sale of fixed assets, etc.</t>
  </si>
  <si>
    <t>Current Debt Obligation (Interest &amp; Lease payment+ Principal Repayment.</t>
  </si>
  <si>
    <t>Return on Equity Ratio</t>
  </si>
  <si>
    <t>Profit for the period</t>
  </si>
  <si>
    <t>Avg. Shareholders Equity</t>
  </si>
  <si>
    <t>Net Profit after taxes - preference dividend (if any)</t>
  </si>
  <si>
    <t>(Beginning shareholders' equity + Ending shareholders' equity) ÷ 2</t>
  </si>
  <si>
    <t>Inventory Turnover Ratio</t>
  </si>
  <si>
    <t>Cost of Goods sold</t>
  </si>
  <si>
    <t>Average Inventory</t>
  </si>
  <si>
    <t>(Opening Stock + Purchases) – Closing Stock</t>
  </si>
  <si>
    <t>(Opening Stock + Closing Stock)/2</t>
  </si>
  <si>
    <t>Trade Receivables Turnover Ratio</t>
  </si>
  <si>
    <t>Net Credit Sales</t>
  </si>
  <si>
    <t>Average Trade Receivables</t>
  </si>
  <si>
    <t>as per FM book</t>
  </si>
  <si>
    <t>Credit Sales</t>
  </si>
  <si>
    <t>(Beginning Trade Receivables + Ending Trade Receivables) / 2</t>
  </si>
  <si>
    <t>Trade Payables Turnover Ratio</t>
  </si>
  <si>
    <t>Total Purchases</t>
  </si>
  <si>
    <t>Average Trade Payables</t>
  </si>
  <si>
    <t>Annual Net Credit Purchases</t>
  </si>
  <si>
    <t>(Beginning Trade Payables + Ending Trade Payables) / 2</t>
  </si>
  <si>
    <t>Net Capital Turnover Ratio</t>
  </si>
  <si>
    <t>Net Sales</t>
  </si>
  <si>
    <t>Average Working Capital</t>
  </si>
  <si>
    <t>Total Sales - Sales Return</t>
  </si>
  <si>
    <t>Current Assets - Current Liabilities</t>
  </si>
  <si>
    <t>Net Profit Ratio</t>
  </si>
  <si>
    <t>Net Profit</t>
  </si>
  <si>
    <t>Profit After Tax</t>
  </si>
  <si>
    <t>Return on Capital employed</t>
  </si>
  <si>
    <t>EBIT</t>
  </si>
  <si>
    <t>Capital Employed *</t>
  </si>
  <si>
    <t>Profit before Interest and Taxes</t>
  </si>
  <si>
    <t>Capital Employed = Tangible Net Worth + Total Debt + Deferred Tax Liability</t>
  </si>
  <si>
    <t>Return on Investment</t>
  </si>
  <si>
    <t>Return/Profit/Earnings</t>
  </si>
  <si>
    <t>Investment **</t>
  </si>
  <si>
    <t xml:space="preserve">* Capital Employed could be treated three ways </t>
  </si>
  <si>
    <t xml:space="preserve">Total Assets - Current Labilities </t>
  </si>
  <si>
    <t>Fixed Assets + Working Capital</t>
  </si>
  <si>
    <t>Equity + Long Term Debt</t>
  </si>
  <si>
    <t>***</t>
  </si>
  <si>
    <t>ROI as per GN</t>
  </si>
  <si>
    <r>
      <t xml:space="preserve">ROI = </t>
    </r>
    <r>
      <rPr>
        <u/>
        <sz val="10"/>
        <rFont val="Calibri"/>
        <family val="2"/>
        <scheme val="minor"/>
      </rPr>
      <t xml:space="preserve">{MV(T1) – MV(T0) – Sum [C(t)]} </t>
    </r>
  </si>
  <si>
    <t xml:space="preserve">{MV(T0) + Sum [W(t) * C(t)]} </t>
  </si>
  <si>
    <t xml:space="preserve">where, T1 = End of time period </t>
  </si>
  <si>
    <t xml:space="preserve">T0 = Beginning of time period </t>
  </si>
  <si>
    <t xml:space="preserve">t = Specific date falling between T1 and T0 </t>
  </si>
  <si>
    <t xml:space="preserve">MV(T1) = Market Value at T1 </t>
  </si>
  <si>
    <t xml:space="preserve">MV(T0) = Market Value at T0 </t>
  </si>
  <si>
    <t xml:space="preserve">C(t) = Cash inflow, cash outflow on specific date </t>
  </si>
  <si>
    <t xml:space="preserve">W(t) = Weight of the net cash flow (i.e. either net inflow or net outflow) on day ‘t’, calculated as [T1 – t] / T1 </t>
  </si>
  <si>
    <t>Companies may provide ROI separately for each asset class (e.g., equity, fixed income, money market, etc.).</t>
  </si>
  <si>
    <t>31.03.2023 (₹)</t>
  </si>
  <si>
    <t>Variance</t>
  </si>
  <si>
    <t>Reason For Variance above 25%</t>
  </si>
  <si>
    <t>Note 44 : Financial Ratios</t>
  </si>
  <si>
    <t>Expenses Capitalised During the year as follows :</t>
  </si>
  <si>
    <t>Salary and Wages</t>
  </si>
  <si>
    <t>Labor Contractor Payments</t>
  </si>
  <si>
    <t>Director's Remuneration</t>
  </si>
  <si>
    <t>Finance Cost</t>
  </si>
  <si>
    <t>In Past, the Company had received order from the office of the Commissioner of Central Excise, Custom &amp; Service Tax, Nagpur -II demanding Excise Duty of Rs. 25,88,898/- including penalty. The Company has filed an appeal with the Commissioner (Appeals) under section 35 of the Act against the said order. The Company has paid the basic Demand under protest amounting to 12,94,449/- to save interest and penalty on suomoto basis. Based on the legal advice, the Company had not made any provisions against the said demand. In absence of any progress on the said matter, during the year, the company has written off the said amount paid in FY 2018-19.</t>
  </si>
  <si>
    <t>Due to reduction in Debtors and increase on Cash Credit &amp; Sundry Creditors</t>
  </si>
  <si>
    <t>Due to increase in borrowings and losses incurred during the current FY.</t>
  </si>
  <si>
    <t>Due to losses incurred in current Financial Year.</t>
  </si>
  <si>
    <t>There are no proceedings initiated or are pending against the Company for holding any benami property under the Prohibition of Benami Property Transaction Act, 1988 and rules made thereunder.</t>
  </si>
  <si>
    <t>Note 43 : Benami Properties</t>
  </si>
  <si>
    <t>Ratio</t>
  </si>
  <si>
    <t>The Company had received demand of Rs 2,73,06,791 in earlier years on account of Excise Duty &amp; Penalty excluding interest for the period from  F.Y.2008-09 to 2010-2011.The Company had obtained stay order against the same and filed an appeal with Custom, Excise &amp; Service Tax Appellate Tribunal, Mumbai. As per order dated 13/09/2022, the appeal is allowed in favour of Company.</t>
  </si>
  <si>
    <t>Capital Employed</t>
  </si>
  <si>
    <t>Outstanding in USD</t>
  </si>
  <si>
    <t>1) Term Loan is secured by the assets to be created out of Bank Finance including Hypothecation of Plant &amp; machineries purchased out of Bank Finance, hypothecation of new additional Plant &amp; Machineries to be bought in, hypothecation of Factory Land and  Buildings bearing Survey No. 31 situated at Kh No 31/1 &amp; 31/2 within the limits of Grampanchayat Ringanboli, Tah : Katol, Mouza Hardoli, Katol, Dist.: Nagpur, Maharashtra - 441103, Admeasuring total area of 42,200 Sq. Mtrs.</t>
  </si>
  <si>
    <t>1) Working Capital Term Loan (WCTL) is secured by the hypothecation &amp; first charge on existing as well as future entire stock of raw materials, finished goods, stock-in-process, stores and spares, packing materials at the factory premises or at some other places including goods in transit, outstanding moneys, book debts and receivables with the personal guarantees of the directors.</t>
  </si>
  <si>
    <t>(Secured by way of hypothecation Factory land and Building, Plant and Machinery and of entire existing and future stock of the unit at its godowns or at some other places including goods in transit, outstanding moneys, book debts, receivables, both present and future including personal guarantee of all the Directors &amp; the Promoters of the Company. These borrowings are repayable on demand.)</t>
  </si>
  <si>
    <t>Note 44 :</t>
  </si>
  <si>
    <t>Quarterly returns/statements of current assets filed by the company with bank are in agreement with the unaudited financial results published by the company time to time with Metropolitan Stock Exchange.</t>
  </si>
  <si>
    <t>NOTE 45 :</t>
  </si>
  <si>
    <t>Note 46 :</t>
  </si>
  <si>
    <t>Note 47 : Ratio Analysis</t>
  </si>
  <si>
    <t>NOTE 48 :</t>
  </si>
  <si>
    <t>1 to 48</t>
  </si>
  <si>
    <t>Movement during the year</t>
  </si>
  <si>
    <t>The Company has one class of equity shares having a par value of Rs.10 each. Each shareholder is eligible for one vote per share held. The dividend proposed by the Board of Directors is subject to the approval of the shareholders in the ensuing Annual General Meeting, except in case of interim dividend. In the event of liquidation, the equity shareholders are eligible to receive the remaining assets of the Company after distribution of all preferential amounts, in proportion to their shareholding.</t>
  </si>
  <si>
    <t>Information as required to be furnished as per section 22 of the Micro, Small and Medium Enterprises Development Act, 2006 (MSMED Act) for the year ended March 31,2023 is given below. This information has been determined to the extent such parties have been identified on the basis of information available with the company.</t>
  </si>
  <si>
    <t>c) Other Financial Assets</t>
  </si>
  <si>
    <r>
      <t xml:space="preserve">ii) </t>
    </r>
    <r>
      <rPr>
        <b/>
        <sz val="14"/>
        <rFont val="Calibri"/>
        <family val="2"/>
        <scheme val="minor"/>
      </rPr>
      <t xml:space="preserve">Liquidity Risk : </t>
    </r>
    <r>
      <rPr>
        <sz val="14"/>
        <rFont val="Calibri"/>
        <family val="2"/>
        <scheme val="minor"/>
      </rPr>
      <t>Liquidity risk is the risk that the Company will encounter difficulty in meeting the obligations associated with its financial liabilities that are settled by delivering cash or another financial asset. The Company’s approach in managing liquidity is to ensure as far as possible that it will have sufficient liquidity to meet its liabilities when they are due, under both normal and stressed condition, without incurring unacceptable losses or risking damage to the Company’s reputation.</t>
    </r>
  </si>
  <si>
    <r>
      <t xml:space="preserve">iii) </t>
    </r>
    <r>
      <rPr>
        <b/>
        <sz val="14"/>
        <rFont val="Calibri"/>
        <family val="2"/>
        <scheme val="minor"/>
      </rPr>
      <t xml:space="preserve">Market Risk : </t>
    </r>
    <r>
      <rPr>
        <sz val="14"/>
        <rFont val="Calibri"/>
        <family val="2"/>
        <scheme val="minor"/>
      </rPr>
      <t>Market risk is the risk that changes in market prices such as foreign exchange rates, interest rates and commodity prices which will affect the Company’s income or the value of its holdings of financial instruments. The objective of market risk management is to manage and control market exposures within acceptable parameters, while optimising the return.</t>
    </r>
  </si>
  <si>
    <t>The company has obtained its office premises for its business operations under operating lease or leave and license agreements. These are generally cancellable under leave and licence, or renewed longer for other lease and are renewable by mutual consent on mutually agreeable terms. Lease payments are recognised in the Statement of Profit and Loss under "Rent for office premises" in Note 26.</t>
  </si>
  <si>
    <t>1) Depreciation on building includes the depreciation charged on revalued amount of Rs, 5,73,063/-.</t>
  </si>
  <si>
    <t>New Project</t>
  </si>
  <si>
    <t>Interest Paid to Key Managerial Personnel</t>
  </si>
  <si>
    <t>Salary to Key Managerial Personnel</t>
  </si>
  <si>
    <t>Loan Accepted From Key Managerial Personnel</t>
  </si>
  <si>
    <t>Loan Repaid to Key Managerial Personnel</t>
  </si>
  <si>
    <t>Loans Taken From Key Managerial Personnel</t>
  </si>
  <si>
    <t>Closing Balances</t>
  </si>
  <si>
    <t>ANNEXURE 'H'</t>
  </si>
  <si>
    <t>RE : ACCOUNTING RATIO</t>
  </si>
  <si>
    <t>REF.: CLAUSE '32' OF FORM 3CD</t>
  </si>
  <si>
    <t>GROSS PROFIT</t>
  </si>
  <si>
    <t xml:space="preserve">Turnover                                                                                                                             </t>
  </si>
  <si>
    <t>(A)</t>
  </si>
  <si>
    <t>Less : Raw Material Consumed</t>
  </si>
  <si>
    <t xml:space="preserve">          Excise Duty</t>
  </si>
  <si>
    <t xml:space="preserve">          Manufacturing Expenses</t>
  </si>
  <si>
    <t xml:space="preserve">          Purchase of stock in trade</t>
  </si>
  <si>
    <t xml:space="preserve">          Increase / (Decrease) in stock</t>
  </si>
  <si>
    <t>(B)</t>
  </si>
  <si>
    <t>Gross Profit/(Loss) (A-B)</t>
  </si>
  <si>
    <t>Gross Profit Ratio (%)</t>
  </si>
  <si>
    <t>NET PROFIT RATIO</t>
  </si>
  <si>
    <t>Net Profit After Current Tax</t>
  </si>
  <si>
    <t>Turnover</t>
  </si>
  <si>
    <t>Net Profit Ratio (%)</t>
  </si>
  <si>
    <t>STOCK IN TRADE/TURNOVER</t>
  </si>
  <si>
    <t>Turnover (Finished Goods)</t>
  </si>
  <si>
    <t>Stock in Trade (Finished Goods)</t>
  </si>
  <si>
    <t xml:space="preserve">Stock in Trade/Turnover Ratio </t>
  </si>
  <si>
    <t>MATERIAL CONSUMED/FINISHED GOODS PRODUCED</t>
  </si>
  <si>
    <t>Material Consumed</t>
  </si>
  <si>
    <t>Increase / (Decrease) in stock</t>
  </si>
  <si>
    <t>Finished Goods Produced</t>
  </si>
  <si>
    <t xml:space="preserve">Excise Duty </t>
  </si>
  <si>
    <t>Sales Tax</t>
  </si>
  <si>
    <t>Packing Expenses</t>
  </si>
  <si>
    <t>Power,fuel &amp; water Charges</t>
  </si>
  <si>
    <t>Payment &amp; Provision for Employees</t>
  </si>
  <si>
    <t>Repairs &amp; Maintenance on Building</t>
  </si>
  <si>
    <t>Repairs &amp; Maintenance on Machinery</t>
  </si>
  <si>
    <t>Material Consumed/Finished Goods Produced</t>
  </si>
  <si>
    <t>1-Apr-23 to 31-Mar-24</t>
  </si>
  <si>
    <t>Hardoli Paper Mills Ltd. - (23-24)</t>
  </si>
  <si>
    <t>Abirami Engineering Co.,Coimbatore</t>
  </si>
  <si>
    <t>Anilkumar M. Lakhotiya (REMUNERATION)</t>
  </si>
  <si>
    <t>Anwar Akhtar</t>
  </si>
  <si>
    <t>ASHWINI PACKAGING SOLUTIONS</t>
  </si>
  <si>
    <t>Bank Annual Processing Charges</t>
  </si>
  <si>
    <t>Bank Loan Processing Fees</t>
  </si>
  <si>
    <t>Batish Chemicals I India Pvt.Ltd.</t>
  </si>
  <si>
    <t>Bhavna Traders</t>
  </si>
  <si>
    <t>Bhupinder Singh Coal Depot</t>
  </si>
  <si>
    <t>B R  ENTERPRISES</t>
  </si>
  <si>
    <t>CENTRAL DEPOSITORY SERVICE INDIA LTD.</t>
  </si>
  <si>
    <t>Central Mine Planning &amp; Design Institute Ltd</t>
  </si>
  <si>
    <t>CGST PAYABLE ( F. Y. 2023-24 )</t>
  </si>
  <si>
    <t>CGST RECEIVABLE (F. Y. 2023-24)</t>
  </si>
  <si>
    <t>Claim Receivable Ag. Import OCC</t>
  </si>
  <si>
    <t>Clearing &amp; Forwarding on WP Import 6%</t>
  </si>
  <si>
    <t>Deposit for Coal to EAI-CIL Coal EAuction</t>
  </si>
  <si>
    <t>Deposit With SBI for MPCB 5 Lac A/C38325014049</t>
  </si>
  <si>
    <t>FREIGHT ( SALES )</t>
  </si>
  <si>
    <t>Friends Gears &amp; Engineering</t>
  </si>
  <si>
    <t>IGST PAYABLE ( F.Y. 2023-24)</t>
  </si>
  <si>
    <t>IGST RECEIVABLE ( F. Y. 2023-24 )</t>
  </si>
  <si>
    <t>INDRAYANI PAPER PRODUCTS. PVT LTD</t>
  </si>
  <si>
    <t>Innovative Solutions &amp; System</t>
  </si>
  <si>
    <t>Interest on T/L (1.40 Cr) 41345851422</t>
  </si>
  <si>
    <t>Interest on TL (3 Cr) 42637205312</t>
  </si>
  <si>
    <t>Interest on TL (7.75 Cr) 40667225452</t>
  </si>
  <si>
    <t>JARNAILSINGH SAINI [ REMMUNATION ]</t>
  </si>
  <si>
    <t>KAILASH CHAND AGRAWAL(REMUNERATION)</t>
  </si>
  <si>
    <t>Khandelwal Consultants</t>
  </si>
  <si>
    <t>LAXMI ENTERPRISES</t>
  </si>
  <si>
    <t>Noor Industries, Muzaffarnagar</t>
  </si>
  <si>
    <t>Other Sales</t>
  </si>
  <si>
    <t>PACKSAFE [ WP]</t>
  </si>
  <si>
    <t>Penalty on Staff Profession Tax</t>
  </si>
  <si>
    <t>Power Excess Demand Chgs Receivable</t>
  </si>
  <si>
    <t>Premier India Enterprises</t>
  </si>
  <si>
    <t>Premier India Road Service, Nagpur</t>
  </si>
  <si>
    <t>P.R. GLOBAL RESOURCES INDIA PVT. LTD.</t>
  </si>
  <si>
    <t>Punamchand &amp; Sons ( Jaliwala)</t>
  </si>
  <si>
    <t>RADHIKA SALES CORPORATION</t>
  </si>
  <si>
    <t>RADHIKA SALES CORPORATION [ WP]</t>
  </si>
  <si>
    <t>Raj Engineering</t>
  </si>
  <si>
    <t>RENUKA INDUSTRIES</t>
  </si>
  <si>
    <t>Retro Therm Innovations India Pvt. Ltd.</t>
  </si>
  <si>
    <t>SALASAR ENTERPRISES, CHANDRAPUR</t>
  </si>
  <si>
    <t>Sales Return Account</t>
  </si>
  <si>
    <t>SARASWATI GENERAL STORES, NAGPUR</t>
  </si>
  <si>
    <t>Saurashtra Marketing Corporation</t>
  </si>
  <si>
    <t>SBI MSME-Term Loan A/c 42637205312 (3Crore)</t>
  </si>
  <si>
    <t>SGST PAYABLE ( F. Y. 2023-24)</t>
  </si>
  <si>
    <t>SGST RECEIVABLE ( F. Y. 2023-24 )</t>
  </si>
  <si>
    <t>SHREE RAJENDRA CASH COMPANY</t>
  </si>
  <si>
    <t>S.K.Gupta (P) Ltd,Nagpur</t>
  </si>
  <si>
    <t>SME Care Pvt. Ltd,</t>
  </si>
  <si>
    <t>SUSHMA SALES CORPORATION [ WP]</t>
  </si>
  <si>
    <t>SWATI CORRUPACK [ WP]</t>
  </si>
  <si>
    <t>TAWAKKAL WASTE PAPER</t>
  </si>
  <si>
    <t>T C S (A. Y. 2024-25)</t>
  </si>
  <si>
    <t>TDS (AY 2024-25)</t>
  </si>
  <si>
    <t>Tilakraj Inderpal, Nagpur</t>
  </si>
  <si>
    <t>VAIBHAV ENTERPRISES (WP)</t>
  </si>
  <si>
    <t>Varuna Industries, Nagpur</t>
  </si>
  <si>
    <t>VEDANT PACKERS PVT.LTD.</t>
  </si>
  <si>
    <t>Waste Desposable Expenses(Plastic Despose)5%</t>
  </si>
  <si>
    <t>Waste Desposable Expenses(Plastic Dispose)18%</t>
  </si>
  <si>
    <t>Waste Desposable Expenses(Plastic Waste)</t>
  </si>
  <si>
    <t>WF Filter Fabriks Pvt. Ltd.</t>
  </si>
  <si>
    <t>Wires and Fabriks (S.A.) Limited</t>
  </si>
  <si>
    <t>Dr. Final 23-24</t>
  </si>
  <si>
    <t>Cr. Final 23-24</t>
  </si>
  <si>
    <t>Earnest Money Deposits</t>
  </si>
  <si>
    <t>New</t>
  </si>
  <si>
    <t>Sale of Scrap</t>
  </si>
  <si>
    <t>Excess Demand Charges Receivable</t>
  </si>
  <si>
    <t>Lookout</t>
  </si>
  <si>
    <t>Waste Disposal Expenses</t>
  </si>
  <si>
    <t>Earnest Money Deposits Total</t>
  </si>
  <si>
    <t>Excess Demand Charges Receivable Total</t>
  </si>
  <si>
    <t>Sale of Scrap Total</t>
  </si>
  <si>
    <t>Waste Disposal Expenses Total</t>
  </si>
  <si>
    <t>Sum of Dr. Final 23-24</t>
  </si>
  <si>
    <t>Sum of Cr. Final 23-24</t>
  </si>
  <si>
    <t>Values</t>
  </si>
  <si>
    <t>2 Total</t>
  </si>
  <si>
    <t>3 Total</t>
  </si>
  <si>
    <t>4 Total</t>
  </si>
  <si>
    <t>6 Total</t>
  </si>
  <si>
    <t>7 Total</t>
  </si>
  <si>
    <t>9 Total</t>
  </si>
  <si>
    <t>10 Total</t>
  </si>
  <si>
    <t>11 Total</t>
  </si>
  <si>
    <t>12 Total</t>
  </si>
  <si>
    <t>13 Total</t>
  </si>
  <si>
    <t>14 Total</t>
  </si>
  <si>
    <t>15 Total</t>
  </si>
  <si>
    <t>16 Total</t>
  </si>
  <si>
    <t>17 Total</t>
  </si>
  <si>
    <t>18 Total</t>
  </si>
  <si>
    <t>19 Total</t>
  </si>
  <si>
    <t>20 Total</t>
  </si>
  <si>
    <t>21 Total</t>
  </si>
  <si>
    <t>22 Total</t>
  </si>
  <si>
    <t>23 Total</t>
  </si>
  <si>
    <t>25 Total</t>
  </si>
  <si>
    <t>26 Total</t>
  </si>
  <si>
    <t>27 Total</t>
  </si>
  <si>
    <t>(blank) Total</t>
  </si>
  <si>
    <t>Payable for Capital Goods Total</t>
  </si>
  <si>
    <t>Freight On Sales</t>
  </si>
  <si>
    <t>March 31, 2024 (₹)</t>
  </si>
  <si>
    <t xml:space="preserve"> BALANCE SHEET AS AT 31ST MARCH, 2024</t>
  </si>
  <si>
    <t xml:space="preserve"> STATEMENT OF PROFIT AND LOSS FOR THE YEAR ENDED ON 31ST MARCH, 2024</t>
  </si>
  <si>
    <t xml:space="preserve"> STATEMENT OF CHANGE IN EQUITY FOR THE YEAR ENDED ON 31ST MARCH, 2024</t>
  </si>
  <si>
    <t>NOTES TO FINANCIAL STATEMENT FOR THE YEAR ENDED 31ST MARCH, 2024</t>
  </si>
  <si>
    <t>RAW MATERIAL PURCHASE,CONSUMPTION &amp; CLOSING STOCK AS ON 31-03-2024</t>
  </si>
  <si>
    <t xml:space="preserve">AS ON 01/04/2023 : OPENING STOCK </t>
  </si>
  <si>
    <t>AS ON 31/03/2024 : CLOSING STOCK</t>
  </si>
  <si>
    <t xml:space="preserve"> TRANSIT OCC </t>
  </si>
  <si>
    <t>COAL FOR POWER</t>
  </si>
  <si>
    <t>Discount &amp; Billing Diff Account</t>
  </si>
  <si>
    <t>PRL Concepts &amp; Business Solution Pvt Ltd (WP)</t>
  </si>
  <si>
    <t>Reversal GST Payable(F.Y.21-22)</t>
  </si>
  <si>
    <t>Shri Om Sai Enterprises</t>
  </si>
  <si>
    <t>Check</t>
  </si>
  <si>
    <t>Interest Receivable on Power Total</t>
  </si>
  <si>
    <t>At April 01 2022</t>
  </si>
  <si>
    <t>At March 31 2024</t>
  </si>
  <si>
    <t>Additions From 01/04/2023-31/03/2024</t>
  </si>
  <si>
    <t>Deletions From 01/04/2023-31/03/2024</t>
  </si>
  <si>
    <t>Accumulated Depreciation on 01/04/2023</t>
  </si>
  <si>
    <t>ASSESSMENT YEAR 2024-25</t>
  </si>
  <si>
    <t>FY 2023-24</t>
  </si>
  <si>
    <t>F.Y. 2022-23</t>
  </si>
  <si>
    <t>Date of Sale</t>
  </si>
  <si>
    <t>Transformer</t>
  </si>
  <si>
    <t>Sale Value</t>
  </si>
  <si>
    <t>Purchase price</t>
  </si>
  <si>
    <t>No. of days used during the year</t>
  </si>
  <si>
    <t>Depreciation for the year</t>
  </si>
  <si>
    <t>Depreciation till date of sale</t>
  </si>
  <si>
    <t>Net Book Value as on 27/04/2023</t>
  </si>
  <si>
    <t>Profit on sale of asset</t>
  </si>
  <si>
    <t>Carrying Value as on 31/03/23</t>
  </si>
  <si>
    <t>Tractors &amp; Loader</t>
  </si>
  <si>
    <t>Loss on Discardment of FA</t>
  </si>
  <si>
    <t>Loss on Discardment of FA Total</t>
  </si>
  <si>
    <t>Profit/(Loss) on sale of Asset</t>
  </si>
  <si>
    <t>31.03.2024 (₹)</t>
  </si>
  <si>
    <t>31.03.2023(₹)</t>
  </si>
  <si>
    <t>Profit/(Loss) on sale of Asset Total</t>
  </si>
  <si>
    <t>Loss on Disacardment of PPE</t>
  </si>
  <si>
    <t>Loss on Sale of Fixed Assets</t>
  </si>
  <si>
    <t>Year Ended March 31, 2024 (₹)</t>
  </si>
  <si>
    <t>PROFIT PER MT CALCULATION FOR THE YEAR ENDED ON 31ST MARCH, 2024</t>
  </si>
  <si>
    <t>CASH FLOW STATEMENT FOR THE YEAR ENDED 31ST MARCH, 2024</t>
  </si>
  <si>
    <t>31st March, 2024 (₹)</t>
  </si>
  <si>
    <t>Deferred Tax Assets for the year ended 31.03.24</t>
  </si>
  <si>
    <t>Deferred tax assets as on 01/04/2023</t>
  </si>
  <si>
    <t>Nav Durga is included in Payable for capital goods in FY 2023-24</t>
  </si>
  <si>
    <t>AS ON 31/03/2024</t>
  </si>
  <si>
    <t>IPS CLAIM from F.Y. 2008-09 to 2019-20, 2020-21, 2021-22, 2022-23, 2023-24</t>
  </si>
  <si>
    <t>F. Y. 2022-23</t>
  </si>
  <si>
    <t>Writeoff 31/03/2023</t>
  </si>
  <si>
    <t>Remaining Balance  (Closing Balance 31/03/2024)</t>
  </si>
  <si>
    <t>a) Trade Receivables Considered Good</t>
  </si>
  <si>
    <t>b) Trade Receivables which have significant increase in credit risk</t>
  </si>
  <si>
    <t>c) Trade Receivables - Credit Impaired</t>
  </si>
  <si>
    <t>d) Trade Receivables from Related Parties</t>
  </si>
  <si>
    <t>Less : Allowance for expected credit losses</t>
  </si>
  <si>
    <t>Outstanding for following periods from due date of payment - March 31,2024</t>
  </si>
  <si>
    <t>Due Date Wise Debtor Ageing as on 31.03.2024</t>
  </si>
  <si>
    <t>Excess rec</t>
  </si>
  <si>
    <t>B. R. ENTERPRISES</t>
  </si>
  <si>
    <t>CR NT</t>
  </si>
  <si>
    <t>CR.NT</t>
  </si>
  <si>
    <t>JAI MAHALXMI ENTERPRISES</t>
  </si>
  <si>
    <t xml:space="preserve">OLD </t>
  </si>
  <si>
    <t>SHREE RAJENDRA CASH CO.</t>
  </si>
  <si>
    <t>misc</t>
  </si>
  <si>
    <t>HARDOLI PAPER MILLS   LIST OF SHAREHOLDERS  AS ON 31-MAR-2024 (SOLD PURCHASE)</t>
  </si>
  <si>
    <t>FOLIO/BEN_ACNO</t>
  </si>
  <si>
    <t>NAME</t>
  </si>
  <si>
    <t>OPENING 
BALANCE</t>
  </si>
  <si>
    <t>SOLD</t>
  </si>
  <si>
    <t>CLOSING 
BALANCE</t>
  </si>
  <si>
    <t>GAURAV  LAKHOTIYA</t>
  </si>
  <si>
    <t>1206850000256932</t>
  </si>
  <si>
    <t>KISHORE UTTAMCHAND KHIVANSARA</t>
  </si>
  <si>
    <t>1206850000263971</t>
  </si>
  <si>
    <t>KIRAN KISHORE KHIVANSARA</t>
  </si>
  <si>
    <t>1206850000311543</t>
  </si>
  <si>
    <t>IN300513/15067968</t>
  </si>
  <si>
    <t>KISHORE DHIRAJLAL BAGADIA</t>
  </si>
  <si>
    <t>VITTHALDAS   CHUNNILAL   BAJAJ</t>
  </si>
  <si>
    <t>IN303116/14272264</t>
  </si>
  <si>
    <t>ZOHER ABIDALI SABIR</t>
  </si>
  <si>
    <t>% holding</t>
  </si>
  <si>
    <t>c. The Company has not allotted any shares for consideration other than cash during 5 years preceding March 31, 2024</t>
  </si>
  <si>
    <t>As at March 31, 2024</t>
  </si>
  <si>
    <t>Imported Waste paper</t>
  </si>
  <si>
    <t>Add : Purchase</t>
  </si>
  <si>
    <t>Local Waste Paper</t>
  </si>
  <si>
    <t>Amount of interest after 8/1/2024 is also capitalised. However, it should be expensed off</t>
  </si>
  <si>
    <t>MSEDCL - Excess Demand Charges Receivable</t>
  </si>
  <si>
    <t>Income Tax refund Receivable - for previous years</t>
  </si>
  <si>
    <t>Term Loan</t>
  </si>
  <si>
    <t xml:space="preserve">Long Term </t>
  </si>
  <si>
    <t>Current Portion</t>
  </si>
  <si>
    <t>Account No. : 41345851422</t>
  </si>
  <si>
    <t>Aging</t>
  </si>
  <si>
    <t>Creditors Type</t>
  </si>
  <si>
    <t>Outstanding Days</t>
  </si>
  <si>
    <t>180 Days</t>
  </si>
  <si>
    <t>180 - 365 Days</t>
  </si>
  <si>
    <t>366- 730 Days</t>
  </si>
  <si>
    <t>More than 730 Days</t>
  </si>
  <si>
    <t>Days</t>
  </si>
  <si>
    <t>UDYAM Registration Number</t>
  </si>
  <si>
    <t>MSME Status</t>
  </si>
  <si>
    <t>Creditors for Goods</t>
  </si>
  <si>
    <t>GST-796</t>
  </si>
  <si>
    <t>UDYAM-MH-20-0068972</t>
  </si>
  <si>
    <t>Small</t>
  </si>
  <si>
    <t>GST-853</t>
  </si>
  <si>
    <t>NGP/1767/23-24</t>
  </si>
  <si>
    <t>UDYAM-MH-20-0034991</t>
  </si>
  <si>
    <t>Medium</t>
  </si>
  <si>
    <t>1767</t>
  </si>
  <si>
    <t>NGP/1781/23-24</t>
  </si>
  <si>
    <t>1781</t>
  </si>
  <si>
    <t>NGP/1826/23-24</t>
  </si>
  <si>
    <t>NGP/1872/23-24</t>
  </si>
  <si>
    <t>1872</t>
  </si>
  <si>
    <t>2017</t>
  </si>
  <si>
    <t>NGP/2017/23-24</t>
  </si>
  <si>
    <t>NGP/2033/23-24</t>
  </si>
  <si>
    <t>2033</t>
  </si>
  <si>
    <t>Roundoff</t>
  </si>
  <si>
    <t>BCIPL/197/23-24</t>
  </si>
  <si>
    <t>Unregistered</t>
  </si>
  <si>
    <t>Non-MSME</t>
  </si>
  <si>
    <t>Not found in MSME Sheet</t>
  </si>
  <si>
    <t>Bhupender Singh Coal Depo</t>
  </si>
  <si>
    <t>165</t>
  </si>
  <si>
    <t>BE/G-0954/23-24</t>
  </si>
  <si>
    <t>UDYAM-MH-20-0027945</t>
  </si>
  <si>
    <t>Micro</t>
  </si>
  <si>
    <t>BE/G-0998/23-24</t>
  </si>
  <si>
    <t>BE/G-0527/23-24</t>
  </si>
  <si>
    <t>BE/G-1045/23-24</t>
  </si>
  <si>
    <t>BE/G-0363/23-24</t>
  </si>
  <si>
    <t>BE/G-0368/23-24</t>
  </si>
  <si>
    <t>BE/G-1110/23-24</t>
  </si>
  <si>
    <t>BE/G-1120/23-24</t>
  </si>
  <si>
    <t>BE/G-1121/23-24</t>
  </si>
  <si>
    <t>BE/G-1141/23-24</t>
  </si>
  <si>
    <t>BE/G-1184/23-24</t>
  </si>
  <si>
    <t>BE/G-1209/23-24</t>
  </si>
  <si>
    <t>BE/G-1220/23-24</t>
  </si>
  <si>
    <t>1</t>
  </si>
  <si>
    <t>2</t>
  </si>
  <si>
    <t>3</t>
  </si>
  <si>
    <t>4</t>
  </si>
  <si>
    <t>5</t>
  </si>
  <si>
    <t>7</t>
  </si>
  <si>
    <t>6</t>
  </si>
  <si>
    <t>8</t>
  </si>
  <si>
    <t>9</t>
  </si>
  <si>
    <t>10</t>
  </si>
  <si>
    <t>11</t>
  </si>
  <si>
    <t>12</t>
  </si>
  <si>
    <t>13</t>
  </si>
  <si>
    <t>14</t>
  </si>
  <si>
    <t>15</t>
  </si>
  <si>
    <t>17</t>
  </si>
  <si>
    <t>16</t>
  </si>
  <si>
    <t>18</t>
  </si>
  <si>
    <t>19</t>
  </si>
  <si>
    <t>20</t>
  </si>
  <si>
    <t>21</t>
  </si>
  <si>
    <t>22</t>
  </si>
  <si>
    <t>23</t>
  </si>
  <si>
    <t>24</t>
  </si>
  <si>
    <t>25</t>
  </si>
  <si>
    <t>26</t>
  </si>
  <si>
    <t>27</t>
  </si>
  <si>
    <t>28</t>
  </si>
  <si>
    <t>29</t>
  </si>
  <si>
    <t>30</t>
  </si>
  <si>
    <t>31</t>
  </si>
  <si>
    <t>33</t>
  </si>
  <si>
    <t>32</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</si>
  <si>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</si>
  <si>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</si>
  <si>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</si>
  <si>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</si>
  <si>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</si>
  <si>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</si>
  <si>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</si>
  <si>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</si>
  <si>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</si>
  <si>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</si>
  <si>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</si>
  <si>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</si>
  <si>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</si>
  <si>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</si>
  <si>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</si>
  <si>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</si>
  <si>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</si>
  <si>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</si>
  <si>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</si>
  <si>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</si>
  <si>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</si>
  <si>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</si>
  <si>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</si>
  <si>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</si>
  <si>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</si>
  <si>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</si>
  <si>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</si>
  <si>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</si>
  <si>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</si>
  <si>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</si>
  <si>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</si>
  <si>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</si>
  <si>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</si>
  <si>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</si>
  <si>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</si>
  <si>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</si>
  <si>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</si>
  <si>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</si>
  <si>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</si>
  <si>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</si>
  <si>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</si>
  <si>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</si>
  <si>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</si>
  <si>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</si>
  <si>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</si>
  <si>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</si>
  <si>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</si>
  <si>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</si>
  <si>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</si>
  <si>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</si>
  <si>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</si>
  <si>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</si>
  <si>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</si>
  <si>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</si>
  <si>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</si>
  <si>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</si>
  <si>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</si>
  <si>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</si>
  <si>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</si>
  <si>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65</t>
  </si>
  <si>
    <t>2937</t>
  </si>
  <si>
    <t>UDYAM-MH-20-001175</t>
  </si>
  <si>
    <t>SMALL</t>
  </si>
  <si>
    <t>3049</t>
  </si>
  <si>
    <t>3103</t>
  </si>
  <si>
    <t>3167</t>
  </si>
  <si>
    <t>3214</t>
  </si>
  <si>
    <t>3243</t>
  </si>
  <si>
    <t>TDS (JAN-24)</t>
  </si>
  <si>
    <t>3254</t>
  </si>
  <si>
    <t>3265</t>
  </si>
  <si>
    <t>3302</t>
  </si>
  <si>
    <t>3321</t>
  </si>
  <si>
    <t>3349</t>
  </si>
  <si>
    <t>3360</t>
  </si>
  <si>
    <t>3377</t>
  </si>
  <si>
    <t>3381</t>
  </si>
  <si>
    <t>3396</t>
  </si>
  <si>
    <t>3401</t>
  </si>
  <si>
    <t>3416</t>
  </si>
  <si>
    <t>3438</t>
  </si>
  <si>
    <t>3467</t>
  </si>
  <si>
    <t>3505</t>
  </si>
  <si>
    <t>3510</t>
  </si>
  <si>
    <t>TDS (FEB-24)</t>
  </si>
  <si>
    <t>3532</t>
  </si>
  <si>
    <t>3533</t>
  </si>
  <si>
    <t>3545</t>
  </si>
  <si>
    <t>3554</t>
  </si>
  <si>
    <t>3563</t>
  </si>
  <si>
    <t>3596</t>
  </si>
  <si>
    <t>3615</t>
  </si>
  <si>
    <t>3649</t>
  </si>
  <si>
    <t>3709</t>
  </si>
  <si>
    <t>3710</t>
  </si>
  <si>
    <t>3717</t>
  </si>
  <si>
    <t>3736</t>
  </si>
  <si>
    <t>3772</t>
  </si>
  <si>
    <t>3801</t>
  </si>
  <si>
    <t>3820</t>
  </si>
  <si>
    <t>3838</t>
  </si>
  <si>
    <t>3848</t>
  </si>
  <si>
    <t>TDS (MAR-24)</t>
  </si>
  <si>
    <t>DEC/301/23-24</t>
  </si>
  <si>
    <t>UDYAM-MH-20-0010738</t>
  </si>
  <si>
    <t>MEDIUM</t>
  </si>
  <si>
    <t>DEC/302/23-24</t>
  </si>
  <si>
    <t>DEC/321/23-24</t>
  </si>
  <si>
    <t>DEC/322/23-24</t>
  </si>
  <si>
    <t>DEC/327/23-24</t>
  </si>
  <si>
    <t>DEC/346/23-24</t>
  </si>
  <si>
    <t>DEC/347/23-24</t>
  </si>
  <si>
    <t>DEC/352/23-24</t>
  </si>
  <si>
    <t>DEC/394/23-24</t>
  </si>
  <si>
    <t>DEC/395/23-24</t>
  </si>
  <si>
    <t>DEC/458/23-24</t>
  </si>
  <si>
    <t>DEC/486/23-24</t>
  </si>
  <si>
    <t>DEC/522/23-24</t>
  </si>
  <si>
    <t>DEC/568/23-24</t>
  </si>
  <si>
    <t>DEC/623/23-24</t>
  </si>
  <si>
    <t>DEC/629/23-24</t>
  </si>
  <si>
    <t>DEC/666/23-24</t>
  </si>
  <si>
    <t>DEC/690/23-24</t>
  </si>
  <si>
    <t>DEC/650/23-24</t>
  </si>
  <si>
    <t>DEC/694/23-24</t>
  </si>
  <si>
    <t>DEC/744/23-24</t>
  </si>
  <si>
    <t>DEC/745/23-24</t>
  </si>
  <si>
    <t>DEC/746/23-24</t>
  </si>
  <si>
    <t>TDS (DEC-23)</t>
  </si>
  <si>
    <t>JAN/50/23-24</t>
  </si>
  <si>
    <t>JAN/85/23-24</t>
  </si>
  <si>
    <t>JAN/86/23-24</t>
  </si>
  <si>
    <t>JAN/90/23-24</t>
  </si>
  <si>
    <t>JAN/113/23-24</t>
  </si>
  <si>
    <t>JAN/199/23-24</t>
  </si>
  <si>
    <t>JAN/200/23-24</t>
  </si>
  <si>
    <t>JAN/253/23-24</t>
  </si>
  <si>
    <t>JAN/254/23-24</t>
  </si>
  <si>
    <t>JAN/255/23-24</t>
  </si>
  <si>
    <t>JAN/256/23-24</t>
  </si>
  <si>
    <t>JAN/307/23-24</t>
  </si>
  <si>
    <t>JAN/464/23-24</t>
  </si>
  <si>
    <t>JAN/499/23-24</t>
  </si>
  <si>
    <t>JAN/501/23-24</t>
  </si>
  <si>
    <t>JAN/547/23-24</t>
  </si>
  <si>
    <t>JAN/548/23-24</t>
  </si>
  <si>
    <t>JAN/570/23-24</t>
  </si>
  <si>
    <t>JAN/571/23-24</t>
  </si>
  <si>
    <t>JAN/596/23-24</t>
  </si>
  <si>
    <t>JAN/597/23-24</t>
  </si>
  <si>
    <t>JAN/618/23-24</t>
  </si>
  <si>
    <t>JAN/619/23-24</t>
  </si>
  <si>
    <t>JAN/620/23-24</t>
  </si>
  <si>
    <t>JAN/637/23-24</t>
  </si>
  <si>
    <t>JAN/638/23-24</t>
  </si>
  <si>
    <t>JAN/639/23-24</t>
  </si>
  <si>
    <t>JAN/681/23-24</t>
  </si>
  <si>
    <t>JAN/682/23-24</t>
  </si>
  <si>
    <t>JAN/690/23-24</t>
  </si>
  <si>
    <t>JAN/691/23-24</t>
  </si>
  <si>
    <t>JAN/888/23-24</t>
  </si>
  <si>
    <t>JAN/889/23-24</t>
  </si>
  <si>
    <t>FEB/19/23-24</t>
  </si>
  <si>
    <t>DEB/20/23-24</t>
  </si>
  <si>
    <t>FEB/54/23-24</t>
  </si>
  <si>
    <t>FEB/55/23-24</t>
  </si>
  <si>
    <t>FEB/94/23-24</t>
  </si>
  <si>
    <t>FEB/95/23-24</t>
  </si>
  <si>
    <t>FEB/121/23-24</t>
  </si>
  <si>
    <t>FEB/122/23-24</t>
  </si>
  <si>
    <t>FEB/123/23-24</t>
  </si>
  <si>
    <t>FEB/147/23-24</t>
  </si>
  <si>
    <t>FEB/152/23-24</t>
  </si>
  <si>
    <t>FEB/153/23-24</t>
  </si>
  <si>
    <t>FEB/154/23-24</t>
  </si>
  <si>
    <t>FEB/187/23-24</t>
  </si>
  <si>
    <t>FEB/188/23-24</t>
  </si>
  <si>
    <t>FEB/189/23-24</t>
  </si>
  <si>
    <t>FEB/201/23-24</t>
  </si>
  <si>
    <t>FEB/204/23-24</t>
  </si>
  <si>
    <t>FEB/205/23-24</t>
  </si>
  <si>
    <t>FEB/217/23-24</t>
  </si>
  <si>
    <t>FEB/218/23-24</t>
  </si>
  <si>
    <t>FEB/235/23-24</t>
  </si>
  <si>
    <t>FEB/236/23-24</t>
  </si>
  <si>
    <t>FEB/252/23-24</t>
  </si>
  <si>
    <t>FEB/253/23-24</t>
  </si>
  <si>
    <t>FEB/277/23-24</t>
  </si>
  <si>
    <t>FEB/278/23-24</t>
  </si>
  <si>
    <t>FEB/292/23-24</t>
  </si>
  <si>
    <t>FEB/293/23-24</t>
  </si>
  <si>
    <t>FEB/318/23-24</t>
  </si>
  <si>
    <t>FEB/319/23-24</t>
  </si>
  <si>
    <t>FEB/337/23-24</t>
  </si>
  <si>
    <t>FEB/353/23-24</t>
  </si>
  <si>
    <t>FEB/357/23-24</t>
  </si>
  <si>
    <t>FEB/373/23-24</t>
  </si>
  <si>
    <t>FEB/372/23-24</t>
  </si>
  <si>
    <t>FEB/394/23-24</t>
  </si>
  <si>
    <t>FEB/395/23-24</t>
  </si>
  <si>
    <t>FEB/535/23-24</t>
  </si>
  <si>
    <t>FEB/549/23-24</t>
  </si>
  <si>
    <t>MAR/21/23-24</t>
  </si>
  <si>
    <t>MAR/44/23-24</t>
  </si>
  <si>
    <t>MAR/66/23-24</t>
  </si>
  <si>
    <t>MAR/124/23-24</t>
  </si>
  <si>
    <t>MAR/129/23-24</t>
  </si>
  <si>
    <t>MAR/202/23-24</t>
  </si>
  <si>
    <t>MAR/215/23-24</t>
  </si>
  <si>
    <t>MAR/216/23-24</t>
  </si>
  <si>
    <t>MAR/271/23-24</t>
  </si>
  <si>
    <t>MAR/272/23-24</t>
  </si>
  <si>
    <t>MAR/273/23-24</t>
  </si>
  <si>
    <t>MAR/278/23-24</t>
  </si>
  <si>
    <t>MAR/285/23-24</t>
  </si>
  <si>
    <t>MAR/309/23-24</t>
  </si>
  <si>
    <t>MAR/352/23-24</t>
  </si>
  <si>
    <t>MAR/355/23-24</t>
  </si>
  <si>
    <t>MAR/362/23-24</t>
  </si>
  <si>
    <t>MAR/363/23-24</t>
  </si>
  <si>
    <t>MAR/404/23-24</t>
  </si>
  <si>
    <t>MAR/405/23-24</t>
  </si>
  <si>
    <t>MAR/406/23-24</t>
  </si>
  <si>
    <t>MAR/421/23-24</t>
  </si>
  <si>
    <t>MAR/450/23-24</t>
  </si>
  <si>
    <t>MAR/451/23-24</t>
  </si>
  <si>
    <t>MAR/457/23-24</t>
  </si>
  <si>
    <t>MAR/511/23-24</t>
  </si>
  <si>
    <t>MAR/512/23-24</t>
  </si>
  <si>
    <t>MAR/513/23-24</t>
  </si>
  <si>
    <t>MAR/537/23-24</t>
  </si>
  <si>
    <t>MAR/538/23-24</t>
  </si>
  <si>
    <t>MAR/545/23-24</t>
  </si>
  <si>
    <t>MAR/546/23-24</t>
  </si>
  <si>
    <t>MAR/551/23-24</t>
  </si>
  <si>
    <t>MAR/550/23-24</t>
  </si>
  <si>
    <t>MAR/549/23-24</t>
  </si>
  <si>
    <t>MAR/579/23-24</t>
  </si>
  <si>
    <t>MAR/580/23-24</t>
  </si>
  <si>
    <t>MAR/604/23-24</t>
  </si>
  <si>
    <t>MAR/606/23-24</t>
  </si>
  <si>
    <t>MAR/607/23-24</t>
  </si>
  <si>
    <t>MAR/608/23-24</t>
  </si>
  <si>
    <t>MAR/609/23-24</t>
  </si>
  <si>
    <t>MAR/610/23-24</t>
  </si>
  <si>
    <t>MAR/611/23-24</t>
  </si>
  <si>
    <t>MAR/715/23-24</t>
  </si>
  <si>
    <t>MAR/716/23-24</t>
  </si>
  <si>
    <t>MAR/734/23-24</t>
  </si>
  <si>
    <t>1312</t>
  </si>
  <si>
    <t>UDYAM-MH-20-0029453</t>
  </si>
  <si>
    <t>1324</t>
  </si>
  <si>
    <t>336</t>
  </si>
  <si>
    <t>UDYAM-RJ-08-0013983</t>
  </si>
  <si>
    <t>MICRO</t>
  </si>
  <si>
    <t>JHI/250/23-24</t>
  </si>
  <si>
    <t>1120</t>
  </si>
  <si>
    <t>UDYAM-MH-20-0037554</t>
  </si>
  <si>
    <t>1637</t>
  </si>
  <si>
    <t>1638</t>
  </si>
  <si>
    <t>1639</t>
  </si>
  <si>
    <t>1647</t>
  </si>
  <si>
    <t>1650</t>
  </si>
  <si>
    <t>1653</t>
  </si>
  <si>
    <t>1657</t>
  </si>
  <si>
    <t>1658</t>
  </si>
  <si>
    <t>1659</t>
  </si>
  <si>
    <t>1661</t>
  </si>
  <si>
    <t>1662</t>
  </si>
  <si>
    <t>1663</t>
  </si>
  <si>
    <t>1664</t>
  </si>
  <si>
    <t>1666</t>
  </si>
  <si>
    <t>1667</t>
  </si>
  <si>
    <t>1668</t>
  </si>
  <si>
    <t>1674</t>
  </si>
  <si>
    <t>1675</t>
  </si>
  <si>
    <t>1676</t>
  </si>
  <si>
    <t>1677</t>
  </si>
  <si>
    <t>1680</t>
  </si>
  <si>
    <t>1682</t>
  </si>
  <si>
    <t>1683</t>
  </si>
  <si>
    <t>1684</t>
  </si>
  <si>
    <t>1688</t>
  </si>
  <si>
    <t>1696</t>
  </si>
  <si>
    <t>1697</t>
  </si>
  <si>
    <t>1700</t>
  </si>
  <si>
    <t>1704</t>
  </si>
  <si>
    <t>1703</t>
  </si>
  <si>
    <t>1714</t>
  </si>
  <si>
    <t>1721</t>
  </si>
  <si>
    <t>1723</t>
  </si>
  <si>
    <t>1724</t>
  </si>
  <si>
    <t>1725</t>
  </si>
  <si>
    <t>1728</t>
  </si>
  <si>
    <t>1730</t>
  </si>
  <si>
    <t>1731</t>
  </si>
  <si>
    <t>1736</t>
  </si>
  <si>
    <t>1745</t>
  </si>
  <si>
    <t>1761</t>
  </si>
  <si>
    <t>1762</t>
  </si>
  <si>
    <t>1766</t>
  </si>
  <si>
    <t>1771</t>
  </si>
  <si>
    <t>1776</t>
  </si>
  <si>
    <t>1778</t>
  </si>
  <si>
    <t>1780</t>
  </si>
  <si>
    <t>1782</t>
  </si>
  <si>
    <t>1783</t>
  </si>
  <si>
    <t>1784</t>
  </si>
  <si>
    <t>1788</t>
  </si>
  <si>
    <t>1789</t>
  </si>
  <si>
    <t>1790</t>
  </si>
  <si>
    <t>1797</t>
  </si>
  <si>
    <t>1799</t>
  </si>
  <si>
    <t>1804</t>
  </si>
  <si>
    <t>1805</t>
  </si>
  <si>
    <t>1811</t>
  </si>
  <si>
    <t>1812</t>
  </si>
  <si>
    <t>1815</t>
  </si>
  <si>
    <t>1818</t>
  </si>
  <si>
    <t>1819</t>
  </si>
  <si>
    <t>1820</t>
  </si>
  <si>
    <t>1821</t>
  </si>
  <si>
    <t>1822</t>
  </si>
  <si>
    <t>1823</t>
  </si>
  <si>
    <t>1824</t>
  </si>
  <si>
    <t>1825</t>
  </si>
  <si>
    <t>1830</t>
  </si>
  <si>
    <t>1831</t>
  </si>
  <si>
    <t>1838</t>
  </si>
  <si>
    <t>1839</t>
  </si>
  <si>
    <t>1840</t>
  </si>
  <si>
    <t>1841</t>
  </si>
  <si>
    <t>1848</t>
  </si>
  <si>
    <t>1855</t>
  </si>
  <si>
    <t>1866</t>
  </si>
  <si>
    <t>1865</t>
  </si>
  <si>
    <t>1875</t>
  </si>
  <si>
    <t>1884</t>
  </si>
  <si>
    <t>1888</t>
  </si>
  <si>
    <t>1889</t>
  </si>
  <si>
    <t>1891</t>
  </si>
  <si>
    <t>1894</t>
  </si>
  <si>
    <t>1900</t>
  </si>
  <si>
    <t>1905</t>
  </si>
  <si>
    <t>1908</t>
  </si>
  <si>
    <t>1909</t>
  </si>
  <si>
    <t>1914</t>
  </si>
  <si>
    <t>1915</t>
  </si>
  <si>
    <t>1919</t>
  </si>
  <si>
    <t>1920</t>
  </si>
  <si>
    <t>1923</t>
  </si>
  <si>
    <t>1925</t>
  </si>
  <si>
    <t>1929</t>
  </si>
  <si>
    <t>1931</t>
  </si>
  <si>
    <t>1938</t>
  </si>
  <si>
    <t>1950</t>
  </si>
  <si>
    <t>1951</t>
  </si>
  <si>
    <t>1954</t>
  </si>
  <si>
    <t>1955</t>
  </si>
  <si>
    <t>W/01-012/2023-24</t>
  </si>
  <si>
    <t>UDYAM-MH-20-0013222</t>
  </si>
  <si>
    <t>W/01-026/2023-24</t>
  </si>
  <si>
    <t>W/01-039/2023-24</t>
  </si>
  <si>
    <t>W/01-040/2023-24</t>
  </si>
  <si>
    <t>W-01/063/2023-24</t>
  </si>
  <si>
    <t>W/01-064/2023-24</t>
  </si>
  <si>
    <t>W/01-075/2023-24</t>
  </si>
  <si>
    <t>W/01-076/2023-24</t>
  </si>
  <si>
    <t>W/01-081/2023-24</t>
  </si>
  <si>
    <t>W/01-107/2023-24</t>
  </si>
  <si>
    <t>W/01-108/2023-24</t>
  </si>
  <si>
    <t>W/01-109/2023-24</t>
  </si>
  <si>
    <t>W/01-131/2023-24</t>
  </si>
  <si>
    <t>W/01-161/2023-24</t>
  </si>
  <si>
    <t>W/01-202/2023-24</t>
  </si>
  <si>
    <t>W/01-220/2023-24</t>
  </si>
  <si>
    <t>W/01-253/2023-24</t>
  </si>
  <si>
    <t>W/01-270/2023-24</t>
  </si>
  <si>
    <t>W/01-299/2023-24</t>
  </si>
  <si>
    <t>W/01-300/2023-24</t>
  </si>
  <si>
    <t>W/01-332/2023-24</t>
  </si>
  <si>
    <t>W/01-333/2023-24</t>
  </si>
  <si>
    <t>W/01-334/2023-24</t>
  </si>
  <si>
    <t>W/01-351/2023-24</t>
  </si>
  <si>
    <t>W/01-356/2023-24</t>
  </si>
  <si>
    <t>W/01-357/2023-24</t>
  </si>
  <si>
    <t>W/01-369/2023-24</t>
  </si>
  <si>
    <t>W/01-370/2023-24</t>
  </si>
  <si>
    <t>W/01-381/2023-24</t>
  </si>
  <si>
    <t>W/01-393/2023-24</t>
  </si>
  <si>
    <t>W/01-410/2023-24</t>
  </si>
  <si>
    <t>W/01-411/2023-24</t>
  </si>
  <si>
    <t>W/01/435/2023-24</t>
  </si>
  <si>
    <t>W/01-436/2023-24</t>
  </si>
  <si>
    <t>W/01-468/2023-24</t>
  </si>
  <si>
    <t>W/01-469/2023-24</t>
  </si>
  <si>
    <t>W/01-470/2023-24</t>
  </si>
  <si>
    <t>W/01-484/2023-24</t>
  </si>
  <si>
    <t>W/01-485/2023-24</t>
  </si>
  <si>
    <t>W/01-509/2023-24</t>
  </si>
  <si>
    <t>W/01-510/2023-24</t>
  </si>
  <si>
    <t>W/01-511/2023-24</t>
  </si>
  <si>
    <t>W/01-530/2023-24</t>
  </si>
  <si>
    <t>W/01-531/2023-24</t>
  </si>
  <si>
    <t>W/01-532/2023-24</t>
  </si>
  <si>
    <t>W/01-570/2023-24</t>
  </si>
  <si>
    <t>W/01-571/2023-24</t>
  </si>
  <si>
    <t>W/01-575/2023-24</t>
  </si>
  <si>
    <t>W/01-576/2023-24</t>
  </si>
  <si>
    <t>W/02-004/2023-24</t>
  </si>
  <si>
    <t>W/02-060/2023-24</t>
  </si>
  <si>
    <t>W/02-066/2023-24</t>
  </si>
  <si>
    <t>W/02-108/2023-24</t>
  </si>
  <si>
    <t>W/02-131/2023-24</t>
  </si>
  <si>
    <t>W/02-132/2023-24</t>
  </si>
  <si>
    <t>W/02-133/2023-24</t>
  </si>
  <si>
    <t>W/02-148/2023-24</t>
  </si>
  <si>
    <t>W/02-149/2023-24</t>
  </si>
  <si>
    <t>W/02-160/2023-24</t>
  </si>
  <si>
    <t>W/02-162/2023-24</t>
  </si>
  <si>
    <t>W/02-161/2023-24</t>
  </si>
  <si>
    <t>W/02-178/2023-24</t>
  </si>
  <si>
    <t>W/02-179/2023-24</t>
  </si>
  <si>
    <t>W/02-180/2023-24</t>
  </si>
  <si>
    <t>W/02-181/2023-24</t>
  </si>
  <si>
    <t>W/02-204/2023-24</t>
  </si>
  <si>
    <t>W/02-205/2023-24</t>
  </si>
  <si>
    <t>W/02-229/2023-24</t>
  </si>
  <si>
    <t>W/02-254/2023-24</t>
  </si>
  <si>
    <t>W/02-255/2023-24</t>
  </si>
  <si>
    <t>W/02-280/2023-24</t>
  </si>
  <si>
    <t>W/02-305/2023-24</t>
  </si>
  <si>
    <t>W/02-306/2023-24</t>
  </si>
  <si>
    <t>W/02-307/2023-24</t>
  </si>
  <si>
    <t>W/02-328/2023-24</t>
  </si>
  <si>
    <t>W/02-329/2023-24</t>
  </si>
  <si>
    <t>W/02-330/2023-24</t>
  </si>
  <si>
    <t>W/02-331/2023-24</t>
  </si>
  <si>
    <t>W/02-352/2023-24</t>
  </si>
  <si>
    <t>W/02-353/2023-24</t>
  </si>
  <si>
    <t>W/02-354/2023-24</t>
  </si>
  <si>
    <t>W/02-371/2023-24</t>
  </si>
  <si>
    <t>W/02-372/2023-24</t>
  </si>
  <si>
    <t>W/02-383/2023-24</t>
  </si>
  <si>
    <t>W/02-384/2023-24</t>
  </si>
  <si>
    <t>W/02-398/2023-24</t>
  </si>
  <si>
    <t>W/02-399/2023-24</t>
  </si>
  <si>
    <t>W/02-397/2023-24</t>
  </si>
  <si>
    <t>W/02-407/2023-24</t>
  </si>
  <si>
    <t>W/02-420/2023-24</t>
  </si>
  <si>
    <t>W/02-421/2023-24</t>
  </si>
  <si>
    <t>W/02-422/2023-24</t>
  </si>
  <si>
    <t>W/02-440/2023-24</t>
  </si>
  <si>
    <t>W/02-454/2023-24</t>
  </si>
  <si>
    <t>W/02-455/2023-24</t>
  </si>
  <si>
    <t>W/02-463/2023-24</t>
  </si>
  <si>
    <t>W/02-480/2023-24</t>
  </si>
  <si>
    <t>W/02-481/2023-24</t>
  </si>
  <si>
    <t>W/02-482/2023-24</t>
  </si>
  <si>
    <t>W/02-493/2023-24</t>
  </si>
  <si>
    <t>W/02-500/2023-24</t>
  </si>
  <si>
    <t>W/02-503/2023-24</t>
  </si>
  <si>
    <t>W/02-520/2023-24</t>
  </si>
  <si>
    <t>W/02-521/2023-24</t>
  </si>
  <si>
    <t>Tds Feb 2024</t>
  </si>
  <si>
    <t>w/03-007/2023-24</t>
  </si>
  <si>
    <t>W/03-008/2023-24</t>
  </si>
  <si>
    <t>W/03-021/2023-24</t>
  </si>
  <si>
    <t>W/03-025/2023-24</t>
  </si>
  <si>
    <t>W/03-040/2023-24</t>
  </si>
  <si>
    <t>W/03-041</t>
  </si>
  <si>
    <t>W/03-042/2023-24</t>
  </si>
  <si>
    <t>W/03054/2023-24</t>
  </si>
  <si>
    <t>W/03-064/2023-24</t>
  </si>
  <si>
    <t>W/03-065/2023-24</t>
  </si>
  <si>
    <t>W/03-074/2023-24</t>
  </si>
  <si>
    <t>W/03-083/2023-24</t>
  </si>
  <si>
    <t>W/03-089/2023-24</t>
  </si>
  <si>
    <t>W/03-098/2023-24</t>
  </si>
  <si>
    <t>W/03-112/2023-24</t>
  </si>
  <si>
    <t>W/03-113/2023-24</t>
  </si>
  <si>
    <t>W/03-124/2023-24</t>
  </si>
  <si>
    <t>W/03-125/2023-24</t>
  </si>
  <si>
    <t>W/03-129/2023-24</t>
  </si>
  <si>
    <t>W/03-139/2023-24</t>
  </si>
  <si>
    <t>W/03-140/2023-24</t>
  </si>
  <si>
    <t>W/03-141/2023-24</t>
  </si>
  <si>
    <t>W/03-153/2023-24</t>
  </si>
  <si>
    <t>W/03-154/2023-24</t>
  </si>
  <si>
    <t>W/03-173/2023-24</t>
  </si>
  <si>
    <t>W/03-174/2023-24</t>
  </si>
  <si>
    <t>W/03-175/2023-24</t>
  </si>
  <si>
    <t>W/03-208/2023-24</t>
  </si>
  <si>
    <t>W/03-209/2023-24</t>
  </si>
  <si>
    <t>W/03-227/2023-24</t>
  </si>
  <si>
    <t>W/03-249/2023-24</t>
  </si>
  <si>
    <t>W/03-273/2023-24</t>
  </si>
  <si>
    <t>W/03-309/2023-24</t>
  </si>
  <si>
    <t>W/03-310/2023-24</t>
  </si>
  <si>
    <t>W/03-311/2023-24</t>
  </si>
  <si>
    <t>W/03-327/2023-24</t>
  </si>
  <si>
    <t>W/03-328/2023-24</t>
  </si>
  <si>
    <t>W/03-350/2023-24</t>
  </si>
  <si>
    <t>W/03-351/2023-24</t>
  </si>
  <si>
    <t>W/03-368/2023-24</t>
  </si>
  <si>
    <t>W/03-371/2023-24</t>
  </si>
  <si>
    <t>W/03-389/2023-24</t>
  </si>
  <si>
    <t>W/03-390/2023-24</t>
  </si>
  <si>
    <t>W/03-391/2023-24</t>
  </si>
  <si>
    <t>W/03-392/2023-24</t>
  </si>
  <si>
    <t>W/03-401/2023-24</t>
  </si>
  <si>
    <t>W/03-402/2023-24</t>
  </si>
  <si>
    <t>W/403/2023-24</t>
  </si>
  <si>
    <t>W/03-409/2023-24</t>
  </si>
  <si>
    <t>W/03-410/2023-24</t>
  </si>
  <si>
    <t>W/03-416/2023-24</t>
  </si>
  <si>
    <t>W/03-417/2023-24</t>
  </si>
  <si>
    <t>W/03-429/2023-24</t>
  </si>
  <si>
    <t>W/03-432/2023-24</t>
  </si>
  <si>
    <t>W/03-439/2023-24</t>
  </si>
  <si>
    <t>W/03-440/2023-24</t>
  </si>
  <si>
    <t>W/03-441/2023-24</t>
  </si>
  <si>
    <t>W/03-456/2023-24</t>
  </si>
  <si>
    <t>W/03-457/2023-24</t>
  </si>
  <si>
    <t>W/03-458/2023-24</t>
  </si>
  <si>
    <t>Rounded off</t>
  </si>
  <si>
    <t>315</t>
  </si>
  <si>
    <t>UDYAM-MH-20-0056944</t>
  </si>
  <si>
    <t>Undetermined</t>
  </si>
  <si>
    <t>362</t>
  </si>
  <si>
    <t>370</t>
  </si>
  <si>
    <t>378</t>
  </si>
  <si>
    <t>387</t>
  </si>
  <si>
    <t>473</t>
  </si>
  <si>
    <t>2159/23-24</t>
  </si>
  <si>
    <t>UDYAM-MH-17-0029006</t>
  </si>
  <si>
    <t>2162/23-24</t>
  </si>
  <si>
    <t>502</t>
  </si>
  <si>
    <t>UDYAM-MH-08-0040305</t>
  </si>
  <si>
    <t>531</t>
  </si>
  <si>
    <t>549</t>
  </si>
  <si>
    <t>551</t>
  </si>
  <si>
    <t>552</t>
  </si>
  <si>
    <t>555</t>
  </si>
  <si>
    <t>554</t>
  </si>
  <si>
    <t>Tds Nov 23</t>
  </si>
  <si>
    <t>557</t>
  </si>
  <si>
    <t>558</t>
  </si>
  <si>
    <t>559</t>
  </si>
  <si>
    <t>593</t>
  </si>
  <si>
    <t>598</t>
  </si>
  <si>
    <t>599</t>
  </si>
  <si>
    <t>603</t>
  </si>
  <si>
    <t>678</t>
  </si>
  <si>
    <t>682</t>
  </si>
  <si>
    <t>706</t>
  </si>
  <si>
    <t>707</t>
  </si>
  <si>
    <t>708</t>
  </si>
  <si>
    <t>709</t>
  </si>
  <si>
    <t>710</t>
  </si>
  <si>
    <t>Tds Jan 24</t>
  </si>
  <si>
    <t>711</t>
  </si>
  <si>
    <t>755</t>
  </si>
  <si>
    <t>756</t>
  </si>
  <si>
    <t>757</t>
  </si>
  <si>
    <t>759</t>
  </si>
  <si>
    <t>774</t>
  </si>
  <si>
    <t>776</t>
  </si>
  <si>
    <t>779</t>
  </si>
  <si>
    <t>780</t>
  </si>
  <si>
    <t>Tds Feb 24</t>
  </si>
  <si>
    <t>813</t>
  </si>
  <si>
    <t>814</t>
  </si>
  <si>
    <t>815</t>
  </si>
  <si>
    <t>816</t>
  </si>
  <si>
    <t>852</t>
  </si>
  <si>
    <t>875</t>
  </si>
  <si>
    <t>1219/23-24</t>
  </si>
  <si>
    <t>UDYAM-MH-20-0058598</t>
  </si>
  <si>
    <t>1225/23-24</t>
  </si>
  <si>
    <t>1228/23-24</t>
  </si>
  <si>
    <t>1229/23-24</t>
  </si>
  <si>
    <t>1235/23-24</t>
  </si>
  <si>
    <t>1243/23-24</t>
  </si>
  <si>
    <t>1245/23-24</t>
  </si>
  <si>
    <t>1246/23-24</t>
  </si>
  <si>
    <t>1253/23-24</t>
  </si>
  <si>
    <t>1259/23-24</t>
  </si>
  <si>
    <t>1269/23-24</t>
  </si>
  <si>
    <t>1286</t>
  </si>
  <si>
    <t>1288</t>
  </si>
  <si>
    <t>1290</t>
  </si>
  <si>
    <t>1294/23-24</t>
  </si>
  <si>
    <t>1311/23-24</t>
  </si>
  <si>
    <t>1323/23-24</t>
  </si>
  <si>
    <t>1331/23-24</t>
  </si>
  <si>
    <t>1332/23-24</t>
  </si>
  <si>
    <t>1345/23-24</t>
  </si>
  <si>
    <t>1348/23-24</t>
  </si>
  <si>
    <t>1356/23-24</t>
  </si>
  <si>
    <t>1371/23-24</t>
  </si>
  <si>
    <t>1373/23-24</t>
  </si>
  <si>
    <t>1383/23-24</t>
  </si>
  <si>
    <t>1385/23-24</t>
  </si>
  <si>
    <t>1392/23-24</t>
  </si>
  <si>
    <t>1396/23-24</t>
  </si>
  <si>
    <t>1398/23-24</t>
  </si>
  <si>
    <t>1406/23-24</t>
  </si>
  <si>
    <t>1407/23-24</t>
  </si>
  <si>
    <t>1409/23-24</t>
  </si>
  <si>
    <t>1411/23-24</t>
  </si>
  <si>
    <t>1412/23-24</t>
  </si>
  <si>
    <t>1414/23-24</t>
  </si>
  <si>
    <t>1418/23-24</t>
  </si>
  <si>
    <t>1426/23-24</t>
  </si>
  <si>
    <t>1431/23-24</t>
  </si>
  <si>
    <t>1452/23-24</t>
  </si>
  <si>
    <t>1456/23-24</t>
  </si>
  <si>
    <t>1460/23-24</t>
  </si>
  <si>
    <t>1458/23-24</t>
  </si>
  <si>
    <t>1467/23-24</t>
  </si>
  <si>
    <t>1466/23-24</t>
  </si>
  <si>
    <t>1478/23-24</t>
  </si>
  <si>
    <t>1479/23-24</t>
  </si>
  <si>
    <t>1481/23-24</t>
  </si>
  <si>
    <t>1485/23-24</t>
  </si>
  <si>
    <t>1523/23-24</t>
  </si>
  <si>
    <t>1487/23-24</t>
  </si>
  <si>
    <t>1497/23-24</t>
  </si>
  <si>
    <t>1500/23-24</t>
  </si>
  <si>
    <t>1503/23-24</t>
  </si>
  <si>
    <t>1506/23-24</t>
  </si>
  <si>
    <t>1508/23-24</t>
  </si>
  <si>
    <t>1509/23-24</t>
  </si>
  <si>
    <t>1513/23-24</t>
  </si>
  <si>
    <t>1529/23-24</t>
  </si>
  <si>
    <t>1532/23-24</t>
  </si>
  <si>
    <t>1536/23-24</t>
  </si>
  <si>
    <t>1537/23-24</t>
  </si>
  <si>
    <t>1546/23-24</t>
  </si>
  <si>
    <t>1548/23-24</t>
  </si>
  <si>
    <t>1553/23-24</t>
  </si>
  <si>
    <t>1556/23-24</t>
  </si>
  <si>
    <t>1559/23-24</t>
  </si>
  <si>
    <t>1562/23-24</t>
  </si>
  <si>
    <t>1563/23-24</t>
  </si>
  <si>
    <t>1564/23-24</t>
  </si>
  <si>
    <t>1570/23-24</t>
  </si>
  <si>
    <t>1572/23-24</t>
  </si>
  <si>
    <t>1573/23-24</t>
  </si>
  <si>
    <t>WS/23-24/HP-0025</t>
  </si>
  <si>
    <t>UDYAM-MH-20-0093599</t>
  </si>
  <si>
    <t>WS/23-24/HP-0026</t>
  </si>
  <si>
    <t>WS/23-24/HP-0027</t>
  </si>
  <si>
    <t>WS/23-24/HP-0028</t>
  </si>
  <si>
    <t>WS/23-24/HP-0029</t>
  </si>
  <si>
    <t>WS/23-24/HP-0030</t>
  </si>
  <si>
    <t>WS/23-24/HP-0031</t>
  </si>
  <si>
    <t>WS/23-24/HP-0032</t>
  </si>
  <si>
    <t>SE/932</t>
  </si>
  <si>
    <t>UDYAM-MH-08-0030877</t>
  </si>
  <si>
    <t>SE/935</t>
  </si>
  <si>
    <t>SE/1151</t>
  </si>
  <si>
    <t>SE/1155</t>
  </si>
  <si>
    <t>SE/1165</t>
  </si>
  <si>
    <t>WP/347</t>
  </si>
  <si>
    <t>WP/348</t>
  </si>
  <si>
    <t>WP/349</t>
  </si>
  <si>
    <t>WP/350</t>
  </si>
  <si>
    <t>WP/351</t>
  </si>
  <si>
    <t>WP/352</t>
  </si>
  <si>
    <t>WP/353</t>
  </si>
  <si>
    <t>WP/354</t>
  </si>
  <si>
    <t>WP/355</t>
  </si>
  <si>
    <t>WP/356</t>
  </si>
  <si>
    <t>WP/357</t>
  </si>
  <si>
    <t>WP/358</t>
  </si>
  <si>
    <t>WP/359</t>
  </si>
  <si>
    <t>WP/360</t>
  </si>
  <si>
    <t>WP/361</t>
  </si>
  <si>
    <t>WP/362</t>
  </si>
  <si>
    <t>WP/263</t>
  </si>
  <si>
    <t>WP/364</t>
  </si>
  <si>
    <t>WP/365</t>
  </si>
  <si>
    <t>WP/366</t>
  </si>
  <si>
    <t>WP/367</t>
  </si>
  <si>
    <t>WP/368</t>
  </si>
  <si>
    <t>WP/369</t>
  </si>
  <si>
    <t>WP/370</t>
  </si>
  <si>
    <t>WP/371</t>
  </si>
  <si>
    <t>WP/372</t>
  </si>
  <si>
    <t>WP/373</t>
  </si>
  <si>
    <t>553</t>
  </si>
  <si>
    <t>556</t>
  </si>
  <si>
    <t>560</t>
  </si>
  <si>
    <t>561</t>
  </si>
  <si>
    <t>562</t>
  </si>
  <si>
    <t>563</t>
  </si>
  <si>
    <t>564</t>
  </si>
  <si>
    <t>565</t>
  </si>
  <si>
    <t>566</t>
  </si>
  <si>
    <t>567</t>
  </si>
  <si>
    <t>568</t>
  </si>
  <si>
    <t>569</t>
  </si>
  <si>
    <t>24010104</t>
  </si>
  <si>
    <t>UDYAM-MH-20-0019083</t>
  </si>
  <si>
    <t>24010505</t>
  </si>
  <si>
    <t>24010601</t>
  </si>
  <si>
    <t>24010808</t>
  </si>
  <si>
    <t>24011101</t>
  </si>
  <si>
    <t>24011108</t>
  </si>
  <si>
    <t>24011511</t>
  </si>
  <si>
    <t>24011603</t>
  </si>
  <si>
    <t>24011702</t>
  </si>
  <si>
    <t>24012002</t>
  </si>
  <si>
    <t>24012303</t>
  </si>
  <si>
    <t>24012504</t>
  </si>
  <si>
    <t>24012702</t>
  </si>
  <si>
    <t>24012711</t>
  </si>
  <si>
    <t>24012715</t>
  </si>
  <si>
    <t>24013106</t>
  </si>
  <si>
    <t>24013107</t>
  </si>
  <si>
    <t>24020609</t>
  </si>
  <si>
    <t>24020704</t>
  </si>
  <si>
    <t>24020907</t>
  </si>
  <si>
    <t>24021310</t>
  </si>
  <si>
    <t>24021507</t>
  </si>
  <si>
    <t>24021511</t>
  </si>
  <si>
    <t>24021607</t>
  </si>
  <si>
    <t>24021704</t>
  </si>
  <si>
    <t>24021705</t>
  </si>
  <si>
    <t>24021917</t>
  </si>
  <si>
    <t>24021908</t>
  </si>
  <si>
    <t>24021916</t>
  </si>
  <si>
    <t>24022102</t>
  </si>
  <si>
    <t>24022307</t>
  </si>
  <si>
    <t>24022603</t>
  </si>
  <si>
    <t>24022803</t>
  </si>
  <si>
    <t>24030203</t>
  </si>
  <si>
    <t>24030208</t>
  </si>
  <si>
    <t>24030506</t>
  </si>
  <si>
    <t>24030902</t>
  </si>
  <si>
    <t>24031203</t>
  </si>
  <si>
    <t>24031401</t>
  </si>
  <si>
    <t>24031604</t>
  </si>
  <si>
    <t>355</t>
  </si>
  <si>
    <t>UDYAM-MH-20-0032278</t>
  </si>
  <si>
    <t>366</t>
  </si>
  <si>
    <t>371</t>
  </si>
  <si>
    <t>388</t>
  </si>
  <si>
    <t>391</t>
  </si>
  <si>
    <t>404</t>
  </si>
  <si>
    <t>407</t>
  </si>
  <si>
    <t>412</t>
  </si>
  <si>
    <t>423</t>
  </si>
  <si>
    <t>TRPL/272/23-24</t>
  </si>
  <si>
    <t>UDYAM-MH-20-0005382</t>
  </si>
  <si>
    <t>TRPL/291/23-24</t>
  </si>
  <si>
    <t>TRPL/338/23-24</t>
  </si>
  <si>
    <t>TRPL/373/23-24</t>
  </si>
  <si>
    <t>GST-538</t>
  </si>
  <si>
    <t>UDYAM-MH-20-0093229</t>
  </si>
  <si>
    <t>GST-558</t>
  </si>
  <si>
    <t>GST-562</t>
  </si>
  <si>
    <t>GST-596</t>
  </si>
  <si>
    <t>GST-600</t>
  </si>
  <si>
    <t>GST-650</t>
  </si>
  <si>
    <t>GST-670</t>
  </si>
  <si>
    <t>001</t>
  </si>
  <si>
    <t>002</t>
  </si>
  <si>
    <t>SE/157/23-24</t>
  </si>
  <si>
    <t>UDYAM-MH-20-0185559</t>
  </si>
  <si>
    <t>SSC/23-24/A343</t>
  </si>
  <si>
    <t>SSC/23-24/A410</t>
  </si>
  <si>
    <t>161</t>
  </si>
  <si>
    <t>UDYAM-TS-20-0020775</t>
  </si>
  <si>
    <t>VE/23-24/566</t>
  </si>
  <si>
    <t>VE/23-24/567</t>
  </si>
  <si>
    <t>VE/23-24/568</t>
  </si>
  <si>
    <t>VE/23-24/569</t>
  </si>
  <si>
    <t>VE/23-24/570</t>
  </si>
  <si>
    <t>VE/23-24/571</t>
  </si>
  <si>
    <t>VE/23-24/572</t>
  </si>
  <si>
    <t>VE/23-24/573</t>
  </si>
  <si>
    <t>VE/23-24/575</t>
  </si>
  <si>
    <t>VE/23-24/576</t>
  </si>
  <si>
    <t>VE/23-24/577</t>
  </si>
  <si>
    <t>VE/23-24/578</t>
  </si>
  <si>
    <t>VE/23-24/579</t>
  </si>
  <si>
    <t>VE/23-24/580</t>
  </si>
  <si>
    <t>VE/23-24/581</t>
  </si>
  <si>
    <t>VE/23-24/582</t>
  </si>
  <si>
    <t>VE/23-24/583</t>
  </si>
  <si>
    <t>VE/23-24/584</t>
  </si>
  <si>
    <t>VE/23-24/585</t>
  </si>
  <si>
    <t>VE/23-24/586</t>
  </si>
  <si>
    <t>VE/23-24/587</t>
  </si>
  <si>
    <t>VE/23-24/588</t>
  </si>
  <si>
    <t>VE/23-24/589</t>
  </si>
  <si>
    <t>VE/23-24/590</t>
  </si>
  <si>
    <t>VE/23-24/591</t>
  </si>
  <si>
    <t>VE/23-24/594</t>
  </si>
  <si>
    <t>VE/23-24/595</t>
  </si>
  <si>
    <t>VE/23-24/596</t>
  </si>
  <si>
    <t>VE/23-24/597</t>
  </si>
  <si>
    <t>VE/23-24/599</t>
  </si>
  <si>
    <t>VE/23-24/606</t>
  </si>
  <si>
    <t>VE/23-24/610</t>
  </si>
  <si>
    <t>VE/23-24/611</t>
  </si>
  <si>
    <t>VE/23-24/612</t>
  </si>
  <si>
    <t>VE/23-24/613</t>
  </si>
  <si>
    <t>VE/23-24/614</t>
  </si>
  <si>
    <t>VE/23-24/615</t>
  </si>
  <si>
    <t>VE/23-24/616</t>
  </si>
  <si>
    <t>VE/23-24/618</t>
  </si>
  <si>
    <t>VE/23-24/623</t>
  </si>
  <si>
    <t>VE/23-24/624</t>
  </si>
  <si>
    <t>VE/23-24/625</t>
  </si>
  <si>
    <t>VE/23-24/626</t>
  </si>
  <si>
    <t>VE/23-24/628</t>
  </si>
  <si>
    <t>VE/23-24/632</t>
  </si>
  <si>
    <t>VE/23-24/633</t>
  </si>
  <si>
    <t>VE/23-24/634</t>
  </si>
  <si>
    <t>VE/23-24/635</t>
  </si>
  <si>
    <t>VE/23-24/642</t>
  </si>
  <si>
    <t>VE/23-24/643</t>
  </si>
  <si>
    <t>VE/23-24/645</t>
  </si>
  <si>
    <t>VE/23-24/650</t>
  </si>
  <si>
    <t>VE/23-24/652</t>
  </si>
  <si>
    <t>VE/23-24/653</t>
  </si>
  <si>
    <t>VE/23-24/654</t>
  </si>
  <si>
    <t>VE/23-24/655</t>
  </si>
  <si>
    <t>VE/23-24/656</t>
  </si>
  <si>
    <t>VE/23-24/657</t>
  </si>
  <si>
    <t>VE/23-24/658</t>
  </si>
  <si>
    <t>VE/23-24/659</t>
  </si>
  <si>
    <t>VE/23-24/661</t>
  </si>
  <si>
    <t>VE/23-24/662</t>
  </si>
  <si>
    <t>VE/23-24/663</t>
  </si>
  <si>
    <t>VE/23-24/664</t>
  </si>
  <si>
    <t>VE/23-24/665</t>
  </si>
  <si>
    <t>VE/23-24/667</t>
  </si>
  <si>
    <t>VE/23-24/668</t>
  </si>
  <si>
    <t>VE/23-24/669</t>
  </si>
  <si>
    <t>VE/23-24/670</t>
  </si>
  <si>
    <t>VE/23-24/671</t>
  </si>
  <si>
    <t>VE/23-24/675</t>
  </si>
  <si>
    <t>VE/23-24/676</t>
  </si>
  <si>
    <t>VE/23-24/677</t>
  </si>
  <si>
    <t>VE/23-24/678</t>
  </si>
  <si>
    <t>VE/23-24/681</t>
  </si>
  <si>
    <t>VE/23-24/682</t>
  </si>
  <si>
    <t>VE/23-24/683</t>
  </si>
  <si>
    <t>VE/23-24/684</t>
  </si>
  <si>
    <t>VE/23-24/685</t>
  </si>
  <si>
    <t>VE/23-24/688</t>
  </si>
  <si>
    <t>VE/23-24/689</t>
  </si>
  <si>
    <t>VE/23-24/690</t>
  </si>
  <si>
    <t>VE/23-24/691</t>
  </si>
  <si>
    <t>VE/23-24/692</t>
  </si>
  <si>
    <t>VE/23-24/693</t>
  </si>
  <si>
    <t>VE/23-24/694</t>
  </si>
  <si>
    <t>VE/23-24/695</t>
  </si>
  <si>
    <t>VE/23-24/696</t>
  </si>
  <si>
    <t>VE/23-24/698</t>
  </si>
  <si>
    <t>VE/23-24/699</t>
  </si>
  <si>
    <t>VE/23-24/700</t>
  </si>
  <si>
    <t>VE/23-24/702</t>
  </si>
  <si>
    <t>VE/23-24/704</t>
  </si>
  <si>
    <t>VE/23-24/705</t>
  </si>
  <si>
    <t>VE/23-24/703</t>
  </si>
  <si>
    <t>VE/23-24/709</t>
  </si>
  <si>
    <t>VE/23-24/710</t>
  </si>
  <si>
    <t>VE/23-24/711</t>
  </si>
  <si>
    <t>VE/23-24/712</t>
  </si>
  <si>
    <t>VE/23-24/713</t>
  </si>
  <si>
    <t>VE/23-24/714</t>
  </si>
  <si>
    <t>VE/23-24/715</t>
  </si>
  <si>
    <t>VE/23-24/716</t>
  </si>
  <si>
    <t>VE/23-24/718</t>
  </si>
  <si>
    <t>VE/23-24/719</t>
  </si>
  <si>
    <t>VE/23-24/720</t>
  </si>
  <si>
    <t>VE/23-24/721</t>
  </si>
  <si>
    <t>VE/23-24/722</t>
  </si>
  <si>
    <t>VE/23-24/723</t>
  </si>
  <si>
    <t>VE/23-24/725</t>
  </si>
  <si>
    <t>VE/23-24/726</t>
  </si>
  <si>
    <t>VE/23-24/727</t>
  </si>
  <si>
    <t>VE/23-24/728</t>
  </si>
  <si>
    <t>VE/23-24/729</t>
  </si>
  <si>
    <t>VE/23-24/730</t>
  </si>
  <si>
    <t>VE/23-24/731</t>
  </si>
  <si>
    <t>VE/23-24/733</t>
  </si>
  <si>
    <t>VE/23-24/737</t>
  </si>
  <si>
    <t>VE/23-24/734</t>
  </si>
  <si>
    <t>VE/23-24/735</t>
  </si>
  <si>
    <t>VE/23-24/736</t>
  </si>
  <si>
    <t>VE/23-24/738</t>
  </si>
  <si>
    <t>VE/23-24/739</t>
  </si>
  <si>
    <t>VE/23-24/740</t>
  </si>
  <si>
    <t>VE/23-24/743</t>
  </si>
  <si>
    <t>VE/23-24/744</t>
  </si>
  <si>
    <t>VE/23-24/745</t>
  </si>
  <si>
    <t>VE/23-24/746</t>
  </si>
  <si>
    <t>VE/23-24/747</t>
  </si>
  <si>
    <t>VE/23-24/748</t>
  </si>
  <si>
    <t>VE/23-24/749</t>
  </si>
  <si>
    <t>VE/23-24/750</t>
  </si>
  <si>
    <t>VE/23-24/751</t>
  </si>
  <si>
    <t>VE/23-24/752</t>
  </si>
  <si>
    <t>VE/23-24/754</t>
  </si>
  <si>
    <t>VE/23-24/755</t>
  </si>
  <si>
    <t>VE/23-24/756</t>
  </si>
  <si>
    <t>VE/23-24/757</t>
  </si>
  <si>
    <t>VE/23-24/758</t>
  </si>
  <si>
    <t>VE/23-24/759</t>
  </si>
  <si>
    <t>VE/23-24/761</t>
  </si>
  <si>
    <t>VE/23-24/762</t>
  </si>
  <si>
    <t>VE/23-24/763</t>
  </si>
  <si>
    <t>VE/23-24/764</t>
  </si>
  <si>
    <t>VE/23-24/765</t>
  </si>
  <si>
    <t>VE/23-24/766</t>
  </si>
  <si>
    <t>VE/23-24/767</t>
  </si>
  <si>
    <t>VE/23-24/768</t>
  </si>
  <si>
    <t>VE/23-24/769</t>
  </si>
  <si>
    <t>VE/23-24/770</t>
  </si>
  <si>
    <t>VE/23-24/771</t>
  </si>
  <si>
    <t>VE/23-24/772</t>
  </si>
  <si>
    <t>VE/23-24/775</t>
  </si>
  <si>
    <t>VE/23-24/776</t>
  </si>
  <si>
    <t>VE/23-24/777</t>
  </si>
  <si>
    <t>VE/23-24/778</t>
  </si>
  <si>
    <t>VE/23-24/780</t>
  </si>
  <si>
    <t>VE/23-24/781</t>
  </si>
  <si>
    <t>VE/23-24/782</t>
  </si>
  <si>
    <t>VE/23-24/783</t>
  </si>
  <si>
    <t>VE/23-24/785</t>
  </si>
  <si>
    <t>VE/23-24/786</t>
  </si>
  <si>
    <t>VE/23-24/787</t>
  </si>
  <si>
    <t>VE/23-24/790</t>
  </si>
  <si>
    <t>VE/23-24/792</t>
  </si>
  <si>
    <t>VE/23-24/793</t>
  </si>
  <si>
    <t>VE/23-24/794</t>
  </si>
  <si>
    <t>VE/23-24/796</t>
  </si>
  <si>
    <t>VE/23-24/797</t>
  </si>
  <si>
    <t>VE/23-24/798</t>
  </si>
  <si>
    <t>VE/23-24/799</t>
  </si>
  <si>
    <t>VE/23-24/802</t>
  </si>
  <si>
    <t>VE/23-24/804</t>
  </si>
  <si>
    <t>VE/23-24/805</t>
  </si>
  <si>
    <t>VE/23-24/806</t>
  </si>
  <si>
    <t>VE/23-24/807</t>
  </si>
  <si>
    <t>VE/23-24/808</t>
  </si>
  <si>
    <t>VE/23-24/809</t>
  </si>
  <si>
    <t>VE/23-24/813</t>
  </si>
  <si>
    <t>VE/23-24/814</t>
  </si>
  <si>
    <t>VE/23-24/815</t>
  </si>
  <si>
    <t>VE/23-24/816</t>
  </si>
  <si>
    <t>VE/23-24/817</t>
  </si>
  <si>
    <t>VE/23-24/818</t>
  </si>
  <si>
    <t>VE/23-24/819</t>
  </si>
  <si>
    <t>VE/23-24/821</t>
  </si>
  <si>
    <t>VE/23-24/822</t>
  </si>
  <si>
    <t>VE/23-24/823</t>
  </si>
  <si>
    <t>VE/23-24/828</t>
  </si>
  <si>
    <t>VE/23-24/829</t>
  </si>
  <si>
    <t>VE/23-24/825</t>
  </si>
  <si>
    <t>VE/23-24/826</t>
  </si>
  <si>
    <t>VE/23-24/827</t>
  </si>
  <si>
    <t>VE/23-24/832</t>
  </si>
  <si>
    <t>VE/23-24/833</t>
  </si>
  <si>
    <t>VE/23-24/834</t>
  </si>
  <si>
    <t>VE/23-24/835</t>
  </si>
  <si>
    <t>VE/23-24/836</t>
  </si>
  <si>
    <t>VE/23-24/839</t>
  </si>
  <si>
    <t>VE/23-24/840</t>
  </si>
  <si>
    <t>VE/23-24/841</t>
  </si>
  <si>
    <t>VE/23-24/842</t>
  </si>
  <si>
    <t>VE/23-24/843</t>
  </si>
  <si>
    <t>VE/23-24/844</t>
  </si>
  <si>
    <t>VE/23-24/845</t>
  </si>
  <si>
    <t>VE/23-24/846</t>
  </si>
  <si>
    <t>VE/23-24/847</t>
  </si>
  <si>
    <t>VE/23-24/848</t>
  </si>
  <si>
    <t>VE/23-24/849</t>
  </si>
  <si>
    <t>VE/23-24/851</t>
  </si>
  <si>
    <t>VE/23-24/853</t>
  </si>
  <si>
    <t>VE/23-24/854</t>
  </si>
  <si>
    <t>VE/23-24/855</t>
  </si>
  <si>
    <t>VE/23-24/856</t>
  </si>
  <si>
    <t>VE/23-24/857</t>
  </si>
  <si>
    <t>VE/23-24/858</t>
  </si>
  <si>
    <t>VE/23-24/859</t>
  </si>
  <si>
    <t>VE/23-24/860</t>
  </si>
  <si>
    <t>VE/23-24/863</t>
  </si>
  <si>
    <t>VE/23-24/864</t>
  </si>
  <si>
    <t>VE/23-24/865</t>
  </si>
  <si>
    <t>VE/23-24/866</t>
  </si>
  <si>
    <t>VE/23-24/867</t>
  </si>
  <si>
    <t>VE/23-24/869</t>
  </si>
  <si>
    <t>VE/23-24/870</t>
  </si>
  <si>
    <t>VE/23-24/874</t>
  </si>
  <si>
    <t>VE/23-24/875</t>
  </si>
  <si>
    <t>VE/23-24/876</t>
  </si>
  <si>
    <t>VE/23-24/877</t>
  </si>
  <si>
    <t>VE/23-24/878</t>
  </si>
  <si>
    <t>VE/23-24/879</t>
  </si>
  <si>
    <t>VE/23-24/880</t>
  </si>
  <si>
    <t>VE/23-24/881</t>
  </si>
  <si>
    <t>VE/23-24/882</t>
  </si>
  <si>
    <t>VE/23-24/884</t>
  </si>
  <si>
    <t>VE/23-24/885</t>
  </si>
  <si>
    <t>VE/23-24/886</t>
  </si>
  <si>
    <t>VE/23-24/887</t>
  </si>
  <si>
    <t>VE/23-24/888</t>
  </si>
  <si>
    <t>VE/23-24/889</t>
  </si>
  <si>
    <t>VE/23-24/890</t>
  </si>
  <si>
    <t>VE/23-24/892</t>
  </si>
  <si>
    <t>VE/23-24/893</t>
  </si>
  <si>
    <t>VE/23-24/894</t>
  </si>
  <si>
    <t>VE/23-24/895</t>
  </si>
  <si>
    <t>VE/23-24/896</t>
  </si>
  <si>
    <t>VE/23-24/897</t>
  </si>
  <si>
    <t>VE/23-24/898</t>
  </si>
  <si>
    <t>VE/23-24/899</t>
  </si>
  <si>
    <t>VE/23-24/900</t>
  </si>
  <si>
    <t>VE/23-24/901</t>
  </si>
  <si>
    <t>VE/23-24/902</t>
  </si>
  <si>
    <t>VE/23-24/904</t>
  </si>
  <si>
    <t>VE/23-24/905</t>
  </si>
  <si>
    <t>VE/23-24/906</t>
  </si>
  <si>
    <t>VE/23-24/907</t>
  </si>
  <si>
    <t>VE/23-24/909</t>
  </si>
  <si>
    <t>VE/23-24/910</t>
  </si>
  <si>
    <t>VE/23-24/911</t>
  </si>
  <si>
    <t>VE/23-24/912</t>
  </si>
  <si>
    <t>VE/23-24/913</t>
  </si>
  <si>
    <t>VE/23-24/914</t>
  </si>
  <si>
    <t>VE/23-24/915</t>
  </si>
  <si>
    <t>VE/23-24/916</t>
  </si>
  <si>
    <t>VE/23-24/917</t>
  </si>
  <si>
    <t>VE/23-24/918</t>
  </si>
  <si>
    <t>VE/23-24/919</t>
  </si>
  <si>
    <t>VE/23-24/920</t>
  </si>
  <si>
    <t>VE/23-24/921</t>
  </si>
  <si>
    <t>VE/23-24/922</t>
  </si>
  <si>
    <t>VE/23-24/924</t>
  </si>
  <si>
    <t>VE/23-24/925</t>
  </si>
  <si>
    <t>VE/23-24/926</t>
  </si>
  <si>
    <t>VE/23-24/928</t>
  </si>
  <si>
    <t>VE/23-24/930</t>
  </si>
  <si>
    <t>VE/23-24/931</t>
  </si>
  <si>
    <t>VE/23-24/932</t>
  </si>
  <si>
    <t>VE/23-24/933</t>
  </si>
  <si>
    <t>VE/23-24/934</t>
  </si>
  <si>
    <t>VE/23-24/935</t>
  </si>
  <si>
    <t>VE/23-24/936</t>
  </si>
  <si>
    <t>VE/23-24/937</t>
  </si>
  <si>
    <t>VE/23-24/938</t>
  </si>
  <si>
    <t>VE/23-24/939</t>
  </si>
  <si>
    <t>VE/23-24/940</t>
  </si>
  <si>
    <t>VE/23-24/941</t>
  </si>
  <si>
    <t>VE/23-24/943</t>
  </si>
  <si>
    <t>VE/23-24/945</t>
  </si>
  <si>
    <t>VE/23-24/946</t>
  </si>
  <si>
    <t>VE/23-24/947</t>
  </si>
  <si>
    <t>VE/23-24/948</t>
  </si>
  <si>
    <t>VE/23-24/949</t>
  </si>
  <si>
    <t>VE/23-24/950</t>
  </si>
  <si>
    <t>VE/23-24/951</t>
  </si>
  <si>
    <t>VE/23-24/952</t>
  </si>
  <si>
    <t>VE/23-24/954</t>
  </si>
  <si>
    <t>VE/23-24/956</t>
  </si>
  <si>
    <t>VE/23-24/958</t>
  </si>
  <si>
    <t>VE/23-24/959</t>
  </si>
  <si>
    <t>VE/23-24/957</t>
  </si>
  <si>
    <t>VE/23-24/961</t>
  </si>
  <si>
    <t>VE/23-24/962</t>
  </si>
  <si>
    <t>VE/23-24/963</t>
  </si>
  <si>
    <t>VE/23-24/964</t>
  </si>
  <si>
    <t>VE/23-24/965</t>
  </si>
  <si>
    <t>VE/23-24/966</t>
  </si>
  <si>
    <t>VE/23-24/967</t>
  </si>
  <si>
    <t>VE/23-24/968</t>
  </si>
  <si>
    <t>VE/23-24/969</t>
  </si>
  <si>
    <t>VE/23-24/971</t>
  </si>
  <si>
    <t>VE/23-24/972</t>
  </si>
  <si>
    <t>VE/23-24/974</t>
  </si>
  <si>
    <t>VE/23-24/975</t>
  </si>
  <si>
    <t>VE/23-24/976</t>
  </si>
  <si>
    <t>VE/23-24/977</t>
  </si>
  <si>
    <t>VE/23-24/979</t>
  </si>
  <si>
    <t>VE/23-24/982</t>
  </si>
  <si>
    <t>VE/23-24/983</t>
  </si>
  <si>
    <t>VE/23-24/984</t>
  </si>
  <si>
    <t>VE/23-24/985</t>
  </si>
  <si>
    <t>VE/23-24/986</t>
  </si>
  <si>
    <t>VE/23-24/987</t>
  </si>
  <si>
    <t>VE/23-24/988</t>
  </si>
  <si>
    <t>VE/23-24/989</t>
  </si>
  <si>
    <t>VE/23-24/990</t>
  </si>
  <si>
    <t>VE/23-24/993</t>
  </si>
  <si>
    <t>VE/23-24/994</t>
  </si>
  <si>
    <t>VE/23-24/995</t>
  </si>
  <si>
    <t>VE/23-24/996</t>
  </si>
  <si>
    <t>VE/23-24/997</t>
  </si>
  <si>
    <t>VE/23-24/998</t>
  </si>
  <si>
    <t>VE/23-24/1000</t>
  </si>
  <si>
    <t>VE/23-24/1001</t>
  </si>
  <si>
    <t>VE/23-24/1004</t>
  </si>
  <si>
    <t>VE/23-24/1005</t>
  </si>
  <si>
    <t>VE/23-24/1006</t>
  </si>
  <si>
    <t>VE/23-24/1007</t>
  </si>
  <si>
    <t>SALES JV</t>
  </si>
  <si>
    <t>6655-12832</t>
  </si>
  <si>
    <t>UDYAM-MH20B0052489</t>
  </si>
  <si>
    <t>6656-12833</t>
  </si>
  <si>
    <t>6657-12834</t>
  </si>
  <si>
    <t>6672-12846</t>
  </si>
  <si>
    <t>6676-12851</t>
  </si>
  <si>
    <t>6701-12859</t>
  </si>
  <si>
    <t>6702-12861</t>
  </si>
  <si>
    <t>6691-12867</t>
  </si>
  <si>
    <t>6729-12881</t>
  </si>
  <si>
    <t>6731-12882</t>
  </si>
  <si>
    <t>6730-12889</t>
  </si>
  <si>
    <t>6737-12892</t>
  </si>
  <si>
    <t>6742-12951</t>
  </si>
  <si>
    <t>6743-12953</t>
  </si>
  <si>
    <t>6744-12958</t>
  </si>
  <si>
    <t>6785-12975</t>
  </si>
  <si>
    <t>6786-12980</t>
  </si>
  <si>
    <t>6796-12993</t>
  </si>
  <si>
    <t>6813-12994</t>
  </si>
  <si>
    <t>6816-13000</t>
  </si>
  <si>
    <t>6852-13024</t>
  </si>
  <si>
    <t>6851-13025</t>
  </si>
  <si>
    <t>6847-13016</t>
  </si>
  <si>
    <t>6885-13044</t>
  </si>
  <si>
    <t>6912-13071</t>
  </si>
  <si>
    <t>6913-13069</t>
  </si>
  <si>
    <t>6903-13063</t>
  </si>
  <si>
    <t>6930-13089</t>
  </si>
  <si>
    <t>6938-13095</t>
  </si>
  <si>
    <t>6945-13083</t>
  </si>
  <si>
    <t>6948-13112</t>
  </si>
  <si>
    <t>6949-13113</t>
  </si>
  <si>
    <t>6950-13107</t>
  </si>
  <si>
    <t>6951-13114</t>
  </si>
  <si>
    <t>6952-13127</t>
  </si>
  <si>
    <t>6975-13130</t>
  </si>
  <si>
    <t>6983-13135</t>
  </si>
  <si>
    <t>6984-13139</t>
  </si>
  <si>
    <t>6985-13146</t>
  </si>
  <si>
    <t>6995-13151</t>
  </si>
  <si>
    <t>7009-13153</t>
  </si>
  <si>
    <t>7010-13156</t>
  </si>
  <si>
    <t>7034-13165</t>
  </si>
  <si>
    <t>7047-13172</t>
  </si>
  <si>
    <t>7070-13193</t>
  </si>
  <si>
    <t>7078-13199</t>
  </si>
  <si>
    <t>7114-13152</t>
  </si>
  <si>
    <t>7113-12973</t>
  </si>
  <si>
    <t>7104-13264</t>
  </si>
  <si>
    <t>7111-13271</t>
  </si>
  <si>
    <t>7115-13273</t>
  </si>
  <si>
    <t>7134-13290</t>
  </si>
  <si>
    <t>7139-13295</t>
  </si>
  <si>
    <t>7140-13304</t>
  </si>
  <si>
    <t>7141-13315</t>
  </si>
  <si>
    <t>7153-13311</t>
  </si>
  <si>
    <t>7170-13321</t>
  </si>
  <si>
    <t>7175-13325</t>
  </si>
  <si>
    <t>7199-13335</t>
  </si>
  <si>
    <t>7200-13338</t>
  </si>
  <si>
    <t>7205-13344</t>
  </si>
  <si>
    <t>7257-13362</t>
  </si>
  <si>
    <t>7258-13365</t>
  </si>
  <si>
    <t>7274-13375</t>
  </si>
  <si>
    <t>7277-13379</t>
  </si>
  <si>
    <t>7283-13383</t>
  </si>
  <si>
    <t>7291-13387</t>
  </si>
  <si>
    <t>7308-13392</t>
  </si>
  <si>
    <t>7318-13404</t>
  </si>
  <si>
    <t>7349-13420</t>
  </si>
  <si>
    <t>7352-13424</t>
  </si>
  <si>
    <t>7371-13437</t>
  </si>
  <si>
    <t>7377-13439</t>
  </si>
  <si>
    <t>7389-13457</t>
  </si>
  <si>
    <t>7411-13460</t>
  </si>
  <si>
    <t>7409-13468</t>
  </si>
  <si>
    <t>7417-13475</t>
  </si>
  <si>
    <t>7422-13485</t>
  </si>
  <si>
    <t>7427-13487</t>
  </si>
  <si>
    <t>7445-13555</t>
  </si>
  <si>
    <t>7469-13570</t>
  </si>
  <si>
    <t>7470-13574</t>
  </si>
  <si>
    <t>7480-13586</t>
  </si>
  <si>
    <t>7481-13575</t>
  </si>
  <si>
    <t>7502-13597</t>
  </si>
  <si>
    <t>7509-13600</t>
  </si>
  <si>
    <t>7490-13594</t>
  </si>
  <si>
    <t>7530-13622</t>
  </si>
  <si>
    <t>7531-13623</t>
  </si>
  <si>
    <t>7549-13651</t>
  </si>
  <si>
    <t>7550-13652</t>
  </si>
  <si>
    <t>7552-13648</t>
  </si>
  <si>
    <t>7538-13645</t>
  </si>
  <si>
    <t>7572-13663</t>
  </si>
  <si>
    <t>7579-13672</t>
  </si>
  <si>
    <t>7595-13678</t>
  </si>
  <si>
    <t>7616-13693</t>
  </si>
  <si>
    <t>7617-13692</t>
  </si>
  <si>
    <t>7623-13701</t>
  </si>
  <si>
    <t>7624-13720</t>
  </si>
  <si>
    <t>7625-13712</t>
  </si>
  <si>
    <t>7651-13729</t>
  </si>
  <si>
    <t>7652-13727</t>
  </si>
  <si>
    <t>7661-13741</t>
  </si>
  <si>
    <t>7674-13746</t>
  </si>
  <si>
    <t>7681-13747</t>
  </si>
  <si>
    <t>7697-13761</t>
  </si>
  <si>
    <t>7708-13767</t>
  </si>
  <si>
    <t>7721-13774</t>
  </si>
  <si>
    <t>7737-13784</t>
  </si>
  <si>
    <t>7744-13789</t>
  </si>
  <si>
    <t>7756-13793</t>
  </si>
  <si>
    <t>7763-13790</t>
  </si>
  <si>
    <t>7764-13794</t>
  </si>
  <si>
    <t>7788-13797</t>
  </si>
  <si>
    <t>7775-13806</t>
  </si>
  <si>
    <t>7776-13807</t>
  </si>
  <si>
    <t>7789-13812</t>
  </si>
  <si>
    <t>7797-13815</t>
  </si>
  <si>
    <t>7799-13827</t>
  </si>
  <si>
    <t>7800-13829</t>
  </si>
  <si>
    <t>7827-13848</t>
  </si>
  <si>
    <t>7828-13846</t>
  </si>
  <si>
    <t>7841-13854</t>
  </si>
  <si>
    <t>7842-13857</t>
  </si>
  <si>
    <t>7855-13862</t>
  </si>
  <si>
    <t>7865-13870</t>
  </si>
  <si>
    <t>7871-13871</t>
  </si>
  <si>
    <t>7873-13872</t>
  </si>
  <si>
    <t>7879-13875</t>
  </si>
  <si>
    <t>7880-13878</t>
  </si>
  <si>
    <t>7890-13887</t>
  </si>
  <si>
    <t>7891-13888</t>
  </si>
  <si>
    <t>7892-13886</t>
  </si>
  <si>
    <t>7918-13899</t>
  </si>
  <si>
    <t>7919-13897</t>
  </si>
  <si>
    <t>7920-13894</t>
  </si>
  <si>
    <t>7921-13902</t>
  </si>
  <si>
    <t>7926-13908</t>
  </si>
  <si>
    <t>7927-13910</t>
  </si>
  <si>
    <t>7935-13912</t>
  </si>
  <si>
    <t>7940-13915</t>
  </si>
  <si>
    <t>7955-13920</t>
  </si>
  <si>
    <t>7956-13919</t>
  </si>
  <si>
    <t>7957-13926</t>
  </si>
  <si>
    <t>7966-13933</t>
  </si>
  <si>
    <t>7967-13934</t>
  </si>
  <si>
    <t>7968-13935</t>
  </si>
  <si>
    <t>7979-13938</t>
  </si>
  <si>
    <t>7980-13939</t>
  </si>
  <si>
    <t>7981-13942</t>
  </si>
  <si>
    <t>7991-13951</t>
  </si>
  <si>
    <t>7994-13980</t>
  </si>
  <si>
    <t>7995-13968</t>
  </si>
  <si>
    <t>8004-13952</t>
  </si>
  <si>
    <t>8005-13960</t>
  </si>
  <si>
    <t>8045-14005</t>
  </si>
  <si>
    <t>8083-14024</t>
  </si>
  <si>
    <t>8092-14026</t>
  </si>
  <si>
    <t>8133-14107</t>
  </si>
  <si>
    <t>PRL/074/23-24</t>
  </si>
  <si>
    <t>Advance</t>
  </si>
  <si>
    <t>Excess Advance Payment</t>
  </si>
  <si>
    <t>Creditors for Transport</t>
  </si>
  <si>
    <t>Inv.no. STC/CR/175</t>
  </si>
  <si>
    <t>Inv.no. STC/CR/176</t>
  </si>
  <si>
    <t>Inv.no. STC/CR/199</t>
  </si>
  <si>
    <t>Inv.no. STC/CR/200</t>
  </si>
  <si>
    <t>Inv.no. STC/CR/201</t>
  </si>
  <si>
    <t>Inv.no. STC/CR/202</t>
  </si>
  <si>
    <t>B.No. STC/CR/250</t>
  </si>
  <si>
    <t>B.No. STC/CR/251</t>
  </si>
  <si>
    <t>B.No. STC/CR/252</t>
  </si>
  <si>
    <t>B.No. STC/CR/253</t>
  </si>
  <si>
    <t>2023-2024/38</t>
  </si>
  <si>
    <t>2023-2024/39</t>
  </si>
  <si>
    <t>2023-2024/40</t>
  </si>
  <si>
    <t>2023-2024/41</t>
  </si>
  <si>
    <t>Bill No. PIRS/NGP/1228/23-24</t>
  </si>
  <si>
    <t>B.No. PIRS/NGP/1242/23-24</t>
  </si>
  <si>
    <t>Om Sai Enterprises</t>
  </si>
  <si>
    <t>262</t>
  </si>
  <si>
    <t>Creditors for Capital Goods</t>
  </si>
  <si>
    <t>KES/063/23-24</t>
  </si>
  <si>
    <t>UDYAM-DL-01-0015303</t>
  </si>
  <si>
    <t xml:space="preserve">on behalf of Integrated Marketing </t>
  </si>
  <si>
    <t>Cash Advance</t>
  </si>
  <si>
    <t>Debit Note against Travelling</t>
  </si>
  <si>
    <t>JV Against travelling</t>
  </si>
  <si>
    <t>0105/S/2023-24</t>
  </si>
  <si>
    <t>UDYAM-MH-20-0009770</t>
  </si>
  <si>
    <t>RKES\23-24\141</t>
  </si>
  <si>
    <t>UDYAM-MH-20-0012625</t>
  </si>
  <si>
    <t>Being amount debited towards VDS discount  scheme for the month of Oct to Dec'23 for 30 container</t>
  </si>
  <si>
    <t>Creditors for Expenses</t>
  </si>
  <si>
    <t>6229</t>
  </si>
  <si>
    <t>UDYAM-MH-20-0018604</t>
  </si>
  <si>
    <t>6539</t>
  </si>
  <si>
    <t>06675</t>
  </si>
  <si>
    <t>07014</t>
  </si>
  <si>
    <t>08088</t>
  </si>
  <si>
    <t>AKRG/145/2023-24</t>
  </si>
  <si>
    <t>UDYAM-MH-20-0012518</t>
  </si>
  <si>
    <t>AKRG/159/2023-24</t>
  </si>
  <si>
    <t>AKRG/186/2022-23</t>
  </si>
  <si>
    <t>AKRG/187/2023-24</t>
  </si>
  <si>
    <t>AP/476/23-24</t>
  </si>
  <si>
    <t>UDYAM-TN-03-0045431</t>
  </si>
  <si>
    <t>5181</t>
  </si>
  <si>
    <t>UDYAM-MH-20-0025673</t>
  </si>
  <si>
    <t>5266</t>
  </si>
  <si>
    <t>5393</t>
  </si>
  <si>
    <t>5412</t>
  </si>
  <si>
    <t>5434</t>
  </si>
  <si>
    <t>5510</t>
  </si>
  <si>
    <t>5540</t>
  </si>
  <si>
    <t>5546</t>
  </si>
  <si>
    <t>5659</t>
  </si>
  <si>
    <t>5768</t>
  </si>
  <si>
    <t>5864</t>
  </si>
  <si>
    <t>5998</t>
  </si>
  <si>
    <t>6362</t>
  </si>
  <si>
    <t>6594</t>
  </si>
  <si>
    <t>6696</t>
  </si>
  <si>
    <t>ELE/333/23-24</t>
  </si>
  <si>
    <t>UDYAM-GJ-01-0032605</t>
  </si>
  <si>
    <t>Dashmesh Dhaba</t>
  </si>
  <si>
    <t>Durga Industrial Security</t>
  </si>
  <si>
    <t>DIS/1858</t>
  </si>
  <si>
    <t>1002/FG/22-23</t>
  </si>
  <si>
    <t>UDYAM-MH-19-0133227</t>
  </si>
  <si>
    <t>223</t>
  </si>
  <si>
    <t>UDYAM-GJ-25-0050918</t>
  </si>
  <si>
    <t>SS/15431/2324</t>
  </si>
  <si>
    <t>UDYAM-GJ-25-0005081</t>
  </si>
  <si>
    <t>SS/4613/2324</t>
  </si>
  <si>
    <t>322/2023-24</t>
  </si>
  <si>
    <t>KC/58/2023-24</t>
  </si>
  <si>
    <t>UDYAM-MH-20-0193431</t>
  </si>
  <si>
    <t>PS/2106</t>
  </si>
  <si>
    <t>UDYAM-MH-20-0046611</t>
  </si>
  <si>
    <t>SER/0225/23-24</t>
  </si>
  <si>
    <t>UDYAM-MH-20-0030998</t>
  </si>
  <si>
    <t>3808/23-24</t>
  </si>
  <si>
    <t>3797/23-24</t>
  </si>
  <si>
    <t>3809/23-24</t>
  </si>
  <si>
    <t>3824/23-24</t>
  </si>
  <si>
    <t>3830/23-24</t>
  </si>
  <si>
    <t>3831/23-24</t>
  </si>
  <si>
    <t>3893/23-24</t>
  </si>
  <si>
    <t>3897/23-24</t>
  </si>
  <si>
    <t>4024/23-24</t>
  </si>
  <si>
    <t>4121/23-24</t>
  </si>
  <si>
    <t>4111/23-24</t>
  </si>
  <si>
    <t>4368/23-24</t>
  </si>
  <si>
    <t>4384/23-24</t>
  </si>
  <si>
    <t>4615/23-24</t>
  </si>
  <si>
    <t>4671/23-24</t>
  </si>
  <si>
    <t>4714/23-24</t>
  </si>
  <si>
    <t>4907/23-24</t>
  </si>
  <si>
    <t>5232/23-24</t>
  </si>
  <si>
    <t>5233/23-24</t>
  </si>
  <si>
    <t>5234/23-24</t>
  </si>
  <si>
    <t>Nagpur Auto Service Station</t>
  </si>
  <si>
    <t>001944</t>
  </si>
  <si>
    <t>GB23Y-604</t>
  </si>
  <si>
    <t>UDYAM-MH-20-0074257</t>
  </si>
  <si>
    <t>GB23Y-701</t>
  </si>
  <si>
    <t>GB23Y-721</t>
  </si>
  <si>
    <t>PTC/23-24/02371</t>
  </si>
  <si>
    <t>PTC/23-24/02409</t>
  </si>
  <si>
    <t>PTC/23-24/02411</t>
  </si>
  <si>
    <t>118</t>
  </si>
  <si>
    <t>HO/1660/23-24</t>
  </si>
  <si>
    <t>UDYAM-MH-20-0026801</t>
  </si>
  <si>
    <t>HO/1762/23-24</t>
  </si>
  <si>
    <t>TIM/0434/23-24</t>
  </si>
  <si>
    <t>SKF/4282/23-24</t>
  </si>
  <si>
    <t>X2/2879/23-24</t>
  </si>
  <si>
    <t>X2/2881/23-24</t>
  </si>
  <si>
    <t>CPSC/1128/23-24</t>
  </si>
  <si>
    <t>X2/2899/23-24</t>
  </si>
  <si>
    <t>SKF/4504/23-24</t>
  </si>
  <si>
    <t>HO/1924/23-24</t>
  </si>
  <si>
    <t>TIM/0459/23-24</t>
  </si>
  <si>
    <t>HO/2032/23-24</t>
  </si>
  <si>
    <t>HO/2033/23-24</t>
  </si>
  <si>
    <t>HO/2037/23-24</t>
  </si>
  <si>
    <t>X2/3155/23-24</t>
  </si>
  <si>
    <t>WH-445/23-24</t>
  </si>
  <si>
    <t>SE23FY-00567</t>
  </si>
  <si>
    <t>UDYAM-MH-20-0064901</t>
  </si>
  <si>
    <t>SE23FY-00580</t>
  </si>
  <si>
    <t>SE23FY-00581</t>
  </si>
  <si>
    <t>SE23FY-00586</t>
  </si>
  <si>
    <t>SE23FY-00587</t>
  </si>
  <si>
    <t>SE23FY-00589</t>
  </si>
  <si>
    <t>SE23FY-00611</t>
  </si>
  <si>
    <t>SE23FY-00615</t>
  </si>
  <si>
    <t>SE23FY-00616</t>
  </si>
  <si>
    <t>SE23FY-00617</t>
  </si>
  <si>
    <t>SE23FY-00620</t>
  </si>
  <si>
    <t>SE23FY-00628</t>
  </si>
  <si>
    <t>SE23FY-00629</t>
  </si>
  <si>
    <t>SE23FY-00631</t>
  </si>
  <si>
    <t>SE23FY-00642</t>
  </si>
  <si>
    <t>SE23FY-00662</t>
  </si>
  <si>
    <t>SE23FY-00672</t>
  </si>
  <si>
    <t>SE23FY-00691</t>
  </si>
  <si>
    <t>SE23FY-00693</t>
  </si>
  <si>
    <t>SE23FY-00701</t>
  </si>
  <si>
    <t>SE23FY-00708</t>
  </si>
  <si>
    <t>SE23FY-00707</t>
  </si>
  <si>
    <t>SE23FY-00717</t>
  </si>
  <si>
    <t>SE23FY-00728</t>
  </si>
  <si>
    <t>SE23FY-00733</t>
  </si>
  <si>
    <t>SE23FY-00759</t>
  </si>
  <si>
    <t>SE23FY/00767</t>
  </si>
  <si>
    <t>SE23FY-00778</t>
  </si>
  <si>
    <t>SE23FY-00772</t>
  </si>
  <si>
    <t>SE23FY-00784</t>
  </si>
  <si>
    <t>SE23FY-00785</t>
  </si>
  <si>
    <t>SE23FY-00796</t>
  </si>
  <si>
    <t>SE23FY-00816</t>
  </si>
  <si>
    <t>SE23FY-00817</t>
  </si>
  <si>
    <t>SE23FY-00824</t>
  </si>
  <si>
    <t>N1243</t>
  </si>
  <si>
    <t>UDYAM-MH-19-0079128</t>
  </si>
  <si>
    <t>N1356</t>
  </si>
  <si>
    <t>N1551</t>
  </si>
  <si>
    <t>N1647</t>
  </si>
  <si>
    <t>N1650</t>
  </si>
  <si>
    <t>109</t>
  </si>
  <si>
    <t>VI/23-24/420</t>
  </si>
  <si>
    <t>UDYAM-MH-20-0103578</t>
  </si>
  <si>
    <t>146</t>
  </si>
  <si>
    <t>23303786</t>
  </si>
  <si>
    <t>23304133</t>
  </si>
  <si>
    <t>JV</t>
  </si>
  <si>
    <t>WF/23-24/S1727</t>
  </si>
  <si>
    <t>UDYAM-WB-10-0016192</t>
  </si>
  <si>
    <t>WF/23-24/S1728</t>
  </si>
  <si>
    <t>WF/23-24/1797</t>
  </si>
  <si>
    <t>WF/23-24/S1798</t>
  </si>
  <si>
    <t>WF/23-24/S1796</t>
  </si>
  <si>
    <t>PD/23/1370</t>
  </si>
  <si>
    <t xml:space="preserve">SS/0438/23-24, </t>
  </si>
  <si>
    <t>12/RE/23-24</t>
  </si>
  <si>
    <t>UDYAM-MH-20-0120673</t>
  </si>
  <si>
    <t>Retro Therm Innovations India Pvt Ltd</t>
  </si>
  <si>
    <t>Advance given</t>
  </si>
  <si>
    <t>party</t>
  </si>
  <si>
    <t>01.04.2023</t>
  </si>
  <si>
    <t>Amount in Lakhs</t>
  </si>
  <si>
    <t>CASH FLOW STATEMENT FOR THE YEAR ENDED 31ST MARCH 2024</t>
  </si>
  <si>
    <t>STATEMENT OF UNAUDITIED STANDALONE FINANCIAL RESULTS FOR QUARTER ENDED 31ST MARCH 2024</t>
  </si>
  <si>
    <t>3) For the corporate loan of Rs 3 Cr : 
- Pledge of 5,38,805 shares held by the promoters of the company (Totalling to 20.01%). Detailed individual holding is as under :
Shri Kailash Agrawal : 1,42,000 Shares (Around 58.68%)
Shri Anil Kumar Lakhotiya : 1,42,000 Shares (Around 76.22%)
Shri Omprakash Rathi : 1,42,000 Shares (Around 53.11%)
Shri Jarnailsingh Saini : 1,12,805 Shares (Around 99.12%)
- Hypothecation of new captive power plant incorporated by the company.</t>
  </si>
  <si>
    <r>
      <t xml:space="preserve">4) Two Term Loans of ₹ 7.75 Crores and ₹ 1.40 Crores respectively. 
- </t>
    </r>
    <r>
      <rPr>
        <b/>
        <sz val="14"/>
        <rFont val="Calibri"/>
        <family val="2"/>
        <scheme val="minor"/>
      </rPr>
      <t>Term Loan of ₹ 7.75 Crores</t>
    </r>
    <r>
      <rPr>
        <sz val="14"/>
        <rFont val="Calibri"/>
        <family val="2"/>
        <scheme val="minor"/>
      </rPr>
      <t xml:space="preserve"> : The Principle Loan amount  to be repaid in 20 Equated instalments of ₹ 38.75 Lacs on Quarterly basis till March 2027. Entire loan amount has been disbursed.
- </t>
    </r>
    <r>
      <rPr>
        <b/>
        <sz val="14"/>
        <rFont val="Calibri"/>
        <family val="2"/>
        <scheme val="minor"/>
      </rPr>
      <t>Term Loan of ₹ 1.40 Crores</t>
    </r>
    <r>
      <rPr>
        <sz val="14"/>
        <rFont val="Calibri"/>
        <family val="2"/>
        <scheme val="minor"/>
      </rPr>
      <t xml:space="preserve"> : The Principle Loan amount  to be repaid in 20 Equated Instalments of ₹ 7 Lacs on Quarterly basis starting from April 2023 till January 2028. Of the total amount of loan, ₹ 1,01,84,018 has been disbursed till 31/03/2023. </t>
    </r>
  </si>
  <si>
    <t>5) Fresh Corporate loan of Rs 3 Cr was availed during the year. The principal amount is to be repaid in 18 quarterly installments starting from Quarter 1 of FY 2024-25. Out of the total sanctioned loan amount, Rs 2.90 Cr has been disbursed till 31/03/2024.</t>
  </si>
  <si>
    <t>No changes were made in the objectives, policies or processes for managing capital during the years ended 31 March 2024 and
31 March 2023.</t>
  </si>
  <si>
    <t xml:space="preserve">Reconciliation of Opening and Closing balance of the Present Value of the
defined benefit obligation </t>
  </si>
  <si>
    <t>31.03.2024</t>
  </si>
  <si>
    <t>Statement Of Assets &amp; Liabilities as on 31ST MARCH 2024</t>
  </si>
  <si>
    <t>March 31, 2024</t>
  </si>
  <si>
    <t>(a) CWIP ageing schedule as on March 31, 2024</t>
  </si>
  <si>
    <t>2024-25</t>
  </si>
  <si>
    <t>(b) CWIP ageing schedule as on March 31, 2023</t>
  </si>
  <si>
    <t>Loss on Discardment of F A</t>
  </si>
  <si>
    <t>Profit/(Loss) on Sale of Asset</t>
  </si>
  <si>
    <t>Loader</t>
  </si>
  <si>
    <t>Tractor</t>
  </si>
  <si>
    <t>Sale value of Loader</t>
  </si>
  <si>
    <t>Sale Value of Tractor</t>
  </si>
  <si>
    <t>A.Y.2024-25</t>
  </si>
  <si>
    <t>Date: 29/05/2024</t>
  </si>
  <si>
    <t xml:space="preserve">UDIN: </t>
  </si>
  <si>
    <t>Deferred Tax Assets for the year ended 31.03.23</t>
  </si>
  <si>
    <t xml:space="preserve">PSI Subsidy for FY 2023-24 is recognised in the books after the receipt of provisional sanction from office of District Industries Centre. </t>
  </si>
  <si>
    <t>Salary to Factory Admn Staff</t>
  </si>
  <si>
    <t>Salary to other Factory Staff</t>
  </si>
  <si>
    <t>Waste paper feeding charges</t>
  </si>
  <si>
    <t>Boiler Fireman Feeding Charges</t>
  </si>
  <si>
    <t>Director's Rmuneration</t>
  </si>
  <si>
    <t>Interest on Term Loan</t>
  </si>
  <si>
    <t>Interest on Unsecured Loans</t>
  </si>
  <si>
    <t>MSME Due date</t>
  </si>
  <si>
    <t>MSME Outstanding Days</t>
  </si>
  <si>
    <t>(1+r)</t>
  </si>
  <si>
    <t>n*t</t>
  </si>
  <si>
    <t>(1+r)/n</t>
  </si>
  <si>
    <t>(1+r)/n ^ n*t</t>
  </si>
  <si>
    <t>Interest as per MSMED</t>
  </si>
  <si>
    <t>n (Months)</t>
  </si>
  <si>
    <t>t (Years)</t>
  </si>
  <si>
    <t>Principal (Outstanding Amount)</t>
  </si>
  <si>
    <t>Current Year Tax Losses</t>
  </si>
  <si>
    <t>Previous Year Losses Brought Forward</t>
  </si>
  <si>
    <t>Deffered Tax Assets (Net)</t>
  </si>
  <si>
    <t>Deferred Tax (Asset) /Liabilities(Net)</t>
  </si>
  <si>
    <t>(Amount in Rs. Lakhs)</t>
  </si>
  <si>
    <t xml:space="preserve">Land </t>
  </si>
  <si>
    <t>Deferred tax assets</t>
  </si>
  <si>
    <t>1 ) The above results were reviewed by the Audit Committee and then approved by the Board at their respective meeting held on 29/05/2024.</t>
  </si>
  <si>
    <t>3) The results have been prepared in accordance with the Indian Accounting Standards (Ind AS) prescribed under section 133 of the Companies Act, 2013 and other recognised accounting practices and policies to the extent applicable.</t>
  </si>
  <si>
    <t>4) The Company is into manufacturing of Kraft Paper which is considered as the only reportable segment. The Company's operations are based in India.</t>
  </si>
  <si>
    <t>5) The figures for corresponding periods have been regrouped, wherever applicable, to make them comparable.</t>
  </si>
  <si>
    <t>6) The figures for the quarters ended 31st March 2024 and 31st March 2023 as reported in these financial results are the balancing figures between audited figures in respect of the full financial years and the published year to date figures end up to the end of the third quarter of the respective financial years.</t>
  </si>
  <si>
    <t>7) The Auditors of the Company have carried out "Limited Review" of the above financial results.</t>
  </si>
  <si>
    <t>2) The captive power plant has been capitalised on 08/01/2024 being the date on which commercial production was started using the newly installed power plant.</t>
  </si>
  <si>
    <t>The company was in the expansion phase during the financial year 2023-24. Due to this, the turnover drastically reduced, resulting into reduction in Inventories, Debtors and other current assets</t>
  </si>
  <si>
    <t>Increase in loss is atributable to the shutdown of plant for the trial run of the new machinery.</t>
  </si>
  <si>
    <t>Radhika Sales Corportation</t>
  </si>
  <si>
    <t>Radhika Sales Corporation</t>
  </si>
  <si>
    <t>UDIN: 24141902BKCZE8571</t>
  </si>
  <si>
    <t>Note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</si>
</sst>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3" formatCode="_ * #,##0.00_ ;_ * \-#,##0.00_ ;_ * &quot;-&quot;??_ ;_ @_ "/>
    <numFmt numFmtId="164" formatCode="_ * #,##0_ ;_ * \-#,##0_ ;_ * &quot;-&quot;??_ ;_ @_ "/>
    <numFmt numFmtId="165" formatCode="&quot;&quot;0.00"/>
    <numFmt numFmtId="166" formatCode="&quot;&quot;0"/>
    <numFmt numFmtId="167" formatCode="_(&quot;$&quot;* #,##0.00_);_(&quot;$&quot;* \(#,##0.00\);_(&quot;$&quot;* &quot;-&quot;??_);_(@_)"/>
    <numFmt numFmtId="168" formatCode="0.00;[Red]0.00"/>
    <numFmt numFmtId="169" formatCode="_(* #,##0_);_(* \(#,##0\);_(* &quot;-&quot;_);_(@_)"/>
    <numFmt numFmtId="170" formatCode="_(* #,##0.00_);_(* \(#,##0.00\);_(* &quot;-&quot;??_);_(@_)"/>
    <numFmt numFmtId="171" formatCode="_ * #,##0.0_ ;_ * \-#,##0.0_ ;_ * &quot;-&quot;??_ ;_ @_ "/>
    <numFmt numFmtId="172" formatCode="[$-409]d\-mmm\-yy;@"/>
    <numFmt numFmtId="173" formatCode="_(* #,##0_);_(* \(#,##0\);_(* &quot;-&quot;??_);_(@_)"/>
    <numFmt numFmtId="174" formatCode="_(* #,##0.000_);_(* \(#,##0.000\);_(* &quot;-&quot;??_);_(@_)"/>
    <numFmt numFmtId="175" formatCode="0.0"/>
    <numFmt numFmtId="176" formatCode="_ * #,##0.000_ ;_ * \-#,##0.000_ ;_ * &quot;-&quot;??_ ;_ @_ "/>
    <numFmt numFmtId="177" formatCode="_-* #,##0.00_-;\-* #,##0.00_-;_-* &quot;-&quot;??_-;_-@_-"/>
    <numFmt numFmtId="178" formatCode="0.00_ ;\-0.00\ "/>
    <numFmt numFmtId="179" formatCode="0.000%"/>
    <numFmt numFmtId="180" formatCode="_ * #,##0.0000_ ;_ * \-#,##0.0000_ ;_ * &quot;-&quot;??_ ;_ @_ "/>
    <numFmt numFmtId="181" formatCode="&quot;WORKINGS ON DEFERRED TAXATION AS ON &quot;[$-409]d\-mmm\-yy;@"/>
    <numFmt numFmtId="182" formatCode="0.0%"/>
    <numFmt numFmtId="183" formatCode="&quot;Deferred Tax Liability as on &quot;[$-409]d\-mmm\-yy;@"/>
    <numFmt numFmtId="184" formatCode="0.00000%"/>
    <numFmt numFmtId="185" formatCode="#,##0.000000;\-#,##0.000000"/>
    <numFmt numFmtId="186" formatCode="0_);\(0\)"/>
    <numFmt numFmtId="187" formatCode="_-* #,##0_-;\-* #,##0_-;_-* &quot;-&quot;??_-;_-@_-"/>
    <numFmt numFmtId="188" formatCode="_-* #,##0.00_-;\-* #,##0.00_-;_-* &quot;-&quot;_-;_-@_-"/>
    <numFmt numFmtId="189" formatCode="_(* #,##0.00_);_(* \(#,##0.00\);_(* &quot;-&quot;_);_(@_)"/>
    <numFmt numFmtId="190" formatCode="0;[Red]0"/>
    <numFmt numFmtId="191" formatCode="0\.00,"/>
    <numFmt numFmtId="192" formatCode="0\.00,\ "/>
    <numFmt numFmtId="193" formatCode="0&quot;,&quot;000\.00,"/>
    <numFmt numFmtId="194" formatCode="00\.00,"/>
  </numFmts>
  <fonts count="128">
    <font>
      <sz val="11"/>
      <color theme="1"/>
      <name val="Calibri"/>
      <family val="2"/>
      <scheme val="minor"/>
    </font>
    <font>
      <sz val="11"/>
      <color theme="1"/>
      <name val="Calibri"/>
      <family val="2"/>
      <scheme val="minor"/>
    </font>
    <font>
      <b/>
      <sz val="11"/>
      <color theme="1"/>
      <name val="Calibri"/>
      <family val="2"/>
      <scheme val="minor"/>
    </font>
    <font>
      <b/>
      <sz val="11"/>
      <name val="Bookman Old Style"/>
      <family val="1"/>
    </font>
    <font>
      <sz val="9"/>
      <color theme="1"/>
      <name val="Arial"/>
      <family val="2"/>
    </font>
    <font>
      <b/>
      <sz val="12"/>
      <color theme="1"/>
      <name val="Arial"/>
      <family val="2"/>
    </font>
    <font>
      <sz val="10"/>
      <color theme="1"/>
      <name val="Arial"/>
      <family val="2"/>
    </font>
    <font>
      <b/>
      <sz val="9"/>
      <color theme="1"/>
      <name val="Arial"/>
      <family val="2"/>
    </font>
    <font>
      <sz val="10"/>
      <name val="Arial"/>
      <family val="2"/>
    </font>
    <font>
      <b/>
      <sz val="14"/>
      <name val="Calibri"/>
      <family val="2"/>
      <scheme val="minor"/>
    </font>
    <font>
      <sz val="14"/>
      <name val="Calibri"/>
      <family val="2"/>
      <scheme val="minor"/>
    </font>
    <font>
      <b/>
      <u/>
      <sz val="14"/>
      <name val="Calibri"/>
      <family val="2"/>
      <scheme val="minor"/>
    </font>
    <font>
      <b/>
      <i/>
      <u/>
      <sz val="14"/>
      <name val="Calibri"/>
      <family val="2"/>
      <scheme val="minor"/>
    </font>
    <font>
      <i/>
      <sz val="14"/>
      <name val="Calibri"/>
      <family val="2"/>
      <scheme val="minor"/>
    </font>
    <font>
      <u/>
      <sz val="14"/>
      <name val="Calibri"/>
      <family val="2"/>
      <scheme val="minor"/>
    </font>
    <font>
      <sz val="10"/>
      <name val="Bookman Old Style"/>
      <family val="1"/>
    </font>
    <font>
      <b/>
      <u/>
      <sz val="11"/>
      <color theme="1"/>
      <name val="Calibri"/>
      <family val="2"/>
      <scheme val="minor"/>
    </font>
    <font>
      <u/>
      <sz val="11"/>
      <color theme="10"/>
      <name val="Calibri"/>
      <family val="2"/>
    </font>
    <font>
      <b/>
      <sz val="11"/>
      <name val="Calibri"/>
      <family val="2"/>
      <scheme val="minor"/>
    </font>
    <font>
      <sz val="12"/>
      <color theme="1"/>
      <name val="Calibri"/>
      <family val="2"/>
      <scheme val="minor"/>
    </font>
    <font>
      <b/>
      <u/>
      <sz val="12"/>
      <color theme="1"/>
      <name val="Calibri"/>
      <family val="2"/>
      <scheme val="minor"/>
    </font>
    <font>
      <b/>
      <sz val="12"/>
      <name val="Calibri"/>
      <family val="2"/>
      <scheme val="minor"/>
    </font>
    <font>
      <b/>
      <sz val="12"/>
      <color theme="1"/>
      <name val="Calibri"/>
      <family val="2"/>
      <scheme val="minor"/>
    </font>
    <font>
      <sz val="11"/>
      <color theme="1"/>
      <name val="Book Antiqua"/>
      <family val="2"/>
    </font>
    <font>
      <b/>
      <sz val="18"/>
      <color theme="1"/>
      <name val="Book Antiqua"/>
      <family val="1"/>
    </font>
    <font>
      <b/>
      <sz val="12"/>
      <color theme="1"/>
      <name val="Book Antiqua"/>
      <family val="1"/>
    </font>
    <font>
      <b/>
      <sz val="12"/>
      <color rgb="FFFF0000"/>
      <name val="Book Antiqua"/>
      <family val="1"/>
    </font>
    <font>
      <b/>
      <sz val="11"/>
      <color theme="1"/>
      <name val="Book Antiqua"/>
      <family val="1"/>
    </font>
    <font>
      <sz val="10"/>
      <color theme="1"/>
      <name val="Book Antiqua"/>
      <family val="2"/>
    </font>
    <font>
      <sz val="11"/>
      <color theme="1"/>
      <name val="Book Antiqua"/>
      <family val="1"/>
    </font>
    <font>
      <b/>
      <sz val="10"/>
      <color theme="1"/>
      <name val="Book Antiqua"/>
      <family val="2"/>
    </font>
    <font>
      <b/>
      <sz val="11"/>
      <color theme="1"/>
      <name val="Book Antiqua"/>
      <family val="2"/>
    </font>
    <font>
      <b/>
      <sz val="10"/>
      <color theme="1"/>
      <name val="Book Antiqua"/>
      <family val="1"/>
    </font>
    <font>
      <sz val="10"/>
      <color theme="1"/>
      <name val="Book Antiqua"/>
      <family val="1"/>
    </font>
    <font>
      <sz val="11"/>
      <name val="Book Antiqua"/>
      <family val="1"/>
    </font>
    <font>
      <sz val="11"/>
      <color rgb="FFFF0000"/>
      <name val="Book Antiqua"/>
      <family val="1"/>
    </font>
    <font>
      <sz val="10"/>
      <color rgb="FFFF0000"/>
      <name val="Book Antiqua"/>
      <family val="2"/>
    </font>
    <font>
      <b/>
      <sz val="11"/>
      <name val="Book Antiqua"/>
      <family val="1"/>
    </font>
    <font>
      <b/>
      <sz val="10"/>
      <color theme="0"/>
      <name val="Book Antiqua"/>
      <family val="1"/>
    </font>
    <font>
      <sz val="12"/>
      <color theme="1"/>
      <name val="Book Antiqua"/>
      <family val="1"/>
    </font>
    <font>
      <b/>
      <sz val="14"/>
      <color theme="1"/>
      <name val="Book Antiqua"/>
      <family val="1"/>
    </font>
    <font>
      <b/>
      <sz val="16"/>
      <color theme="1"/>
      <name val="Book Antiqua"/>
      <family val="1"/>
    </font>
    <font>
      <sz val="11"/>
      <color theme="0"/>
      <name val="Book Antiqua"/>
      <family val="2"/>
    </font>
    <font>
      <sz val="10"/>
      <color rgb="FF333333"/>
      <name val="Verdana"/>
      <family val="2"/>
    </font>
    <font>
      <sz val="11"/>
      <name val="Book Antiqua"/>
      <family val="2"/>
    </font>
    <font>
      <sz val="10"/>
      <color theme="0"/>
      <name val="Book Antiqua"/>
      <family val="2"/>
    </font>
    <font>
      <b/>
      <sz val="11"/>
      <color theme="0"/>
      <name val="Book Antiqua"/>
      <family val="2"/>
    </font>
    <font>
      <b/>
      <sz val="9"/>
      <color indexed="81"/>
      <name val="Tahoma"/>
      <family val="2"/>
    </font>
    <font>
      <sz val="9"/>
      <color indexed="81"/>
      <name val="Tahoma"/>
      <family val="2"/>
    </font>
    <font>
      <b/>
      <sz val="20"/>
      <color theme="1"/>
      <name val="Calibri"/>
      <family val="2"/>
      <scheme val="minor"/>
    </font>
    <font>
      <b/>
      <sz val="14"/>
      <color theme="1"/>
      <name val="Calibri"/>
      <family val="2"/>
      <scheme val="minor"/>
    </font>
    <font>
      <b/>
      <sz val="10"/>
      <name val="Calibri Light"/>
      <family val="1"/>
      <scheme val="major"/>
    </font>
    <font>
      <b/>
      <u/>
      <sz val="10"/>
      <name val="Calibri Light"/>
      <family val="1"/>
      <scheme val="major"/>
    </font>
    <font>
      <sz val="10"/>
      <name val="Calibri Light"/>
      <family val="1"/>
      <scheme val="major"/>
    </font>
    <font>
      <b/>
      <sz val="10"/>
      <color indexed="12"/>
      <name val="Calibri Light"/>
      <family val="1"/>
      <scheme val="major"/>
    </font>
    <font>
      <sz val="10"/>
      <color indexed="12"/>
      <name val="Calibri Light"/>
      <family val="1"/>
      <scheme val="major"/>
    </font>
    <font>
      <strike/>
      <sz val="11"/>
      <color theme="1"/>
      <name val="Calibri"/>
      <family val="2"/>
      <scheme val="minor"/>
    </font>
    <font>
      <sz val="11"/>
      <name val="Calibri"/>
      <family val="2"/>
      <scheme val="minor"/>
    </font>
    <font>
      <b/>
      <sz val="12"/>
      <name val="Bookman Old Style"/>
      <family val="1"/>
    </font>
    <font>
      <b/>
      <sz val="12"/>
      <color indexed="12"/>
      <name val="Bookman Old Style"/>
      <family val="1"/>
    </font>
    <font>
      <sz val="12"/>
      <color indexed="12"/>
      <name val="Bookman Old Style"/>
      <family val="1"/>
    </font>
    <font>
      <sz val="12"/>
      <name val="Bookman Old Style"/>
      <family val="1"/>
    </font>
    <font>
      <sz val="11"/>
      <color indexed="8"/>
      <name val="Calibri"/>
      <family val="2"/>
    </font>
    <font>
      <b/>
      <sz val="10"/>
      <color theme="1"/>
      <name val="Georgia"/>
      <family val="1"/>
    </font>
    <font>
      <sz val="10"/>
      <color theme="1"/>
      <name val="Georgia"/>
      <family val="1"/>
    </font>
    <font>
      <sz val="12"/>
      <color theme="1"/>
      <name val="Georgia"/>
      <family val="1"/>
    </font>
    <font>
      <b/>
      <sz val="12"/>
      <color theme="1"/>
      <name val="Georgia"/>
      <family val="1"/>
    </font>
    <font>
      <b/>
      <u/>
      <sz val="15"/>
      <color theme="1"/>
      <name val="Calibri"/>
      <family val="2"/>
      <scheme val="minor"/>
    </font>
    <font>
      <b/>
      <u val="singleAccounting"/>
      <sz val="11"/>
      <color theme="1"/>
      <name val="Calibri"/>
      <family val="2"/>
      <scheme val="minor"/>
    </font>
    <font>
      <sz val="10"/>
      <name val="Times New Roman"/>
      <family val="1"/>
    </font>
    <font>
      <u/>
      <sz val="11"/>
      <color theme="10"/>
      <name val="Book Antiqua"/>
      <family val="2"/>
    </font>
    <font>
      <b/>
      <sz val="11"/>
      <color indexed="12"/>
      <name val="Calibri"/>
      <family val="2"/>
      <scheme val="minor"/>
    </font>
    <font>
      <sz val="11"/>
      <color indexed="0"/>
      <name val="Calibri"/>
      <family val="2"/>
      <scheme val="minor"/>
    </font>
    <font>
      <b/>
      <sz val="11"/>
      <color indexed="0"/>
      <name val="Calibri"/>
      <family val="2"/>
      <scheme val="minor"/>
    </font>
    <font>
      <b/>
      <sz val="11"/>
      <color indexed="8"/>
      <name val="Calibri"/>
      <family val="2"/>
      <scheme val="minor"/>
    </font>
    <font>
      <sz val="11"/>
      <color rgb="FFC00000"/>
      <name val="Calibri"/>
      <family val="2"/>
      <scheme val="minor"/>
    </font>
    <font>
      <sz val="11"/>
      <color rgb="FFFF0000"/>
      <name val="Calibri"/>
      <family val="2"/>
      <scheme val="minor"/>
    </font>
    <font>
      <sz val="11"/>
      <color theme="2" tint="-0.249977111117893"/>
      <name val="Calibri"/>
      <family val="2"/>
      <scheme val="minor"/>
    </font>
    <font>
      <sz val="11"/>
      <color theme="0" tint="-0.499984740745262"/>
      <name val="Calibri"/>
      <family val="2"/>
      <scheme val="minor"/>
    </font>
    <font>
      <sz val="12"/>
      <name val="Calibri"/>
      <family val="2"/>
      <scheme val="minor"/>
    </font>
    <font>
      <b/>
      <u/>
      <sz val="11"/>
      <color theme="2" tint="-0.249977111117893"/>
      <name val="Calibri"/>
      <family val="2"/>
      <scheme val="minor"/>
    </font>
    <font>
      <b/>
      <sz val="12"/>
      <name val="Times New Roman"/>
      <family val="1"/>
    </font>
    <font>
      <sz val="12"/>
      <name val="Times New Roman"/>
      <family val="1"/>
    </font>
    <font>
      <i/>
      <sz val="12"/>
      <name val="Times New Roman"/>
      <family val="1"/>
    </font>
    <font>
      <sz val="12"/>
      <color indexed="8"/>
      <name val="Times New Roman"/>
      <family val="1"/>
    </font>
    <font>
      <sz val="12"/>
      <color rgb="FFFF0000"/>
      <name val="Times New Roman"/>
      <family val="1"/>
    </font>
    <font>
      <b/>
      <sz val="10"/>
      <name val="Times New Roman"/>
      <family val="1"/>
    </font>
    <font>
      <b/>
      <sz val="14"/>
      <name val="Times New Roman"/>
      <family val="1"/>
    </font>
    <font>
      <b/>
      <sz val="12"/>
      <name val="Arial"/>
      <family val="2"/>
    </font>
    <font>
      <sz val="12"/>
      <name val="Arial"/>
      <family val="2"/>
    </font>
    <font>
      <sz val="10"/>
      <name val="Courier"/>
      <family val="3"/>
    </font>
    <font>
      <b/>
      <sz val="14"/>
      <name val="Georgia"/>
      <family val="1"/>
    </font>
    <font>
      <sz val="10"/>
      <name val="Georgia"/>
      <family val="1"/>
    </font>
    <font>
      <b/>
      <sz val="10"/>
      <name val="Georgia"/>
      <family val="1"/>
    </font>
    <font>
      <sz val="12"/>
      <color theme="1"/>
      <name val="Bookman Old Style"/>
      <family val="1"/>
    </font>
    <font>
      <b/>
      <sz val="12"/>
      <color theme="1"/>
      <name val="Bookman Old Style"/>
      <family val="1"/>
    </font>
    <font>
      <b/>
      <i/>
      <u/>
      <sz val="10"/>
      <name val="Georgia"/>
      <family val="1"/>
    </font>
    <font>
      <b/>
      <sz val="10"/>
      <color indexed="12"/>
      <name val="Georgia"/>
      <family val="1"/>
    </font>
    <font>
      <sz val="10"/>
      <color rgb="FFFF0000"/>
      <name val="Georgia"/>
      <family val="1"/>
    </font>
    <font>
      <b/>
      <sz val="10"/>
      <color indexed="10"/>
      <name val="Georgia"/>
      <family val="1"/>
    </font>
    <font>
      <sz val="10"/>
      <color indexed="10"/>
      <name val="Georgia"/>
      <family val="1"/>
    </font>
    <font>
      <sz val="12"/>
      <color theme="1"/>
      <name val="Arial"/>
      <family val="2"/>
    </font>
    <font>
      <sz val="14"/>
      <color rgb="FFFF0000"/>
      <name val="Calibri"/>
      <family val="2"/>
      <scheme val="minor"/>
    </font>
    <font>
      <b/>
      <sz val="16"/>
      <name val="Calibri"/>
      <family val="2"/>
      <scheme val="minor"/>
    </font>
    <font>
      <sz val="11"/>
      <color theme="1"/>
      <name val="Rupee"/>
    </font>
    <font>
      <sz val="11"/>
      <color theme="1"/>
      <name val="Calibri"/>
      <family val="2"/>
    </font>
    <font>
      <sz val="11"/>
      <color theme="0"/>
      <name val="Calibri"/>
      <family val="2"/>
      <scheme val="minor"/>
    </font>
    <font>
      <sz val="14"/>
      <color theme="1"/>
      <name val="Calibri"/>
      <family val="2"/>
      <scheme val="minor"/>
    </font>
    <font>
      <b/>
      <sz val="16"/>
      <color theme="1"/>
      <name val="Calibri"/>
      <family val="2"/>
      <scheme val="minor"/>
    </font>
    <font>
      <b/>
      <sz val="10"/>
      <name val="Calibri"/>
      <family val="2"/>
      <scheme val="minor"/>
    </font>
    <font>
      <sz val="10"/>
      <name val="Calibri"/>
      <family val="2"/>
      <scheme val="minor"/>
    </font>
    <font>
      <u/>
      <sz val="10"/>
      <name val="Calibri"/>
      <family val="2"/>
      <scheme val="minor"/>
    </font>
    <font>
      <u/>
      <sz val="10"/>
      <color indexed="12"/>
      <name val="Arial"/>
      <family val="2"/>
    </font>
    <font>
      <b/>
      <sz val="11"/>
      <color indexed="12"/>
      <name val="Bookman Old Style"/>
      <family val="1"/>
    </font>
    <font>
      <sz val="12"/>
      <color rgb="FFFF0000"/>
      <name val="Bookman Old Style"/>
      <family val="1"/>
    </font>
    <font>
      <b/>
      <sz val="11"/>
      <color rgb="FFC00000"/>
      <name val="Calibri"/>
      <family val="2"/>
      <scheme val="minor"/>
    </font>
    <font>
      <b/>
      <sz val="12"/>
      <name val="Georgia"/>
      <family val="1"/>
    </font>
    <font>
      <b/>
      <sz val="11"/>
      <name val="Georgia"/>
      <family val="1"/>
    </font>
    <font>
      <b/>
      <u val="singleAccounting"/>
      <sz val="14"/>
      <name val="Georgia"/>
      <family val="1"/>
    </font>
    <font>
      <b/>
      <sz val="12"/>
      <color theme="2" tint="-0.249977111117893"/>
      <name val="Times New Roman"/>
      <family val="1"/>
    </font>
    <font>
      <sz val="12"/>
      <color theme="2" tint="-0.249977111117893"/>
      <name val="Times New Roman"/>
      <family val="1"/>
    </font>
    <font>
      <u/>
      <sz val="11"/>
      <color theme="2" tint="-0.249977111117893"/>
      <name val="Calibri"/>
      <family val="2"/>
      <scheme val="minor"/>
    </font>
    <font>
      <b/>
      <sz val="11"/>
      <color theme="2" tint="-0.249977111117893"/>
      <name val="Calibri"/>
      <family val="2"/>
      <scheme val="minor"/>
    </font>
    <font>
      <sz val="15"/>
      <color theme="2" tint="-0.249977111117893"/>
      <name val="Calibri"/>
      <family val="2"/>
      <scheme val="minor"/>
    </font>
    <font>
      <b/>
      <sz val="15"/>
      <color theme="2" tint="-0.249977111117893"/>
      <name val="Calibri"/>
      <family val="2"/>
      <scheme val="minor"/>
    </font>
    <font>
      <b/>
      <u/>
      <sz val="12"/>
      <color theme="2" tint="-0.249977111117893"/>
      <name val="Times New Roman"/>
      <family val="1"/>
    </font>
    <font>
      <sz val="10"/>
      <color theme="2" tint="-0.249977111117893"/>
      <name val="Times New Roman"/>
      <family val="1"/>
    </font>
    <font>
      <b/>
      <sz val="10"/>
      <color theme="2" tint="-0.249977111117893"/>
      <name val="Times New Roman"/>
      <family val="1"/>
    </font>
  </fonts>
  <fills count="14">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theme="0" tint="-0.499984740745262"/>
        <bgColor indexed="64"/>
      </patternFill>
    </fill>
    <fill>
      <patternFill patternType="solid">
        <fgColor theme="4"/>
      </patternFill>
    </fill>
    <fill>
      <patternFill patternType="solid">
        <fgColor theme="5" tint="0.39997558519241921"/>
        <bgColor indexed="64"/>
      </patternFill>
    </fill>
    <fill>
      <patternFill patternType="solid">
        <fgColor rgb="FF92D050"/>
        <bgColor indexed="64"/>
      </patternFill>
    </fill>
    <fill>
      <patternFill patternType="solid">
        <fgColor theme="2" tint="-0.499984740745262"/>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39"/>
      </left>
      <right style="thin">
        <color indexed="39"/>
      </right>
      <top style="thin">
        <color indexed="39"/>
      </top>
      <bottom style="thin">
        <color indexed="39"/>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auto="1"/>
      </top>
      <bottom style="thin">
        <color auto="1"/>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right style="medium">
        <color indexed="64"/>
      </right>
      <top style="thin">
        <color auto="1"/>
      </top>
      <bottom style="medium">
        <color indexed="64"/>
      </bottom>
      <diagonal/>
    </border>
    <border>
      <left/>
      <right style="thin">
        <color indexed="64"/>
      </right>
      <top/>
      <bottom style="medium">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43">
    <xf numFmtId="0" fontId="0" fillId="0" borderId="0"/>
    <xf numFmtId="43"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4" fontId="8" fillId="0" borderId="0"/>
    <xf numFmtId="9" fontId="15" fillId="0" borderId="0" applyFont="0" applyFill="0" applyBorder="0" applyAlignment="0" applyProtection="0"/>
    <xf numFmtId="164" fontId="8" fillId="0" borderId="0"/>
    <xf numFmtId="0" fontId="17" fillId="0" borderId="0" applyNumberFormat="0" applyFill="0" applyBorder="0" applyAlignment="0" applyProtection="0">
      <alignment vertical="top"/>
      <protection locked="0"/>
    </xf>
    <xf numFmtId="170" fontId="1" fillId="0" borderId="0" applyFont="0" applyFill="0" applyBorder="0" applyAlignment="0" applyProtection="0"/>
    <xf numFmtId="170" fontId="23" fillId="0" borderId="0" applyFont="0" applyFill="0" applyBorder="0" applyAlignment="0" applyProtection="0"/>
    <xf numFmtId="0" fontId="23" fillId="0" borderId="0"/>
    <xf numFmtId="0" fontId="8" fillId="0" borderId="0"/>
    <xf numFmtId="164" fontId="8" fillId="0" borderId="0"/>
    <xf numFmtId="175" fontId="8" fillId="0" borderId="0" applyFont="0" applyFill="0" applyBorder="0" applyAlignment="0" applyProtection="0"/>
    <xf numFmtId="164" fontId="8" fillId="0" borderId="0"/>
    <xf numFmtId="177" fontId="1" fillId="0" borderId="0" applyFont="0" applyFill="0" applyBorder="0" applyAlignment="0" applyProtection="0"/>
    <xf numFmtId="164" fontId="8" fillId="0" borderId="0"/>
    <xf numFmtId="175" fontId="8" fillId="0" borderId="0" applyFont="0" applyFill="0" applyBorder="0" applyAlignment="0" applyProtection="0"/>
    <xf numFmtId="43" fontId="62" fillId="0" borderId="0" applyFont="0" applyFill="0" applyBorder="0" applyAlignment="0" applyProtection="0"/>
    <xf numFmtId="0" fontId="69" fillId="0" borderId="0"/>
    <xf numFmtId="175" fontId="8" fillId="0" borderId="0" applyFont="0" applyFill="0" applyBorder="0" applyAlignment="0" applyProtection="0"/>
    <xf numFmtId="164" fontId="8" fillId="0" borderId="0"/>
    <xf numFmtId="0" fontId="70" fillId="0" borderId="0" applyNumberFormat="0" applyFill="0" applyBorder="0" applyAlignment="0" applyProtection="0"/>
    <xf numFmtId="170" fontId="8" fillId="0" borderId="0" applyFont="0" applyFill="0" applyBorder="0" applyAlignment="0" applyProtection="0"/>
    <xf numFmtId="0" fontId="8" fillId="0" borderId="0"/>
    <xf numFmtId="0" fontId="8" fillId="0" borderId="0"/>
    <xf numFmtId="164" fontId="8" fillId="0" borderId="0"/>
    <xf numFmtId="175" fontId="8" fillId="0" borderId="0" applyFont="0" applyFill="0" applyBorder="0" applyAlignment="0" applyProtection="0"/>
    <xf numFmtId="170" fontId="8" fillId="0" borderId="0" applyFont="0" applyFill="0" applyBorder="0" applyAlignment="0" applyProtection="0"/>
    <xf numFmtId="186" fontId="8" fillId="0" borderId="0"/>
    <xf numFmtId="186" fontId="8" fillId="0" borderId="0"/>
    <xf numFmtId="177" fontId="8" fillId="0" borderId="0" applyFont="0" applyFill="0" applyBorder="0" applyAlignment="0" applyProtection="0"/>
    <xf numFmtId="0" fontId="90" fillId="0" borderId="0"/>
    <xf numFmtId="170" fontId="8" fillId="0" borderId="0" applyFont="0" applyFill="0" applyBorder="0" applyAlignment="0" applyProtection="0"/>
    <xf numFmtId="170" fontId="8" fillId="0" borderId="0" applyFont="0" applyFill="0" applyBorder="0" applyAlignment="0" applyProtection="0"/>
    <xf numFmtId="164" fontId="8" fillId="0" borderId="0"/>
    <xf numFmtId="0" fontId="106" fillId="10" borderId="0" applyNumberFormat="0" applyBorder="0" applyAlignment="0" applyProtection="0"/>
    <xf numFmtId="0" fontId="8" fillId="0" borderId="0"/>
    <xf numFmtId="0" fontId="8" fillId="0" borderId="0"/>
    <xf numFmtId="0" fontId="112"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177" fontId="1" fillId="0" borderId="0" applyFont="0" applyFill="0" applyBorder="0" applyAlignment="0" applyProtection="0"/>
  </cellStyleXfs>
  <cellXfs count="2997">
    <xf numFmtId="0" fontId="0" fillId="0" borderId="0" xfId="0"/>
    <xf numFmtId="43" fontId="0" fillId="0" borderId="0" xfId="1" applyFont="1"/>
    <xf numFmtId="43" fontId="2" fillId="0" borderId="0" xfId="1" applyFont="1"/>
    <xf numFmtId="43" fontId="0" fillId="0" borderId="0" xfId="0" applyNumberFormat="1"/>
    <xf numFmtId="0" fontId="0" fillId="0" borderId="0" xfId="0" pivotButton="1"/>
    <xf numFmtId="168" fontId="10" fillId="0" borderId="4" xfId="4" applyNumberFormat="1" applyFont="1" applyBorder="1"/>
    <xf numFmtId="164" fontId="9" fillId="0" borderId="13" xfId="1" applyNumberFormat="1" applyFont="1" applyFill="1" applyBorder="1" applyAlignment="1">
      <alignment horizontal="center"/>
    </xf>
    <xf numFmtId="164" fontId="10" fillId="0" borderId="14" xfId="1" applyNumberFormat="1" applyFont="1" applyFill="1" applyBorder="1" applyAlignment="1">
      <alignment vertical="center" wrapText="1"/>
    </xf>
    <xf numFmtId="164" fontId="10" fillId="0" borderId="14" xfId="1" applyNumberFormat="1" applyFont="1" applyFill="1" applyBorder="1" applyAlignment="1">
      <alignment horizontal="center"/>
    </xf>
    <xf numFmtId="1" fontId="9" fillId="0" borderId="14" xfId="4" applyNumberFormat="1" applyFont="1" applyBorder="1" applyAlignment="1">
      <alignment horizontal="center"/>
    </xf>
    <xf numFmtId="164" fontId="9" fillId="0" borderId="14" xfId="1" applyNumberFormat="1" applyFont="1" applyFill="1" applyBorder="1" applyAlignment="1">
      <alignment horizontal="center"/>
    </xf>
    <xf numFmtId="164" fontId="10" fillId="0" borderId="14" xfId="1" applyNumberFormat="1" applyFont="1" applyFill="1" applyBorder="1" applyAlignment="1">
      <alignment horizontal="right"/>
    </xf>
    <xf numFmtId="164" fontId="9" fillId="0" borderId="1" xfId="1" applyNumberFormat="1" applyFont="1" applyFill="1" applyBorder="1" applyAlignment="1">
      <alignment horizontal="right"/>
    </xf>
    <xf numFmtId="164" fontId="9" fillId="0" borderId="14" xfId="1" applyNumberFormat="1" applyFont="1" applyFill="1" applyBorder="1" applyAlignment="1">
      <alignment horizontal="right"/>
    </xf>
    <xf numFmtId="168" fontId="10" fillId="0" borderId="10" xfId="4" applyNumberFormat="1" applyFont="1" applyBorder="1"/>
    <xf numFmtId="164" fontId="9" fillId="0" borderId="10" xfId="1" applyNumberFormat="1" applyFont="1" applyFill="1" applyBorder="1" applyAlignment="1">
      <alignment horizontal="center"/>
    </xf>
    <xf numFmtId="164" fontId="9" fillId="0" borderId="15" xfId="1" applyNumberFormat="1" applyFont="1" applyFill="1" applyBorder="1" applyAlignment="1">
      <alignment vertical="center"/>
    </xf>
    <xf numFmtId="164" fontId="9" fillId="0" borderId="16" xfId="1" applyNumberFormat="1" applyFont="1" applyFill="1" applyBorder="1" applyAlignment="1">
      <alignment vertical="center"/>
    </xf>
    <xf numFmtId="164" fontId="10" fillId="0" borderId="13" xfId="1" applyNumberFormat="1" applyFont="1" applyFill="1" applyBorder="1" applyAlignment="1">
      <alignment horizontal="center" vertical="center" wrapText="1"/>
    </xf>
    <xf numFmtId="164" fontId="10" fillId="0" borderId="0" xfId="1" applyNumberFormat="1" applyFont="1" applyFill="1" applyBorder="1" applyAlignment="1">
      <alignment horizontal="center" vertical="center" wrapText="1"/>
    </xf>
    <xf numFmtId="164" fontId="10" fillId="0" borderId="0" xfId="1" applyNumberFormat="1" applyFont="1" applyFill="1" applyBorder="1" applyAlignment="1">
      <alignment vertical="center" wrapText="1"/>
    </xf>
    <xf numFmtId="164" fontId="10" fillId="0" borderId="0" xfId="1" applyNumberFormat="1" applyFont="1" applyFill="1" applyBorder="1" applyAlignment="1"/>
    <xf numFmtId="164" fontId="10" fillId="0" borderId="10" xfId="1" applyNumberFormat="1" applyFont="1" applyFill="1" applyBorder="1" applyAlignment="1"/>
    <xf numFmtId="164" fontId="9" fillId="0" borderId="0" xfId="1" applyNumberFormat="1" applyFont="1" applyFill="1" applyBorder="1" applyAlignment="1">
      <alignment horizontal="left"/>
    </xf>
    <xf numFmtId="9" fontId="10" fillId="0" borderId="0" xfId="3" applyFont="1" applyFill="1" applyBorder="1" applyAlignment="1"/>
    <xf numFmtId="9" fontId="9" fillId="0" borderId="0" xfId="3" applyFont="1" applyFill="1" applyBorder="1" applyAlignment="1"/>
    <xf numFmtId="164" fontId="9" fillId="0" borderId="0" xfId="1" applyNumberFormat="1" applyFont="1" applyFill="1" applyBorder="1" applyAlignment="1"/>
    <xf numFmtId="164" fontId="10" fillId="0" borderId="0" xfId="1" applyNumberFormat="1" applyFont="1" applyFill="1" applyBorder="1" applyAlignment="1">
      <alignment horizontal="left"/>
    </xf>
    <xf numFmtId="1" fontId="10" fillId="0" borderId="4" xfId="4" applyNumberFormat="1" applyFont="1" applyBorder="1"/>
    <xf numFmtId="168" fontId="10" fillId="0" borderId="17" xfId="4" applyNumberFormat="1" applyFont="1" applyBorder="1"/>
    <xf numFmtId="164" fontId="9" fillId="0" borderId="13" xfId="1" applyNumberFormat="1" applyFont="1" applyFill="1" applyBorder="1" applyAlignment="1">
      <alignment horizontal="center" vertical="center" wrapText="1"/>
    </xf>
    <xf numFmtId="164" fontId="10" fillId="0" borderId="11" xfId="1" applyNumberFormat="1" applyFont="1" applyFill="1" applyBorder="1" applyAlignment="1">
      <alignment horizontal="right"/>
    </xf>
    <xf numFmtId="164" fontId="9" fillId="0" borderId="1" xfId="1" applyNumberFormat="1" applyFont="1" applyFill="1" applyBorder="1" applyAlignment="1">
      <alignment vertical="center" wrapText="1"/>
    </xf>
    <xf numFmtId="164" fontId="10" fillId="0" borderId="7" xfId="1" applyNumberFormat="1" applyFont="1" applyFill="1" applyBorder="1" applyAlignment="1">
      <alignment vertical="center" wrapText="1"/>
    </xf>
    <xf numFmtId="164" fontId="9" fillId="0" borderId="13" xfId="1" applyNumberFormat="1" applyFont="1" applyFill="1" applyBorder="1" applyAlignment="1">
      <alignment vertical="center" wrapText="1"/>
    </xf>
    <xf numFmtId="43" fontId="10" fillId="0" borderId="7" xfId="1" applyFont="1" applyFill="1" applyBorder="1" applyAlignment="1">
      <alignment vertical="center" wrapText="1"/>
    </xf>
    <xf numFmtId="164" fontId="10" fillId="0" borderId="7" xfId="1" applyNumberFormat="1" applyFont="1" applyFill="1" applyBorder="1" applyAlignment="1">
      <alignment horizontal="center"/>
    </xf>
    <xf numFmtId="164" fontId="10" fillId="0" borderId="7" xfId="1" applyNumberFormat="1" applyFont="1" applyFill="1" applyBorder="1" applyAlignment="1">
      <alignment horizontal="right"/>
    </xf>
    <xf numFmtId="164" fontId="9" fillId="0" borderId="19" xfId="1" applyNumberFormat="1" applyFont="1" applyFill="1" applyBorder="1" applyAlignment="1">
      <alignment vertical="center" wrapText="1"/>
    </xf>
    <xf numFmtId="164" fontId="9" fillId="0" borderId="16" xfId="1" applyNumberFormat="1" applyFont="1" applyFill="1" applyBorder="1" applyAlignment="1">
      <alignment vertical="center" wrapText="1"/>
    </xf>
    <xf numFmtId="164" fontId="9" fillId="0" borderId="7" xfId="1" applyNumberFormat="1" applyFont="1" applyFill="1" applyBorder="1" applyAlignment="1">
      <alignment horizontal="center"/>
    </xf>
    <xf numFmtId="164" fontId="10" fillId="0" borderId="13" xfId="1" applyNumberFormat="1" applyFont="1" applyFill="1" applyBorder="1" applyAlignment="1">
      <alignment vertical="center" wrapText="1"/>
    </xf>
    <xf numFmtId="43" fontId="10" fillId="0" borderId="7" xfId="1" applyFont="1" applyFill="1" applyBorder="1" applyAlignment="1">
      <alignment horizontal="right"/>
    </xf>
    <xf numFmtId="164" fontId="10" fillId="0" borderId="12" xfId="1" applyNumberFormat="1" applyFont="1" applyFill="1" applyBorder="1" applyAlignment="1">
      <alignment horizontal="center" vertical="center" wrapText="1"/>
    </xf>
    <xf numFmtId="9" fontId="10" fillId="0" borderId="4" xfId="3" applyFont="1" applyFill="1" applyBorder="1" applyAlignment="1"/>
    <xf numFmtId="1" fontId="9" fillId="0" borderId="4" xfId="4" applyNumberFormat="1" applyFont="1" applyBorder="1"/>
    <xf numFmtId="164" fontId="12" fillId="0" borderId="14" xfId="1" applyNumberFormat="1" applyFont="1" applyFill="1" applyBorder="1" applyAlignment="1"/>
    <xf numFmtId="164" fontId="10" fillId="0" borderId="14" xfId="1" applyNumberFormat="1" applyFont="1" applyFill="1" applyBorder="1"/>
    <xf numFmtId="164" fontId="10" fillId="0" borderId="14" xfId="1" applyNumberFormat="1" applyFont="1" applyFill="1" applyBorder="1" applyAlignment="1"/>
    <xf numFmtId="164" fontId="9" fillId="0" borderId="16" xfId="1" applyNumberFormat="1" applyFont="1" applyFill="1" applyBorder="1"/>
    <xf numFmtId="164" fontId="10" fillId="0" borderId="7" xfId="1" applyNumberFormat="1" applyFont="1" applyFill="1" applyBorder="1"/>
    <xf numFmtId="164" fontId="10" fillId="0" borderId="13" xfId="1" applyNumberFormat="1" applyFont="1" applyFill="1" applyBorder="1"/>
    <xf numFmtId="164" fontId="9" fillId="0" borderId="14" xfId="1" applyNumberFormat="1" applyFont="1" applyFill="1" applyBorder="1"/>
    <xf numFmtId="0" fontId="10" fillId="0" borderId="4" xfId="0" applyFont="1" applyBorder="1"/>
    <xf numFmtId="164" fontId="10" fillId="0" borderId="0" xfId="1" applyNumberFormat="1" applyFont="1" applyFill="1" applyBorder="1" applyAlignment="1">
      <alignment horizontal="justify" vertical="top" wrapText="1"/>
    </xf>
    <xf numFmtId="164" fontId="9" fillId="0" borderId="14" xfId="1" applyNumberFormat="1" applyFont="1" applyFill="1" applyBorder="1" applyAlignment="1">
      <alignment horizontal="center" vertical="center" wrapText="1"/>
    </xf>
    <xf numFmtId="9" fontId="9" fillId="0" borderId="0" xfId="3" applyFont="1" applyFill="1" applyBorder="1" applyAlignment="1">
      <alignment horizontal="left"/>
    </xf>
    <xf numFmtId="164" fontId="10" fillId="0" borderId="14" xfId="1" applyNumberFormat="1" applyFont="1" applyFill="1" applyBorder="1" applyAlignment="1">
      <alignment horizontal="justify" vertical="top" wrapText="1"/>
    </xf>
    <xf numFmtId="164" fontId="10" fillId="0" borderId="14" xfId="1" applyNumberFormat="1" applyFont="1" applyFill="1" applyBorder="1" applyAlignment="1">
      <alignment horizontal="right" vertical="top" wrapText="1"/>
    </xf>
    <xf numFmtId="164" fontId="10" fillId="0" borderId="7" xfId="1" applyNumberFormat="1" applyFont="1" applyFill="1" applyBorder="1" applyAlignment="1"/>
    <xf numFmtId="164" fontId="9" fillId="0" borderId="16" xfId="1" applyNumberFormat="1" applyFont="1" applyFill="1" applyBorder="1" applyAlignment="1">
      <alignment horizontal="right"/>
    </xf>
    <xf numFmtId="2" fontId="9" fillId="0" borderId="0" xfId="3" applyNumberFormat="1" applyFont="1" applyFill="1" applyBorder="1" applyAlignment="1"/>
    <xf numFmtId="164" fontId="10" fillId="0" borderId="7" xfId="1" applyNumberFormat="1" applyFont="1" applyFill="1" applyBorder="1" applyAlignment="1">
      <alignment horizontal="right" vertical="top" wrapText="1"/>
    </xf>
    <xf numFmtId="43" fontId="10" fillId="0" borderId="0" xfId="1" applyFont="1" applyFill="1" applyBorder="1" applyAlignment="1"/>
    <xf numFmtId="164" fontId="10" fillId="0" borderId="14" xfId="1" applyNumberFormat="1" applyFont="1" applyFill="1" applyBorder="1" applyAlignment="1">
      <alignment horizontal="left" vertical="top" wrapText="1"/>
    </xf>
    <xf numFmtId="164" fontId="9" fillId="0" borderId="7" xfId="1" applyNumberFormat="1" applyFont="1" applyFill="1" applyBorder="1" applyAlignment="1">
      <alignment horizontal="right"/>
    </xf>
    <xf numFmtId="164" fontId="10" fillId="0" borderId="13" xfId="1" applyNumberFormat="1" applyFont="1" applyFill="1" applyBorder="1" applyAlignment="1"/>
    <xf numFmtId="164" fontId="9" fillId="0" borderId="7" xfId="1" applyNumberFormat="1" applyFont="1" applyFill="1" applyBorder="1" applyAlignment="1">
      <alignment horizontal="justify" vertical="top" wrapText="1"/>
    </xf>
    <xf numFmtId="164" fontId="9" fillId="0" borderId="7" xfId="1" applyNumberFormat="1" applyFont="1" applyFill="1" applyBorder="1" applyAlignment="1"/>
    <xf numFmtId="164" fontId="9" fillId="0" borderId="14" xfId="1" applyNumberFormat="1" applyFont="1" applyFill="1" applyBorder="1" applyAlignment="1"/>
    <xf numFmtId="9" fontId="9" fillId="0" borderId="4" xfId="3" applyFont="1" applyFill="1" applyBorder="1" applyAlignment="1">
      <alignment horizontal="left"/>
    </xf>
    <xf numFmtId="2" fontId="11" fillId="0" borderId="0" xfId="3" applyNumberFormat="1" applyFont="1" applyFill="1" applyBorder="1" applyAlignment="1"/>
    <xf numFmtId="164" fontId="10" fillId="0" borderId="13" xfId="1" applyNumberFormat="1" applyFont="1" applyFill="1" applyBorder="1" applyAlignment="1">
      <alignment horizontal="right"/>
    </xf>
    <xf numFmtId="164" fontId="10" fillId="0" borderId="14" xfId="1" applyNumberFormat="1" applyFont="1" applyFill="1" applyBorder="1" applyAlignment="1">
      <alignment horizontal="left" wrapText="1"/>
    </xf>
    <xf numFmtId="164" fontId="9" fillId="0" borderId="14" xfId="1" applyNumberFormat="1" applyFont="1" applyFill="1" applyBorder="1" applyAlignment="1">
      <alignment horizontal="left" vertical="top" wrapText="1"/>
    </xf>
    <xf numFmtId="2" fontId="9" fillId="0" borderId="0" xfId="3" applyNumberFormat="1" applyFont="1" applyFill="1" applyBorder="1" applyAlignment="1">
      <alignment vertical="top" wrapText="1"/>
    </xf>
    <xf numFmtId="164" fontId="9" fillId="0" borderId="0" xfId="1" applyNumberFormat="1" applyFont="1" applyFill="1" applyBorder="1" applyAlignment="1">
      <alignment horizontal="justify" vertical="top" wrapText="1"/>
    </xf>
    <xf numFmtId="164" fontId="9" fillId="0" borderId="0" xfId="1" applyNumberFormat="1" applyFont="1" applyFill="1" applyBorder="1" applyAlignment="1">
      <alignment horizontal="left" vertical="top" wrapText="1"/>
    </xf>
    <xf numFmtId="2" fontId="10" fillId="0" borderId="0" xfId="3" applyNumberFormat="1" applyFont="1" applyFill="1" applyBorder="1" applyAlignment="1">
      <alignment vertical="top" wrapText="1"/>
    </xf>
    <xf numFmtId="164" fontId="9" fillId="0" borderId="4" xfId="1" applyNumberFormat="1" applyFont="1" applyFill="1" applyBorder="1" applyAlignment="1"/>
    <xf numFmtId="164" fontId="9" fillId="0" borderId="10" xfId="1" applyNumberFormat="1" applyFont="1" applyFill="1" applyBorder="1" applyAlignment="1">
      <alignment horizontal="right"/>
    </xf>
    <xf numFmtId="169" fontId="10" fillId="0" borderId="0" xfId="3" applyNumberFormat="1" applyFont="1" applyFill="1" applyBorder="1" applyAlignment="1"/>
    <xf numFmtId="171" fontId="10" fillId="0" borderId="0" xfId="1" applyNumberFormat="1" applyFont="1" applyFill="1" applyBorder="1" applyAlignment="1"/>
    <xf numFmtId="1" fontId="10" fillId="0" borderId="17" xfId="4" applyNumberFormat="1" applyFont="1" applyBorder="1"/>
    <xf numFmtId="164" fontId="10" fillId="0" borderId="0" xfId="3" applyNumberFormat="1" applyFont="1" applyFill="1" applyBorder="1" applyAlignment="1"/>
    <xf numFmtId="9" fontId="10" fillId="0" borderId="0" xfId="3" applyFont="1" applyFill="1" applyBorder="1" applyAlignment="1">
      <alignment horizontal="left"/>
    </xf>
    <xf numFmtId="164" fontId="10" fillId="0" borderId="10" xfId="1" applyNumberFormat="1" applyFont="1" applyFill="1" applyBorder="1" applyAlignment="1">
      <alignment horizontal="right"/>
    </xf>
    <xf numFmtId="0" fontId="9" fillId="0" borderId="10" xfId="0" applyFont="1" applyBorder="1" applyAlignment="1">
      <alignment horizontal="right"/>
    </xf>
    <xf numFmtId="164" fontId="9" fillId="0" borderId="1" xfId="1" applyNumberFormat="1" applyFont="1" applyFill="1" applyBorder="1" applyAlignment="1">
      <alignment horizontal="center"/>
    </xf>
    <xf numFmtId="164" fontId="9" fillId="0" borderId="16" xfId="1" applyNumberFormat="1" applyFont="1" applyFill="1" applyBorder="1" applyAlignment="1">
      <alignment horizontal="center"/>
    </xf>
    <xf numFmtId="170" fontId="9" fillId="0" borderId="10" xfId="1" applyNumberFormat="1" applyFont="1" applyFill="1" applyBorder="1" applyAlignment="1">
      <alignment horizontal="center"/>
    </xf>
    <xf numFmtId="43" fontId="10" fillId="0" borderId="14" xfId="1" applyFont="1" applyFill="1" applyBorder="1" applyAlignment="1">
      <alignment horizontal="center"/>
    </xf>
    <xf numFmtId="43" fontId="9" fillId="0" borderId="10" xfId="1" applyFont="1" applyFill="1" applyBorder="1" applyAlignment="1">
      <alignment horizontal="center"/>
    </xf>
    <xf numFmtId="164" fontId="9" fillId="0" borderId="10" xfId="1" applyNumberFormat="1" applyFont="1" applyFill="1" applyBorder="1" applyAlignment="1">
      <alignment horizontal="left" wrapText="1"/>
    </xf>
    <xf numFmtId="9" fontId="9" fillId="0" borderId="0" xfId="3" applyFont="1" applyFill="1" applyBorder="1" applyAlignment="1">
      <alignment horizontal="left" wrapText="1"/>
    </xf>
    <xf numFmtId="9" fontId="9" fillId="0" borderId="10" xfId="3" applyFont="1" applyFill="1" applyBorder="1" applyAlignment="1">
      <alignment horizontal="left" wrapText="1"/>
    </xf>
    <xf numFmtId="9" fontId="10" fillId="0" borderId="14" xfId="2" applyFont="1" applyFill="1" applyBorder="1" applyAlignment="1">
      <alignment horizontal="right"/>
    </xf>
    <xf numFmtId="168" fontId="9" fillId="0" borderId="14" xfId="4" applyNumberFormat="1" applyFont="1" applyBorder="1"/>
    <xf numFmtId="0" fontId="9" fillId="0" borderId="14" xfId="4" applyNumberFormat="1" applyFont="1" applyBorder="1" applyAlignment="1">
      <alignment horizontal="center"/>
    </xf>
    <xf numFmtId="9" fontId="10" fillId="0" borderId="0" xfId="3" applyFont="1" applyFill="1" applyBorder="1" applyAlignment="1">
      <alignment horizontal="left" wrapText="1"/>
    </xf>
    <xf numFmtId="0" fontId="9" fillId="0" borderId="17" xfId="4" applyNumberFormat="1" applyFont="1" applyBorder="1" applyAlignment="1">
      <alignment horizontal="center"/>
    </xf>
    <xf numFmtId="0" fontId="9" fillId="0" borderId="10" xfId="4" applyNumberFormat="1" applyFont="1" applyBorder="1" applyAlignment="1">
      <alignment horizontal="center"/>
    </xf>
    <xf numFmtId="9" fontId="10" fillId="0" borderId="0" xfId="3" applyFont="1" applyFill="1" applyBorder="1" applyAlignment="1">
      <alignment horizontal="center"/>
    </xf>
    <xf numFmtId="164" fontId="9" fillId="0" borderId="0" xfId="1" applyNumberFormat="1" applyFont="1" applyFill="1" applyBorder="1" applyAlignment="1">
      <alignment horizontal="center"/>
    </xf>
    <xf numFmtId="164" fontId="10" fillId="0" borderId="14" xfId="1" applyNumberFormat="1" applyFont="1" applyFill="1" applyBorder="1" applyAlignment="1">
      <alignment vertical="top" wrapText="1"/>
    </xf>
    <xf numFmtId="168" fontId="11" fillId="0" borderId="4" xfId="0" applyNumberFormat="1" applyFont="1" applyBorder="1" applyAlignment="1">
      <alignment horizontal="left" vertical="top"/>
    </xf>
    <xf numFmtId="164" fontId="11" fillId="0" borderId="13" xfId="1" applyNumberFormat="1" applyFont="1" applyFill="1" applyBorder="1" applyAlignment="1">
      <alignment horizontal="left" vertical="top"/>
    </xf>
    <xf numFmtId="1" fontId="9" fillId="0" borderId="17" xfId="4" applyNumberFormat="1" applyFont="1" applyBorder="1"/>
    <xf numFmtId="168" fontId="9" fillId="0" borderId="10" xfId="4" applyNumberFormat="1" applyFont="1" applyBorder="1" applyAlignment="1">
      <alignment horizontal="left" wrapText="1"/>
    </xf>
    <xf numFmtId="1" fontId="9" fillId="0" borderId="10" xfId="4" applyNumberFormat="1" applyFont="1" applyBorder="1"/>
    <xf numFmtId="164" fontId="10" fillId="0" borderId="14" xfId="1" applyNumberFormat="1" applyFont="1" applyFill="1" applyBorder="1" applyAlignment="1">
      <alignment vertical="top"/>
    </xf>
    <xf numFmtId="164" fontId="9" fillId="0" borderId="10" xfId="1" applyNumberFormat="1" applyFont="1" applyFill="1" applyBorder="1" applyAlignment="1">
      <alignment vertical="top"/>
    </xf>
    <xf numFmtId="10" fontId="10" fillId="0" borderId="14" xfId="2" applyNumberFormat="1" applyFont="1" applyFill="1" applyBorder="1" applyAlignment="1">
      <alignment horizontal="right"/>
    </xf>
    <xf numFmtId="10" fontId="10" fillId="0" borderId="13" xfId="2" applyNumberFormat="1" applyFont="1" applyFill="1" applyBorder="1" applyAlignment="1">
      <alignment horizontal="right"/>
    </xf>
    <xf numFmtId="10" fontId="10" fillId="0" borderId="17" xfId="2" applyNumberFormat="1" applyFont="1" applyFill="1" applyBorder="1" applyAlignment="1">
      <alignment horizontal="right"/>
    </xf>
    <xf numFmtId="164" fontId="9" fillId="0" borderId="17" xfId="1" applyNumberFormat="1" applyFont="1" applyFill="1" applyBorder="1"/>
    <xf numFmtId="164" fontId="9" fillId="0" borderId="13" xfId="1" applyNumberFormat="1" applyFont="1" applyFill="1" applyBorder="1"/>
    <xf numFmtId="164" fontId="10" fillId="0" borderId="0" xfId="1" applyNumberFormat="1" applyFont="1" applyFill="1" applyBorder="1" applyAlignment="1">
      <alignment horizontal="justify" vertical="top"/>
    </xf>
    <xf numFmtId="164" fontId="9" fillId="0" borderId="17" xfId="1" applyNumberFormat="1" applyFont="1" applyFill="1" applyBorder="1" applyAlignment="1">
      <alignment horizontal="center"/>
    </xf>
    <xf numFmtId="1" fontId="10" fillId="0" borderId="10" xfId="4" applyNumberFormat="1" applyFont="1" applyBorder="1"/>
    <xf numFmtId="164" fontId="10" fillId="0" borderId="0" xfId="1" applyNumberFormat="1" applyFont="1" applyFill="1" applyBorder="1"/>
    <xf numFmtId="164" fontId="10" fillId="0" borderId="0" xfId="1" applyNumberFormat="1" applyFont="1" applyFill="1" applyBorder="1" applyAlignment="1">
      <alignment horizontal="left" vertical="top" wrapText="1"/>
    </xf>
    <xf numFmtId="164" fontId="14" fillId="0" borderId="0" xfId="1" applyNumberFormat="1" applyFont="1" applyFill="1" applyBorder="1" applyAlignment="1">
      <alignment wrapText="1"/>
    </xf>
    <xf numFmtId="164" fontId="10" fillId="0" borderId="0" xfId="1" applyNumberFormat="1" applyFont="1" applyFill="1" applyBorder="1" applyAlignment="1">
      <alignment vertical="top"/>
    </xf>
    <xf numFmtId="164" fontId="0" fillId="0" borderId="0" xfId="0" applyNumberFormat="1"/>
    <xf numFmtId="1" fontId="9" fillId="3" borderId="5" xfId="4" applyNumberFormat="1" applyFont="1" applyFill="1" applyBorder="1" applyAlignment="1">
      <alignment horizontal="center"/>
    </xf>
    <xf numFmtId="164" fontId="9" fillId="3" borderId="11" xfId="1" applyNumberFormat="1" applyFont="1" applyFill="1" applyBorder="1" applyAlignment="1">
      <alignment horizontal="center"/>
    </xf>
    <xf numFmtId="170" fontId="9" fillId="3" borderId="4" xfId="4" applyNumberFormat="1" applyFont="1" applyFill="1" applyBorder="1" applyAlignment="1">
      <alignment horizontal="center" vertical="center" wrapText="1"/>
    </xf>
    <xf numFmtId="164" fontId="9" fillId="3" borderId="13" xfId="1" applyNumberFormat="1" applyFont="1" applyFill="1" applyBorder="1" applyAlignment="1">
      <alignment horizontal="center" vertical="center"/>
    </xf>
    <xf numFmtId="2" fontId="10" fillId="3" borderId="0" xfId="4" applyNumberFormat="1" applyFont="1" applyFill="1" applyAlignment="1">
      <alignment horizontal="center"/>
    </xf>
    <xf numFmtId="164" fontId="10" fillId="3" borderId="14" xfId="1" applyNumberFormat="1" applyFont="1" applyFill="1" applyBorder="1" applyAlignment="1"/>
    <xf numFmtId="164" fontId="10" fillId="3" borderId="14" xfId="1" applyNumberFormat="1" applyFont="1" applyFill="1" applyBorder="1" applyAlignment="1">
      <alignment horizontal="right"/>
    </xf>
    <xf numFmtId="2" fontId="10" fillId="3" borderId="4" xfId="4" applyNumberFormat="1" applyFont="1" applyFill="1" applyBorder="1" applyAlignment="1">
      <alignment horizontal="center"/>
    </xf>
    <xf numFmtId="164" fontId="10" fillId="3" borderId="13" xfId="1" applyNumberFormat="1" applyFont="1" applyFill="1" applyBorder="1" applyAlignment="1"/>
    <xf numFmtId="0" fontId="16" fillId="0" borderId="0" xfId="0" applyFont="1"/>
    <xf numFmtId="0" fontId="2" fillId="0" borderId="1" xfId="0" applyFont="1" applyBorder="1"/>
    <xf numFmtId="0" fontId="0" fillId="0" borderId="14" xfId="0" applyBorder="1"/>
    <xf numFmtId="0" fontId="0" fillId="0" borderId="10" xfId="0" applyBorder="1"/>
    <xf numFmtId="164" fontId="2" fillId="0" borderId="1" xfId="1" applyNumberFormat="1" applyFont="1" applyBorder="1"/>
    <xf numFmtId="0" fontId="2" fillId="0" borderId="0" xfId="0" applyFont="1"/>
    <xf numFmtId="0" fontId="0" fillId="0" borderId="1" xfId="0" applyBorder="1"/>
    <xf numFmtId="173" fontId="0" fillId="0" borderId="17" xfId="8" applyNumberFormat="1" applyFont="1" applyFill="1" applyBorder="1" applyProtection="1">
      <protection hidden="1"/>
    </xf>
    <xf numFmtId="173" fontId="0" fillId="0" borderId="13" xfId="8" applyNumberFormat="1" applyFont="1" applyFill="1" applyBorder="1" applyProtection="1">
      <protection hidden="1"/>
    </xf>
    <xf numFmtId="173" fontId="0" fillId="0" borderId="35" xfId="8" applyNumberFormat="1" applyFont="1" applyFill="1" applyBorder="1" applyProtection="1">
      <protection hidden="1"/>
    </xf>
    <xf numFmtId="173" fontId="0" fillId="0" borderId="1" xfId="8" applyNumberFormat="1" applyFont="1" applyFill="1" applyBorder="1" applyProtection="1">
      <protection hidden="1"/>
    </xf>
    <xf numFmtId="173" fontId="0" fillId="0" borderId="37" xfId="8" applyNumberFormat="1" applyFont="1" applyFill="1" applyBorder="1" applyProtection="1">
      <protection hidden="1"/>
    </xf>
    <xf numFmtId="173" fontId="0" fillId="0" borderId="11" xfId="8" applyNumberFormat="1" applyFont="1" applyFill="1" applyBorder="1" applyProtection="1">
      <protection hidden="1"/>
    </xf>
    <xf numFmtId="173" fontId="0" fillId="0" borderId="39" xfId="8" applyNumberFormat="1" applyFont="1" applyFill="1" applyBorder="1" applyProtection="1">
      <protection hidden="1"/>
    </xf>
    <xf numFmtId="0" fontId="0" fillId="0" borderId="7" xfId="0" applyBorder="1"/>
    <xf numFmtId="173" fontId="0" fillId="0" borderId="1" xfId="8" applyNumberFormat="1" applyFont="1" applyFill="1" applyBorder="1"/>
    <xf numFmtId="0" fontId="2" fillId="0" borderId="0" xfId="0" applyFont="1" applyAlignment="1">
      <alignment wrapText="1"/>
    </xf>
    <xf numFmtId="170" fontId="23" fillId="0" borderId="0" xfId="9" applyFont="1"/>
    <xf numFmtId="170" fontId="23" fillId="0" borderId="0" xfId="9" applyFont="1" applyFill="1"/>
    <xf numFmtId="170" fontId="23" fillId="0" borderId="0" xfId="9" applyFont="1" applyBorder="1"/>
    <xf numFmtId="170" fontId="23" fillId="0" borderId="0" xfId="9" applyFont="1" applyFill="1" applyBorder="1"/>
    <xf numFmtId="170" fontId="25" fillId="0" borderId="0" xfId="9" applyFont="1" applyBorder="1" applyAlignment="1">
      <alignment horizontal="center" vertical="top"/>
    </xf>
    <xf numFmtId="174" fontId="25" fillId="0" borderId="0" xfId="9" applyNumberFormat="1" applyFont="1" applyBorder="1" applyAlignment="1">
      <alignment horizontal="center" vertical="top"/>
    </xf>
    <xf numFmtId="170" fontId="27" fillId="0" borderId="33" xfId="9" applyFont="1" applyBorder="1" applyAlignment="1">
      <alignment horizontal="right" vertical="center"/>
    </xf>
    <xf numFmtId="174" fontId="27" fillId="0" borderId="33" xfId="9" applyNumberFormat="1" applyFont="1" applyBorder="1" applyAlignment="1">
      <alignment horizontal="right" vertical="center"/>
    </xf>
    <xf numFmtId="170" fontId="28" fillId="0" borderId="58" xfId="9" applyFont="1" applyBorder="1" applyAlignment="1">
      <alignment vertical="center"/>
    </xf>
    <xf numFmtId="170" fontId="27" fillId="0" borderId="12" xfId="9" applyFont="1" applyBorder="1" applyAlignment="1">
      <alignment vertical="center"/>
    </xf>
    <xf numFmtId="174" fontId="29" fillId="0" borderId="58" xfId="9" applyNumberFormat="1" applyFont="1" applyBorder="1" applyAlignment="1">
      <alignment vertical="center"/>
    </xf>
    <xf numFmtId="170" fontId="29" fillId="0" borderId="13" xfId="9" applyFont="1" applyBorder="1" applyAlignment="1">
      <alignment vertical="center"/>
    </xf>
    <xf numFmtId="173" fontId="29" fillId="0" borderId="35" xfId="9" applyNumberFormat="1" applyFont="1" applyBorder="1" applyAlignment="1">
      <alignment vertical="center"/>
    </xf>
    <xf numFmtId="170" fontId="28" fillId="0" borderId="12" xfId="9" applyFont="1" applyBorder="1" applyAlignment="1">
      <alignment vertical="center"/>
    </xf>
    <xf numFmtId="174" fontId="23" fillId="0" borderId="17" xfId="9" applyNumberFormat="1" applyFont="1" applyBorder="1" applyAlignment="1">
      <alignment vertical="center"/>
    </xf>
    <xf numFmtId="173" fontId="29" fillId="0" borderId="12" xfId="9" applyNumberFormat="1" applyFont="1" applyBorder="1" applyAlignment="1">
      <alignment vertical="center"/>
    </xf>
    <xf numFmtId="174" fontId="29" fillId="0" borderId="28" xfId="9" applyNumberFormat="1" applyFont="1" applyBorder="1" applyAlignment="1">
      <alignment vertical="center"/>
    </xf>
    <xf numFmtId="170" fontId="28" fillId="0" borderId="0" xfId="9" applyFont="1" applyAlignment="1">
      <alignment vertical="top"/>
    </xf>
    <xf numFmtId="170" fontId="28" fillId="0" borderId="0" xfId="9" applyFont="1" applyFill="1" applyAlignment="1">
      <alignment vertical="top"/>
    </xf>
    <xf numFmtId="170" fontId="28" fillId="0" borderId="60" xfId="9" applyFont="1" applyBorder="1" applyAlignment="1">
      <alignment vertical="center"/>
    </xf>
    <xf numFmtId="170" fontId="29" fillId="0" borderId="61" xfId="9" applyFont="1" applyBorder="1" applyAlignment="1">
      <alignment vertical="center"/>
    </xf>
    <xf numFmtId="170" fontId="29" fillId="0" borderId="60" xfId="9" applyFont="1" applyFill="1" applyBorder="1" applyAlignment="1">
      <alignment vertical="center"/>
    </xf>
    <xf numFmtId="170" fontId="29" fillId="0" borderId="40" xfId="9" applyFont="1" applyBorder="1" applyAlignment="1">
      <alignment vertical="center"/>
    </xf>
    <xf numFmtId="173" fontId="29" fillId="0" borderId="41" xfId="9" applyNumberFormat="1" applyFont="1" applyBorder="1" applyAlignment="1">
      <alignment vertical="center"/>
    </xf>
    <xf numFmtId="170" fontId="28" fillId="0" borderId="61" xfId="9" applyFont="1" applyFill="1" applyBorder="1" applyAlignment="1">
      <alignment vertical="center"/>
    </xf>
    <xf numFmtId="170" fontId="23" fillId="0" borderId="61" xfId="9" applyFont="1" applyFill="1" applyBorder="1" applyAlignment="1">
      <alignment vertical="center"/>
    </xf>
    <xf numFmtId="173" fontId="29" fillId="0" borderId="41" xfId="9" applyNumberFormat="1" applyFont="1" applyFill="1" applyBorder="1" applyAlignment="1">
      <alignment vertical="center"/>
    </xf>
    <xf numFmtId="174" fontId="23" fillId="0" borderId="47" xfId="9" applyNumberFormat="1" applyFont="1" applyFill="1" applyBorder="1" applyAlignment="1">
      <alignment vertical="center"/>
    </xf>
    <xf numFmtId="170" fontId="23" fillId="0" borderId="40" xfId="9" applyFont="1" applyFill="1" applyBorder="1" applyAlignment="1">
      <alignment vertical="center"/>
    </xf>
    <xf numFmtId="173" fontId="23" fillId="0" borderId="61" xfId="9" applyNumberFormat="1" applyFont="1" applyFill="1" applyBorder="1" applyAlignment="1">
      <alignment vertical="center"/>
    </xf>
    <xf numFmtId="174" fontId="29" fillId="0" borderId="44" xfId="9" applyNumberFormat="1" applyFont="1" applyFill="1" applyBorder="1" applyAlignment="1">
      <alignment vertical="center"/>
    </xf>
    <xf numFmtId="173" fontId="29" fillId="0" borderId="47" xfId="9" applyNumberFormat="1" applyFont="1" applyFill="1" applyBorder="1" applyAlignment="1">
      <alignment vertical="center"/>
    </xf>
    <xf numFmtId="170" fontId="27" fillId="0" borderId="61" xfId="9" applyFont="1" applyBorder="1" applyAlignment="1">
      <alignment horizontal="right" vertical="center"/>
    </xf>
    <xf numFmtId="174" fontId="27" fillId="0" borderId="60" xfId="9" applyNumberFormat="1" applyFont="1" applyFill="1" applyBorder="1" applyAlignment="1">
      <alignment vertical="center"/>
    </xf>
    <xf numFmtId="170" fontId="27" fillId="0" borderId="40" xfId="9" applyFont="1" applyBorder="1" applyAlignment="1">
      <alignment vertical="center"/>
    </xf>
    <xf numFmtId="173" fontId="27" fillId="0" borderId="41" xfId="9" applyNumberFormat="1" applyFont="1" applyBorder="1" applyAlignment="1">
      <alignment vertical="center"/>
    </xf>
    <xf numFmtId="170" fontId="30" fillId="0" borderId="61" xfId="9" applyFont="1" applyFill="1" applyBorder="1" applyAlignment="1">
      <alignment vertical="center"/>
    </xf>
    <xf numFmtId="173" fontId="31" fillId="0" borderId="44" xfId="9" applyNumberFormat="1" applyFont="1" applyFill="1" applyBorder="1" applyAlignment="1">
      <alignment vertical="center"/>
    </xf>
    <xf numFmtId="174" fontId="31" fillId="0" borderId="47" xfId="9" applyNumberFormat="1" applyFont="1" applyFill="1" applyBorder="1" applyAlignment="1">
      <alignment vertical="center"/>
    </xf>
    <xf numFmtId="170" fontId="31" fillId="0" borderId="40" xfId="9" applyFont="1" applyFill="1" applyBorder="1" applyAlignment="1">
      <alignment vertical="center"/>
    </xf>
    <xf numFmtId="173" fontId="27" fillId="0" borderId="61" xfId="9" applyNumberFormat="1" applyFont="1" applyBorder="1" applyAlignment="1">
      <alignment vertical="center"/>
    </xf>
    <xf numFmtId="174" fontId="27" fillId="0" borderId="44" xfId="9" applyNumberFormat="1" applyFont="1" applyBorder="1" applyAlignment="1">
      <alignment vertical="center"/>
    </xf>
    <xf numFmtId="170" fontId="27" fillId="0" borderId="47" xfId="9" applyFont="1" applyFill="1" applyBorder="1" applyAlignment="1">
      <alignment vertical="center"/>
    </xf>
    <xf numFmtId="170" fontId="32" fillId="0" borderId="12" xfId="9" applyFont="1" applyBorder="1" applyAlignment="1">
      <alignment vertical="center"/>
    </xf>
    <xf numFmtId="170" fontId="29" fillId="0" borderId="58" xfId="9" applyFont="1" applyFill="1" applyBorder="1" applyAlignment="1">
      <alignment vertical="center"/>
    </xf>
    <xf numFmtId="170" fontId="28" fillId="0" borderId="12" xfId="9" applyFont="1" applyFill="1" applyBorder="1" applyAlignment="1">
      <alignment vertical="center"/>
    </xf>
    <xf numFmtId="170" fontId="29" fillId="0" borderId="35" xfId="9" applyFont="1" applyFill="1" applyBorder="1" applyAlignment="1">
      <alignment vertical="center"/>
    </xf>
    <xf numFmtId="174" fontId="28" fillId="0" borderId="17" xfId="9" applyNumberFormat="1" applyFont="1" applyFill="1" applyBorder="1" applyAlignment="1">
      <alignment vertical="center"/>
    </xf>
    <xf numFmtId="170" fontId="28" fillId="0" borderId="13" xfId="9" applyFont="1" applyFill="1" applyBorder="1" applyAlignment="1">
      <alignment vertical="center"/>
    </xf>
    <xf numFmtId="174" fontId="29" fillId="0" borderId="45" xfId="9" applyNumberFormat="1" applyFont="1" applyFill="1" applyBorder="1" applyAlignment="1">
      <alignment vertical="center"/>
    </xf>
    <xf numFmtId="170" fontId="29" fillId="0" borderId="17" xfId="9" applyFont="1" applyBorder="1" applyAlignment="1">
      <alignment vertical="center"/>
    </xf>
    <xf numFmtId="173" fontId="25" fillId="0" borderId="35" xfId="9" applyNumberFormat="1" applyFont="1" applyBorder="1" applyAlignment="1">
      <alignment vertical="center"/>
    </xf>
    <xf numFmtId="173" fontId="27" fillId="0" borderId="62" xfId="9" applyNumberFormat="1" applyFont="1" applyBorder="1" applyAlignment="1">
      <alignment vertical="center"/>
    </xf>
    <xf numFmtId="173" fontId="27" fillId="0" borderId="12" xfId="9" applyNumberFormat="1" applyFont="1" applyBorder="1" applyAlignment="1">
      <alignment vertical="center"/>
    </xf>
    <xf numFmtId="173" fontId="27" fillId="0" borderId="35" xfId="9" applyNumberFormat="1" applyFont="1" applyBorder="1" applyAlignment="1">
      <alignment vertical="center"/>
    </xf>
    <xf numFmtId="170" fontId="32" fillId="0" borderId="0" xfId="9" applyFont="1" applyFill="1" applyAlignment="1">
      <alignment vertical="top"/>
    </xf>
    <xf numFmtId="170" fontId="32" fillId="0" borderId="0" xfId="9" applyFont="1" applyAlignment="1">
      <alignment vertical="top"/>
    </xf>
    <xf numFmtId="173" fontId="25" fillId="2" borderId="63" xfId="9" applyNumberFormat="1" applyFont="1" applyFill="1" applyBorder="1" applyAlignment="1">
      <alignment vertical="center"/>
    </xf>
    <xf numFmtId="173" fontId="29" fillId="2" borderId="43" xfId="9" applyNumberFormat="1" applyFont="1" applyFill="1" applyBorder="1" applyAlignment="1">
      <alignment vertical="center"/>
    </xf>
    <xf numFmtId="173" fontId="29" fillId="2" borderId="7" xfId="9" applyNumberFormat="1" applyFont="1" applyFill="1" applyBorder="1" applyAlignment="1">
      <alignment vertical="center"/>
    </xf>
    <xf numFmtId="173" fontId="27" fillId="2" borderId="63" xfId="9" applyNumberFormat="1" applyFont="1" applyFill="1" applyBorder="1" applyAlignment="1">
      <alignment vertical="center"/>
    </xf>
    <xf numFmtId="170" fontId="23" fillId="0" borderId="0" xfId="9" applyFont="1" applyFill="1" applyAlignment="1">
      <alignment vertical="top"/>
    </xf>
    <xf numFmtId="170" fontId="23" fillId="0" borderId="0" xfId="9" applyFont="1" applyAlignment="1">
      <alignment vertical="top"/>
    </xf>
    <xf numFmtId="170" fontId="23" fillId="0" borderId="60" xfId="9" applyFont="1" applyBorder="1" applyAlignment="1">
      <alignment vertical="center"/>
    </xf>
    <xf numFmtId="170" fontId="23" fillId="0" borderId="61" xfId="9" applyFont="1" applyBorder="1" applyAlignment="1">
      <alignment vertical="center"/>
    </xf>
    <xf numFmtId="170" fontId="29" fillId="0" borderId="41" xfId="9" applyFont="1" applyBorder="1" applyAlignment="1">
      <alignment vertical="center"/>
    </xf>
    <xf numFmtId="174" fontId="29" fillId="0" borderId="47" xfId="9" applyNumberFormat="1" applyFont="1" applyFill="1" applyBorder="1" applyAlignment="1">
      <alignment vertical="center"/>
    </xf>
    <xf numFmtId="170" fontId="29" fillId="0" borderId="40" xfId="9" applyFont="1" applyFill="1" applyBorder="1" applyAlignment="1">
      <alignment vertical="center"/>
    </xf>
    <xf numFmtId="170" fontId="29" fillId="0" borderId="41" xfId="9" applyFont="1" applyFill="1" applyBorder="1" applyAlignment="1">
      <alignment vertical="center"/>
    </xf>
    <xf numFmtId="174" fontId="23" fillId="0" borderId="44" xfId="9" applyNumberFormat="1" applyFont="1" applyFill="1" applyBorder="1" applyAlignment="1">
      <alignment vertical="center"/>
    </xf>
    <xf numFmtId="170" fontId="29" fillId="0" borderId="47" xfId="9" applyFont="1" applyFill="1" applyBorder="1" applyAlignment="1">
      <alignment vertical="center"/>
    </xf>
    <xf numFmtId="170" fontId="23" fillId="0" borderId="41" xfId="9" applyFont="1" applyFill="1" applyBorder="1" applyAlignment="1">
      <alignment vertical="center"/>
    </xf>
    <xf numFmtId="170" fontId="30" fillId="0" borderId="0" xfId="9" applyFont="1" applyAlignment="1">
      <alignment vertical="top"/>
    </xf>
    <xf numFmtId="170" fontId="0" fillId="0" borderId="58" xfId="9" applyFont="1" applyBorder="1" applyAlignment="1">
      <alignment vertical="center"/>
    </xf>
    <xf numFmtId="170" fontId="23" fillId="0" borderId="12" xfId="9" applyFont="1" applyFill="1" applyBorder="1" applyAlignment="1">
      <alignment vertical="center"/>
    </xf>
    <xf numFmtId="173" fontId="29" fillId="0" borderId="35" xfId="9" applyNumberFormat="1" applyFont="1" applyFill="1" applyBorder="1" applyAlignment="1">
      <alignment vertical="center"/>
    </xf>
    <xf numFmtId="174" fontId="29" fillId="0" borderId="17" xfId="9" applyNumberFormat="1" applyFont="1" applyFill="1" applyBorder="1" applyAlignment="1">
      <alignment vertical="center"/>
    </xf>
    <xf numFmtId="170" fontId="29" fillId="0" borderId="13" xfId="9" applyFont="1" applyFill="1" applyBorder="1" applyAlignment="1">
      <alignment vertical="center"/>
    </xf>
    <xf numFmtId="174" fontId="23" fillId="0" borderId="45" xfId="9" applyNumberFormat="1" applyFont="1" applyFill="1" applyBorder="1" applyAlignment="1">
      <alignment vertical="center"/>
    </xf>
    <xf numFmtId="170" fontId="29" fillId="0" borderId="17" xfId="9" applyFont="1" applyFill="1" applyBorder="1" applyAlignment="1">
      <alignment vertical="center"/>
    </xf>
    <xf numFmtId="170" fontId="29" fillId="0" borderId="35" xfId="9" applyFont="1" applyBorder="1" applyAlignment="1">
      <alignment vertical="center"/>
    </xf>
    <xf numFmtId="173" fontId="27" fillId="0" borderId="0" xfId="9" applyNumberFormat="1" applyFont="1" applyFill="1" applyBorder="1" applyAlignment="1">
      <alignment vertical="top"/>
    </xf>
    <xf numFmtId="170" fontId="40" fillId="0" borderId="60" xfId="9" applyFont="1" applyBorder="1" applyAlignment="1">
      <alignment vertical="center"/>
    </xf>
    <xf numFmtId="170" fontId="40" fillId="0" borderId="61" xfId="9" applyFont="1" applyBorder="1" applyAlignment="1">
      <alignment horizontal="left" vertical="center"/>
    </xf>
    <xf numFmtId="170" fontId="40" fillId="0" borderId="2" xfId="9" applyFont="1" applyBorder="1" applyAlignment="1">
      <alignment vertical="center"/>
    </xf>
    <xf numFmtId="170" fontId="40" fillId="0" borderId="40" xfId="9" applyFont="1" applyBorder="1" applyAlignment="1">
      <alignment vertical="center"/>
    </xf>
    <xf numFmtId="173" fontId="41" fillId="0" borderId="41" xfId="9" applyNumberFormat="1" applyFont="1" applyBorder="1" applyAlignment="1">
      <alignment vertical="center"/>
    </xf>
    <xf numFmtId="170" fontId="41" fillId="0" borderId="61" xfId="9" applyFont="1" applyBorder="1" applyAlignment="1">
      <alignment vertical="center"/>
    </xf>
    <xf numFmtId="174" fontId="41" fillId="0" borderId="3" xfId="9" applyNumberFormat="1" applyFont="1" applyBorder="1" applyAlignment="1">
      <alignment vertical="center"/>
    </xf>
    <xf numFmtId="174" fontId="41" fillId="0" borderId="44" xfId="9" applyNumberFormat="1" applyFont="1" applyBorder="1" applyAlignment="1">
      <alignment vertical="center"/>
    </xf>
    <xf numFmtId="170" fontId="41" fillId="0" borderId="3" xfId="9" applyFont="1" applyBorder="1" applyAlignment="1">
      <alignment vertical="center"/>
    </xf>
    <xf numFmtId="173" fontId="41" fillId="0" borderId="41" xfId="9" applyNumberFormat="1" applyFont="1" applyFill="1" applyBorder="1" applyAlignment="1">
      <alignment vertical="center"/>
    </xf>
    <xf numFmtId="170" fontId="27" fillId="0" borderId="0" xfId="9" applyFont="1" applyFill="1" applyAlignment="1">
      <alignment vertical="top"/>
    </xf>
    <xf numFmtId="170" fontId="27" fillId="0" borderId="0" xfId="9" applyFont="1" applyAlignment="1">
      <alignment vertical="top"/>
    </xf>
    <xf numFmtId="170" fontId="27" fillId="0" borderId="0" xfId="9" applyFont="1" applyBorder="1" applyAlignment="1">
      <alignment vertical="top"/>
    </xf>
    <xf numFmtId="174" fontId="27" fillId="0" borderId="0" xfId="9" applyNumberFormat="1" applyFont="1" applyBorder="1" applyAlignment="1">
      <alignment vertical="top"/>
    </xf>
    <xf numFmtId="170" fontId="27" fillId="0" borderId="0" xfId="9" applyFont="1" applyFill="1" applyBorder="1" applyAlignment="1">
      <alignment vertical="top"/>
    </xf>
    <xf numFmtId="170" fontId="42" fillId="0" borderId="0" xfId="9" applyFont="1" applyFill="1" applyBorder="1"/>
    <xf numFmtId="0" fontId="43" fillId="0" borderId="0" xfId="10" applyFont="1"/>
    <xf numFmtId="170" fontId="44" fillId="0" borderId="0" xfId="9" applyFont="1" applyFill="1" applyBorder="1" applyAlignment="1">
      <alignment vertical="top"/>
    </xf>
    <xf numFmtId="174" fontId="42" fillId="0" borderId="0" xfId="9" applyNumberFormat="1" applyFont="1" applyFill="1" applyBorder="1"/>
    <xf numFmtId="170" fontId="44" fillId="0" borderId="0" xfId="9" applyFont="1" applyFill="1" applyBorder="1"/>
    <xf numFmtId="170" fontId="45" fillId="0" borderId="0" xfId="9" applyFont="1" applyBorder="1" applyAlignment="1">
      <alignment vertical="top"/>
    </xf>
    <xf numFmtId="170" fontId="46" fillId="0" borderId="0" xfId="9" applyFont="1" applyFill="1" applyBorder="1"/>
    <xf numFmtId="170" fontId="45" fillId="0" borderId="0" xfId="9" applyFont="1" applyFill="1" applyBorder="1" applyAlignment="1">
      <alignment vertical="top"/>
    </xf>
    <xf numFmtId="170" fontId="42" fillId="0" borderId="0" xfId="9" applyFont="1" applyFill="1" applyBorder="1" applyAlignment="1">
      <alignment vertical="top"/>
    </xf>
    <xf numFmtId="174" fontId="23" fillId="0" borderId="0" xfId="9" applyNumberFormat="1" applyFont="1"/>
    <xf numFmtId="0" fontId="8" fillId="0" borderId="0" xfId="11"/>
    <xf numFmtId="0" fontId="2" fillId="4" borderId="1" xfId="11" applyFont="1" applyFill="1" applyBorder="1" applyAlignment="1">
      <alignment horizontal="center"/>
    </xf>
    <xf numFmtId="173" fontId="8" fillId="0" borderId="1" xfId="11" applyNumberFormat="1" applyBorder="1" applyAlignment="1">
      <alignment vertical="center"/>
    </xf>
    <xf numFmtId="0" fontId="8" fillId="0" borderId="1" xfId="11" applyBorder="1" applyAlignment="1">
      <alignment horizontal="center" vertical="center"/>
    </xf>
    <xf numFmtId="0" fontId="8" fillId="0" borderId="1" xfId="11" applyBorder="1" applyAlignment="1">
      <alignment vertical="center"/>
    </xf>
    <xf numFmtId="173" fontId="8" fillId="0" borderId="0" xfId="11" applyNumberFormat="1"/>
    <xf numFmtId="173" fontId="2" fillId="0" borderId="0" xfId="11" applyNumberFormat="1" applyFont="1"/>
    <xf numFmtId="0" fontId="2" fillId="4" borderId="1" xfId="11" applyFont="1" applyFill="1" applyBorder="1" applyAlignment="1">
      <alignment vertical="center"/>
    </xf>
    <xf numFmtId="173" fontId="2" fillId="4" borderId="1" xfId="11" applyNumberFormat="1" applyFont="1" applyFill="1" applyBorder="1" applyAlignment="1">
      <alignment vertical="center"/>
    </xf>
    <xf numFmtId="0" fontId="2" fillId="0" borderId="0" xfId="11" applyFont="1"/>
    <xf numFmtId="168" fontId="51" fillId="0" borderId="0" xfId="12" applyNumberFormat="1" applyFont="1" applyAlignment="1">
      <alignment horizontal="center"/>
    </xf>
    <xf numFmtId="43" fontId="51" fillId="0" borderId="0" xfId="1" applyFont="1" applyFill="1" applyBorder="1" applyAlignment="1">
      <alignment horizontal="center"/>
    </xf>
    <xf numFmtId="43" fontId="0" fillId="0" borderId="0" xfId="1" applyFont="1" applyFill="1" applyBorder="1"/>
    <xf numFmtId="168" fontId="52" fillId="0" borderId="0" xfId="12" applyNumberFormat="1" applyFont="1"/>
    <xf numFmtId="168" fontId="53" fillId="0" borderId="0" xfId="12" applyNumberFormat="1" applyFont="1"/>
    <xf numFmtId="173" fontId="53" fillId="0" borderId="0" xfId="13" applyNumberFormat="1" applyFont="1"/>
    <xf numFmtId="43" fontId="53" fillId="0" borderId="0" xfId="1" applyFont="1"/>
    <xf numFmtId="168" fontId="54" fillId="0" borderId="18" xfId="12" applyNumberFormat="1" applyFont="1" applyBorder="1"/>
    <xf numFmtId="168" fontId="55" fillId="0" borderId="8" xfId="14" applyNumberFormat="1" applyFont="1" applyBorder="1"/>
    <xf numFmtId="168" fontId="55" fillId="0" borderId="20" xfId="14" applyNumberFormat="1" applyFont="1" applyBorder="1"/>
    <xf numFmtId="174" fontId="54" fillId="0" borderId="1" xfId="13" applyNumberFormat="1" applyFont="1" applyBorder="1"/>
    <xf numFmtId="168" fontId="55" fillId="0" borderId="1" xfId="14" applyNumberFormat="1" applyFont="1" applyBorder="1"/>
    <xf numFmtId="176" fontId="54" fillId="0" borderId="1" xfId="1" applyNumberFormat="1" applyFont="1" applyBorder="1"/>
    <xf numFmtId="43" fontId="54" fillId="0" borderId="1" xfId="1" applyFont="1" applyBorder="1"/>
    <xf numFmtId="168" fontId="51" fillId="0" borderId="18" xfId="12" applyNumberFormat="1" applyFont="1" applyBorder="1"/>
    <xf numFmtId="168" fontId="53" fillId="0" borderId="8" xfId="14" applyNumberFormat="1" applyFont="1" applyBorder="1"/>
    <xf numFmtId="168" fontId="53" fillId="0" borderId="20" xfId="14" applyNumberFormat="1" applyFont="1" applyBorder="1"/>
    <xf numFmtId="173" fontId="51" fillId="0" borderId="1" xfId="13" applyNumberFormat="1" applyFont="1" applyBorder="1" applyAlignment="1">
      <alignment horizontal="right"/>
    </xf>
    <xf numFmtId="168" fontId="53" fillId="0" borderId="1" xfId="14" applyNumberFormat="1" applyFont="1" applyBorder="1"/>
    <xf numFmtId="43" fontId="51" fillId="0" borderId="1" xfId="1" applyFont="1" applyBorder="1" applyAlignment="1">
      <alignment horizontal="right"/>
    </xf>
    <xf numFmtId="168" fontId="53" fillId="0" borderId="6" xfId="12" applyNumberFormat="1" applyFont="1" applyBorder="1"/>
    <xf numFmtId="168" fontId="53" fillId="0" borderId="5" xfId="14" applyNumberFormat="1" applyFont="1" applyBorder="1"/>
    <xf numFmtId="168" fontId="53" fillId="0" borderId="9" xfId="14" applyNumberFormat="1" applyFont="1" applyBorder="1"/>
    <xf numFmtId="173" fontId="53" fillId="0" borderId="11" xfId="13" applyNumberFormat="1" applyFont="1" applyBorder="1"/>
    <xf numFmtId="168" fontId="53" fillId="0" borderId="11" xfId="14" applyNumberFormat="1" applyFont="1" applyBorder="1"/>
    <xf numFmtId="43" fontId="53" fillId="0" borderId="11" xfId="1" applyFont="1" applyBorder="1"/>
    <xf numFmtId="170" fontId="0" fillId="0" borderId="10" xfId="0" applyNumberFormat="1" applyBorder="1"/>
    <xf numFmtId="43" fontId="53" fillId="0" borderId="14" xfId="1" applyFont="1" applyBorder="1"/>
    <xf numFmtId="168" fontId="53" fillId="0" borderId="7" xfId="12" applyNumberFormat="1" applyFont="1" applyBorder="1"/>
    <xf numFmtId="168" fontId="53" fillId="0" borderId="0" xfId="14" applyNumberFormat="1" applyFont="1"/>
    <xf numFmtId="168" fontId="53" fillId="0" borderId="10" xfId="14" applyNumberFormat="1" applyFont="1" applyBorder="1"/>
    <xf numFmtId="173" fontId="53" fillId="0" borderId="14" xfId="13" applyNumberFormat="1" applyFont="1" applyBorder="1"/>
    <xf numFmtId="168" fontId="53" fillId="0" borderId="14" xfId="14" applyNumberFormat="1" applyFont="1" applyBorder="1"/>
    <xf numFmtId="43" fontId="0" fillId="0" borderId="14" xfId="1" applyFont="1" applyBorder="1"/>
    <xf numFmtId="168" fontId="53" fillId="0" borderId="10" xfId="12" applyNumberFormat="1" applyFont="1" applyBorder="1"/>
    <xf numFmtId="168" fontId="53" fillId="0" borderId="14" xfId="12" applyNumberFormat="1" applyFont="1" applyBorder="1"/>
    <xf numFmtId="168" fontId="51" fillId="0" borderId="7" xfId="12" applyNumberFormat="1" applyFont="1" applyBorder="1"/>
    <xf numFmtId="168" fontId="51" fillId="0" borderId="19" xfId="12" applyNumberFormat="1" applyFont="1" applyBorder="1"/>
    <xf numFmtId="168" fontId="51" fillId="0" borderId="65" xfId="14" applyNumberFormat="1" applyFont="1" applyBorder="1"/>
    <xf numFmtId="168" fontId="51" fillId="0" borderId="15" xfId="14" applyNumberFormat="1" applyFont="1" applyBorder="1"/>
    <xf numFmtId="168" fontId="51" fillId="0" borderId="16" xfId="14" applyNumberFormat="1" applyFont="1" applyBorder="1"/>
    <xf numFmtId="43" fontId="51" fillId="0" borderId="16" xfId="1" applyFont="1" applyBorder="1"/>
    <xf numFmtId="168" fontId="51" fillId="0" borderId="0" xfId="12" applyNumberFormat="1" applyFont="1"/>
    <xf numFmtId="43" fontId="51" fillId="0" borderId="0" xfId="1" applyFont="1"/>
    <xf numFmtId="176" fontId="51" fillId="0" borderId="0" xfId="1" applyNumberFormat="1" applyFont="1"/>
    <xf numFmtId="164" fontId="53" fillId="0" borderId="0" xfId="1" applyNumberFormat="1" applyFont="1"/>
    <xf numFmtId="164" fontId="51" fillId="0" borderId="0" xfId="1" applyNumberFormat="1" applyFont="1"/>
    <xf numFmtId="0" fontId="10" fillId="0" borderId="14" xfId="0" applyFont="1" applyBorder="1" applyAlignment="1">
      <alignment vertical="center" wrapText="1"/>
    </xf>
    <xf numFmtId="0" fontId="10" fillId="0" borderId="7" xfId="0" applyFont="1" applyBorder="1" applyAlignment="1">
      <alignment vertical="center" wrapText="1"/>
    </xf>
    <xf numFmtId="1" fontId="9" fillId="0" borderId="7" xfId="4" applyNumberFormat="1" applyFont="1" applyBorder="1" applyAlignment="1">
      <alignment horizontal="center"/>
    </xf>
    <xf numFmtId="0" fontId="10" fillId="0" borderId="10" xfId="0" applyFont="1" applyBorder="1" applyAlignment="1">
      <alignment horizontal="left" vertical="top" wrapText="1"/>
    </xf>
    <xf numFmtId="0" fontId="9" fillId="0" borderId="10" xfId="0" applyFont="1" applyBorder="1" applyAlignment="1">
      <alignment horizontal="left" vertical="center" wrapText="1"/>
    </xf>
    <xf numFmtId="0" fontId="9" fillId="0" borderId="7" xfId="0" applyFont="1" applyBorder="1" applyAlignment="1">
      <alignment horizontal="center" vertical="center" wrapText="1"/>
    </xf>
    <xf numFmtId="0" fontId="9" fillId="0" borderId="4" xfId="0" applyFont="1" applyBorder="1" applyAlignment="1">
      <alignment vertical="center"/>
    </xf>
    <xf numFmtId="0" fontId="9" fillId="0" borderId="4" xfId="0" applyFont="1" applyBorder="1" applyAlignment="1">
      <alignment horizontal="left" vertical="center" wrapText="1"/>
    </xf>
    <xf numFmtId="43" fontId="0" fillId="0" borderId="1" xfId="1" applyFont="1" applyBorder="1"/>
    <xf numFmtId="0" fontId="0" fillId="0" borderId="11" xfId="0" applyBorder="1"/>
    <xf numFmtId="43" fontId="0" fillId="0" borderId="11" xfId="1" applyFont="1" applyBorder="1"/>
    <xf numFmtId="0" fontId="2" fillId="0" borderId="16" xfId="0" applyFont="1" applyBorder="1"/>
    <xf numFmtId="43" fontId="2" fillId="0" borderId="16" xfId="1" applyFont="1" applyBorder="1"/>
    <xf numFmtId="0" fontId="0" fillId="0" borderId="0" xfId="0" applyAlignment="1">
      <alignment wrapText="1"/>
    </xf>
    <xf numFmtId="43" fontId="0" fillId="0" borderId="65" xfId="1" applyFont="1" applyBorder="1"/>
    <xf numFmtId="43" fontId="0" fillId="0" borderId="0" xfId="1" applyFont="1" applyAlignment="1">
      <alignment vertical="center"/>
    </xf>
    <xf numFmtId="0" fontId="2" fillId="0" borderId="51" xfId="0" applyFont="1" applyBorder="1" applyAlignment="1">
      <alignment horizontal="center"/>
    </xf>
    <xf numFmtId="0" fontId="2" fillId="0" borderId="52" xfId="0" applyFont="1" applyBorder="1" applyAlignment="1">
      <alignment horizontal="center"/>
    </xf>
    <xf numFmtId="0" fontId="2" fillId="0" borderId="53" xfId="0" applyFont="1" applyBorder="1"/>
    <xf numFmtId="0" fontId="0" fillId="0" borderId="59" xfId="0" applyBorder="1" applyAlignment="1">
      <alignment shrinkToFit="1"/>
    </xf>
    <xf numFmtId="14" fontId="0" fillId="0" borderId="1" xfId="0" applyNumberFormat="1" applyBorder="1" applyAlignment="1">
      <alignment shrinkToFit="1"/>
    </xf>
    <xf numFmtId="0" fontId="0" fillId="0" borderId="1" xfId="0" applyBorder="1" applyAlignment="1">
      <alignment shrinkToFit="1"/>
    </xf>
    <xf numFmtId="0" fontId="2" fillId="0" borderId="33" xfId="0" applyFont="1" applyBorder="1" applyAlignment="1">
      <alignment horizontal="right"/>
    </xf>
    <xf numFmtId="0" fontId="2" fillId="0" borderId="30" xfId="0" applyFont="1" applyBorder="1" applyAlignment="1">
      <alignment horizontal="right"/>
    </xf>
    <xf numFmtId="0" fontId="2" fillId="0" borderId="34" xfId="0" applyFont="1" applyBorder="1" applyAlignment="1">
      <alignment horizontal="right"/>
    </xf>
    <xf numFmtId="0" fontId="0" fillId="0" borderId="59" xfId="0" applyBorder="1" applyAlignment="1">
      <alignment wrapText="1" shrinkToFit="1"/>
    </xf>
    <xf numFmtId="43" fontId="0" fillId="0" borderId="1" xfId="1" applyFont="1" applyBorder="1" applyAlignment="1">
      <alignment shrinkToFit="1"/>
    </xf>
    <xf numFmtId="43" fontId="0" fillId="0" borderId="37" xfId="1" applyFont="1" applyBorder="1" applyAlignment="1">
      <alignment shrinkToFit="1"/>
    </xf>
    <xf numFmtId="0" fontId="2" fillId="0" borderId="7" xfId="0" applyFont="1" applyBorder="1" applyAlignment="1">
      <alignment horizontal="center" vertical="top" wrapText="1"/>
    </xf>
    <xf numFmtId="0" fontId="2" fillId="0" borderId="0" xfId="0" applyFont="1" applyAlignment="1">
      <alignment horizontal="center" vertical="top" wrapText="1"/>
    </xf>
    <xf numFmtId="0" fontId="2" fillId="0" borderId="10" xfId="0" applyFont="1" applyBorder="1" applyAlignment="1">
      <alignment horizontal="center" vertical="top" wrapText="1"/>
    </xf>
    <xf numFmtId="14" fontId="0" fillId="0" borderId="0" xfId="0" applyNumberFormat="1"/>
    <xf numFmtId="177" fontId="1" fillId="0" borderId="0" xfId="15" applyFont="1" applyFill="1" applyBorder="1" applyAlignment="1">
      <alignment horizontal="center"/>
    </xf>
    <xf numFmtId="177" fontId="0" fillId="0" borderId="0" xfId="15" applyFont="1" applyFill="1" applyBorder="1"/>
    <xf numFmtId="177" fontId="0" fillId="0" borderId="10" xfId="15" applyFont="1" applyFill="1" applyBorder="1"/>
    <xf numFmtId="177" fontId="0" fillId="0" borderId="0" xfId="0" applyNumberFormat="1"/>
    <xf numFmtId="177" fontId="1" fillId="0" borderId="0" xfId="15" applyFont="1" applyFill="1" applyBorder="1"/>
    <xf numFmtId="177" fontId="1" fillId="0" borderId="0" xfId="15" applyFont="1" applyBorder="1"/>
    <xf numFmtId="177" fontId="1" fillId="0" borderId="0" xfId="15" applyFont="1" applyBorder="1" applyAlignment="1">
      <alignment horizontal="center"/>
    </xf>
    <xf numFmtId="177" fontId="0" fillId="0" borderId="0" xfId="15" applyFont="1" applyBorder="1"/>
    <xf numFmtId="177" fontId="0" fillId="0" borderId="10" xfId="15" applyFont="1" applyBorder="1"/>
    <xf numFmtId="0" fontId="2" fillId="0" borderId="12" xfId="0" applyFont="1" applyBorder="1"/>
    <xf numFmtId="0" fontId="2" fillId="0" borderId="19" xfId="0" applyFont="1" applyBorder="1"/>
    <xf numFmtId="0" fontId="2" fillId="0" borderId="65" xfId="0" applyFont="1" applyBorder="1"/>
    <xf numFmtId="177" fontId="2" fillId="0" borderId="65" xfId="15" applyFont="1" applyBorder="1"/>
    <xf numFmtId="177" fontId="2" fillId="0" borderId="66" xfId="15" applyFont="1" applyBorder="1"/>
    <xf numFmtId="177" fontId="2" fillId="0" borderId="15" xfId="15" applyFont="1" applyBorder="1"/>
    <xf numFmtId="0" fontId="0" fillId="0" borderId="67" xfId="0" applyBorder="1"/>
    <xf numFmtId="178" fontId="0" fillId="0" borderId="0" xfId="0" applyNumberFormat="1"/>
    <xf numFmtId="177" fontId="0" fillId="0" borderId="67" xfId="0" applyNumberFormat="1" applyBorder="1"/>
    <xf numFmtId="177" fontId="0" fillId="0" borderId="7" xfId="0" applyNumberFormat="1" applyBorder="1"/>
    <xf numFmtId="0" fontId="0" fillId="0" borderId="4" xfId="0" applyBorder="1"/>
    <xf numFmtId="0" fontId="2" fillId="0" borderId="4" xfId="0" applyFont="1" applyBorder="1"/>
    <xf numFmtId="177" fontId="0" fillId="0" borderId="10" xfId="0" applyNumberFormat="1" applyBorder="1"/>
    <xf numFmtId="177" fontId="2" fillId="0" borderId="65" xfId="0" applyNumberFormat="1" applyFont="1" applyBorder="1"/>
    <xf numFmtId="178" fontId="2" fillId="0" borderId="0" xfId="0" applyNumberFormat="1" applyFont="1"/>
    <xf numFmtId="0" fontId="0" fillId="0" borderId="12" xfId="0" applyBorder="1"/>
    <xf numFmtId="178" fontId="2" fillId="0" borderId="4" xfId="0" applyNumberFormat="1" applyFont="1" applyBorder="1"/>
    <xf numFmtId="177" fontId="0" fillId="0" borderId="4" xfId="0" applyNumberFormat="1" applyBorder="1"/>
    <xf numFmtId="0" fontId="0" fillId="0" borderId="17" xfId="0" applyBorder="1"/>
    <xf numFmtId="0" fontId="56" fillId="0" borderId="0" xfId="0" applyFont="1"/>
    <xf numFmtId="43" fontId="0" fillId="0" borderId="0" xfId="1" applyFont="1" applyFill="1"/>
    <xf numFmtId="0" fontId="2" fillId="0" borderId="1" xfId="0" applyFont="1" applyBorder="1" applyAlignment="1">
      <alignment horizontal="center"/>
    </xf>
    <xf numFmtId="164" fontId="0" fillId="0" borderId="1" xfId="1" applyNumberFormat="1" applyFont="1" applyBorder="1"/>
    <xf numFmtId="43" fontId="2" fillId="0" borderId="1" xfId="1" applyFont="1" applyBorder="1" applyAlignment="1">
      <alignment horizontal="center"/>
    </xf>
    <xf numFmtId="1" fontId="9" fillId="0" borderId="1" xfId="4" applyNumberFormat="1" applyFont="1" applyBorder="1" applyAlignment="1">
      <alignment horizontal="center" vertical="center" wrapText="1"/>
    </xf>
    <xf numFmtId="0" fontId="10" fillId="0" borderId="11" xfId="0" applyFont="1" applyBorder="1" applyAlignment="1">
      <alignment vertical="center" wrapText="1"/>
    </xf>
    <xf numFmtId="176" fontId="9" fillId="0" borderId="11" xfId="1" applyNumberFormat="1" applyFont="1" applyFill="1" applyBorder="1" applyAlignment="1">
      <alignment horizontal="center"/>
    </xf>
    <xf numFmtId="43" fontId="9" fillId="0" borderId="11" xfId="1" applyFont="1" applyFill="1" applyBorder="1" applyAlignment="1">
      <alignment horizontal="center"/>
    </xf>
    <xf numFmtId="176" fontId="10" fillId="0" borderId="11" xfId="1" applyNumberFormat="1" applyFont="1" applyFill="1" applyBorder="1" applyAlignment="1">
      <alignment horizontal="right"/>
    </xf>
    <xf numFmtId="43" fontId="10" fillId="0" borderId="11" xfId="1" applyFont="1" applyFill="1" applyBorder="1" applyAlignment="1">
      <alignment horizontal="right"/>
    </xf>
    <xf numFmtId="0" fontId="9" fillId="0" borderId="1" xfId="0" applyFont="1" applyBorder="1" applyAlignment="1">
      <alignment vertical="center" wrapText="1"/>
    </xf>
    <xf numFmtId="176" fontId="9" fillId="0" borderId="1" xfId="0" applyNumberFormat="1" applyFont="1" applyBorder="1" applyAlignment="1">
      <alignment vertical="center" wrapText="1"/>
    </xf>
    <xf numFmtId="43" fontId="9" fillId="0" borderId="1" xfId="0" applyNumberFormat="1" applyFont="1" applyBorder="1" applyAlignment="1">
      <alignment vertical="center" wrapText="1"/>
    </xf>
    <xf numFmtId="0" fontId="9" fillId="0" borderId="14" xfId="0" applyFont="1" applyBorder="1" applyAlignment="1">
      <alignment vertical="center" wrapText="1"/>
    </xf>
    <xf numFmtId="176" fontId="9" fillId="0" borderId="14" xfId="0" applyNumberFormat="1" applyFont="1" applyBorder="1" applyAlignment="1">
      <alignment vertical="center" wrapText="1"/>
    </xf>
    <xf numFmtId="43" fontId="9" fillId="0" borderId="14" xfId="0" applyNumberFormat="1" applyFont="1" applyBorder="1" applyAlignment="1">
      <alignment vertical="center" wrapText="1"/>
    </xf>
    <xf numFmtId="164" fontId="9" fillId="0" borderId="14" xfId="1" applyNumberFormat="1" applyFont="1" applyFill="1" applyBorder="1" applyAlignment="1">
      <alignment vertical="center" wrapText="1"/>
    </xf>
    <xf numFmtId="180" fontId="0" fillId="0" borderId="0" xfId="1" applyNumberFormat="1" applyFont="1"/>
    <xf numFmtId="9" fontId="9" fillId="0" borderId="14" xfId="2" applyFont="1" applyFill="1" applyBorder="1" applyAlignment="1">
      <alignment vertical="center" wrapText="1"/>
    </xf>
    <xf numFmtId="176" fontId="9" fillId="0" borderId="14" xfId="1" applyNumberFormat="1" applyFont="1" applyFill="1" applyBorder="1" applyAlignment="1">
      <alignment horizontal="center"/>
    </xf>
    <xf numFmtId="43" fontId="9" fillId="0" borderId="14" xfId="1" applyFont="1" applyFill="1" applyBorder="1" applyAlignment="1">
      <alignment horizontal="center"/>
    </xf>
    <xf numFmtId="176" fontId="10" fillId="0" borderId="14" xfId="1" applyNumberFormat="1" applyFont="1" applyFill="1" applyBorder="1" applyAlignment="1">
      <alignment horizontal="right"/>
    </xf>
    <xf numFmtId="0" fontId="10" fillId="0" borderId="14" xfId="0" applyFont="1" applyBorder="1" applyAlignment="1">
      <alignment horizontal="left" vertical="top" wrapText="1"/>
    </xf>
    <xf numFmtId="176" fontId="9" fillId="0" borderId="1" xfId="1" applyNumberFormat="1" applyFont="1" applyFill="1" applyBorder="1" applyAlignment="1">
      <alignment horizontal="center"/>
    </xf>
    <xf numFmtId="43" fontId="9" fillId="0" borderId="1" xfId="1" applyFont="1" applyFill="1" applyBorder="1" applyAlignment="1">
      <alignment horizontal="center"/>
    </xf>
    <xf numFmtId="164" fontId="10" fillId="0" borderId="1" xfId="1" applyNumberFormat="1" applyFont="1" applyFill="1" applyBorder="1" applyAlignment="1">
      <alignment horizontal="right"/>
    </xf>
    <xf numFmtId="176" fontId="10" fillId="0" borderId="1" xfId="0" applyNumberFormat="1" applyFont="1" applyBorder="1" applyAlignment="1">
      <alignment vertical="center" wrapText="1"/>
    </xf>
    <xf numFmtId="43" fontId="10" fillId="0" borderId="1" xfId="0" applyNumberFormat="1" applyFont="1" applyBorder="1" applyAlignment="1">
      <alignment vertical="center" wrapText="1"/>
    </xf>
    <xf numFmtId="0" fontId="9" fillId="0" borderId="1" xfId="0" applyFont="1" applyBorder="1" applyAlignment="1">
      <alignment vertical="center"/>
    </xf>
    <xf numFmtId="43" fontId="10" fillId="0" borderId="1" xfId="1" applyFont="1" applyFill="1" applyBorder="1" applyAlignment="1">
      <alignment vertical="center" wrapText="1"/>
    </xf>
    <xf numFmtId="43" fontId="10" fillId="0" borderId="14" xfId="1" applyFont="1" applyFill="1" applyBorder="1" applyAlignment="1">
      <alignment vertical="center" wrapText="1"/>
    </xf>
    <xf numFmtId="0" fontId="10" fillId="0" borderId="1" xfId="0" applyFont="1" applyBorder="1" applyAlignment="1">
      <alignment vertical="center" wrapText="1"/>
    </xf>
    <xf numFmtId="176" fontId="9" fillId="0" borderId="1" xfId="1" applyNumberFormat="1" applyFont="1" applyFill="1" applyBorder="1" applyAlignment="1">
      <alignment vertical="center" wrapText="1"/>
    </xf>
    <xf numFmtId="0" fontId="10" fillId="0" borderId="14" xfId="0" applyFont="1" applyBorder="1" applyAlignment="1">
      <alignment vertical="center"/>
    </xf>
    <xf numFmtId="164" fontId="0" fillId="0" borderId="0" xfId="1" applyNumberFormat="1" applyFont="1"/>
    <xf numFmtId="49" fontId="0" fillId="0" borderId="1" xfId="0" applyNumberFormat="1" applyBorder="1"/>
    <xf numFmtId="43" fontId="2" fillId="0" borderId="1" xfId="1" applyFont="1"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68" fontId="58" fillId="0" borderId="7" xfId="16" applyNumberFormat="1" applyFont="1" applyBorder="1" applyAlignment="1">
      <alignment horizontal="center"/>
    </xf>
    <xf numFmtId="168" fontId="58" fillId="0" borderId="0" xfId="16" applyNumberFormat="1" applyFont="1" applyAlignment="1">
      <alignment horizontal="center"/>
    </xf>
    <xf numFmtId="173" fontId="58" fillId="0" borderId="0" xfId="17" applyNumberFormat="1" applyFont="1" applyFill="1" applyBorder="1" applyAlignment="1">
      <alignment horizontal="center"/>
    </xf>
    <xf numFmtId="168" fontId="58" fillId="0" borderId="10" xfId="16" applyNumberFormat="1" applyFont="1" applyBorder="1" applyAlignment="1">
      <alignment horizontal="center"/>
    </xf>
    <xf numFmtId="168" fontId="58" fillId="0" borderId="12" xfId="16" applyNumberFormat="1" applyFont="1" applyBorder="1" applyAlignment="1">
      <alignment horizontal="center"/>
    </xf>
    <xf numFmtId="168" fontId="58" fillId="0" borderId="4" xfId="16" applyNumberFormat="1" applyFont="1" applyBorder="1" applyAlignment="1">
      <alignment horizontal="center"/>
    </xf>
    <xf numFmtId="173" fontId="58" fillId="0" borderId="4" xfId="17" applyNumberFormat="1" applyFont="1" applyFill="1" applyBorder="1" applyAlignment="1">
      <alignment horizontal="center"/>
    </xf>
    <xf numFmtId="168" fontId="58" fillId="0" borderId="17" xfId="16" applyNumberFormat="1" applyFont="1" applyBorder="1" applyAlignment="1">
      <alignment horizontal="center"/>
    </xf>
    <xf numFmtId="9" fontId="0" fillId="0" borderId="0" xfId="0" applyNumberFormat="1"/>
    <xf numFmtId="168" fontId="58" fillId="0" borderId="18" xfId="16" applyNumberFormat="1" applyFont="1" applyBorder="1" applyAlignment="1">
      <alignment vertical="top"/>
    </xf>
    <xf numFmtId="168" fontId="58" fillId="0" borderId="8" xfId="16" applyNumberFormat="1" applyFont="1" applyBorder="1"/>
    <xf numFmtId="173" fontId="58" fillId="0" borderId="8" xfId="17" applyNumberFormat="1" applyFont="1" applyFill="1" applyBorder="1"/>
    <xf numFmtId="168" fontId="58" fillId="0" borderId="1" xfId="16" applyNumberFormat="1" applyFont="1" applyBorder="1" applyAlignment="1">
      <alignment horizontal="right" vertical="top" wrapText="1"/>
    </xf>
    <xf numFmtId="182" fontId="0" fillId="0" borderId="0" xfId="2" applyNumberFormat="1" applyFont="1"/>
    <xf numFmtId="168" fontId="58" fillId="0" borderId="6" xfId="16" applyNumberFormat="1" applyFont="1" applyBorder="1" applyAlignment="1">
      <alignment vertical="top"/>
    </xf>
    <xf numFmtId="168" fontId="58" fillId="0" borderId="5" xfId="16" applyNumberFormat="1" applyFont="1" applyBorder="1"/>
    <xf numFmtId="173" fontId="58" fillId="0" borderId="5" xfId="17" applyNumberFormat="1" applyFont="1" applyFill="1" applyBorder="1"/>
    <xf numFmtId="173" fontId="58" fillId="0" borderId="11" xfId="17" applyNumberFormat="1" applyFont="1" applyFill="1" applyBorder="1"/>
    <xf numFmtId="168" fontId="58" fillId="0" borderId="11" xfId="16" applyNumberFormat="1" applyFont="1" applyBorder="1" applyAlignment="1">
      <alignment horizontal="right" vertical="top" wrapText="1"/>
    </xf>
    <xf numFmtId="10" fontId="0" fillId="0" borderId="0" xfId="2" applyNumberFormat="1" applyFont="1"/>
    <xf numFmtId="183" fontId="59" fillId="0" borderId="7" xfId="16" applyNumberFormat="1" applyFont="1" applyBorder="1" applyAlignment="1">
      <alignment horizontal="left"/>
    </xf>
    <xf numFmtId="168" fontId="60" fillId="0" borderId="0" xfId="16" applyNumberFormat="1" applyFont="1"/>
    <xf numFmtId="173" fontId="59" fillId="0" borderId="0" xfId="17" applyNumberFormat="1" applyFont="1" applyFill="1" applyBorder="1"/>
    <xf numFmtId="173" fontId="59" fillId="0" borderId="14" xfId="17" applyNumberFormat="1" applyFont="1" applyFill="1" applyBorder="1"/>
    <xf numFmtId="168" fontId="60" fillId="0" borderId="14" xfId="16" applyNumberFormat="1" applyFont="1" applyBorder="1"/>
    <xf numFmtId="168" fontId="61" fillId="0" borderId="7" xfId="16" applyNumberFormat="1" applyFont="1" applyBorder="1"/>
    <xf numFmtId="168" fontId="58" fillId="0" borderId="0" xfId="16" applyNumberFormat="1" applyFont="1"/>
    <xf numFmtId="173" fontId="58" fillId="0" borderId="0" xfId="17" applyNumberFormat="1" applyFont="1" applyFill="1" applyBorder="1"/>
    <xf numFmtId="173" fontId="58" fillId="0" borderId="14" xfId="17" applyNumberFormat="1" applyFont="1" applyFill="1" applyBorder="1"/>
    <xf numFmtId="168" fontId="61" fillId="0" borderId="14" xfId="16" applyNumberFormat="1" applyFont="1" applyBorder="1"/>
    <xf numFmtId="10" fontId="0" fillId="0" borderId="0" xfId="0" applyNumberFormat="1"/>
    <xf numFmtId="168" fontId="58" fillId="0" borderId="7" xfId="16" applyNumberFormat="1" applyFont="1" applyBorder="1"/>
    <xf numFmtId="168" fontId="61" fillId="0" borderId="0" xfId="16" applyNumberFormat="1" applyFont="1"/>
    <xf numFmtId="173" fontId="61" fillId="0" borderId="0" xfId="17" applyNumberFormat="1" applyFont="1" applyFill="1" applyBorder="1"/>
    <xf numFmtId="173" fontId="61" fillId="0" borderId="14" xfId="17" applyNumberFormat="1" applyFont="1" applyFill="1" applyBorder="1"/>
    <xf numFmtId="170" fontId="61" fillId="0" borderId="14" xfId="8" applyFont="1" applyFill="1" applyBorder="1"/>
    <xf numFmtId="173" fontId="58" fillId="0" borderId="0" xfId="17" applyNumberFormat="1" applyFont="1" applyFill="1" applyBorder="1" applyAlignment="1">
      <alignment horizontal="right"/>
    </xf>
    <xf numFmtId="173" fontId="58" fillId="0" borderId="14" xfId="17" applyNumberFormat="1" applyFont="1" applyFill="1" applyBorder="1" applyAlignment="1">
      <alignment horizontal="right"/>
    </xf>
    <xf numFmtId="173" fontId="58" fillId="0" borderId="16" xfId="17" applyNumberFormat="1" applyFont="1" applyFill="1" applyBorder="1"/>
    <xf numFmtId="173" fontId="58" fillId="0" borderId="68" xfId="17" applyNumberFormat="1" applyFont="1" applyFill="1" applyBorder="1"/>
    <xf numFmtId="164" fontId="61" fillId="0" borderId="14" xfId="16" applyFont="1" applyBorder="1"/>
    <xf numFmtId="164" fontId="58" fillId="0" borderId="16" xfId="18" applyNumberFormat="1" applyFont="1" applyFill="1" applyBorder="1"/>
    <xf numFmtId="164" fontId="61" fillId="0" borderId="14" xfId="18" applyNumberFormat="1" applyFont="1" applyFill="1" applyBorder="1"/>
    <xf numFmtId="173" fontId="61" fillId="0" borderId="0" xfId="17" applyNumberFormat="1" applyFont="1" applyFill="1" applyBorder="1" applyAlignment="1">
      <alignment horizontal="right"/>
    </xf>
    <xf numFmtId="173" fontId="61" fillId="0" borderId="14" xfId="17" applyNumberFormat="1" applyFont="1" applyFill="1" applyBorder="1" applyAlignment="1">
      <alignment horizontal="right"/>
    </xf>
    <xf numFmtId="168" fontId="61" fillId="0" borderId="69" xfId="16" applyNumberFormat="1" applyFont="1" applyBorder="1"/>
    <xf numFmtId="168" fontId="58" fillId="0" borderId="14" xfId="16" applyNumberFormat="1" applyFont="1" applyBorder="1"/>
    <xf numFmtId="168" fontId="59" fillId="0" borderId="7" xfId="16" applyNumberFormat="1" applyFont="1" applyBorder="1"/>
    <xf numFmtId="168" fontId="59" fillId="0" borderId="12" xfId="16" applyNumberFormat="1" applyFont="1" applyBorder="1"/>
    <xf numFmtId="168" fontId="58" fillId="0" borderId="4" xfId="16" applyNumberFormat="1" applyFont="1" applyBorder="1"/>
    <xf numFmtId="168" fontId="61" fillId="0" borderId="4" xfId="16" applyNumberFormat="1" applyFont="1" applyBorder="1"/>
    <xf numFmtId="173" fontId="61" fillId="0" borderId="4" xfId="17" applyNumberFormat="1" applyFont="1" applyFill="1" applyBorder="1"/>
    <xf numFmtId="173" fontId="61" fillId="0" borderId="13" xfId="17" applyNumberFormat="1" applyFont="1" applyFill="1" applyBorder="1"/>
    <xf numFmtId="173" fontId="58" fillId="0" borderId="13" xfId="17" applyNumberFormat="1" applyFont="1" applyFill="1" applyBorder="1"/>
    <xf numFmtId="168" fontId="61" fillId="0" borderId="13" xfId="16" applyNumberFormat="1" applyFont="1" applyBorder="1"/>
    <xf numFmtId="168" fontId="60" fillId="0" borderId="7" xfId="16" applyNumberFormat="1" applyFont="1" applyBorder="1"/>
    <xf numFmtId="168" fontId="60" fillId="0" borderId="5" xfId="16" applyNumberFormat="1" applyFont="1" applyBorder="1"/>
    <xf numFmtId="173" fontId="60" fillId="0" borderId="0" xfId="17" applyNumberFormat="1" applyFont="1" applyFill="1" applyBorder="1"/>
    <xf numFmtId="173" fontId="60" fillId="0" borderId="14" xfId="17" applyNumberFormat="1" applyFont="1" applyFill="1" applyBorder="1"/>
    <xf numFmtId="169" fontId="60" fillId="0" borderId="14" xfId="17" applyNumberFormat="1" applyFont="1" applyFill="1" applyBorder="1"/>
    <xf numFmtId="169" fontId="60" fillId="0" borderId="14" xfId="16" applyNumberFormat="1" applyFont="1" applyBorder="1"/>
    <xf numFmtId="168" fontId="60" fillId="0" borderId="12" xfId="16" applyNumberFormat="1" applyFont="1" applyBorder="1"/>
    <xf numFmtId="168" fontId="60" fillId="0" borderId="4" xfId="16" applyNumberFormat="1" applyFont="1" applyBorder="1"/>
    <xf numFmtId="173" fontId="60" fillId="0" borderId="4" xfId="17" applyNumberFormat="1" applyFont="1" applyFill="1" applyBorder="1"/>
    <xf numFmtId="173" fontId="60" fillId="0" borderId="13" xfId="17" applyNumberFormat="1" applyFont="1" applyFill="1" applyBorder="1"/>
    <xf numFmtId="169" fontId="60" fillId="0" borderId="13" xfId="16" applyNumberFormat="1" applyFont="1" applyBorder="1"/>
    <xf numFmtId="169" fontId="60" fillId="0" borderId="13" xfId="17" applyNumberFormat="1" applyFont="1" applyFill="1" applyBorder="1"/>
    <xf numFmtId="0" fontId="63" fillId="0" borderId="0" xfId="0" applyFont="1" applyAlignment="1">
      <alignment horizontal="left"/>
    </xf>
    <xf numFmtId="0" fontId="64" fillId="0" borderId="0" xfId="0" applyFont="1"/>
    <xf numFmtId="43" fontId="64" fillId="0" borderId="0" xfId="1" applyFont="1"/>
    <xf numFmtId="0" fontId="64" fillId="0" borderId="0" xfId="0" applyFont="1" applyAlignment="1">
      <alignment horizontal="left"/>
    </xf>
    <xf numFmtId="0" fontId="64" fillId="0" borderId="0" xfId="0" applyFont="1" applyAlignment="1">
      <alignment wrapText="1"/>
    </xf>
    <xf numFmtId="0" fontId="63" fillId="0" borderId="4" xfId="0" applyFont="1" applyBorder="1" applyAlignment="1">
      <alignment vertical="top"/>
    </xf>
    <xf numFmtId="43" fontId="63" fillId="0" borderId="4" xfId="1" applyFont="1" applyBorder="1" applyAlignment="1">
      <alignment vertical="top"/>
    </xf>
    <xf numFmtId="49" fontId="63" fillId="0" borderId="1" xfId="0" applyNumberFormat="1" applyFont="1" applyBorder="1" applyAlignment="1">
      <alignment horizontal="center" vertical="top"/>
    </xf>
    <xf numFmtId="43" fontId="63" fillId="0" borderId="1" xfId="1" applyFont="1" applyBorder="1" applyAlignment="1">
      <alignment horizontal="center" vertical="top"/>
    </xf>
    <xf numFmtId="0" fontId="65" fillId="0" borderId="1" xfId="0" applyFont="1" applyBorder="1" applyAlignment="1">
      <alignment vertical="center" wrapText="1"/>
    </xf>
    <xf numFmtId="0" fontId="64" fillId="0" borderId="1" xfId="0" applyFont="1" applyBorder="1"/>
    <xf numFmtId="0" fontId="65" fillId="0" borderId="1" xfId="0" applyFont="1" applyBorder="1" applyAlignment="1">
      <alignment horizontal="center" vertical="center"/>
    </xf>
    <xf numFmtId="0" fontId="65" fillId="0" borderId="1" xfId="0" applyFont="1" applyBorder="1" applyAlignment="1">
      <alignment vertical="center"/>
    </xf>
    <xf numFmtId="0" fontId="65" fillId="0" borderId="1" xfId="0" quotePrefix="1" applyFont="1" applyBorder="1" applyAlignment="1">
      <alignment vertical="center"/>
    </xf>
    <xf numFmtId="164" fontId="65" fillId="0" borderId="1" xfId="1" applyNumberFormat="1" applyFont="1" applyBorder="1" applyAlignment="1">
      <alignment vertical="center"/>
    </xf>
    <xf numFmtId="164" fontId="66" fillId="0" borderId="1" xfId="1" applyNumberFormat="1" applyFont="1" applyBorder="1"/>
    <xf numFmtId="16" fontId="0" fillId="0" borderId="0" xfId="0" applyNumberFormat="1"/>
    <xf numFmtId="14" fontId="0" fillId="0" borderId="1" xfId="0" applyNumberFormat="1" applyBorder="1" applyAlignment="1">
      <alignment horizontal="center"/>
    </xf>
    <xf numFmtId="164" fontId="2" fillId="0" borderId="1" xfId="0" applyNumberFormat="1" applyFont="1" applyBorder="1" applyAlignment="1">
      <alignment horizontal="center"/>
    </xf>
    <xf numFmtId="173" fontId="0" fillId="0" borderId="0" xfId="0" applyNumberFormat="1"/>
    <xf numFmtId="0" fontId="18" fillId="0" borderId="1" xfId="7" applyFont="1" applyFill="1" applyBorder="1" applyAlignment="1" applyProtection="1">
      <alignment horizontal="center" vertical="center" wrapText="1"/>
      <protection hidden="1"/>
    </xf>
    <xf numFmtId="164" fontId="0" fillId="0" borderId="1" xfId="0" applyNumberFormat="1" applyBorder="1"/>
    <xf numFmtId="168" fontId="0" fillId="0" borderId="0" xfId="0" applyNumberFormat="1"/>
    <xf numFmtId="0" fontId="2" fillId="0" borderId="14" xfId="0" applyFont="1" applyBorder="1" applyAlignment="1">
      <alignment horizontal="center" vertical="center"/>
    </xf>
    <xf numFmtId="0" fontId="67" fillId="0" borderId="0" xfId="0" applyFont="1" applyAlignment="1">
      <alignment vertical="center"/>
    </xf>
    <xf numFmtId="43" fontId="0" fillId="0" borderId="0" xfId="1" applyFont="1" applyFill="1" applyAlignment="1">
      <alignment vertical="center"/>
    </xf>
    <xf numFmtId="0" fontId="0" fillId="0" borderId="0" xfId="0" applyAlignment="1">
      <alignment vertical="center" wrapText="1"/>
    </xf>
    <xf numFmtId="0" fontId="0" fillId="0" borderId="0" xfId="0" applyAlignment="1">
      <alignment vertical="center"/>
    </xf>
    <xf numFmtId="0" fontId="16" fillId="0" borderId="0" xfId="0" applyFont="1" applyAlignment="1">
      <alignment vertical="center"/>
    </xf>
    <xf numFmtId="0" fontId="2" fillId="0" borderId="1" xfId="0" applyFont="1" applyBorder="1" applyAlignment="1">
      <alignment vertical="center" wrapText="1"/>
    </xf>
    <xf numFmtId="43" fontId="2" fillId="0" borderId="1" xfId="1" applyFont="1" applyFill="1" applyBorder="1" applyAlignment="1">
      <alignment vertical="center" wrapText="1"/>
    </xf>
    <xf numFmtId="43" fontId="0" fillId="0" borderId="0" xfId="1" applyFont="1" applyFill="1" applyAlignment="1">
      <alignment wrapText="1"/>
    </xf>
    <xf numFmtId="0" fontId="0" fillId="0" borderId="1" xfId="0" applyBorder="1" applyAlignment="1">
      <alignment vertical="center" wrapText="1"/>
    </xf>
    <xf numFmtId="43" fontId="0" fillId="0" borderId="1" xfId="1" applyFont="1" applyFill="1" applyBorder="1" applyAlignment="1">
      <alignment vertical="center"/>
    </xf>
    <xf numFmtId="43" fontId="0" fillId="0" borderId="1" xfId="0" applyNumberFormat="1" applyBorder="1" applyAlignment="1">
      <alignment vertical="center"/>
    </xf>
    <xf numFmtId="0" fontId="2" fillId="0" borderId="0" xfId="0" applyFont="1" applyAlignment="1">
      <alignment vertical="center" wrapText="1"/>
    </xf>
    <xf numFmtId="43" fontId="2" fillId="0" borderId="1" xfId="1" applyFont="1" applyFill="1" applyBorder="1" applyAlignment="1">
      <alignment vertical="center"/>
    </xf>
    <xf numFmtId="43" fontId="0" fillId="0" borderId="1" xfId="1" applyFont="1" applyFill="1" applyBorder="1" applyAlignment="1">
      <alignment vertical="center" wrapText="1"/>
    </xf>
    <xf numFmtId="0" fontId="0" fillId="0" borderId="1" xfId="0" applyBorder="1" applyAlignment="1">
      <alignment vertical="center"/>
    </xf>
    <xf numFmtId="43" fontId="0" fillId="0" borderId="0" xfId="1" applyFont="1" applyFill="1" applyBorder="1" applyAlignment="1">
      <alignment vertical="center"/>
    </xf>
    <xf numFmtId="43" fontId="0" fillId="0" borderId="0" xfId="1" applyFont="1" applyFill="1" applyBorder="1" applyAlignment="1">
      <alignment vertical="center" wrapText="1"/>
    </xf>
    <xf numFmtId="43" fontId="0" fillId="0" borderId="0" xfId="0" applyNumberFormat="1" applyAlignment="1">
      <alignment vertical="center"/>
    </xf>
    <xf numFmtId="43" fontId="68" fillId="0" borderId="0" xfId="1" applyFont="1" applyFill="1"/>
    <xf numFmtId="43" fontId="68" fillId="0" borderId="1" xfId="1" applyFont="1" applyFill="1" applyBorder="1"/>
    <xf numFmtId="43" fontId="0" fillId="0" borderId="1" xfId="1" applyFont="1" applyFill="1" applyBorder="1"/>
    <xf numFmtId="0" fontId="0" fillId="0" borderId="20" xfId="0" applyBorder="1" applyAlignment="1">
      <alignment vertical="center"/>
    </xf>
    <xf numFmtId="17" fontId="0" fillId="0" borderId="1" xfId="0" applyNumberFormat="1" applyBorder="1"/>
    <xf numFmtId="43" fontId="0" fillId="0" borderId="1" xfId="0" applyNumberFormat="1" applyBorder="1"/>
    <xf numFmtId="17" fontId="0" fillId="0" borderId="20" xfId="0" applyNumberFormat="1" applyBorder="1"/>
    <xf numFmtId="184" fontId="0" fillId="0" borderId="1" xfId="2" applyNumberFormat="1" applyFont="1" applyFill="1" applyBorder="1"/>
    <xf numFmtId="43" fontId="2" fillId="0" borderId="1" xfId="0" applyNumberFormat="1" applyFont="1" applyBorder="1"/>
    <xf numFmtId="43" fontId="2" fillId="0" borderId="1" xfId="1" applyFont="1" applyFill="1" applyBorder="1"/>
    <xf numFmtId="17" fontId="0" fillId="0" borderId="0" xfId="0" applyNumberFormat="1"/>
    <xf numFmtId="43" fontId="2" fillId="0" borderId="0" xfId="1" applyFont="1" applyFill="1"/>
    <xf numFmtId="170" fontId="0" fillId="0" borderId="0" xfId="0" applyNumberFormat="1"/>
    <xf numFmtId="10" fontId="0" fillId="0" borderId="1" xfId="1" applyNumberFormat="1" applyFont="1" applyFill="1" applyBorder="1"/>
    <xf numFmtId="0" fontId="0" fillId="0" borderId="1" xfId="0" applyBorder="1" applyAlignment="1">
      <alignment wrapText="1"/>
    </xf>
    <xf numFmtId="43" fontId="2" fillId="0" borderId="0" xfId="0" applyNumberFormat="1" applyFont="1"/>
    <xf numFmtId="43" fontId="56" fillId="0" borderId="0" xfId="1" applyFont="1"/>
    <xf numFmtId="0" fontId="57" fillId="0" borderId="0" xfId="19" applyFont="1" applyAlignment="1">
      <alignment horizontal="center"/>
    </xf>
    <xf numFmtId="0" fontId="57" fillId="0" borderId="0" xfId="19" applyFont="1"/>
    <xf numFmtId="173" fontId="57" fillId="0" borderId="0" xfId="20" applyNumberFormat="1" applyFont="1" applyFill="1"/>
    <xf numFmtId="173" fontId="18" fillId="0" borderId="0" xfId="20" applyNumberFormat="1" applyFont="1" applyFill="1" applyBorder="1" applyAlignment="1">
      <alignment horizontal="center"/>
    </xf>
    <xf numFmtId="173" fontId="18" fillId="0" borderId="7" xfId="20" applyNumberFormat="1" applyFont="1" applyFill="1" applyBorder="1" applyAlignment="1">
      <alignment horizontal="center"/>
    </xf>
    <xf numFmtId="173" fontId="57" fillId="0" borderId="0" xfId="20" applyNumberFormat="1" applyFont="1" applyFill="1" applyBorder="1"/>
    <xf numFmtId="173" fontId="18" fillId="0" borderId="0" xfId="20" applyNumberFormat="1" applyFont="1" applyFill="1" applyBorder="1"/>
    <xf numFmtId="0" fontId="18" fillId="0" borderId="6" xfId="20" applyNumberFormat="1" applyFont="1" applyFill="1" applyBorder="1" applyAlignment="1">
      <alignment horizontal="center"/>
    </xf>
    <xf numFmtId="9" fontId="18" fillId="0" borderId="11" xfId="3" applyFont="1" applyFill="1" applyBorder="1"/>
    <xf numFmtId="173" fontId="18" fillId="0" borderId="5" xfId="20" applyNumberFormat="1" applyFont="1" applyFill="1" applyBorder="1" applyAlignment="1">
      <alignment horizontal="center"/>
    </xf>
    <xf numFmtId="173" fontId="18" fillId="0" borderId="11" xfId="20" applyNumberFormat="1" applyFont="1" applyFill="1" applyBorder="1" applyAlignment="1">
      <alignment horizontal="center"/>
    </xf>
    <xf numFmtId="173" fontId="18" fillId="0" borderId="9" xfId="20" applyNumberFormat="1" applyFont="1" applyFill="1" applyBorder="1" applyAlignment="1">
      <alignment horizontal="center"/>
    </xf>
    <xf numFmtId="0" fontId="18" fillId="0" borderId="7" xfId="20" applyNumberFormat="1" applyFont="1" applyFill="1" applyBorder="1" applyAlignment="1">
      <alignment horizontal="center"/>
    </xf>
    <xf numFmtId="173" fontId="18" fillId="0" borderId="14" xfId="20" applyNumberFormat="1" applyFont="1" applyFill="1" applyBorder="1"/>
    <xf numFmtId="173" fontId="18" fillId="0" borderId="14" xfId="20" applyNumberFormat="1" applyFont="1" applyFill="1" applyBorder="1" applyAlignment="1">
      <alignment horizontal="center"/>
    </xf>
    <xf numFmtId="14" fontId="18" fillId="0" borderId="14" xfId="20" applyNumberFormat="1" applyFont="1" applyFill="1" applyBorder="1" applyAlignment="1">
      <alignment horizontal="center"/>
    </xf>
    <xf numFmtId="0" fontId="72" fillId="0" borderId="12" xfId="20" applyNumberFormat="1" applyFont="1" applyFill="1" applyBorder="1" applyAlignment="1">
      <alignment horizontal="center"/>
    </xf>
    <xf numFmtId="173" fontId="72" fillId="0" borderId="13" xfId="20" applyNumberFormat="1" applyFont="1" applyFill="1" applyBorder="1"/>
    <xf numFmtId="173" fontId="72" fillId="0" borderId="4" xfId="20" applyNumberFormat="1" applyFont="1" applyFill="1" applyBorder="1"/>
    <xf numFmtId="173" fontId="73" fillId="0" borderId="13" xfId="20" applyNumberFormat="1" applyFont="1" applyFill="1" applyBorder="1" applyAlignment="1">
      <alignment horizontal="center"/>
    </xf>
    <xf numFmtId="173" fontId="18" fillId="0" borderId="13" xfId="20" applyNumberFormat="1" applyFont="1" applyFill="1" applyBorder="1" applyAlignment="1">
      <alignment horizontal="center"/>
    </xf>
    <xf numFmtId="0" fontId="72" fillId="0" borderId="11" xfId="20" applyNumberFormat="1" applyFont="1" applyFill="1" applyBorder="1" applyAlignment="1">
      <alignment horizontal="center"/>
    </xf>
    <xf numFmtId="173" fontId="72" fillId="0" borderId="11" xfId="20" applyNumberFormat="1" applyFont="1" applyFill="1" applyBorder="1"/>
    <xf numFmtId="173" fontId="72" fillId="0" borderId="14" xfId="20" applyNumberFormat="1" applyFont="1" applyFill="1" applyBorder="1"/>
    <xf numFmtId="0" fontId="72" fillId="0" borderId="14" xfId="20" applyNumberFormat="1" applyFont="1" applyFill="1" applyBorder="1" applyAlignment="1">
      <alignment horizontal="center"/>
    </xf>
    <xf numFmtId="9" fontId="74" fillId="0" borderId="10" xfId="3" applyFont="1" applyFill="1" applyBorder="1"/>
    <xf numFmtId="173" fontId="72" fillId="0" borderId="0" xfId="20" applyNumberFormat="1" applyFont="1" applyFill="1" applyBorder="1"/>
    <xf numFmtId="0" fontId="18" fillId="0" borderId="14" xfId="20" quotePrefix="1" applyNumberFormat="1" applyFont="1" applyFill="1" applyBorder="1" applyAlignment="1">
      <alignment horizontal="center"/>
    </xf>
    <xf numFmtId="9" fontId="57" fillId="0" borderId="10" xfId="3" applyFont="1" applyFill="1" applyBorder="1"/>
    <xf numFmtId="9" fontId="57" fillId="0" borderId="0" xfId="20" applyNumberFormat="1" applyFont="1" applyFill="1" applyBorder="1" applyAlignment="1">
      <alignment horizontal="center"/>
    </xf>
    <xf numFmtId="173" fontId="57" fillId="0" borderId="14" xfId="20" applyNumberFormat="1" applyFont="1" applyFill="1" applyBorder="1"/>
    <xf numFmtId="164" fontId="57" fillId="0" borderId="14" xfId="20" applyNumberFormat="1" applyFont="1" applyFill="1" applyBorder="1"/>
    <xf numFmtId="0" fontId="72" fillId="0" borderId="13" xfId="20" applyNumberFormat="1" applyFont="1" applyFill="1" applyBorder="1" applyAlignment="1">
      <alignment horizontal="center"/>
    </xf>
    <xf numFmtId="9" fontId="18" fillId="0" borderId="17" xfId="3" applyFont="1" applyFill="1" applyBorder="1"/>
    <xf numFmtId="9" fontId="57" fillId="0" borderId="4" xfId="20" applyNumberFormat="1" applyFont="1" applyFill="1" applyBorder="1" applyAlignment="1">
      <alignment horizontal="center"/>
    </xf>
    <xf numFmtId="173" fontId="18" fillId="0" borderId="1" xfId="20" applyNumberFormat="1" applyFont="1" applyFill="1" applyBorder="1"/>
    <xf numFmtId="170" fontId="57" fillId="0" borderId="10" xfId="20" applyNumberFormat="1" applyFont="1" applyFill="1" applyBorder="1" applyAlignment="1">
      <alignment horizontal="center"/>
    </xf>
    <xf numFmtId="173" fontId="57" fillId="0" borderId="10" xfId="20" applyNumberFormat="1" applyFont="1" applyFill="1" applyBorder="1" applyAlignment="1">
      <alignment horizontal="center"/>
    </xf>
    <xf numFmtId="0" fontId="73" fillId="0" borderId="14" xfId="20" applyNumberFormat="1" applyFont="1" applyFill="1" applyBorder="1" applyAlignment="1">
      <alignment horizontal="center"/>
    </xf>
    <xf numFmtId="173" fontId="72" fillId="0" borderId="0" xfId="20" applyNumberFormat="1" applyFont="1" applyFill="1" applyBorder="1" applyAlignment="1">
      <alignment horizontal="center"/>
    </xf>
    <xf numFmtId="170" fontId="57" fillId="0" borderId="10" xfId="20" applyNumberFormat="1" applyFont="1" applyFill="1" applyBorder="1"/>
    <xf numFmtId="170" fontId="57" fillId="0" borderId="14" xfId="20" applyNumberFormat="1" applyFont="1" applyFill="1" applyBorder="1"/>
    <xf numFmtId="9" fontId="57" fillId="0" borderId="13" xfId="3" applyFont="1" applyFill="1" applyBorder="1"/>
    <xf numFmtId="0" fontId="72" fillId="0" borderId="1" xfId="20" applyNumberFormat="1" applyFont="1" applyFill="1" applyBorder="1" applyAlignment="1">
      <alignment horizontal="center"/>
    </xf>
    <xf numFmtId="9" fontId="57" fillId="0" borderId="1" xfId="20" applyNumberFormat="1" applyFont="1" applyFill="1" applyBorder="1" applyAlignment="1">
      <alignment horizontal="center"/>
    </xf>
    <xf numFmtId="0" fontId="72" fillId="0" borderId="7" xfId="20" applyNumberFormat="1" applyFont="1" applyFill="1" applyBorder="1" applyAlignment="1">
      <alignment horizontal="center"/>
    </xf>
    <xf numFmtId="173" fontId="72" fillId="0" borderId="10" xfId="20" applyNumberFormat="1" applyFont="1" applyFill="1" applyBorder="1"/>
    <xf numFmtId="9" fontId="57" fillId="0" borderId="14" xfId="3" applyFont="1" applyFill="1" applyBorder="1"/>
    <xf numFmtId="173" fontId="57" fillId="0" borderId="14" xfId="20" applyNumberFormat="1" applyFont="1" applyFill="1" applyBorder="1" applyAlignment="1">
      <alignment horizontal="center"/>
    </xf>
    <xf numFmtId="173" fontId="72" fillId="0" borderId="1" xfId="20" applyNumberFormat="1" applyFont="1" applyFill="1" applyBorder="1"/>
    <xf numFmtId="173" fontId="57" fillId="0" borderId="4" xfId="20" applyNumberFormat="1" applyFont="1" applyFill="1" applyBorder="1" applyAlignment="1">
      <alignment horizontal="center"/>
    </xf>
    <xf numFmtId="173" fontId="57" fillId="0" borderId="0" xfId="19" applyNumberFormat="1" applyFont="1"/>
    <xf numFmtId="173" fontId="72" fillId="0" borderId="14" xfId="20" applyNumberFormat="1" applyFont="1" applyFill="1" applyBorder="1" applyAlignment="1">
      <alignment horizontal="center"/>
    </xf>
    <xf numFmtId="173" fontId="57" fillId="0" borderId="10" xfId="20" applyNumberFormat="1" applyFont="1" applyFill="1" applyBorder="1"/>
    <xf numFmtId="9" fontId="57" fillId="0" borderId="14" xfId="20" applyNumberFormat="1" applyFont="1" applyFill="1" applyBorder="1" applyAlignment="1">
      <alignment horizontal="center"/>
    </xf>
    <xf numFmtId="173" fontId="57" fillId="0" borderId="13" xfId="20" quotePrefix="1" applyNumberFormat="1" applyFont="1" applyFill="1" applyBorder="1" applyAlignment="1">
      <alignment horizontal="center"/>
    </xf>
    <xf numFmtId="9" fontId="74" fillId="0" borderId="0" xfId="3" applyFont="1" applyFill="1" applyBorder="1"/>
    <xf numFmtId="9" fontId="57" fillId="0" borderId="0" xfId="3" applyFont="1" applyFill="1" applyBorder="1"/>
    <xf numFmtId="0" fontId="18" fillId="0" borderId="1" xfId="20" quotePrefix="1" applyNumberFormat="1" applyFont="1" applyFill="1" applyBorder="1" applyAlignment="1">
      <alignment horizontal="center"/>
    </xf>
    <xf numFmtId="9" fontId="18" fillId="0" borderId="20" xfId="3" applyFont="1" applyFill="1" applyBorder="1"/>
    <xf numFmtId="173" fontId="72" fillId="0" borderId="20" xfId="20" applyNumberFormat="1" applyFont="1" applyFill="1" applyBorder="1" applyAlignment="1">
      <alignment horizontal="center"/>
    </xf>
    <xf numFmtId="0" fontId="18" fillId="0" borderId="14" xfId="20" applyNumberFormat="1" applyFont="1" applyFill="1" applyBorder="1" applyAlignment="1">
      <alignment horizontal="center"/>
    </xf>
    <xf numFmtId="173" fontId="57" fillId="0" borderId="0" xfId="20" applyNumberFormat="1" applyFont="1" applyFill="1" applyBorder="1" applyAlignment="1">
      <alignment horizontal="center"/>
    </xf>
    <xf numFmtId="173" fontId="57" fillId="0" borderId="13" xfId="20" applyNumberFormat="1" applyFont="1" applyFill="1" applyBorder="1" applyAlignment="1">
      <alignment horizontal="center"/>
    </xf>
    <xf numFmtId="0" fontId="18" fillId="0" borderId="13" xfId="20" quotePrefix="1" applyNumberFormat="1" applyFont="1" applyFill="1" applyBorder="1" applyAlignment="1">
      <alignment horizontal="center"/>
    </xf>
    <xf numFmtId="173" fontId="57" fillId="0" borderId="18" xfId="20" quotePrefix="1" applyNumberFormat="1" applyFont="1" applyFill="1" applyBorder="1" applyAlignment="1">
      <alignment horizontal="center"/>
    </xf>
    <xf numFmtId="173" fontId="57" fillId="0" borderId="0" xfId="20" applyNumberFormat="1" applyFont="1" applyFill="1" applyAlignment="1">
      <alignment horizontal="left"/>
    </xf>
    <xf numFmtId="170" fontId="57" fillId="0" borderId="0" xfId="19" applyNumberFormat="1" applyFont="1"/>
    <xf numFmtId="0" fontId="18" fillId="0" borderId="7" xfId="19" applyFont="1" applyBorder="1" applyAlignment="1">
      <alignment horizontal="center"/>
    </xf>
    <xf numFmtId="0" fontId="18" fillId="0" borderId="0" xfId="19" applyFont="1" applyAlignment="1">
      <alignment horizontal="center"/>
    </xf>
    <xf numFmtId="0" fontId="57" fillId="0" borderId="10" xfId="19" applyFont="1" applyBorder="1"/>
    <xf numFmtId="168" fontId="18" fillId="0" borderId="7" xfId="21" applyNumberFormat="1" applyFont="1" applyBorder="1" applyAlignment="1">
      <alignment horizontal="center"/>
    </xf>
    <xf numFmtId="168" fontId="18" fillId="0" borderId="0" xfId="21" applyNumberFormat="1" applyFont="1" applyAlignment="1">
      <alignment horizontal="center"/>
    </xf>
    <xf numFmtId="0" fontId="57" fillId="0" borderId="7" xfId="19" applyFont="1" applyBorder="1" applyAlignment="1">
      <alignment horizontal="center"/>
    </xf>
    <xf numFmtId="0" fontId="57" fillId="0" borderId="5" xfId="19" applyFont="1" applyBorder="1"/>
    <xf numFmtId="0" fontId="57" fillId="0" borderId="14" xfId="19" applyFont="1" applyBorder="1"/>
    <xf numFmtId="0" fontId="57" fillId="0" borderId="4" xfId="19" applyFont="1" applyBorder="1"/>
    <xf numFmtId="0" fontId="18" fillId="0" borderId="1" xfId="19" applyFont="1" applyBorder="1"/>
    <xf numFmtId="0" fontId="18" fillId="0" borderId="14" xfId="19" applyFont="1" applyBorder="1" applyAlignment="1">
      <alignment horizontal="center"/>
    </xf>
    <xf numFmtId="170" fontId="57" fillId="0" borderId="14" xfId="24" applyNumberFormat="1" applyFont="1" applyBorder="1"/>
    <xf numFmtId="173" fontId="57" fillId="0" borderId="14" xfId="24" applyNumberFormat="1" applyFont="1" applyBorder="1"/>
    <xf numFmtId="43" fontId="57" fillId="0" borderId="0" xfId="19" applyNumberFormat="1" applyFont="1"/>
    <xf numFmtId="173" fontId="18" fillId="0" borderId="0" xfId="19" applyNumberFormat="1" applyFont="1"/>
    <xf numFmtId="164" fontId="57" fillId="0" borderId="0" xfId="19" applyNumberFormat="1" applyFont="1"/>
    <xf numFmtId="0" fontId="18" fillId="0" borderId="0" xfId="19" applyFont="1"/>
    <xf numFmtId="173" fontId="57" fillId="0" borderId="0" xfId="19" applyNumberFormat="1" applyFont="1" applyAlignment="1">
      <alignment horizontal="center"/>
    </xf>
    <xf numFmtId="37" fontId="57" fillId="0" borderId="0" xfId="19" applyNumberFormat="1" applyFont="1"/>
    <xf numFmtId="9" fontId="57" fillId="0" borderId="0" xfId="19" applyNumberFormat="1" applyFont="1"/>
    <xf numFmtId="168" fontId="51" fillId="2" borderId="0" xfId="12" applyNumberFormat="1" applyFont="1" applyFill="1"/>
    <xf numFmtId="168" fontId="53" fillId="2" borderId="0" xfId="12" applyNumberFormat="1" applyFont="1" applyFill="1"/>
    <xf numFmtId="43" fontId="51" fillId="2" borderId="0" xfId="1" applyFont="1" applyFill="1"/>
    <xf numFmtId="0" fontId="75" fillId="0" borderId="0" xfId="0" applyFont="1"/>
    <xf numFmtId="164" fontId="75" fillId="0" borderId="0" xfId="0" applyNumberFormat="1" applyFont="1"/>
    <xf numFmtId="43" fontId="75" fillId="0" borderId="0" xfId="1" applyFont="1"/>
    <xf numFmtId="37" fontId="18" fillId="0" borderId="65" xfId="19" applyNumberFormat="1" applyFont="1" applyBorder="1"/>
    <xf numFmtId="0" fontId="77" fillId="0" borderId="0" xfId="0" applyFont="1"/>
    <xf numFmtId="43" fontId="77" fillId="0" borderId="0" xfId="1" applyFont="1"/>
    <xf numFmtId="0" fontId="78" fillId="0" borderId="0" xfId="0" applyFont="1"/>
    <xf numFmtId="0" fontId="22" fillId="0" borderId="1" xfId="0" applyFont="1" applyBorder="1" applyAlignment="1">
      <alignment horizontal="right"/>
    </xf>
    <xf numFmtId="0" fontId="19" fillId="0" borderId="14" xfId="0" applyFont="1" applyBorder="1"/>
    <xf numFmtId="164" fontId="22" fillId="0" borderId="14" xfId="1" applyNumberFormat="1" applyFont="1" applyFill="1" applyBorder="1"/>
    <xf numFmtId="164" fontId="22" fillId="0" borderId="1" xfId="1" applyNumberFormat="1" applyFont="1" applyFill="1" applyBorder="1"/>
    <xf numFmtId="0" fontId="80" fillId="0" borderId="0" xfId="0" applyFont="1"/>
    <xf numFmtId="164" fontId="19" fillId="0" borderId="14" xfId="1" applyNumberFormat="1" applyFont="1" applyFill="1" applyBorder="1"/>
    <xf numFmtId="0" fontId="77" fillId="0" borderId="0" xfId="0" applyFont="1" applyAlignment="1">
      <alignment horizontal="left"/>
    </xf>
    <xf numFmtId="43" fontId="77" fillId="0" borderId="0" xfId="0" applyNumberFormat="1" applyFont="1"/>
    <xf numFmtId="0" fontId="78" fillId="0" borderId="1" xfId="0" applyFont="1" applyBorder="1"/>
    <xf numFmtId="43" fontId="77" fillId="0" borderId="0" xfId="1" applyFont="1" applyFill="1"/>
    <xf numFmtId="0" fontId="0" fillId="5" borderId="0" xfId="0" applyFill="1"/>
    <xf numFmtId="0" fontId="77" fillId="5" borderId="0" xfId="0" applyFont="1" applyFill="1"/>
    <xf numFmtId="43" fontId="77" fillId="5" borderId="0" xfId="1" applyFont="1" applyFill="1"/>
    <xf numFmtId="164" fontId="19" fillId="5" borderId="14" xfId="8" applyNumberFormat="1" applyFont="1" applyFill="1" applyBorder="1"/>
    <xf numFmtId="0" fontId="78" fillId="5" borderId="0" xfId="0" applyFont="1" applyFill="1"/>
    <xf numFmtId="164" fontId="19" fillId="0" borderId="14" xfId="1" applyNumberFormat="1" applyFont="1" applyFill="1" applyBorder="1" applyAlignment="1">
      <alignment horizontal="right"/>
    </xf>
    <xf numFmtId="164" fontId="22" fillId="0" borderId="14" xfId="1" applyNumberFormat="1" applyFont="1" applyFill="1" applyBorder="1" applyAlignment="1">
      <alignment horizontal="right" wrapText="1"/>
    </xf>
    <xf numFmtId="164" fontId="78" fillId="0" borderId="0" xfId="0" applyNumberFormat="1" applyFont="1"/>
    <xf numFmtId="0" fontId="19" fillId="0" borderId="7" xfId="0" applyFont="1" applyBorder="1"/>
    <xf numFmtId="0" fontId="19" fillId="0" borderId="0" xfId="0" applyFont="1"/>
    <xf numFmtId="164" fontId="77" fillId="0" borderId="0" xfId="0" applyNumberFormat="1" applyFont="1"/>
    <xf numFmtId="180" fontId="78" fillId="0" borderId="0" xfId="0" applyNumberFormat="1" applyFont="1"/>
    <xf numFmtId="9" fontId="81" fillId="0" borderId="7" xfId="3" applyFont="1" applyFill="1" applyBorder="1"/>
    <xf numFmtId="168" fontId="81" fillId="0" borderId="0" xfId="26" applyNumberFormat="1" applyFont="1"/>
    <xf numFmtId="168" fontId="82" fillId="0" borderId="0" xfId="26" applyNumberFormat="1" applyFont="1"/>
    <xf numFmtId="37" fontId="81" fillId="0" borderId="10" xfId="8" applyNumberFormat="1" applyFont="1" applyFill="1" applyBorder="1" applyAlignment="1">
      <alignment horizontal="right"/>
    </xf>
    <xf numFmtId="173" fontId="82" fillId="0" borderId="7" xfId="27" applyNumberFormat="1" applyFont="1" applyFill="1" applyBorder="1"/>
    <xf numFmtId="173" fontId="82" fillId="0" borderId="10" xfId="27" applyNumberFormat="1" applyFont="1" applyFill="1" applyBorder="1"/>
    <xf numFmtId="173" fontId="82" fillId="0" borderId="14" xfId="27" applyNumberFormat="1" applyFont="1" applyFill="1" applyBorder="1"/>
    <xf numFmtId="173" fontId="82" fillId="0" borderId="0" xfId="27" applyNumberFormat="1" applyFont="1" applyFill="1" applyBorder="1"/>
    <xf numFmtId="164" fontId="82" fillId="0" borderId="10" xfId="8" applyNumberFormat="1" applyFont="1" applyFill="1" applyBorder="1" applyAlignment="1">
      <alignment horizontal="right"/>
    </xf>
    <xf numFmtId="164" fontId="82" fillId="0" borderId="14" xfId="8" applyNumberFormat="1" applyFont="1" applyFill="1" applyBorder="1" applyAlignment="1">
      <alignment horizontal="right"/>
    </xf>
    <xf numFmtId="164" fontId="82" fillId="0" borderId="10" xfId="8" applyNumberFormat="1" applyFont="1" applyFill="1" applyBorder="1"/>
    <xf numFmtId="164" fontId="82" fillId="0" borderId="13" xfId="8" applyNumberFormat="1" applyFont="1" applyFill="1" applyBorder="1"/>
    <xf numFmtId="173" fontId="82" fillId="0" borderId="13" xfId="27" applyNumberFormat="1" applyFont="1" applyFill="1" applyBorder="1" applyAlignment="1">
      <alignment horizontal="right"/>
    </xf>
    <xf numFmtId="37" fontId="81" fillId="0" borderId="14" xfId="8" applyNumberFormat="1" applyFont="1" applyFill="1" applyBorder="1" applyAlignment="1">
      <alignment horizontal="right"/>
    </xf>
    <xf numFmtId="173" fontId="82" fillId="0" borderId="10" xfId="27" applyNumberFormat="1" applyFont="1" applyFill="1" applyBorder="1" applyAlignment="1">
      <alignment horizontal="right"/>
    </xf>
    <xf numFmtId="173" fontId="82" fillId="0" borderId="14" xfId="27" applyNumberFormat="1" applyFont="1" applyFill="1" applyBorder="1" applyAlignment="1">
      <alignment horizontal="right"/>
    </xf>
    <xf numFmtId="173" fontId="82" fillId="0" borderId="13" xfId="27" applyNumberFormat="1" applyFont="1" applyFill="1" applyBorder="1"/>
    <xf numFmtId="173" fontId="81" fillId="0" borderId="10" xfId="27" applyNumberFormat="1" applyFont="1" applyFill="1" applyBorder="1" applyAlignment="1">
      <alignment horizontal="right"/>
    </xf>
    <xf numFmtId="173" fontId="81" fillId="0" borderId="14" xfId="27" applyNumberFormat="1" applyFont="1" applyFill="1" applyBorder="1" applyAlignment="1">
      <alignment horizontal="right"/>
    </xf>
    <xf numFmtId="37" fontId="81" fillId="0" borderId="16" xfId="8" applyNumberFormat="1" applyFont="1" applyFill="1" applyBorder="1"/>
    <xf numFmtId="164" fontId="81" fillId="0" borderId="16" xfId="27" applyNumberFormat="1" applyFont="1" applyFill="1" applyBorder="1" applyAlignment="1">
      <alignment horizontal="right"/>
    </xf>
    <xf numFmtId="170" fontId="81" fillId="0" borderId="14" xfId="27" applyNumberFormat="1" applyFont="1" applyFill="1" applyBorder="1"/>
    <xf numFmtId="173" fontId="81" fillId="0" borderId="14" xfId="27" applyNumberFormat="1" applyFont="1" applyFill="1" applyBorder="1"/>
    <xf numFmtId="37" fontId="82" fillId="0" borderId="14" xfId="8" applyNumberFormat="1" applyFont="1" applyFill="1" applyBorder="1" applyAlignment="1">
      <alignment horizontal="right"/>
    </xf>
    <xf numFmtId="37" fontId="82" fillId="0" borderId="13" xfId="8" applyNumberFormat="1" applyFont="1" applyFill="1" applyBorder="1" applyAlignment="1">
      <alignment horizontal="right"/>
    </xf>
    <xf numFmtId="173" fontId="85" fillId="0" borderId="10" xfId="27" applyNumberFormat="1" applyFont="1" applyFill="1" applyBorder="1" applyAlignment="1">
      <alignment horizontal="right"/>
    </xf>
    <xf numFmtId="37" fontId="82" fillId="0" borderId="14" xfId="8" applyNumberFormat="1" applyFont="1" applyFill="1" applyBorder="1"/>
    <xf numFmtId="170" fontId="82" fillId="0" borderId="14" xfId="8" applyFont="1" applyFill="1" applyBorder="1" applyAlignment="1">
      <alignment horizontal="right"/>
    </xf>
    <xf numFmtId="0" fontId="76" fillId="0" borderId="0" xfId="0" applyFont="1"/>
    <xf numFmtId="43" fontId="2" fillId="0" borderId="1" xfId="1" applyFont="1" applyBorder="1" applyAlignment="1">
      <alignment horizontal="center" vertical="center" wrapText="1"/>
    </xf>
    <xf numFmtId="164" fontId="76" fillId="0" borderId="0" xfId="1" applyNumberFormat="1" applyFont="1"/>
    <xf numFmtId="164" fontId="0" fillId="0" borderId="1" xfId="1" applyNumberFormat="1" applyFont="1" applyBorder="1" applyAlignment="1">
      <alignment vertical="center"/>
    </xf>
    <xf numFmtId="164" fontId="2" fillId="0" borderId="1" xfId="1" applyNumberFormat="1" applyFont="1" applyBorder="1" applyAlignment="1">
      <alignment vertical="center"/>
    </xf>
    <xf numFmtId="164" fontId="57" fillId="0" borderId="0" xfId="1" applyNumberFormat="1" applyFont="1"/>
    <xf numFmtId="0" fontId="86" fillId="0" borderId="9" xfId="0" applyFont="1" applyBorder="1" applyAlignment="1">
      <alignment horizontal="center"/>
    </xf>
    <xf numFmtId="0" fontId="86" fillId="0" borderId="5" xfId="0" applyFont="1" applyBorder="1" applyAlignment="1">
      <alignment horizontal="center"/>
    </xf>
    <xf numFmtId="0" fontId="86" fillId="0" borderId="11" xfId="0" applyFont="1" applyBorder="1" applyAlignment="1">
      <alignment horizontal="center"/>
    </xf>
    <xf numFmtId="0" fontId="86" fillId="0" borderId="10" xfId="0" applyFont="1" applyBorder="1" applyAlignment="1">
      <alignment horizontal="center"/>
    </xf>
    <xf numFmtId="0" fontId="86" fillId="0" borderId="0" xfId="0" applyFont="1" applyAlignment="1">
      <alignment horizontal="center"/>
    </xf>
    <xf numFmtId="0" fontId="86" fillId="0" borderId="14" xfId="0" applyFont="1" applyBorder="1" applyAlignment="1">
      <alignment horizontal="center"/>
    </xf>
    <xf numFmtId="0" fontId="86" fillId="0" borderId="70" xfId="0" applyFont="1" applyBorder="1" applyAlignment="1">
      <alignment horizontal="center"/>
    </xf>
    <xf numFmtId="0" fontId="86" fillId="0" borderId="71" xfId="0" applyFont="1" applyBorder="1" applyAlignment="1">
      <alignment horizontal="center"/>
    </xf>
    <xf numFmtId="0" fontId="86" fillId="0" borderId="68" xfId="0" applyFont="1" applyBorder="1" applyAlignment="1">
      <alignment horizontal="center"/>
    </xf>
    <xf numFmtId="0" fontId="82" fillId="0" borderId="20" xfId="0" applyFont="1" applyBorder="1" applyAlignment="1">
      <alignment horizontal="center"/>
    </xf>
    <xf numFmtId="0" fontId="82" fillId="0" borderId="8" xfId="0" applyFont="1" applyBorder="1" applyAlignment="1">
      <alignment horizontal="center"/>
    </xf>
    <xf numFmtId="0" fontId="82" fillId="0" borderId="20" xfId="0" applyFont="1" applyBorder="1"/>
    <xf numFmtId="0" fontId="82" fillId="2" borderId="20" xfId="0" applyFont="1" applyFill="1" applyBorder="1" applyAlignment="1">
      <alignment horizontal="center"/>
    </xf>
    <xf numFmtId="0" fontId="82" fillId="6" borderId="20" xfId="0" applyFont="1" applyFill="1" applyBorder="1" applyAlignment="1">
      <alignment horizontal="center"/>
    </xf>
    <xf numFmtId="0" fontId="82" fillId="6" borderId="8" xfId="0" applyFont="1" applyFill="1" applyBorder="1" applyAlignment="1">
      <alignment horizontal="center"/>
    </xf>
    <xf numFmtId="0" fontId="82" fillId="0" borderId="13" xfId="0" applyFont="1" applyBorder="1" applyAlignment="1">
      <alignment horizontal="center"/>
    </xf>
    <xf numFmtId="0" fontId="82" fillId="6" borderId="1" xfId="0" applyFont="1" applyFill="1" applyBorder="1" applyAlignment="1">
      <alignment horizontal="center"/>
    </xf>
    <xf numFmtId="0" fontId="82" fillId="0" borderId="1" xfId="0" applyFont="1" applyBorder="1" applyAlignment="1">
      <alignment horizontal="center"/>
    </xf>
    <xf numFmtId="1" fontId="82" fillId="0" borderId="1" xfId="0" applyNumberFormat="1" applyFont="1" applyBorder="1"/>
    <xf numFmtId="1" fontId="82" fillId="6" borderId="1" xfId="0" applyNumberFormat="1" applyFont="1" applyFill="1" applyBorder="1"/>
    <xf numFmtId="1" fontId="89" fillId="0" borderId="1" xfId="0" applyNumberFormat="1" applyFont="1" applyBorder="1"/>
    <xf numFmtId="0" fontId="82" fillId="0" borderId="0" xfId="0" applyFont="1" applyAlignment="1">
      <alignment horizontal="center"/>
    </xf>
    <xf numFmtId="0" fontId="82" fillId="0" borderId="0" xfId="0" applyFont="1"/>
    <xf numFmtId="0" fontId="82" fillId="0" borderId="17" xfId="0" applyFont="1" applyBorder="1"/>
    <xf numFmtId="0" fontId="69" fillId="0" borderId="17" xfId="0" applyFont="1" applyBorder="1"/>
    <xf numFmtId="0" fontId="82" fillId="0" borderId="4" xfId="0" applyFont="1" applyBorder="1" applyAlignment="1">
      <alignment horizontal="center"/>
    </xf>
    <xf numFmtId="0" fontId="82" fillId="0" borderId="17" xfId="0" applyFont="1" applyBorder="1" applyAlignment="1">
      <alignment horizontal="center"/>
    </xf>
    <xf numFmtId="0" fontId="69" fillId="0" borderId="20" xfId="0" applyFont="1" applyBorder="1"/>
    <xf numFmtId="0" fontId="82" fillId="0" borderId="15" xfId="0" applyFont="1" applyBorder="1"/>
    <xf numFmtId="1" fontId="81" fillId="0" borderId="16" xfId="0" applyNumberFormat="1" applyFont="1" applyBorder="1"/>
    <xf numFmtId="164" fontId="2" fillId="0" borderId="1" xfId="0" applyNumberFormat="1" applyFont="1" applyBorder="1"/>
    <xf numFmtId="169" fontId="10" fillId="0" borderId="7" xfId="1" applyNumberFormat="1" applyFont="1" applyFill="1" applyBorder="1" applyAlignment="1">
      <alignment horizontal="right"/>
    </xf>
    <xf numFmtId="169" fontId="10" fillId="0" borderId="12" xfId="1" applyNumberFormat="1" applyFont="1" applyFill="1" applyBorder="1" applyAlignment="1">
      <alignment horizontal="right"/>
    </xf>
    <xf numFmtId="0" fontId="92" fillId="0" borderId="0" xfId="32" applyFont="1" applyAlignment="1" applyProtection="1">
      <alignment wrapText="1"/>
      <protection locked="0"/>
    </xf>
    <xf numFmtId="14" fontId="92" fillId="0" borderId="0" xfId="32" applyNumberFormat="1" applyFont="1" applyAlignment="1" applyProtection="1">
      <alignment wrapText="1"/>
      <protection locked="0"/>
    </xf>
    <xf numFmtId="0" fontId="92" fillId="7" borderId="0" xfId="32" applyFont="1" applyFill="1" applyAlignment="1" applyProtection="1">
      <alignment horizontal="center" vertical="center" shrinkToFit="1"/>
      <protection locked="0"/>
    </xf>
    <xf numFmtId="0" fontId="92" fillId="7" borderId="0" xfId="32" applyFont="1" applyFill="1" applyProtection="1">
      <protection locked="0"/>
    </xf>
    <xf numFmtId="0" fontId="92" fillId="7" borderId="0" xfId="32" applyFont="1" applyFill="1" applyAlignment="1" applyProtection="1">
      <alignment horizontal="left" shrinkToFit="1"/>
      <protection locked="0"/>
    </xf>
    <xf numFmtId="15" fontId="92" fillId="7" borderId="0" xfId="32" applyNumberFormat="1" applyFont="1" applyFill="1" applyProtection="1">
      <protection locked="0"/>
    </xf>
    <xf numFmtId="170" fontId="92" fillId="7" borderId="0" xfId="33" applyFont="1" applyFill="1" applyProtection="1">
      <protection locked="0"/>
    </xf>
    <xf numFmtId="170" fontId="92" fillId="7" borderId="0" xfId="33" applyFont="1" applyFill="1" applyAlignment="1" applyProtection="1">
      <alignment horizontal="center" vertical="center"/>
      <protection locked="0"/>
    </xf>
    <xf numFmtId="15" fontId="93" fillId="4" borderId="1" xfId="32" applyNumberFormat="1" applyFont="1" applyFill="1" applyBorder="1" applyAlignment="1" applyProtection="1">
      <alignment horizontal="center" vertical="center" wrapText="1"/>
      <protection locked="0"/>
    </xf>
    <xf numFmtId="0" fontId="92" fillId="0" borderId="1" xfId="33" applyNumberFormat="1" applyFont="1" applyFill="1" applyBorder="1" applyAlignment="1" applyProtection="1">
      <alignment horizontal="center" vertical="center"/>
      <protection locked="0"/>
    </xf>
    <xf numFmtId="49" fontId="94" fillId="0" borderId="1" xfId="0" applyNumberFormat="1" applyFont="1" applyBorder="1" applyAlignment="1">
      <alignment vertical="center"/>
    </xf>
    <xf numFmtId="0" fontId="94" fillId="0" borderId="1" xfId="0" applyFont="1" applyBorder="1" applyAlignment="1">
      <alignment horizontal="center" vertical="center"/>
    </xf>
    <xf numFmtId="15" fontId="94" fillId="0" borderId="1" xfId="0" applyNumberFormat="1" applyFont="1" applyBorder="1" applyAlignment="1">
      <alignment horizontal="center" vertical="center"/>
    </xf>
    <xf numFmtId="43" fontId="94" fillId="0" borderId="1" xfId="1" applyFont="1" applyBorder="1" applyAlignment="1">
      <alignment vertical="center"/>
    </xf>
    <xf numFmtId="15" fontId="92" fillId="0" borderId="1" xfId="33" applyNumberFormat="1" applyFont="1" applyFill="1" applyBorder="1" applyAlignment="1" applyProtection="1">
      <alignment horizontal="center" vertical="center"/>
      <protection locked="0"/>
    </xf>
    <xf numFmtId="170" fontId="92" fillId="0" borderId="1" xfId="33" applyFont="1" applyFill="1" applyBorder="1" applyAlignment="1" applyProtection="1">
      <alignment horizontal="center" vertical="center"/>
      <protection locked="0"/>
    </xf>
    <xf numFmtId="43" fontId="95" fillId="0" borderId="1" xfId="1" applyFont="1" applyBorder="1" applyAlignment="1">
      <alignment vertical="center"/>
    </xf>
    <xf numFmtId="43" fontId="94" fillId="0" borderId="1" xfId="34" applyNumberFormat="1" applyFont="1" applyBorder="1" applyAlignment="1">
      <alignment vertical="center"/>
    </xf>
    <xf numFmtId="43" fontId="95" fillId="0" borderId="1" xfId="34" applyNumberFormat="1" applyFont="1" applyBorder="1" applyAlignment="1">
      <alignment vertical="center"/>
    </xf>
    <xf numFmtId="43" fontId="94" fillId="0" borderId="11" xfId="34" applyNumberFormat="1" applyFont="1" applyBorder="1" applyAlignment="1">
      <alignment vertical="center"/>
    </xf>
    <xf numFmtId="43" fontId="95" fillId="0" borderId="11" xfId="34" applyNumberFormat="1" applyFont="1" applyBorder="1" applyAlignment="1">
      <alignment vertical="center"/>
    </xf>
    <xf numFmtId="0" fontId="94" fillId="0" borderId="11" xfId="0" applyFont="1" applyBorder="1" applyAlignment="1">
      <alignment horizontal="center" vertical="center"/>
    </xf>
    <xf numFmtId="15" fontId="94" fillId="0" borderId="11" xfId="0" applyNumberFormat="1" applyFont="1" applyBorder="1" applyAlignment="1">
      <alignment horizontal="center" vertical="center"/>
    </xf>
    <xf numFmtId="188" fontId="94" fillId="0" borderId="1" xfId="34" applyNumberFormat="1" applyFont="1" applyBorder="1" applyAlignment="1">
      <alignment vertical="center"/>
    </xf>
    <xf numFmtId="188" fontId="95" fillId="0" borderId="11" xfId="34" applyNumberFormat="1" applyFont="1" applyBorder="1" applyAlignment="1">
      <alignment vertical="center"/>
    </xf>
    <xf numFmtId="188" fontId="94" fillId="0" borderId="11" xfId="34" applyNumberFormat="1" applyFont="1" applyBorder="1" applyAlignment="1">
      <alignment vertical="center"/>
    </xf>
    <xf numFmtId="0" fontId="94" fillId="8" borderId="1" xfId="0" applyFont="1" applyFill="1" applyBorder="1" applyAlignment="1">
      <alignment horizontal="center" vertical="center"/>
    </xf>
    <xf numFmtId="15" fontId="94" fillId="8" borderId="1" xfId="0" applyNumberFormat="1" applyFont="1" applyFill="1" applyBorder="1" applyAlignment="1">
      <alignment horizontal="center" vertical="center"/>
    </xf>
    <xf numFmtId="43" fontId="94" fillId="8" borderId="11" xfId="34" applyNumberFormat="1" applyFont="1" applyFill="1" applyBorder="1" applyAlignment="1">
      <alignment vertical="center"/>
    </xf>
    <xf numFmtId="0" fontId="58" fillId="4" borderId="1" xfId="33" applyNumberFormat="1" applyFont="1" applyFill="1" applyBorder="1" applyAlignment="1" applyProtection="1">
      <alignment horizontal="center" vertical="center"/>
      <protection locked="0"/>
    </xf>
    <xf numFmtId="0" fontId="58" fillId="4" borderId="1" xfId="33" applyNumberFormat="1" applyFont="1" applyFill="1" applyBorder="1" applyAlignment="1" applyProtection="1">
      <alignment horizontal="center" vertical="center" shrinkToFit="1"/>
      <protection locked="0"/>
    </xf>
    <xf numFmtId="15" fontId="58" fillId="4" borderId="1" xfId="33" applyNumberFormat="1" applyFont="1" applyFill="1" applyBorder="1" applyAlignment="1" applyProtection="1">
      <alignment horizontal="center" vertical="center"/>
      <protection locked="0"/>
    </xf>
    <xf numFmtId="170" fontId="58" fillId="4" borderId="1" xfId="33" applyFont="1" applyFill="1" applyBorder="1" applyAlignment="1" applyProtection="1">
      <alignment horizontal="center" vertical="center"/>
      <protection locked="0"/>
    </xf>
    <xf numFmtId="0" fontId="61" fillId="0" borderId="0" xfId="32" applyFont="1" applyAlignment="1" applyProtection="1">
      <alignment wrapText="1"/>
      <protection locked="0"/>
    </xf>
    <xf numFmtId="0" fontId="92" fillId="0" borderId="0" xfId="32" applyFont="1" applyAlignment="1" applyProtection="1">
      <alignment horizontal="left" shrinkToFit="1"/>
      <protection locked="0"/>
    </xf>
    <xf numFmtId="0" fontId="92" fillId="0" borderId="0" xfId="32" applyFont="1" applyAlignment="1" applyProtection="1">
      <alignment horizontal="center" vertical="center" shrinkToFit="1"/>
      <protection locked="0"/>
    </xf>
    <xf numFmtId="15" fontId="92" fillId="0" borderId="0" xfId="32" applyNumberFormat="1" applyFont="1" applyAlignment="1" applyProtection="1">
      <alignment wrapText="1"/>
      <protection locked="0"/>
    </xf>
    <xf numFmtId="170" fontId="92" fillId="0" borderId="0" xfId="33" applyFont="1" applyFill="1" applyBorder="1" applyAlignment="1" applyProtection="1">
      <alignment wrapText="1"/>
      <protection locked="0"/>
    </xf>
    <xf numFmtId="170" fontId="92" fillId="0" borderId="0" xfId="33" applyFont="1" applyFill="1" applyBorder="1" applyAlignment="1" applyProtection="1">
      <alignment horizontal="center" vertical="center" wrapText="1"/>
      <protection locked="0"/>
    </xf>
    <xf numFmtId="15" fontId="92" fillId="0" borderId="0" xfId="32" applyNumberFormat="1" applyFont="1" applyAlignment="1" applyProtection="1">
      <alignment shrinkToFit="1"/>
      <protection locked="0"/>
    </xf>
    <xf numFmtId="170" fontId="92" fillId="9" borderId="72" xfId="33" applyFont="1" applyFill="1" applyBorder="1" applyAlignment="1" applyProtection="1">
      <alignment horizontal="center" vertical="center"/>
      <protection locked="0"/>
    </xf>
    <xf numFmtId="15" fontId="92" fillId="0" borderId="0" xfId="32" applyNumberFormat="1" applyFont="1" applyAlignment="1" applyProtection="1">
      <alignment horizontal="right" shrinkToFit="1"/>
      <protection locked="0"/>
    </xf>
    <xf numFmtId="0" fontId="92" fillId="4" borderId="0" xfId="32" applyFont="1" applyFill="1" applyAlignment="1" applyProtection="1">
      <alignment wrapText="1"/>
      <protection locked="0"/>
    </xf>
    <xf numFmtId="173" fontId="93" fillId="0" borderId="0" xfId="33" applyNumberFormat="1" applyFont="1" applyFill="1" applyBorder="1" applyAlignment="1" applyProtection="1">
      <alignment horizontal="center" vertical="center"/>
    </xf>
    <xf numFmtId="170" fontId="92" fillId="0" borderId="0" xfId="33" applyFont="1" applyFill="1" applyBorder="1" applyAlignment="1" applyProtection="1">
      <alignment horizontal="center" wrapText="1"/>
      <protection locked="0"/>
    </xf>
    <xf numFmtId="170" fontId="92" fillId="0" borderId="0" xfId="32" applyNumberFormat="1" applyFont="1" applyAlignment="1" applyProtection="1">
      <alignment wrapText="1"/>
      <protection locked="0"/>
    </xf>
    <xf numFmtId="0" fontId="92" fillId="0" borderId="0" xfId="33" applyNumberFormat="1" applyFont="1" applyFill="1" applyBorder="1" applyAlignment="1" applyProtection="1">
      <alignment horizontal="center" vertical="center" wrapText="1"/>
      <protection locked="0"/>
    </xf>
    <xf numFmtId="170" fontId="98" fillId="0" borderId="73" xfId="32" applyNumberFormat="1" applyFont="1" applyBorder="1" applyAlignment="1" applyProtection="1">
      <alignment horizontal="center" vertical="center" wrapText="1"/>
      <protection locked="0"/>
    </xf>
    <xf numFmtId="170" fontId="92" fillId="0" borderId="73" xfId="33" applyFont="1" applyFill="1" applyBorder="1" applyAlignment="1" applyProtection="1">
      <alignment horizontal="center" vertical="center" wrapText="1"/>
      <protection locked="0"/>
    </xf>
    <xf numFmtId="0" fontId="92" fillId="0" borderId="73" xfId="32" applyFont="1" applyBorder="1" applyAlignment="1" applyProtection="1">
      <alignment horizontal="center" vertical="center" wrapText="1"/>
      <protection locked="0"/>
    </xf>
    <xf numFmtId="0" fontId="92" fillId="0" borderId="73" xfId="33" applyNumberFormat="1" applyFont="1" applyFill="1" applyBorder="1" applyAlignment="1" applyProtection="1">
      <alignment horizontal="center" vertical="center" wrapText="1"/>
      <protection locked="0"/>
    </xf>
    <xf numFmtId="170" fontId="92" fillId="0" borderId="73" xfId="32" applyNumberFormat="1" applyFont="1" applyBorder="1" applyAlignment="1" applyProtection="1">
      <alignment horizontal="center" vertical="center" wrapText="1"/>
      <protection locked="0"/>
    </xf>
    <xf numFmtId="0" fontId="92" fillId="0" borderId="0" xfId="33" applyNumberFormat="1" applyFont="1" applyFill="1" applyBorder="1" applyAlignment="1" applyProtection="1">
      <alignment horizontal="center" wrapText="1"/>
      <protection locked="0"/>
    </xf>
    <xf numFmtId="0" fontId="92" fillId="0" borderId="0" xfId="32" applyFont="1" applyAlignment="1" applyProtection="1">
      <alignment horizontal="center" vertical="center" wrapText="1"/>
      <protection locked="0"/>
    </xf>
    <xf numFmtId="170" fontId="93" fillId="0" borderId="73" xfId="32" applyNumberFormat="1" applyFont="1" applyBorder="1" applyAlignment="1" applyProtection="1">
      <alignment horizontal="center" vertical="center" wrapText="1"/>
      <protection locked="0"/>
    </xf>
    <xf numFmtId="170" fontId="93" fillId="0" borderId="73" xfId="33" applyFont="1" applyFill="1" applyBorder="1" applyAlignment="1" applyProtection="1">
      <alignment horizontal="center" vertical="center" wrapText="1"/>
      <protection locked="0"/>
    </xf>
    <xf numFmtId="0" fontId="93" fillId="0" borderId="73" xfId="32" applyFont="1" applyBorder="1" applyAlignment="1" applyProtection="1">
      <alignment horizontal="center" vertical="center" wrapText="1"/>
      <protection locked="0"/>
    </xf>
    <xf numFmtId="0" fontId="93" fillId="0" borderId="73" xfId="33" applyNumberFormat="1" applyFont="1" applyFill="1" applyBorder="1" applyAlignment="1" applyProtection="1">
      <alignment horizontal="center" vertical="center" wrapText="1"/>
      <protection locked="0"/>
    </xf>
    <xf numFmtId="0" fontId="92" fillId="0" borderId="73" xfId="32" applyFont="1" applyBorder="1" applyAlignment="1" applyProtection="1">
      <alignment shrinkToFit="1"/>
      <protection locked="0"/>
    </xf>
    <xf numFmtId="0" fontId="92" fillId="0" borderId="73" xfId="33" applyNumberFormat="1" applyFont="1" applyFill="1" applyBorder="1" applyAlignment="1" applyProtection="1">
      <alignment horizontal="center" wrapText="1"/>
      <protection locked="0"/>
    </xf>
    <xf numFmtId="15" fontId="92" fillId="0" borderId="73" xfId="32" applyNumberFormat="1" applyFont="1" applyBorder="1" applyAlignment="1" applyProtection="1">
      <alignment wrapText="1"/>
      <protection locked="0"/>
    </xf>
    <xf numFmtId="170" fontId="99" fillId="0" borderId="73" xfId="32" applyNumberFormat="1" applyFont="1" applyBorder="1" applyAlignment="1" applyProtection="1">
      <alignment horizontal="center" vertical="center" wrapText="1"/>
      <protection locked="0"/>
    </xf>
    <xf numFmtId="170" fontId="100" fillId="0" borderId="73" xfId="33" applyFont="1" applyFill="1" applyBorder="1" applyAlignment="1" applyProtection="1">
      <alignment horizontal="center" vertical="center" wrapText="1"/>
      <protection locked="0"/>
    </xf>
    <xf numFmtId="170" fontId="100" fillId="0" borderId="73" xfId="32" applyNumberFormat="1" applyFont="1" applyBorder="1" applyAlignment="1" applyProtection="1">
      <alignment horizontal="center" vertical="center" wrapText="1"/>
      <protection locked="0"/>
    </xf>
    <xf numFmtId="0" fontId="100" fillId="0" borderId="73" xfId="33" applyNumberFormat="1" applyFont="1" applyFill="1" applyBorder="1" applyAlignment="1" applyProtection="1">
      <alignment horizontal="center" vertical="center" wrapText="1"/>
      <protection locked="0"/>
    </xf>
    <xf numFmtId="164" fontId="76" fillId="0" borderId="0" xfId="1" applyNumberFormat="1" applyFont="1" applyFill="1"/>
    <xf numFmtId="0" fontId="2" fillId="0" borderId="14" xfId="0" applyFont="1" applyBorder="1"/>
    <xf numFmtId="173" fontId="2" fillId="0" borderId="14" xfId="0" applyNumberFormat="1" applyFont="1" applyBorder="1"/>
    <xf numFmtId="164" fontId="2" fillId="0" borderId="14" xfId="1" applyNumberFormat="1" applyFont="1" applyFill="1" applyBorder="1"/>
    <xf numFmtId="173" fontId="0" fillId="0" borderId="10" xfId="0" applyNumberFormat="1" applyBorder="1"/>
    <xf numFmtId="173" fontId="0" fillId="0" borderId="14" xfId="0" applyNumberFormat="1" applyBorder="1"/>
    <xf numFmtId="164" fontId="0" fillId="0" borderId="14" xfId="1" applyNumberFormat="1" applyFont="1" applyFill="1" applyBorder="1"/>
    <xf numFmtId="173" fontId="2" fillId="0" borderId="1" xfId="0" applyNumberFormat="1" applyFont="1" applyBorder="1"/>
    <xf numFmtId="164" fontId="2" fillId="0" borderId="1" xfId="1" applyNumberFormat="1" applyFont="1" applyFill="1" applyBorder="1"/>
    <xf numFmtId="0" fontId="2" fillId="0" borderId="11" xfId="0" applyFont="1" applyBorder="1"/>
    <xf numFmtId="173" fontId="2" fillId="0" borderId="11" xfId="0" applyNumberFormat="1" applyFont="1" applyBorder="1"/>
    <xf numFmtId="0" fontId="2" fillId="0" borderId="13" xfId="0" applyFont="1" applyBorder="1"/>
    <xf numFmtId="173" fontId="2" fillId="0" borderId="13" xfId="0" applyNumberFormat="1" applyFont="1" applyBorder="1"/>
    <xf numFmtId="0" fontId="16" fillId="0" borderId="1" xfId="0" quotePrefix="1" applyFont="1" applyBorder="1"/>
    <xf numFmtId="164" fontId="0" fillId="0" borderId="0" xfId="1" applyNumberFormat="1" applyFont="1" applyFill="1"/>
    <xf numFmtId="164" fontId="0" fillId="0" borderId="1" xfId="1" applyNumberFormat="1" applyFont="1" applyFill="1" applyBorder="1"/>
    <xf numFmtId="0" fontId="19" fillId="0" borderId="21" xfId="0" applyFont="1" applyBorder="1"/>
    <xf numFmtId="14" fontId="22" fillId="0" borderId="24" xfId="0" applyNumberFormat="1" applyFont="1" applyBorder="1" applyAlignment="1" applyProtection="1">
      <alignment horizontal="center" vertical="center"/>
      <protection hidden="1"/>
    </xf>
    <xf numFmtId="14" fontId="22" fillId="0" borderId="28" xfId="0" applyNumberFormat="1" applyFont="1" applyBorder="1" applyAlignment="1" applyProtection="1">
      <alignment horizontal="center"/>
      <protection hidden="1"/>
    </xf>
    <xf numFmtId="14" fontId="22" fillId="0" borderId="30" xfId="0" applyNumberFormat="1" applyFont="1" applyBorder="1" applyAlignment="1" applyProtection="1">
      <alignment vertical="center"/>
      <protection hidden="1"/>
    </xf>
    <xf numFmtId="0" fontId="22" fillId="0" borderId="30" xfId="0" applyFont="1" applyBorder="1" applyAlignment="1" applyProtection="1">
      <alignment horizontal="center" vertical="center" wrapText="1"/>
      <protection hidden="1"/>
    </xf>
    <xf numFmtId="0" fontId="22" fillId="0" borderId="31" xfId="0" applyFont="1" applyBorder="1" applyAlignment="1" applyProtection="1">
      <alignment horizontal="center" vertical="center" wrapText="1"/>
      <protection hidden="1"/>
    </xf>
    <xf numFmtId="0" fontId="22" fillId="0" borderId="32" xfId="0" applyFont="1" applyBorder="1" applyAlignment="1" applyProtection="1">
      <alignment horizontal="center" vertical="center" wrapText="1"/>
      <protection hidden="1"/>
    </xf>
    <xf numFmtId="14" fontId="22" fillId="0" borderId="30" xfId="0" applyNumberFormat="1" applyFont="1" applyBorder="1" applyAlignment="1" applyProtection="1">
      <alignment horizontal="center" vertical="center"/>
      <protection hidden="1"/>
    </xf>
    <xf numFmtId="0" fontId="22" fillId="0" borderId="33" xfId="0" applyFont="1" applyBorder="1" applyAlignment="1" applyProtection="1">
      <alignment horizontal="center" vertical="center" wrapText="1"/>
      <protection hidden="1"/>
    </xf>
    <xf numFmtId="0" fontId="22" fillId="0" borderId="34" xfId="0" applyFont="1" applyBorder="1" applyAlignment="1" applyProtection="1">
      <alignment horizontal="center" vertical="center" wrapText="1"/>
      <protection hidden="1"/>
    </xf>
    <xf numFmtId="0" fontId="18" fillId="0" borderId="28" xfId="7" applyFont="1" applyFill="1" applyBorder="1" applyAlignment="1" applyProtection="1">
      <alignment horizontal="left" vertical="center" wrapText="1"/>
      <protection hidden="1"/>
    </xf>
    <xf numFmtId="0" fontId="18" fillId="0" borderId="36" xfId="7" applyFont="1" applyFill="1" applyBorder="1" applyAlignment="1" applyProtection="1">
      <alignment horizontal="left" vertical="center" wrapText="1"/>
      <protection hidden="1"/>
    </xf>
    <xf numFmtId="0" fontId="18" fillId="0" borderId="38" xfId="7" applyFont="1" applyFill="1" applyBorder="1" applyAlignment="1" applyProtection="1">
      <alignment horizontal="left" vertical="center" wrapText="1"/>
      <protection hidden="1"/>
    </xf>
    <xf numFmtId="0" fontId="21" fillId="0" borderId="2" xfId="0" applyFont="1" applyBorder="1" applyAlignment="1" applyProtection="1">
      <alignment horizontal="center"/>
      <protection hidden="1"/>
    </xf>
    <xf numFmtId="173" fontId="22" fillId="0" borderId="40" xfId="8" applyNumberFormat="1" applyFont="1" applyFill="1" applyBorder="1" applyProtection="1">
      <protection hidden="1"/>
    </xf>
    <xf numFmtId="0" fontId="0" fillId="0" borderId="42" xfId="0" applyBorder="1"/>
    <xf numFmtId="0" fontId="0" fillId="0" borderId="43" xfId="0" applyBorder="1"/>
    <xf numFmtId="0" fontId="16" fillId="0" borderId="44" xfId="0" applyFont="1" applyBorder="1"/>
    <xf numFmtId="0" fontId="0" fillId="0" borderId="25" xfId="0" applyBorder="1"/>
    <xf numFmtId="0" fontId="0" fillId="0" borderId="26" xfId="0" applyBorder="1"/>
    <xf numFmtId="0" fontId="2" fillId="0" borderId="45" xfId="0" applyFont="1" applyBorder="1"/>
    <xf numFmtId="173" fontId="0" fillId="0" borderId="9" xfId="8" applyNumberFormat="1" applyFont="1" applyFill="1" applyBorder="1"/>
    <xf numFmtId="173" fontId="0" fillId="0" borderId="37" xfId="8" applyNumberFormat="1" applyFont="1" applyFill="1" applyBorder="1"/>
    <xf numFmtId="0" fontId="2" fillId="0" borderId="46" xfId="0" applyFont="1" applyBorder="1"/>
    <xf numFmtId="173" fontId="0" fillId="0" borderId="11" xfId="8" applyNumberFormat="1" applyFont="1" applyFill="1" applyBorder="1"/>
    <xf numFmtId="0" fontId="21" fillId="0" borderId="44" xfId="0" applyFont="1" applyBorder="1" applyAlignment="1" applyProtection="1">
      <alignment horizontal="center"/>
      <protection hidden="1"/>
    </xf>
    <xf numFmtId="173" fontId="22" fillId="0" borderId="47" xfId="8" applyNumberFormat="1" applyFont="1" applyFill="1" applyBorder="1" applyProtection="1">
      <protection hidden="1"/>
    </xf>
    <xf numFmtId="173" fontId="22" fillId="0" borderId="41" xfId="8" applyNumberFormat="1" applyFont="1" applyFill="1" applyBorder="1" applyProtection="1">
      <protection hidden="1"/>
    </xf>
    <xf numFmtId="0" fontId="0" fillId="0" borderId="48" xfId="0" applyBorder="1"/>
    <xf numFmtId="0" fontId="92" fillId="0" borderId="73" xfId="33" applyNumberFormat="1" applyFont="1" applyFill="1" applyBorder="1" applyAlignment="1" applyProtection="1">
      <alignment horizontal="center" vertical="center"/>
      <protection locked="0"/>
    </xf>
    <xf numFmtId="0" fontId="94" fillId="0" borderId="73" xfId="0" applyFont="1" applyBorder="1" applyAlignment="1">
      <alignment horizontal="center" vertical="center"/>
    </xf>
    <xf numFmtId="15" fontId="94" fillId="0" borderId="73" xfId="0" applyNumberFormat="1" applyFont="1" applyBorder="1" applyAlignment="1">
      <alignment horizontal="center" vertical="center"/>
    </xf>
    <xf numFmtId="43" fontId="95" fillId="0" borderId="73" xfId="34" applyNumberFormat="1" applyFont="1" applyBorder="1" applyAlignment="1">
      <alignment vertical="center"/>
    </xf>
    <xf numFmtId="15" fontId="92" fillId="0" borderId="73" xfId="33" applyNumberFormat="1" applyFont="1" applyFill="1" applyBorder="1" applyAlignment="1" applyProtection="1">
      <alignment horizontal="center" vertical="center"/>
      <protection locked="0"/>
    </xf>
    <xf numFmtId="170" fontId="92" fillId="0" borderId="73" xfId="33" applyFont="1" applyFill="1" applyBorder="1" applyAlignment="1" applyProtection="1">
      <alignment horizontal="center" vertical="center"/>
      <protection locked="0"/>
    </xf>
    <xf numFmtId="164" fontId="9" fillId="0" borderId="16" xfId="1" applyNumberFormat="1" applyFont="1" applyFill="1" applyBorder="1" applyAlignment="1"/>
    <xf numFmtId="170" fontId="9" fillId="0" borderId="4" xfId="4" applyNumberFormat="1" applyFont="1" applyBorder="1" applyAlignment="1">
      <alignment horizontal="center" vertical="center" wrapText="1"/>
    </xf>
    <xf numFmtId="10" fontId="10" fillId="0" borderId="0" xfId="2" applyNumberFormat="1" applyFont="1" applyFill="1" applyBorder="1" applyAlignment="1">
      <alignment horizontal="center"/>
    </xf>
    <xf numFmtId="10" fontId="10" fillId="0" borderId="4" xfId="2" applyNumberFormat="1" applyFont="1" applyFill="1" applyBorder="1" applyAlignment="1">
      <alignment horizontal="center"/>
    </xf>
    <xf numFmtId="14" fontId="9" fillId="0" borderId="75" xfId="4" applyNumberFormat="1" applyFont="1" applyBorder="1" applyAlignment="1">
      <alignment horizontal="center"/>
    </xf>
    <xf numFmtId="164" fontId="9" fillId="0" borderId="12" xfId="1" applyNumberFormat="1" applyFont="1" applyFill="1" applyBorder="1" applyAlignment="1">
      <alignment horizontal="center" vertical="center"/>
    </xf>
    <xf numFmtId="164" fontId="10" fillId="0" borderId="13" xfId="1" applyNumberFormat="1" applyFont="1" applyFill="1" applyBorder="1" applyAlignment="1">
      <alignment horizontal="center"/>
    </xf>
    <xf numFmtId="0" fontId="10" fillId="0" borderId="10" xfId="0" applyFont="1" applyBorder="1"/>
    <xf numFmtId="9" fontId="10" fillId="0" borderId="0" xfId="3" applyFont="1" applyFill="1" applyBorder="1" applyAlignment="1">
      <alignment horizontal="left" vertical="top" wrapText="1"/>
    </xf>
    <xf numFmtId="164" fontId="10" fillId="0" borderId="13" xfId="1" applyNumberFormat="1" applyFont="1" applyFill="1" applyBorder="1" applyAlignment="1">
      <alignment horizontal="left" vertical="top" wrapText="1"/>
    </xf>
    <xf numFmtId="0" fontId="9" fillId="0" borderId="13" xfId="0" applyFont="1" applyBorder="1" applyAlignment="1">
      <alignment horizontal="center" vertical="center" wrapText="1"/>
    </xf>
    <xf numFmtId="43" fontId="78" fillId="0" borderId="0" xfId="1" applyFont="1"/>
    <xf numFmtId="0" fontId="0" fillId="0" borderId="73" xfId="0" applyBorder="1"/>
    <xf numFmtId="43" fontId="0" fillId="0" borderId="73" xfId="1" applyFont="1" applyBorder="1"/>
    <xf numFmtId="180" fontId="0" fillId="0" borderId="73" xfId="1" applyNumberFormat="1" applyFont="1" applyBorder="1"/>
    <xf numFmtId="43" fontId="0" fillId="0" borderId="73" xfId="0" applyNumberFormat="1" applyBorder="1"/>
    <xf numFmtId="0" fontId="63" fillId="0" borderId="73" xfId="0" applyFont="1" applyBorder="1"/>
    <xf numFmtId="0" fontId="64" fillId="0" borderId="73" xfId="0" applyFont="1" applyBorder="1"/>
    <xf numFmtId="0" fontId="101" fillId="0" borderId="73" xfId="0" applyFont="1" applyBorder="1"/>
    <xf numFmtId="9" fontId="10" fillId="0" borderId="73" xfId="2" applyFont="1" applyFill="1" applyBorder="1" applyAlignment="1"/>
    <xf numFmtId="0" fontId="98" fillId="0" borderId="73" xfId="0" applyFont="1" applyBorder="1"/>
    <xf numFmtId="9" fontId="102" fillId="0" borderId="73" xfId="2" applyFont="1" applyFill="1" applyBorder="1" applyAlignment="1"/>
    <xf numFmtId="0" fontId="2" fillId="0" borderId="0" xfId="0" applyFont="1" applyAlignment="1">
      <alignment horizontal="center"/>
    </xf>
    <xf numFmtId="0" fontId="0" fillId="0" borderId="0" xfId="0" applyAlignment="1">
      <alignment horizontal="center"/>
    </xf>
    <xf numFmtId="0" fontId="0" fillId="0" borderId="76" xfId="0" applyBorder="1"/>
    <xf numFmtId="43" fontId="0" fillId="0" borderId="14" xfId="1" applyFont="1" applyFill="1" applyBorder="1"/>
    <xf numFmtId="43" fontId="2" fillId="0" borderId="73" xfId="1" applyFont="1" applyFill="1" applyBorder="1"/>
    <xf numFmtId="43" fontId="2" fillId="0" borderId="14" xfId="1" applyFont="1" applyFill="1" applyBorder="1" applyAlignment="1">
      <alignment horizontal="center"/>
    </xf>
    <xf numFmtId="43" fontId="2" fillId="0" borderId="14" xfId="1" applyFont="1" applyFill="1" applyBorder="1"/>
    <xf numFmtId="43" fontId="0" fillId="0" borderId="14" xfId="1" applyFont="1" applyFill="1" applyBorder="1" applyAlignment="1">
      <alignment wrapText="1"/>
    </xf>
    <xf numFmtId="43" fontId="0" fillId="0" borderId="13" xfId="1" applyFont="1" applyFill="1" applyBorder="1"/>
    <xf numFmtId="9" fontId="21" fillId="0" borderId="0" xfId="3" applyFont="1" applyFill="1" applyBorder="1" applyAlignment="1"/>
    <xf numFmtId="167" fontId="103" fillId="0" borderId="0" xfId="3" applyNumberFormat="1" applyFont="1" applyFill="1" applyBorder="1" applyAlignment="1">
      <alignment horizontal="center" vertical="center"/>
    </xf>
    <xf numFmtId="164" fontId="21" fillId="0" borderId="13" xfId="1" quotePrefix="1" applyNumberFormat="1" applyFont="1" applyFill="1" applyBorder="1" applyAlignment="1">
      <alignment horizontal="center"/>
    </xf>
    <xf numFmtId="164" fontId="21" fillId="0" borderId="35" xfId="1" quotePrefix="1" applyNumberFormat="1" applyFont="1" applyFill="1" applyBorder="1" applyAlignment="1">
      <alignment horizontal="center"/>
    </xf>
    <xf numFmtId="0" fontId="21" fillId="0" borderId="42" xfId="0" applyFont="1" applyBorder="1" applyAlignment="1">
      <alignment vertical="top" wrapText="1"/>
    </xf>
    <xf numFmtId="43" fontId="79" fillId="0" borderId="14" xfId="1" applyFont="1" applyFill="1" applyBorder="1" applyAlignment="1">
      <alignment vertical="center" wrapText="1"/>
    </xf>
    <xf numFmtId="43" fontId="21" fillId="0" borderId="63" xfId="1" applyFont="1" applyFill="1" applyBorder="1" applyAlignment="1">
      <alignment horizontal="right" wrapText="1"/>
    </xf>
    <xf numFmtId="0" fontId="21" fillId="0" borderId="42" xfId="0" applyFont="1" applyBorder="1" applyAlignment="1">
      <alignment horizontal="left" vertical="top" wrapText="1"/>
    </xf>
    <xf numFmtId="0" fontId="79" fillId="0" borderId="42" xfId="0" applyFont="1" applyBorder="1" applyAlignment="1">
      <alignment vertical="top"/>
    </xf>
    <xf numFmtId="43" fontId="79" fillId="0" borderId="14" xfId="1" applyFont="1" applyFill="1" applyBorder="1" applyAlignment="1">
      <alignment horizontal="center" vertical="center"/>
    </xf>
    <xf numFmtId="43" fontId="79" fillId="0" borderId="63" xfId="1" applyFont="1" applyFill="1" applyBorder="1" applyAlignment="1">
      <alignment horizontal="center" vertical="center"/>
    </xf>
    <xf numFmtId="0" fontId="79" fillId="0" borderId="42" xfId="0" applyFont="1" applyBorder="1" applyAlignment="1">
      <alignment vertical="top" wrapText="1"/>
    </xf>
    <xf numFmtId="0" fontId="79" fillId="0" borderId="42" xfId="0" applyFont="1" applyBorder="1" applyAlignment="1">
      <alignment vertical="center" wrapText="1"/>
    </xf>
    <xf numFmtId="0" fontId="79" fillId="0" borderId="42" xfId="0" applyFont="1" applyBorder="1" applyAlignment="1">
      <alignment horizontal="left" vertical="top" wrapText="1"/>
    </xf>
    <xf numFmtId="0" fontId="21" fillId="0" borderId="79" xfId="0" applyFont="1" applyBorder="1" applyAlignment="1">
      <alignment horizontal="left" vertical="top" wrapText="1"/>
    </xf>
    <xf numFmtId="43" fontId="21" fillId="0" borderId="37" xfId="1" applyFont="1" applyFill="1" applyBorder="1" applyAlignment="1">
      <alignment horizontal="center" vertical="center"/>
    </xf>
    <xf numFmtId="43" fontId="21" fillId="0" borderId="14" xfId="1" applyFont="1" applyFill="1" applyBorder="1" applyAlignment="1">
      <alignment horizontal="center" vertical="center"/>
    </xf>
    <xf numFmtId="43" fontId="21" fillId="0" borderId="63" xfId="1" applyFont="1" applyFill="1" applyBorder="1" applyAlignment="1">
      <alignment horizontal="center" vertical="center"/>
    </xf>
    <xf numFmtId="0" fontId="79" fillId="0" borderId="42" xfId="0" applyFont="1" applyBorder="1" applyAlignment="1">
      <alignment horizontal="left" vertical="top"/>
    </xf>
    <xf numFmtId="0" fontId="21" fillId="0" borderId="59" xfId="0" applyFont="1" applyBorder="1" applyAlignment="1">
      <alignment horizontal="left" vertical="top" wrapText="1"/>
    </xf>
    <xf numFmtId="0" fontId="21" fillId="0" borderId="81" xfId="0" applyFont="1" applyBorder="1" applyAlignment="1">
      <alignment vertical="center" wrapText="1"/>
    </xf>
    <xf numFmtId="43" fontId="21" fillId="0" borderId="10" xfId="1" applyFont="1" applyFill="1" applyBorder="1" applyAlignment="1">
      <alignment horizontal="center" vertical="center"/>
    </xf>
    <xf numFmtId="43" fontId="1" fillId="0" borderId="63" xfId="1" applyFont="1" applyFill="1" applyBorder="1" applyAlignment="1">
      <alignment horizontal="center" vertical="center"/>
    </xf>
    <xf numFmtId="0" fontId="21" fillId="0" borderId="82" xfId="0" applyFont="1" applyBorder="1" applyAlignment="1">
      <alignment vertical="center"/>
    </xf>
    <xf numFmtId="43" fontId="79" fillId="0" borderId="10" xfId="1" applyFont="1" applyFill="1" applyBorder="1" applyAlignment="1">
      <alignment horizontal="center" vertical="center"/>
    </xf>
    <xf numFmtId="0" fontId="21" fillId="0" borderId="42" xfId="0" applyFont="1" applyBorder="1" applyAlignment="1">
      <alignment vertical="center" wrapText="1"/>
    </xf>
    <xf numFmtId="0" fontId="21" fillId="0" borderId="59" xfId="0" applyFont="1" applyBorder="1" applyAlignment="1">
      <alignment vertical="center" wrapText="1"/>
    </xf>
    <xf numFmtId="0" fontId="21" fillId="0" borderId="59" xfId="0" applyFont="1" applyBorder="1" applyAlignment="1">
      <alignment vertical="center"/>
    </xf>
    <xf numFmtId="0" fontId="1" fillId="0" borderId="0" xfId="0" applyFont="1"/>
    <xf numFmtId="43" fontId="19" fillId="0" borderId="14" xfId="1" applyFont="1" applyFill="1" applyBorder="1"/>
    <xf numFmtId="189" fontId="19" fillId="0" borderId="14" xfId="1" applyNumberFormat="1" applyFont="1" applyFill="1" applyBorder="1"/>
    <xf numFmtId="167" fontId="10" fillId="0" borderId="0" xfId="3" applyNumberFormat="1" applyFont="1" applyFill="1" applyBorder="1" applyAlignment="1"/>
    <xf numFmtId="43" fontId="0" fillId="0" borderId="0" xfId="1" applyFont="1" applyBorder="1"/>
    <xf numFmtId="14" fontId="2" fillId="0" borderId="0" xfId="0" applyNumberFormat="1" applyFont="1" applyAlignment="1">
      <alignment horizontal="center"/>
    </xf>
    <xf numFmtId="189" fontId="22" fillId="0" borderId="14" xfId="1" applyNumberFormat="1" applyFont="1" applyFill="1" applyBorder="1"/>
    <xf numFmtId="0" fontId="106" fillId="0" borderId="0" xfId="0" applyFont="1"/>
    <xf numFmtId="164" fontId="106" fillId="0" borderId="0" xfId="0" applyNumberFormat="1" applyFont="1"/>
    <xf numFmtId="170" fontId="0" fillId="0" borderId="1" xfId="8" applyFont="1" applyFill="1" applyBorder="1"/>
    <xf numFmtId="170" fontId="0" fillId="0" borderId="13" xfId="8" applyFont="1" applyFill="1" applyBorder="1" applyProtection="1">
      <protection hidden="1"/>
    </xf>
    <xf numFmtId="164" fontId="0" fillId="0" borderId="13" xfId="1" applyNumberFormat="1" applyFont="1" applyBorder="1"/>
    <xf numFmtId="167" fontId="103" fillId="0" borderId="0" xfId="3" applyNumberFormat="1" applyFont="1" applyFill="1" applyBorder="1" applyAlignment="1">
      <alignment horizontal="center"/>
    </xf>
    <xf numFmtId="43" fontId="57" fillId="0" borderId="14" xfId="1" applyFont="1" applyFill="1" applyBorder="1"/>
    <xf numFmtId="164" fontId="61" fillId="0" borderId="14" xfId="17" applyNumberFormat="1" applyFont="1" applyFill="1" applyBorder="1"/>
    <xf numFmtId="15" fontId="2" fillId="0" borderId="1" xfId="0" applyNumberFormat="1" applyFont="1" applyBorder="1" applyAlignment="1">
      <alignment horizontal="center" vertical="center"/>
    </xf>
    <xf numFmtId="43" fontId="2" fillId="0" borderId="1" xfId="1" applyFont="1" applyFill="1" applyBorder="1" applyAlignment="1">
      <alignment horizontal="center"/>
    </xf>
    <xf numFmtId="0" fontId="22" fillId="0" borderId="43" xfId="0" applyFont="1" applyBorder="1" applyAlignment="1">
      <alignment horizontal="right"/>
    </xf>
    <xf numFmtId="0" fontId="2" fillId="0" borderId="37" xfId="0" applyFont="1" applyBorder="1" applyAlignment="1">
      <alignment horizontal="center"/>
    </xf>
    <xf numFmtId="15" fontId="2" fillId="0" borderId="37" xfId="0" applyNumberFormat="1" applyFont="1" applyBorder="1" applyAlignment="1">
      <alignment horizontal="center" vertical="center"/>
    </xf>
    <xf numFmtId="0" fontId="2" fillId="0" borderId="82" xfId="0" applyFont="1" applyBorder="1" applyAlignment="1">
      <alignment horizontal="left"/>
    </xf>
    <xf numFmtId="0" fontId="0" fillId="0" borderId="80" xfId="0" applyBorder="1"/>
    <xf numFmtId="43" fontId="0" fillId="0" borderId="82" xfId="1" applyFont="1" applyFill="1" applyBorder="1" applyAlignment="1">
      <alignment horizontal="left"/>
    </xf>
    <xf numFmtId="43" fontId="0" fillId="0" borderId="63" xfId="1" applyFont="1" applyFill="1" applyBorder="1"/>
    <xf numFmtId="43" fontId="2" fillId="0" borderId="59" xfId="1" applyFont="1" applyFill="1" applyBorder="1" applyAlignment="1">
      <alignment horizontal="left"/>
    </xf>
    <xf numFmtId="43" fontId="2" fillId="0" borderId="37" xfId="1" applyFont="1" applyFill="1" applyBorder="1"/>
    <xf numFmtId="43" fontId="2" fillId="0" borderId="82" xfId="1" applyFont="1" applyFill="1" applyBorder="1" applyAlignment="1">
      <alignment horizontal="left" vertical="center"/>
    </xf>
    <xf numFmtId="43" fontId="2" fillId="0" borderId="59" xfId="1" applyFont="1" applyFill="1" applyBorder="1" applyAlignment="1">
      <alignment horizontal="left" vertical="center" wrapText="1"/>
    </xf>
    <xf numFmtId="43" fontId="2" fillId="0" borderId="82" xfId="1" applyFont="1" applyFill="1" applyBorder="1" applyAlignment="1">
      <alignment horizontal="left"/>
    </xf>
    <xf numFmtId="43" fontId="2" fillId="0" borderId="63" xfId="1" applyFont="1" applyFill="1" applyBorder="1" applyAlignment="1">
      <alignment horizontal="center"/>
    </xf>
    <xf numFmtId="0" fontId="2" fillId="0" borderId="59" xfId="0" applyFont="1" applyBorder="1"/>
    <xf numFmtId="43" fontId="2" fillId="0" borderId="37" xfId="1" applyFont="1" applyFill="1" applyBorder="1" applyAlignment="1">
      <alignment horizontal="center"/>
    </xf>
    <xf numFmtId="43" fontId="2" fillId="0" borderId="82" xfId="1" applyFont="1" applyFill="1" applyBorder="1" applyAlignment="1">
      <alignment horizontal="left" vertical="top"/>
    </xf>
    <xf numFmtId="43" fontId="2" fillId="0" borderId="63" xfId="1" applyFont="1" applyFill="1" applyBorder="1"/>
    <xf numFmtId="43" fontId="0" fillId="0" borderId="35" xfId="1" applyFont="1" applyFill="1" applyBorder="1"/>
    <xf numFmtId="0" fontId="2" fillId="0" borderId="59" xfId="0" applyFont="1" applyBorder="1" applyAlignment="1">
      <alignment horizontal="left"/>
    </xf>
    <xf numFmtId="0" fontId="0" fillId="0" borderId="82" xfId="0" applyBorder="1" applyAlignment="1">
      <alignment horizontal="left"/>
    </xf>
    <xf numFmtId="43" fontId="0" fillId="0" borderId="63" xfId="1" applyFont="1" applyFill="1" applyBorder="1" applyAlignment="1">
      <alignment wrapText="1"/>
    </xf>
    <xf numFmtId="0" fontId="0" fillId="0" borderId="82" xfId="0" applyBorder="1" applyAlignment="1">
      <alignment horizontal="left" wrapText="1"/>
    </xf>
    <xf numFmtId="0" fontId="0" fillId="0" borderId="56" xfId="0" applyBorder="1" applyAlignment="1">
      <alignment horizontal="left"/>
    </xf>
    <xf numFmtId="43" fontId="0" fillId="0" borderId="85" xfId="1" applyFont="1" applyFill="1" applyBorder="1"/>
    <xf numFmtId="43" fontId="0" fillId="0" borderId="86" xfId="1" applyFont="1" applyFill="1" applyBorder="1"/>
    <xf numFmtId="167" fontId="103" fillId="0" borderId="42" xfId="3" applyNumberFormat="1" applyFont="1" applyFill="1" applyBorder="1" applyAlignment="1">
      <alignment horizontal="center" vertical="center"/>
    </xf>
    <xf numFmtId="167" fontId="103" fillId="0" borderId="43" xfId="3" applyNumberFormat="1" applyFont="1" applyFill="1" applyBorder="1" applyAlignment="1">
      <alignment horizontal="center" vertical="center"/>
    </xf>
    <xf numFmtId="43" fontId="57" fillId="0" borderId="63" xfId="1" applyFont="1" applyFill="1" applyBorder="1" applyAlignment="1">
      <alignment horizontal="right" vertical="center"/>
    </xf>
    <xf numFmtId="43" fontId="21" fillId="0" borderId="1" xfId="1" applyFont="1" applyFill="1" applyBorder="1" applyAlignment="1">
      <alignment horizontal="center" vertical="center"/>
    </xf>
    <xf numFmtId="172" fontId="21" fillId="0" borderId="76" xfId="1" applyNumberFormat="1" applyFont="1" applyFill="1" applyBorder="1" applyAlignment="1">
      <alignment horizontal="center" vertical="center" wrapText="1"/>
    </xf>
    <xf numFmtId="172" fontId="21" fillId="0" borderId="80" xfId="1" applyNumberFormat="1" applyFont="1" applyFill="1" applyBorder="1" applyAlignment="1">
      <alignment horizontal="center" vertical="center" wrapText="1"/>
    </xf>
    <xf numFmtId="0" fontId="21" fillId="0" borderId="88" xfId="0" applyFont="1" applyBorder="1" applyAlignment="1">
      <alignment vertical="center"/>
    </xf>
    <xf numFmtId="0" fontId="21" fillId="0" borderId="82" xfId="0" applyFont="1" applyBorder="1" applyAlignment="1">
      <alignment vertical="center" wrapText="1"/>
    </xf>
    <xf numFmtId="43" fontId="21" fillId="0" borderId="70" xfId="1" applyFont="1" applyFill="1" applyBorder="1" applyAlignment="1">
      <alignment horizontal="center" vertical="center"/>
    </xf>
    <xf numFmtId="43" fontId="21" fillId="0" borderId="89" xfId="1" applyFont="1" applyFill="1" applyBorder="1" applyAlignment="1">
      <alignment horizontal="center" vertical="center"/>
    </xf>
    <xf numFmtId="43" fontId="21" fillId="0" borderId="57" xfId="1" applyFont="1" applyFill="1" applyBorder="1" applyAlignment="1">
      <alignment horizontal="center" vertical="center"/>
    </xf>
    <xf numFmtId="43" fontId="21" fillId="0" borderId="34" xfId="1" applyFont="1" applyFill="1" applyBorder="1" applyAlignment="1">
      <alignment horizontal="center" vertical="center"/>
    </xf>
    <xf numFmtId="0" fontId="22" fillId="0" borderId="59" xfId="0" applyFont="1" applyBorder="1"/>
    <xf numFmtId="172" fontId="21" fillId="0" borderId="1" xfId="1" applyNumberFormat="1" applyFont="1" applyFill="1" applyBorder="1" applyAlignment="1">
      <alignment horizontal="center" vertical="center" wrapText="1"/>
    </xf>
    <xf numFmtId="172" fontId="21" fillId="0" borderId="37" xfId="1" applyNumberFormat="1" applyFont="1" applyFill="1" applyBorder="1" applyAlignment="1">
      <alignment horizontal="center" vertical="center" wrapText="1"/>
    </xf>
    <xf numFmtId="0" fontId="22" fillId="0" borderId="82" xfId="0" applyFont="1" applyBorder="1"/>
    <xf numFmtId="164" fontId="21" fillId="0" borderId="1" xfId="1" applyNumberFormat="1" applyFont="1" applyFill="1" applyBorder="1" applyAlignment="1">
      <alignment horizontal="center"/>
    </xf>
    <xf numFmtId="164" fontId="21" fillId="0" borderId="37" xfId="1" applyNumberFormat="1" applyFont="1" applyFill="1" applyBorder="1" applyAlignment="1">
      <alignment horizontal="center"/>
    </xf>
    <xf numFmtId="43" fontId="22" fillId="0" borderId="1" xfId="1" applyFont="1" applyFill="1" applyBorder="1"/>
    <xf numFmtId="43" fontId="22" fillId="0" borderId="37" xfId="1" applyFont="1" applyFill="1" applyBorder="1"/>
    <xf numFmtId="0" fontId="19" fillId="0" borderId="82" xfId="0" applyFont="1" applyBorder="1"/>
    <xf numFmtId="43" fontId="19" fillId="0" borderId="63" xfId="1" applyFont="1" applyFill="1" applyBorder="1"/>
    <xf numFmtId="189" fontId="19" fillId="0" borderId="63" xfId="1" applyNumberFormat="1" applyFont="1" applyFill="1" applyBorder="1"/>
    <xf numFmtId="189" fontId="22" fillId="0" borderId="1" xfId="1" applyNumberFormat="1" applyFont="1" applyFill="1" applyBorder="1"/>
    <xf numFmtId="189" fontId="22" fillId="0" borderId="37" xfId="1" applyNumberFormat="1" applyFont="1" applyFill="1" applyBorder="1"/>
    <xf numFmtId="0" fontId="22" fillId="0" borderId="59" xfId="0" applyFont="1" applyBorder="1" applyAlignment="1">
      <alignment wrapText="1"/>
    </xf>
    <xf numFmtId="0" fontId="22" fillId="0" borderId="82" xfId="0" applyFont="1" applyBorder="1" applyAlignment="1">
      <alignment horizontal="left" wrapText="1"/>
    </xf>
    <xf numFmtId="189" fontId="22" fillId="0" borderId="63" xfId="1" applyNumberFormat="1" applyFont="1" applyFill="1" applyBorder="1"/>
    <xf numFmtId="0" fontId="22" fillId="0" borderId="33" xfId="0" applyFont="1" applyBorder="1"/>
    <xf numFmtId="189" fontId="22" fillId="0" borderId="30" xfId="1" applyNumberFormat="1" applyFont="1" applyFill="1" applyBorder="1"/>
    <xf numFmtId="189" fontId="22" fillId="0" borderId="34" xfId="1" applyNumberFormat="1" applyFont="1" applyFill="1" applyBorder="1"/>
    <xf numFmtId="0" fontId="22" fillId="0" borderId="37" xfId="0" applyFont="1" applyBorder="1" applyAlignment="1">
      <alignment horizontal="right"/>
    </xf>
    <xf numFmtId="0" fontId="19" fillId="0" borderId="63" xfId="0" applyFont="1" applyBorder="1"/>
    <xf numFmtId="164" fontId="22" fillId="0" borderId="37" xfId="1" applyNumberFormat="1" applyFont="1" applyFill="1" applyBorder="1"/>
    <xf numFmtId="164" fontId="19" fillId="0" borderId="63" xfId="8" applyNumberFormat="1" applyFont="1" applyFill="1" applyBorder="1"/>
    <xf numFmtId="164" fontId="19" fillId="0" borderId="63" xfId="1" applyNumberFormat="1" applyFont="1" applyFill="1" applyBorder="1"/>
    <xf numFmtId="164" fontId="22" fillId="0" borderId="37" xfId="8" applyNumberFormat="1" applyFont="1" applyFill="1" applyBorder="1"/>
    <xf numFmtId="164" fontId="22" fillId="0" borderId="63" xfId="8" applyNumberFormat="1" applyFont="1" applyFill="1" applyBorder="1"/>
    <xf numFmtId="164" fontId="22" fillId="0" borderId="37" xfId="0" applyNumberFormat="1" applyFont="1" applyBorder="1"/>
    <xf numFmtId="0" fontId="19" fillId="0" borderId="42" xfId="0" applyFont="1" applyBorder="1"/>
    <xf numFmtId="0" fontId="19" fillId="0" borderId="43" xfId="0" applyFont="1" applyBorder="1"/>
    <xf numFmtId="0" fontId="19" fillId="0" borderId="42" xfId="0" applyFont="1" applyBorder="1" applyAlignment="1">
      <alignment horizontal="left" wrapText="1"/>
    </xf>
    <xf numFmtId="0" fontId="19" fillId="0" borderId="0" xfId="0" applyFont="1" applyAlignment="1">
      <alignment horizontal="left" wrapText="1"/>
    </xf>
    <xf numFmtId="0" fontId="19" fillId="0" borderId="43" xfId="0" applyFont="1" applyBorder="1" applyAlignment="1">
      <alignment horizontal="left" wrapText="1"/>
    </xf>
    <xf numFmtId="0" fontId="10" fillId="0" borderId="42" xfId="4" applyNumberFormat="1" applyFont="1" applyBorder="1"/>
    <xf numFmtId="0" fontId="10" fillId="0" borderId="0" xfId="4" applyNumberFormat="1" applyFont="1"/>
    <xf numFmtId="1" fontId="10" fillId="0" borderId="43" xfId="4" applyNumberFormat="1" applyFont="1" applyBorder="1" applyAlignment="1">
      <alignment horizontal="right"/>
    </xf>
    <xf numFmtId="168" fontId="9" fillId="0" borderId="42" xfId="4" applyNumberFormat="1" applyFont="1" applyBorder="1"/>
    <xf numFmtId="168" fontId="9" fillId="0" borderId="0" xfId="4" applyNumberFormat="1" applyFont="1"/>
    <xf numFmtId="1" fontId="9" fillId="0" borderId="43" xfId="4" applyNumberFormat="1" applyFont="1" applyBorder="1" applyAlignment="1">
      <alignment horizontal="right"/>
    </xf>
    <xf numFmtId="168" fontId="10" fillId="0" borderId="43" xfId="4" applyNumberFormat="1" applyFont="1" applyBorder="1" applyAlignment="1">
      <alignment horizontal="right"/>
    </xf>
    <xf numFmtId="168" fontId="10" fillId="0" borderId="42" xfId="4" applyNumberFormat="1" applyFont="1" applyBorder="1"/>
    <xf numFmtId="168" fontId="10" fillId="0" borderId="42" xfId="4" applyNumberFormat="1" applyFont="1" applyBorder="1" applyAlignment="1">
      <alignment vertical="center"/>
    </xf>
    <xf numFmtId="168" fontId="9" fillId="0" borderId="43" xfId="4" applyNumberFormat="1" applyFont="1" applyBorder="1" applyAlignment="1">
      <alignment horizontal="right"/>
    </xf>
    <xf numFmtId="9" fontId="10" fillId="0" borderId="88" xfId="3" applyFont="1" applyFill="1" applyBorder="1" applyAlignment="1"/>
    <xf numFmtId="9" fontId="10" fillId="0" borderId="78" xfId="3" applyFont="1" applyFill="1" applyBorder="1" applyAlignment="1"/>
    <xf numFmtId="1" fontId="10" fillId="0" borderId="92" xfId="4" applyNumberFormat="1" applyFont="1" applyBorder="1" applyAlignment="1">
      <alignment horizontal="right"/>
    </xf>
    <xf numFmtId="0" fontId="9" fillId="0" borderId="93" xfId="0" applyFont="1" applyBorder="1" applyAlignment="1">
      <alignment vertical="center" wrapText="1"/>
    </xf>
    <xf numFmtId="168" fontId="10" fillId="0" borderId="74" xfId="4" applyNumberFormat="1" applyFont="1" applyBorder="1"/>
    <xf numFmtId="164" fontId="9" fillId="0" borderId="76" xfId="1" applyNumberFormat="1" applyFont="1" applyFill="1" applyBorder="1" applyAlignment="1">
      <alignment horizontal="center" vertical="center" wrapText="1"/>
    </xf>
    <xf numFmtId="164" fontId="9" fillId="0" borderId="80" xfId="1" applyNumberFormat="1" applyFont="1" applyFill="1" applyBorder="1" applyAlignment="1">
      <alignment horizontal="center" vertical="center" wrapText="1"/>
    </xf>
    <xf numFmtId="0" fontId="10" fillId="0" borderId="90" xfId="0" applyFont="1" applyBorder="1" applyAlignment="1">
      <alignment vertical="center" wrapText="1"/>
    </xf>
    <xf numFmtId="164" fontId="9" fillId="0" borderId="35" xfId="1" applyNumberFormat="1" applyFont="1" applyFill="1" applyBorder="1" applyAlignment="1">
      <alignment horizontal="center"/>
    </xf>
    <xf numFmtId="0" fontId="9" fillId="0" borderId="42" xfId="0" applyFont="1" applyBorder="1" applyAlignment="1">
      <alignment vertical="top" wrapText="1"/>
    </xf>
    <xf numFmtId="164" fontId="10" fillId="0" borderId="63" xfId="1" applyNumberFormat="1" applyFont="1" applyFill="1" applyBorder="1" applyAlignment="1">
      <alignment vertical="center" wrapText="1"/>
    </xf>
    <xf numFmtId="0" fontId="10" fillId="0" borderId="42" xfId="0" applyFont="1" applyBorder="1" applyAlignment="1">
      <alignment vertical="top"/>
    </xf>
    <xf numFmtId="164" fontId="10" fillId="0" borderId="63" xfId="1" applyNumberFormat="1" applyFont="1" applyFill="1" applyBorder="1" applyAlignment="1">
      <alignment horizontal="center"/>
    </xf>
    <xf numFmtId="0" fontId="10" fillId="0" borderId="42" xfId="0" applyFont="1" applyBorder="1" applyAlignment="1">
      <alignment vertical="top" wrapText="1"/>
    </xf>
    <xf numFmtId="164" fontId="9" fillId="0" borderId="63" xfId="1" applyNumberFormat="1" applyFont="1" applyFill="1" applyBorder="1" applyAlignment="1">
      <alignment horizontal="center"/>
    </xf>
    <xf numFmtId="0" fontId="10" fillId="0" borderId="42" xfId="0" applyFont="1" applyBorder="1" applyAlignment="1">
      <alignment vertical="center" wrapText="1"/>
    </xf>
    <xf numFmtId="164" fontId="10" fillId="0" borderId="63" xfId="1" applyNumberFormat="1" applyFont="1" applyFill="1" applyBorder="1" applyAlignment="1">
      <alignment horizontal="right"/>
    </xf>
    <xf numFmtId="0" fontId="10" fillId="0" borderId="42" xfId="0" applyFont="1" applyBorder="1" applyAlignment="1">
      <alignment horizontal="left" vertical="top" wrapText="1"/>
    </xf>
    <xf numFmtId="0" fontId="9" fillId="0" borderId="42" xfId="0" applyFont="1" applyBorder="1" applyAlignment="1">
      <alignment horizontal="left" vertical="top" wrapText="1"/>
    </xf>
    <xf numFmtId="164" fontId="9" fillId="0" borderId="63" xfId="1" applyNumberFormat="1" applyFont="1" applyFill="1" applyBorder="1" applyAlignment="1">
      <alignment horizontal="right"/>
    </xf>
    <xf numFmtId="0" fontId="10" fillId="0" borderId="42" xfId="0" applyFont="1" applyBorder="1" applyAlignment="1">
      <alignment horizontal="left" vertical="top"/>
    </xf>
    <xf numFmtId="164" fontId="9" fillId="0" borderId="43" xfId="1" applyNumberFormat="1" applyFont="1" applyFill="1" applyBorder="1" applyAlignment="1">
      <alignment horizontal="center"/>
    </xf>
    <xf numFmtId="0" fontId="9" fillId="0" borderId="42" xfId="0" applyFont="1" applyBorder="1" applyAlignment="1">
      <alignment vertical="center" wrapText="1"/>
    </xf>
    <xf numFmtId="164" fontId="9" fillId="0" borderId="94" xfId="1" applyNumberFormat="1" applyFont="1" applyFill="1" applyBorder="1" applyAlignment="1">
      <alignment vertical="center"/>
    </xf>
    <xf numFmtId="0" fontId="9" fillId="0" borderId="42" xfId="0" applyFont="1" applyBorder="1" applyAlignment="1">
      <alignment vertical="center"/>
    </xf>
    <xf numFmtId="164" fontId="9" fillId="0" borderId="42" xfId="0" applyNumberFormat="1" applyFont="1" applyBorder="1" applyAlignment="1">
      <alignment vertical="center"/>
    </xf>
    <xf numFmtId="164" fontId="9" fillId="0" borderId="83" xfId="1" applyNumberFormat="1" applyFont="1" applyFill="1" applyBorder="1" applyAlignment="1">
      <alignment vertical="center"/>
    </xf>
    <xf numFmtId="164" fontId="9" fillId="0" borderId="95" xfId="1" applyNumberFormat="1" applyFont="1" applyFill="1" applyBorder="1" applyAlignment="1">
      <alignment vertical="center"/>
    </xf>
    <xf numFmtId="164" fontId="9" fillId="0" borderId="96" xfId="1" applyNumberFormat="1" applyFont="1" applyFill="1" applyBorder="1" applyAlignment="1">
      <alignment vertical="center"/>
    </xf>
    <xf numFmtId="0" fontId="9" fillId="0" borderId="90" xfId="0" applyFont="1" applyBorder="1" applyAlignment="1">
      <alignment vertical="center"/>
    </xf>
    <xf numFmtId="164" fontId="10" fillId="0" borderId="35" xfId="1" applyNumberFormat="1" applyFont="1" applyFill="1" applyBorder="1" applyAlignment="1">
      <alignment horizontal="center" vertical="center" wrapText="1"/>
    </xf>
    <xf numFmtId="164" fontId="10" fillId="0" borderId="43" xfId="1" applyNumberFormat="1" applyFont="1" applyFill="1" applyBorder="1" applyAlignment="1">
      <alignment horizontal="center" vertical="center" wrapText="1"/>
    </xf>
    <xf numFmtId="164" fontId="10" fillId="0" borderId="43" xfId="1" applyNumberFormat="1" applyFont="1" applyFill="1" applyBorder="1" applyAlignment="1">
      <alignment vertical="center" wrapText="1"/>
    </xf>
    <xf numFmtId="164" fontId="10" fillId="0" borderId="43" xfId="1" applyNumberFormat="1" applyFont="1" applyFill="1" applyBorder="1" applyAlignment="1"/>
    <xf numFmtId="164" fontId="9" fillId="0" borderId="43" xfId="1" applyNumberFormat="1" applyFont="1" applyFill="1" applyBorder="1" applyAlignment="1">
      <alignment horizontal="left"/>
    </xf>
    <xf numFmtId="164" fontId="9" fillId="0" borderId="43" xfId="1" applyNumberFormat="1" applyFont="1" applyFill="1" applyBorder="1" applyAlignment="1"/>
    <xf numFmtId="164" fontId="10" fillId="0" borderId="43" xfId="1" applyNumberFormat="1" applyFont="1" applyFill="1" applyBorder="1" applyAlignment="1">
      <alignment horizontal="left"/>
    </xf>
    <xf numFmtId="9" fontId="10" fillId="0" borderId="90" xfId="3" applyFont="1" applyFill="1" applyBorder="1" applyAlignment="1"/>
    <xf numFmtId="168" fontId="10" fillId="0" borderId="83" xfId="4" applyNumberFormat="1" applyFont="1" applyBorder="1"/>
    <xf numFmtId="164" fontId="9" fillId="0" borderId="35" xfId="1" applyNumberFormat="1" applyFont="1" applyFill="1" applyBorder="1" applyAlignment="1">
      <alignment horizontal="center" vertical="center" wrapText="1"/>
    </xf>
    <xf numFmtId="1" fontId="9" fillId="0" borderId="75" xfId="4" applyNumberFormat="1" applyFont="1" applyBorder="1" applyAlignment="1">
      <alignment horizontal="center"/>
    </xf>
    <xf numFmtId="164" fontId="10" fillId="0" borderId="76" xfId="1" applyNumberFormat="1" applyFont="1" applyFill="1" applyBorder="1" applyAlignment="1">
      <alignment horizontal="right"/>
    </xf>
    <xf numFmtId="164" fontId="10" fillId="0" borderId="80" xfId="1" applyNumberFormat="1" applyFont="1" applyFill="1" applyBorder="1" applyAlignment="1">
      <alignment horizontal="right"/>
    </xf>
    <xf numFmtId="9" fontId="9" fillId="0" borderId="42" xfId="2" applyFont="1" applyFill="1" applyBorder="1" applyAlignment="1">
      <alignment vertical="center" wrapText="1"/>
    </xf>
    <xf numFmtId="0" fontId="10" fillId="0" borderId="42" xfId="0" applyFont="1" applyBorder="1" applyAlignment="1">
      <alignment vertical="center"/>
    </xf>
    <xf numFmtId="164" fontId="9" fillId="0" borderId="35" xfId="1" applyNumberFormat="1" applyFont="1" applyFill="1" applyBorder="1" applyAlignment="1">
      <alignment vertical="center" wrapText="1"/>
    </xf>
    <xf numFmtId="164" fontId="9" fillId="0" borderId="96" xfId="1" applyNumberFormat="1" applyFont="1" applyFill="1" applyBorder="1" applyAlignment="1">
      <alignment vertical="center" wrapText="1"/>
    </xf>
    <xf numFmtId="164" fontId="10" fillId="0" borderId="35" xfId="1" applyNumberFormat="1" applyFont="1" applyFill="1" applyBorder="1" applyAlignment="1">
      <alignment vertical="center" wrapText="1"/>
    </xf>
    <xf numFmtId="43" fontId="10" fillId="0" borderId="63" xfId="1" applyFont="1" applyFill="1" applyBorder="1" applyAlignment="1">
      <alignment horizontal="right"/>
    </xf>
    <xf numFmtId="0" fontId="10" fillId="0" borderId="74" xfId="0" applyFont="1" applyBorder="1" applyAlignment="1">
      <alignment horizontal="center" vertical="center" wrapText="1"/>
    </xf>
    <xf numFmtId="9" fontId="9" fillId="0" borderId="42" xfId="3" applyFont="1" applyFill="1" applyBorder="1" applyAlignment="1"/>
    <xf numFmtId="0" fontId="9" fillId="0" borderId="42" xfId="4" applyNumberFormat="1" applyFont="1" applyBorder="1"/>
    <xf numFmtId="0" fontId="9" fillId="0" borderId="42" xfId="4" applyNumberFormat="1" applyFont="1" applyBorder="1" applyAlignment="1">
      <alignment vertical="top"/>
    </xf>
    <xf numFmtId="168" fontId="10" fillId="0" borderId="90" xfId="4" applyNumberFormat="1" applyFont="1" applyBorder="1"/>
    <xf numFmtId="168" fontId="9" fillId="0" borderId="93" xfId="4" applyNumberFormat="1" applyFont="1" applyBorder="1" applyAlignment="1">
      <alignment horizontal="left" vertical="center"/>
    </xf>
    <xf numFmtId="9" fontId="9" fillId="0" borderId="74" xfId="3" applyFont="1" applyFill="1" applyBorder="1" applyAlignment="1">
      <alignment horizontal="left"/>
    </xf>
    <xf numFmtId="1" fontId="9" fillId="0" borderId="74" xfId="4" applyNumberFormat="1" applyFont="1" applyBorder="1" applyAlignment="1">
      <alignment horizontal="center"/>
    </xf>
    <xf numFmtId="0" fontId="11" fillId="0" borderId="42" xfId="0" applyFont="1" applyBorder="1"/>
    <xf numFmtId="164" fontId="12" fillId="0" borderId="63" xfId="1" applyNumberFormat="1" applyFont="1" applyFill="1" applyBorder="1" applyAlignment="1"/>
    <xf numFmtId="164" fontId="10" fillId="0" borderId="63" xfId="1" applyNumberFormat="1" applyFont="1" applyFill="1" applyBorder="1"/>
    <xf numFmtId="164" fontId="10" fillId="0" borderId="63" xfId="1" applyNumberFormat="1" applyFont="1" applyFill="1" applyBorder="1" applyAlignment="1"/>
    <xf numFmtId="0" fontId="10" fillId="0" borderId="42" xfId="0" applyFont="1" applyBorder="1"/>
    <xf numFmtId="164" fontId="9" fillId="0" borderId="96" xfId="1" applyNumberFormat="1" applyFont="1" applyFill="1" applyBorder="1"/>
    <xf numFmtId="0" fontId="9" fillId="0" borderId="42" xfId="4" applyNumberFormat="1" applyFont="1" applyBorder="1" applyAlignment="1">
      <alignment horizontal="left" vertical="top"/>
    </xf>
    <xf numFmtId="9" fontId="10" fillId="0" borderId="42" xfId="3" applyFont="1" applyFill="1" applyBorder="1" applyAlignment="1"/>
    <xf numFmtId="164" fontId="10" fillId="0" borderId="76" xfId="1" applyNumberFormat="1" applyFont="1" applyFill="1" applyBorder="1"/>
    <xf numFmtId="164" fontId="10" fillId="0" borderId="80" xfId="1" applyNumberFormat="1" applyFont="1" applyFill="1" applyBorder="1"/>
    <xf numFmtId="0" fontId="9" fillId="0" borderId="42" xfId="0" applyFont="1" applyBorder="1"/>
    <xf numFmtId="164" fontId="9" fillId="0" borderId="63" xfId="1" applyNumberFormat="1" applyFont="1" applyFill="1" applyBorder="1"/>
    <xf numFmtId="164" fontId="10" fillId="0" borderId="35" xfId="1" applyNumberFormat="1" applyFont="1" applyFill="1" applyBorder="1"/>
    <xf numFmtId="0" fontId="10" fillId="0" borderId="90" xfId="0" applyFont="1" applyBorder="1"/>
    <xf numFmtId="0" fontId="10" fillId="0" borderId="93" xfId="0" applyFont="1" applyBorder="1"/>
    <xf numFmtId="0" fontId="10" fillId="0" borderId="74" xfId="0" applyFont="1" applyBorder="1"/>
    <xf numFmtId="164" fontId="10" fillId="0" borderId="74" xfId="1" applyNumberFormat="1" applyFont="1" applyFill="1" applyBorder="1"/>
    <xf numFmtId="164" fontId="10" fillId="0" borderId="95" xfId="1" applyNumberFormat="1" applyFont="1" applyFill="1" applyBorder="1"/>
    <xf numFmtId="164" fontId="10" fillId="0" borderId="43" xfId="1" applyNumberFormat="1" applyFont="1" applyFill="1" applyBorder="1" applyAlignment="1">
      <alignment horizontal="justify" vertical="top" wrapText="1"/>
    </xf>
    <xf numFmtId="164" fontId="9" fillId="0" borderId="63" xfId="1" applyNumberFormat="1" applyFont="1" applyFill="1" applyBorder="1" applyAlignment="1">
      <alignment horizontal="center" vertical="center" wrapText="1"/>
    </xf>
    <xf numFmtId="9" fontId="11" fillId="0" borderId="42" xfId="3" applyFont="1" applyFill="1" applyBorder="1" applyAlignment="1">
      <alignment horizontal="left"/>
    </xf>
    <xf numFmtId="9" fontId="9" fillId="0" borderId="42" xfId="3" applyFont="1" applyFill="1" applyBorder="1" applyAlignment="1">
      <alignment horizontal="left"/>
    </xf>
    <xf numFmtId="164" fontId="10" fillId="0" borderId="63" xfId="1" applyNumberFormat="1" applyFont="1" applyFill="1" applyBorder="1" applyAlignment="1">
      <alignment horizontal="justify" vertical="top" wrapText="1"/>
    </xf>
    <xf numFmtId="164" fontId="10" fillId="0" borderId="63" xfId="1" applyNumberFormat="1" applyFont="1" applyFill="1" applyBorder="1" applyAlignment="1">
      <alignment horizontal="right" vertical="top" wrapText="1"/>
    </xf>
    <xf numFmtId="164" fontId="9" fillId="0" borderId="96" xfId="1" applyNumberFormat="1" applyFont="1" applyFill="1" applyBorder="1" applyAlignment="1">
      <alignment horizontal="right"/>
    </xf>
    <xf numFmtId="2" fontId="9" fillId="0" borderId="42" xfId="3" applyNumberFormat="1" applyFont="1" applyFill="1" applyBorder="1" applyAlignment="1"/>
    <xf numFmtId="0" fontId="10" fillId="0" borderId="42" xfId="4" applyNumberFormat="1" applyFont="1" applyBorder="1" applyAlignment="1">
      <alignment horizontal="justify" vertical="top" wrapText="1"/>
    </xf>
    <xf numFmtId="9" fontId="14" fillId="0" borderId="42" xfId="3" applyFont="1" applyFill="1" applyBorder="1" applyAlignment="1">
      <alignment horizontal="left"/>
    </xf>
    <xf numFmtId="0" fontId="10" fillId="0" borderId="42" xfId="4" applyNumberFormat="1" applyFont="1" applyBorder="1" applyAlignment="1">
      <alignment vertical="top"/>
    </xf>
    <xf numFmtId="164" fontId="10" fillId="0" borderId="63" xfId="1" applyNumberFormat="1" applyFont="1" applyFill="1" applyBorder="1" applyAlignment="1">
      <alignment horizontal="left" vertical="top" wrapText="1"/>
    </xf>
    <xf numFmtId="0" fontId="11" fillId="0" borderId="42" xfId="4" applyNumberFormat="1" applyFont="1" applyBorder="1" applyAlignment="1">
      <alignment vertical="top"/>
    </xf>
    <xf numFmtId="164" fontId="9" fillId="0" borderId="74" xfId="1" applyNumberFormat="1" applyFont="1" applyFill="1" applyBorder="1" applyAlignment="1">
      <alignment horizontal="right"/>
    </xf>
    <xf numFmtId="164" fontId="9" fillId="0" borderId="95" xfId="1" applyNumberFormat="1" applyFont="1" applyFill="1" applyBorder="1" applyAlignment="1">
      <alignment horizontal="right"/>
    </xf>
    <xf numFmtId="164" fontId="9" fillId="0" borderId="63" xfId="1" applyNumberFormat="1" applyFont="1" applyFill="1" applyBorder="1" applyAlignment="1">
      <alignment horizontal="justify" vertical="top" wrapText="1"/>
    </xf>
    <xf numFmtId="164" fontId="9" fillId="0" borderId="63" xfId="1" applyNumberFormat="1" applyFont="1" applyFill="1" applyBorder="1" applyAlignment="1"/>
    <xf numFmtId="2" fontId="11" fillId="0" borderId="42" xfId="3" applyNumberFormat="1" applyFont="1" applyFill="1" applyBorder="1" applyAlignment="1"/>
    <xf numFmtId="0" fontId="10" fillId="0" borderId="42" xfId="4" applyNumberFormat="1" applyFont="1" applyBorder="1" applyAlignment="1">
      <alignment horizontal="left"/>
    </xf>
    <xf numFmtId="164" fontId="10" fillId="0" borderId="35" xfId="1" applyNumberFormat="1" applyFont="1" applyFill="1" applyBorder="1" applyAlignment="1">
      <alignment horizontal="right"/>
    </xf>
    <xf numFmtId="164" fontId="9" fillId="0" borderId="96" xfId="1" applyNumberFormat="1" applyFont="1" applyFill="1" applyBorder="1" applyAlignment="1"/>
    <xf numFmtId="0" fontId="11" fillId="0" borderId="42" xfId="4" applyNumberFormat="1" applyFont="1" applyBorder="1"/>
    <xf numFmtId="164" fontId="10" fillId="0" borderId="63" xfId="1" applyNumberFormat="1" applyFont="1" applyFill="1" applyBorder="1" applyAlignment="1">
      <alignment horizontal="left" wrapText="1"/>
    </xf>
    <xf numFmtId="0" fontId="9" fillId="0" borderId="42" xfId="4" applyNumberFormat="1" applyFont="1" applyBorder="1" applyAlignment="1">
      <alignment horizontal="left"/>
    </xf>
    <xf numFmtId="14" fontId="9" fillId="0" borderId="74" xfId="4" applyNumberFormat="1" applyFont="1" applyBorder="1" applyAlignment="1">
      <alignment horizontal="center"/>
    </xf>
    <xf numFmtId="14" fontId="9" fillId="0" borderId="80" xfId="4" applyNumberFormat="1" applyFont="1" applyBorder="1" applyAlignment="1">
      <alignment horizontal="center"/>
    </xf>
    <xf numFmtId="164" fontId="9" fillId="0" borderId="35" xfId="1" applyNumberFormat="1" applyFont="1" applyFill="1" applyBorder="1" applyAlignment="1">
      <alignment horizontal="center" vertical="center"/>
    </xf>
    <xf numFmtId="9" fontId="10" fillId="0" borderId="42" xfId="3" applyFont="1" applyFill="1" applyBorder="1" applyAlignment="1">
      <alignment horizontal="left"/>
    </xf>
    <xf numFmtId="2" fontId="10" fillId="0" borderId="90" xfId="3" applyNumberFormat="1" applyFont="1" applyFill="1" applyBorder="1" applyAlignment="1"/>
    <xf numFmtId="164" fontId="10" fillId="0" borderId="35" xfId="1" applyNumberFormat="1" applyFont="1" applyFill="1" applyBorder="1" applyAlignment="1"/>
    <xf numFmtId="164" fontId="9" fillId="0" borderId="63" xfId="1" applyNumberFormat="1" applyFont="1" applyFill="1" applyBorder="1" applyAlignment="1">
      <alignment horizontal="left" vertical="top" wrapText="1"/>
    </xf>
    <xf numFmtId="2" fontId="9" fillId="0" borderId="93" xfId="3" applyNumberFormat="1" applyFont="1" applyFill="1" applyBorder="1" applyAlignment="1"/>
    <xf numFmtId="1" fontId="10" fillId="0" borderId="74" xfId="4" applyNumberFormat="1" applyFont="1" applyBorder="1"/>
    <xf numFmtId="164" fontId="10" fillId="0" borderId="74" xfId="1" applyNumberFormat="1" applyFont="1" applyFill="1" applyBorder="1" applyAlignment="1"/>
    <xf numFmtId="164" fontId="10" fillId="0" borderId="95" xfId="1" applyNumberFormat="1" applyFont="1" applyFill="1" applyBorder="1" applyAlignment="1"/>
    <xf numFmtId="2" fontId="9" fillId="0" borderId="42" xfId="3" applyNumberFormat="1" applyFont="1" applyFill="1" applyBorder="1" applyAlignment="1">
      <alignment vertical="top" wrapText="1"/>
    </xf>
    <xf numFmtId="164" fontId="9" fillId="0" borderId="43" xfId="1" applyNumberFormat="1" applyFont="1" applyFill="1" applyBorder="1" applyAlignment="1">
      <alignment horizontal="justify" vertical="top" wrapText="1"/>
    </xf>
    <xf numFmtId="164" fontId="9" fillId="0" borderId="43" xfId="1" applyNumberFormat="1" applyFont="1" applyFill="1" applyBorder="1" applyAlignment="1">
      <alignment horizontal="left" vertical="top" wrapText="1"/>
    </xf>
    <xf numFmtId="9" fontId="9" fillId="0" borderId="42" xfId="3" applyFont="1" applyFill="1" applyBorder="1" applyAlignment="1">
      <alignment horizontal="justify" vertical="top"/>
    </xf>
    <xf numFmtId="2" fontId="10" fillId="0" borderId="42" xfId="3" applyNumberFormat="1" applyFont="1" applyFill="1" applyBorder="1" applyAlignment="1">
      <alignment vertical="top" wrapText="1"/>
    </xf>
    <xf numFmtId="9" fontId="11" fillId="0" borderId="42" xfId="3" applyFont="1" applyFill="1" applyBorder="1" applyAlignment="1"/>
    <xf numFmtId="9" fontId="9" fillId="0" borderId="90" xfId="3" applyFont="1" applyFill="1" applyBorder="1" applyAlignment="1"/>
    <xf numFmtId="164" fontId="9" fillId="0" borderId="62" xfId="1" applyNumberFormat="1" applyFont="1" applyFill="1" applyBorder="1" applyAlignment="1"/>
    <xf numFmtId="9" fontId="10" fillId="0" borderId="91" xfId="3" applyFont="1" applyFill="1" applyBorder="1" applyAlignment="1"/>
    <xf numFmtId="1" fontId="9" fillId="0" borderId="91" xfId="4" applyNumberFormat="1" applyFont="1" applyBorder="1"/>
    <xf numFmtId="164" fontId="9" fillId="0" borderId="91" xfId="1" applyNumberFormat="1" applyFont="1" applyFill="1" applyBorder="1" applyAlignment="1"/>
    <xf numFmtId="164" fontId="9" fillId="0" borderId="84" xfId="1" applyNumberFormat="1" applyFont="1" applyFill="1" applyBorder="1" applyAlignment="1"/>
    <xf numFmtId="0" fontId="14" fillId="0" borderId="42" xfId="0" applyFont="1" applyBorder="1"/>
    <xf numFmtId="164" fontId="10" fillId="0" borderId="35" xfId="1" applyNumberFormat="1" applyFont="1" applyFill="1" applyBorder="1" applyAlignment="1">
      <alignment horizontal="center"/>
    </xf>
    <xf numFmtId="9" fontId="9" fillId="0" borderId="42" xfId="3" applyFont="1" applyFill="1" applyBorder="1" applyAlignment="1">
      <alignment horizontal="left" vertical="top"/>
    </xf>
    <xf numFmtId="9" fontId="14" fillId="0" borderId="42" xfId="3" applyFont="1" applyFill="1" applyBorder="1" applyAlignment="1">
      <alignment horizontal="left" vertical="top"/>
    </xf>
    <xf numFmtId="9" fontId="10" fillId="0" borderId="42" xfId="3" applyFont="1" applyFill="1" applyBorder="1" applyAlignment="1">
      <alignment horizontal="left" vertical="top"/>
    </xf>
    <xf numFmtId="164" fontId="10" fillId="0" borderId="35" xfId="1" applyNumberFormat="1" applyFont="1" applyFill="1" applyBorder="1" applyAlignment="1">
      <alignment horizontal="left" vertical="top" wrapText="1"/>
    </xf>
    <xf numFmtId="2" fontId="10" fillId="0" borderId="42" xfId="5" applyNumberFormat="1" applyFont="1" applyFill="1" applyBorder="1" applyAlignment="1"/>
    <xf numFmtId="0" fontId="14" fillId="0" borderId="42" xfId="4" applyNumberFormat="1" applyFont="1" applyBorder="1" applyAlignment="1">
      <alignment horizontal="left"/>
    </xf>
    <xf numFmtId="0" fontId="10" fillId="0" borderId="42" xfId="4" applyNumberFormat="1" applyFont="1" applyBorder="1" applyAlignment="1">
      <alignment horizontal="left" vertical="top"/>
    </xf>
    <xf numFmtId="0" fontId="10" fillId="0" borderId="42" xfId="4" applyNumberFormat="1" applyFont="1" applyBorder="1" applyAlignment="1">
      <alignment horizontal="left" vertical="top" wrapText="1"/>
    </xf>
    <xf numFmtId="0" fontId="10" fillId="0" borderId="43" xfId="4" applyNumberFormat="1" applyFont="1" applyBorder="1" applyAlignment="1">
      <alignment horizontal="left" vertical="top" wrapText="1"/>
    </xf>
    <xf numFmtId="164" fontId="10" fillId="0" borderId="76" xfId="1" applyNumberFormat="1" applyFont="1" applyFill="1" applyBorder="1" applyAlignment="1"/>
    <xf numFmtId="164" fontId="10" fillId="0" borderId="80" xfId="1" applyNumberFormat="1" applyFont="1" applyFill="1" applyBorder="1" applyAlignment="1"/>
    <xf numFmtId="0" fontId="9" fillId="0" borderId="42" xfId="4" applyNumberFormat="1" applyFont="1" applyBorder="1" applyAlignment="1">
      <alignment horizontal="center" wrapText="1"/>
    </xf>
    <xf numFmtId="2" fontId="10" fillId="0" borderId="42" xfId="3" applyNumberFormat="1" applyFont="1" applyFill="1" applyBorder="1" applyAlignment="1"/>
    <xf numFmtId="9" fontId="10" fillId="0" borderId="42" xfId="4" applyNumberFormat="1" applyFont="1" applyBorder="1" applyAlignment="1">
      <alignment vertical="top"/>
    </xf>
    <xf numFmtId="9" fontId="10" fillId="0" borderId="42" xfId="3" quotePrefix="1" applyFont="1" applyFill="1" applyBorder="1" applyAlignment="1"/>
    <xf numFmtId="168" fontId="10" fillId="0" borderId="42" xfId="6" quotePrefix="1" applyNumberFormat="1" applyFont="1" applyBorder="1"/>
    <xf numFmtId="168" fontId="9" fillId="0" borderId="42" xfId="6" applyNumberFormat="1" applyFont="1" applyBorder="1"/>
    <xf numFmtId="168" fontId="10" fillId="0" borderId="42" xfId="6" applyNumberFormat="1" applyFont="1" applyBorder="1"/>
    <xf numFmtId="9" fontId="14" fillId="0" borderId="42" xfId="3" applyFont="1" applyFill="1" applyBorder="1" applyAlignment="1"/>
    <xf numFmtId="164" fontId="9" fillId="0" borderId="96" xfId="1" applyNumberFormat="1" applyFont="1" applyFill="1" applyBorder="1" applyAlignment="1">
      <alignment horizontal="center"/>
    </xf>
    <xf numFmtId="43" fontId="10" fillId="0" borderId="63" xfId="1" applyFont="1" applyFill="1" applyBorder="1" applyAlignment="1">
      <alignment horizontal="center"/>
    </xf>
    <xf numFmtId="164" fontId="9" fillId="0" borderId="43" xfId="1" applyNumberFormat="1" applyFont="1" applyFill="1" applyBorder="1" applyAlignment="1">
      <alignment horizontal="left" wrapText="1"/>
    </xf>
    <xf numFmtId="9" fontId="9" fillId="0" borderId="42" xfId="3" applyFont="1" applyFill="1" applyBorder="1" applyAlignment="1">
      <alignment horizontal="left" wrapText="1"/>
    </xf>
    <xf numFmtId="9" fontId="10" fillId="0" borderId="63" xfId="2" applyFont="1" applyFill="1" applyBorder="1" applyAlignment="1">
      <alignment horizontal="right"/>
    </xf>
    <xf numFmtId="9" fontId="10" fillId="0" borderId="77" xfId="3" applyFont="1" applyFill="1" applyBorder="1" applyAlignment="1"/>
    <xf numFmtId="9" fontId="10" fillId="0" borderId="43" xfId="3" applyFont="1" applyFill="1" applyBorder="1" applyAlignment="1">
      <alignment horizontal="left" wrapText="1"/>
    </xf>
    <xf numFmtId="9" fontId="10" fillId="0" borderId="74" xfId="3" applyFont="1" applyFill="1" applyBorder="1" applyAlignment="1">
      <alignment horizontal="left" wrapText="1"/>
    </xf>
    <xf numFmtId="9" fontId="10" fillId="0" borderId="83" xfId="3" applyFont="1" applyFill="1" applyBorder="1" applyAlignment="1">
      <alignment horizontal="left" wrapText="1"/>
    </xf>
    <xf numFmtId="164" fontId="9" fillId="0" borderId="74" xfId="1" applyNumberFormat="1" applyFont="1" applyFill="1" applyBorder="1" applyAlignment="1">
      <alignment horizontal="center"/>
    </xf>
    <xf numFmtId="164" fontId="9" fillId="0" borderId="95" xfId="1" applyNumberFormat="1" applyFont="1" applyFill="1" applyBorder="1" applyAlignment="1">
      <alignment horizontal="center"/>
    </xf>
    <xf numFmtId="164" fontId="10" fillId="0" borderId="76" xfId="1" applyNumberFormat="1" applyFont="1" applyFill="1" applyBorder="1" applyAlignment="1">
      <alignment horizontal="left" vertical="top" wrapText="1"/>
    </xf>
    <xf numFmtId="164" fontId="10" fillId="0" borderId="80" xfId="1" applyNumberFormat="1" applyFont="1" applyFill="1" applyBorder="1" applyAlignment="1">
      <alignment horizontal="left" vertical="top" wrapText="1"/>
    </xf>
    <xf numFmtId="164" fontId="10" fillId="0" borderId="63" xfId="1" applyNumberFormat="1" applyFont="1" applyFill="1" applyBorder="1" applyAlignment="1">
      <alignment vertical="top" wrapText="1"/>
    </xf>
    <xf numFmtId="168" fontId="11" fillId="0" borderId="90" xfId="0" applyNumberFormat="1" applyFont="1" applyBorder="1" applyAlignment="1">
      <alignment horizontal="left" vertical="top"/>
    </xf>
    <xf numFmtId="164" fontId="11" fillId="0" borderId="35" xfId="1" applyNumberFormat="1" applyFont="1" applyFill="1" applyBorder="1" applyAlignment="1">
      <alignment horizontal="left" vertical="top"/>
    </xf>
    <xf numFmtId="1" fontId="9" fillId="0" borderId="74" xfId="4" applyNumberFormat="1" applyFont="1" applyBorder="1"/>
    <xf numFmtId="1" fontId="9" fillId="0" borderId="83" xfId="4" applyNumberFormat="1" applyFont="1" applyBorder="1"/>
    <xf numFmtId="168" fontId="9" fillId="0" borderId="90" xfId="4" applyNumberFormat="1" applyFont="1" applyBorder="1"/>
    <xf numFmtId="168" fontId="9" fillId="0" borderId="93" xfId="4" applyNumberFormat="1" applyFont="1" applyBorder="1"/>
    <xf numFmtId="164" fontId="9" fillId="0" borderId="76" xfId="1" applyNumberFormat="1" applyFont="1" applyFill="1" applyBorder="1" applyAlignment="1">
      <alignment horizontal="left" wrapText="1"/>
    </xf>
    <xf numFmtId="164" fontId="9" fillId="0" borderId="80" xfId="1" applyNumberFormat="1" applyFont="1" applyFill="1" applyBorder="1" applyAlignment="1">
      <alignment horizontal="left" wrapText="1"/>
    </xf>
    <xf numFmtId="168" fontId="10" fillId="0" borderId="42" xfId="4" applyNumberFormat="1" applyFont="1" applyBorder="1" applyAlignment="1">
      <alignment vertical="top"/>
    </xf>
    <xf numFmtId="164" fontId="10" fillId="0" borderId="63" xfId="1" applyNumberFormat="1" applyFont="1" applyFill="1" applyBorder="1" applyAlignment="1">
      <alignment vertical="top"/>
    </xf>
    <xf numFmtId="168" fontId="9" fillId="0" borderId="42" xfId="4" applyNumberFormat="1" applyFont="1" applyBorder="1" applyAlignment="1">
      <alignment vertical="top"/>
    </xf>
    <xf numFmtId="10" fontId="10" fillId="0" borderId="63" xfId="2" applyNumberFormat="1" applyFont="1" applyFill="1" applyBorder="1" applyAlignment="1">
      <alignment horizontal="right"/>
    </xf>
    <xf numFmtId="10" fontId="10" fillId="0" borderId="35" xfId="2" applyNumberFormat="1" applyFont="1" applyFill="1" applyBorder="1" applyAlignment="1">
      <alignment horizontal="right"/>
    </xf>
    <xf numFmtId="164" fontId="9" fillId="0" borderId="35" xfId="1" applyNumberFormat="1" applyFont="1" applyFill="1" applyBorder="1"/>
    <xf numFmtId="168" fontId="9" fillId="0" borderId="93" xfId="4" applyNumberFormat="1" applyFont="1" applyBorder="1" applyAlignment="1">
      <alignment horizontal="center"/>
    </xf>
    <xf numFmtId="168" fontId="9" fillId="0" borderId="74" xfId="4" applyNumberFormat="1" applyFont="1" applyBorder="1" applyAlignment="1">
      <alignment horizontal="center"/>
    </xf>
    <xf numFmtId="164" fontId="10" fillId="0" borderId="43" xfId="1" applyNumberFormat="1" applyFont="1" applyFill="1" applyBorder="1"/>
    <xf numFmtId="164" fontId="10" fillId="0" borderId="43" xfId="1" applyNumberFormat="1" applyFont="1" applyFill="1" applyBorder="1" applyAlignment="1">
      <alignment horizontal="justify" vertical="top"/>
    </xf>
    <xf numFmtId="172" fontId="9" fillId="0" borderId="83" xfId="1" applyNumberFormat="1" applyFont="1" applyFill="1" applyBorder="1" applyAlignment="1">
      <alignment horizontal="center" vertical="center" wrapText="1"/>
    </xf>
    <xf numFmtId="9" fontId="10" fillId="0" borderId="74" xfId="3" applyFont="1" applyFill="1" applyBorder="1" applyAlignment="1"/>
    <xf numFmtId="1" fontId="10" fillId="0" borderId="83" xfId="4" applyNumberFormat="1" applyFont="1" applyBorder="1"/>
    <xf numFmtId="164" fontId="10" fillId="0" borderId="83" xfId="1" applyNumberFormat="1" applyFont="1" applyFill="1" applyBorder="1" applyAlignment="1"/>
    <xf numFmtId="9" fontId="10" fillId="0" borderId="93" xfId="3" applyFont="1" applyFill="1" applyBorder="1" applyAlignment="1"/>
    <xf numFmtId="0" fontId="10" fillId="0" borderId="42" xfId="0" applyFont="1" applyBorder="1" applyAlignment="1">
      <alignment horizontal="left" vertical="center" wrapText="1"/>
    </xf>
    <xf numFmtId="168" fontId="9" fillId="0" borderId="42" xfId="4" applyNumberFormat="1" applyFont="1" applyBorder="1" applyAlignment="1">
      <alignment horizontal="center"/>
    </xf>
    <xf numFmtId="0" fontId="10" fillId="0" borderId="43" xfId="0" applyFont="1" applyBorder="1" applyAlignment="1">
      <alignment horizontal="left" vertical="top" wrapText="1"/>
    </xf>
    <xf numFmtId="164" fontId="10" fillId="0" borderId="43" xfId="1" applyNumberFormat="1" applyFont="1" applyFill="1" applyBorder="1" applyAlignment="1">
      <alignment horizontal="left" vertical="top" wrapText="1"/>
    </xf>
    <xf numFmtId="168" fontId="11" fillId="0" borderId="42" xfId="4" applyNumberFormat="1" applyFont="1" applyBorder="1"/>
    <xf numFmtId="169" fontId="10" fillId="0" borderId="63" xfId="1" applyNumberFormat="1" applyFont="1" applyFill="1" applyBorder="1" applyAlignment="1">
      <alignment horizontal="right"/>
    </xf>
    <xf numFmtId="169" fontId="10" fillId="0" borderId="35" xfId="1" applyNumberFormat="1" applyFont="1" applyFill="1" applyBorder="1" applyAlignment="1">
      <alignment horizontal="right"/>
    </xf>
    <xf numFmtId="168" fontId="14" fillId="0" borderId="42" xfId="4" applyNumberFormat="1" applyFont="1" applyBorder="1" applyAlignment="1">
      <alignment wrapText="1"/>
    </xf>
    <xf numFmtId="164" fontId="14" fillId="0" borderId="43" xfId="1" applyNumberFormat="1" applyFont="1" applyFill="1" applyBorder="1" applyAlignment="1">
      <alignment wrapText="1"/>
    </xf>
    <xf numFmtId="164" fontId="10" fillId="0" borderId="43" xfId="1" applyNumberFormat="1" applyFont="1" applyFill="1" applyBorder="1" applyAlignment="1">
      <alignment vertical="top"/>
    </xf>
    <xf numFmtId="168" fontId="9" fillId="0" borderId="88" xfId="4" applyNumberFormat="1" applyFont="1" applyBorder="1"/>
    <xf numFmtId="9" fontId="9" fillId="0" borderId="78" xfId="3" applyFont="1" applyFill="1" applyBorder="1" applyAlignment="1"/>
    <xf numFmtId="1" fontId="10" fillId="0" borderId="78" xfId="4" applyNumberFormat="1" applyFont="1" applyBorder="1"/>
    <xf numFmtId="1" fontId="10" fillId="0" borderId="78" xfId="4" applyNumberFormat="1" applyFont="1" applyBorder="1" applyAlignment="1">
      <alignment horizontal="left"/>
    </xf>
    <xf numFmtId="164" fontId="10" fillId="0" borderId="78" xfId="1" applyNumberFormat="1" applyFont="1" applyFill="1" applyBorder="1" applyAlignment="1">
      <alignment horizontal="left"/>
    </xf>
    <xf numFmtId="164" fontId="10" fillId="0" borderId="92" xfId="1" applyNumberFormat="1" applyFont="1" applyFill="1" applyBorder="1" applyAlignment="1">
      <alignment horizontal="left"/>
    </xf>
    <xf numFmtId="168" fontId="9" fillId="0" borderId="42" xfId="4" applyNumberFormat="1" applyFont="1" applyBorder="1" applyAlignment="1">
      <alignment horizontal="left" vertical="center"/>
    </xf>
    <xf numFmtId="164" fontId="10" fillId="0" borderId="78" xfId="1" applyNumberFormat="1" applyFont="1" applyFill="1" applyBorder="1" applyAlignment="1"/>
    <xf numFmtId="164" fontId="10" fillId="0" borderId="92" xfId="1" applyNumberFormat="1" applyFont="1" applyFill="1" applyBorder="1" applyAlignment="1"/>
    <xf numFmtId="168" fontId="10" fillId="0" borderId="88" xfId="4" applyNumberFormat="1" applyFont="1" applyBorder="1"/>
    <xf numFmtId="168" fontId="10" fillId="0" borderId="78" xfId="4" applyNumberFormat="1" applyFont="1" applyBorder="1"/>
    <xf numFmtId="9" fontId="9" fillId="0" borderId="88" xfId="3" applyFont="1" applyFill="1" applyBorder="1" applyAlignment="1"/>
    <xf numFmtId="168" fontId="10" fillId="0" borderId="98" xfId="4" applyNumberFormat="1" applyFont="1" applyBorder="1"/>
    <xf numFmtId="164" fontId="10" fillId="0" borderId="98" xfId="1" applyNumberFormat="1" applyFont="1" applyFill="1" applyBorder="1" applyAlignment="1"/>
    <xf numFmtId="164" fontId="10" fillId="0" borderId="85" xfId="1" applyNumberFormat="1" applyFont="1" applyFill="1" applyBorder="1" applyAlignment="1"/>
    <xf numFmtId="164" fontId="10" fillId="0" borderId="86" xfId="1" applyNumberFormat="1" applyFont="1" applyFill="1" applyBorder="1" applyAlignment="1"/>
    <xf numFmtId="9" fontId="81" fillId="0" borderId="21" xfId="3" applyFont="1" applyFill="1" applyBorder="1"/>
    <xf numFmtId="168" fontId="81" fillId="0" borderId="27" xfId="26" applyNumberFormat="1" applyFont="1" applyBorder="1"/>
    <xf numFmtId="168" fontId="81" fillId="0" borderId="27" xfId="26" applyNumberFormat="1" applyFont="1" applyBorder="1" applyAlignment="1">
      <alignment horizontal="center"/>
    </xf>
    <xf numFmtId="9" fontId="81" fillId="0" borderId="27" xfId="3" applyFont="1" applyFill="1" applyBorder="1"/>
    <xf numFmtId="9" fontId="81" fillId="0" borderId="50" xfId="3" applyFont="1" applyFill="1" applyBorder="1"/>
    <xf numFmtId="37" fontId="81" fillId="0" borderId="87" xfId="8" applyNumberFormat="1" applyFont="1" applyFill="1" applyBorder="1" applyAlignment="1">
      <alignment horizontal="right"/>
    </xf>
    <xf numFmtId="9" fontId="81" fillId="0" borderId="42" xfId="3" applyFont="1" applyFill="1" applyBorder="1"/>
    <xf numFmtId="9" fontId="81" fillId="0" borderId="0" xfId="3" applyFont="1" applyFill="1" applyBorder="1"/>
    <xf numFmtId="37" fontId="81" fillId="0" borderId="43" xfId="8" applyNumberFormat="1" applyFont="1" applyFill="1" applyBorder="1" applyAlignment="1">
      <alignment horizontal="right"/>
    </xf>
    <xf numFmtId="168" fontId="81" fillId="0" borderId="0" xfId="26" applyNumberFormat="1" applyFont="1" applyAlignment="1">
      <alignment horizontal="center"/>
    </xf>
    <xf numFmtId="168" fontId="82" fillId="0" borderId="42" xfId="26" applyNumberFormat="1" applyFont="1" applyBorder="1"/>
    <xf numFmtId="168" fontId="81" fillId="0" borderId="93" xfId="26" applyNumberFormat="1" applyFont="1" applyBorder="1" applyAlignment="1">
      <alignment horizontal="center" vertical="top" wrapText="1"/>
    </xf>
    <xf numFmtId="168" fontId="81" fillId="0" borderId="74" xfId="26" applyNumberFormat="1" applyFont="1" applyBorder="1" applyAlignment="1">
      <alignment horizontal="center" vertical="top" wrapText="1"/>
    </xf>
    <xf numFmtId="168" fontId="81" fillId="0" borderId="83" xfId="26" applyNumberFormat="1" applyFont="1" applyBorder="1" applyAlignment="1">
      <alignment horizontal="center" vertical="top" wrapText="1"/>
    </xf>
    <xf numFmtId="0" fontId="0" fillId="0" borderId="63" xfId="0" applyBorder="1"/>
    <xf numFmtId="170" fontId="82" fillId="0" borderId="42" xfId="27" applyNumberFormat="1" applyFont="1" applyFill="1" applyBorder="1"/>
    <xf numFmtId="173" fontId="82" fillId="0" borderId="63" xfId="27" applyNumberFormat="1" applyFont="1" applyFill="1" applyBorder="1"/>
    <xf numFmtId="3" fontId="82" fillId="0" borderId="0" xfId="27" applyNumberFormat="1" applyFont="1" applyFill="1" applyBorder="1"/>
    <xf numFmtId="170" fontId="81" fillId="0" borderId="42" xfId="27" applyNumberFormat="1" applyFont="1" applyFill="1" applyBorder="1"/>
    <xf numFmtId="49" fontId="82" fillId="0" borderId="0" xfId="26" applyNumberFormat="1" applyFont="1"/>
    <xf numFmtId="173" fontId="82" fillId="0" borderId="35" xfId="27" applyNumberFormat="1" applyFont="1" applyFill="1" applyBorder="1" applyAlignment="1">
      <alignment horizontal="right"/>
    </xf>
    <xf numFmtId="37" fontId="81" fillId="0" borderId="63" xfId="8" applyNumberFormat="1" applyFont="1" applyFill="1" applyBorder="1" applyAlignment="1">
      <alignment horizontal="right"/>
    </xf>
    <xf numFmtId="173" fontId="82" fillId="0" borderId="63" xfId="27" applyNumberFormat="1" applyFont="1" applyFill="1" applyBorder="1" applyAlignment="1">
      <alignment horizontal="right"/>
    </xf>
    <xf numFmtId="168" fontId="81" fillId="0" borderId="0" xfId="26" applyNumberFormat="1" applyFont="1" applyAlignment="1">
      <alignment horizontal="right"/>
    </xf>
    <xf numFmtId="168" fontId="83" fillId="0" borderId="0" xfId="26" applyNumberFormat="1" applyFont="1"/>
    <xf numFmtId="164" fontId="82" fillId="0" borderId="0" xfId="8" applyNumberFormat="1" applyFont="1" applyFill="1" applyBorder="1"/>
    <xf numFmtId="168" fontId="82" fillId="0" borderId="0" xfId="26" applyNumberFormat="1" applyFont="1" applyAlignment="1">
      <alignment horizontal="right"/>
    </xf>
    <xf numFmtId="9" fontId="82" fillId="0" borderId="42" xfId="3" applyFont="1" applyFill="1" applyBorder="1"/>
    <xf numFmtId="37" fontId="81" fillId="0" borderId="76" xfId="8" applyNumberFormat="1" applyFont="1" applyFill="1" applyBorder="1" applyAlignment="1">
      <alignment horizontal="right"/>
    </xf>
    <xf numFmtId="37" fontId="81" fillId="0" borderId="80" xfId="8" applyNumberFormat="1" applyFont="1" applyFill="1" applyBorder="1" applyAlignment="1">
      <alignment horizontal="right"/>
    </xf>
    <xf numFmtId="173" fontId="81" fillId="0" borderId="63" xfId="27" applyNumberFormat="1" applyFont="1" applyFill="1" applyBorder="1" applyAlignment="1">
      <alignment horizontal="right"/>
    </xf>
    <xf numFmtId="37" fontId="81" fillId="0" borderId="96" xfId="8" applyNumberFormat="1" applyFont="1" applyFill="1" applyBorder="1"/>
    <xf numFmtId="164" fontId="81" fillId="0" borderId="63" xfId="8" applyNumberFormat="1" applyFont="1" applyFill="1" applyBorder="1" applyAlignment="1">
      <alignment horizontal="right"/>
    </xf>
    <xf numFmtId="164" fontId="81" fillId="0" borderId="96" xfId="27" applyNumberFormat="1" applyFont="1" applyFill="1" applyBorder="1" applyAlignment="1">
      <alignment horizontal="right"/>
    </xf>
    <xf numFmtId="173" fontId="81" fillId="0" borderId="63" xfId="27" applyNumberFormat="1" applyFont="1" applyFill="1" applyBorder="1"/>
    <xf numFmtId="170" fontId="82" fillId="0" borderId="0" xfId="27" applyNumberFormat="1" applyFont="1" applyFill="1" applyBorder="1"/>
    <xf numFmtId="37" fontId="82" fillId="0" borderId="63" xfId="8" applyNumberFormat="1" applyFont="1" applyFill="1" applyBorder="1" applyAlignment="1">
      <alignment horizontal="right"/>
    </xf>
    <xf numFmtId="0" fontId="84" fillId="0" borderId="0" xfId="26" applyNumberFormat="1" applyFont="1" applyAlignment="1">
      <alignment vertical="top"/>
    </xf>
    <xf numFmtId="173" fontId="82" fillId="0" borderId="35" xfId="27" applyNumberFormat="1" applyFont="1" applyFill="1" applyBorder="1"/>
    <xf numFmtId="168" fontId="81" fillId="0" borderId="0" xfId="26" applyNumberFormat="1" applyFont="1" applyAlignment="1">
      <alignment horizontal="left"/>
    </xf>
    <xf numFmtId="37" fontId="82" fillId="0" borderId="35" xfId="8" applyNumberFormat="1" applyFont="1" applyFill="1" applyBorder="1" applyAlignment="1">
      <alignment horizontal="right"/>
    </xf>
    <xf numFmtId="37" fontId="82" fillId="0" borderId="63" xfId="8" applyNumberFormat="1" applyFont="1" applyFill="1" applyBorder="1"/>
    <xf numFmtId="170" fontId="81" fillId="0" borderId="0" xfId="27" applyNumberFormat="1" applyFont="1" applyFill="1" applyBorder="1" applyAlignment="1">
      <alignment horizontal="right"/>
    </xf>
    <xf numFmtId="170" fontId="82" fillId="0" borderId="63" xfId="8" applyFont="1" applyFill="1" applyBorder="1" applyAlignment="1">
      <alignment horizontal="right"/>
    </xf>
    <xf numFmtId="170" fontId="81" fillId="0" borderId="0" xfId="27" applyNumberFormat="1" applyFont="1" applyFill="1" applyBorder="1"/>
    <xf numFmtId="37" fontId="81" fillId="0" borderId="73" xfId="8" applyNumberFormat="1" applyFont="1" applyFill="1" applyBorder="1" applyAlignment="1">
      <alignment horizontal="right"/>
    </xf>
    <xf numFmtId="37" fontId="81" fillId="0" borderId="37" xfId="8" applyNumberFormat="1" applyFont="1" applyFill="1" applyBorder="1" applyAlignment="1">
      <alignment horizontal="right"/>
    </xf>
    <xf numFmtId="168" fontId="82" fillId="0" borderId="88" xfId="26" applyNumberFormat="1" applyFont="1" applyBorder="1"/>
    <xf numFmtId="168" fontId="82" fillId="0" borderId="78" xfId="26" applyNumberFormat="1" applyFont="1" applyBorder="1"/>
    <xf numFmtId="173" fontId="82" fillId="0" borderId="98" xfId="27" applyNumberFormat="1" applyFont="1" applyFill="1" applyBorder="1"/>
    <xf numFmtId="173" fontId="82" fillId="0" borderId="85" xfId="27" applyNumberFormat="1" applyFont="1" applyFill="1" applyBorder="1"/>
    <xf numFmtId="173" fontId="82" fillId="0" borderId="86" xfId="27" applyNumberFormat="1" applyFont="1" applyFill="1" applyBorder="1"/>
    <xf numFmtId="168" fontId="82" fillId="0" borderId="27" xfId="26" applyNumberFormat="1" applyFont="1" applyBorder="1"/>
    <xf numFmtId="173" fontId="82" fillId="0" borderId="27" xfId="27" applyNumberFormat="1" applyFont="1" applyFill="1" applyBorder="1"/>
    <xf numFmtId="37" fontId="82" fillId="0" borderId="27" xfId="8" applyNumberFormat="1" applyFont="1" applyFill="1" applyBorder="1" applyAlignment="1">
      <alignment horizontal="right"/>
    </xf>
    <xf numFmtId="168" fontId="9" fillId="0" borderId="4" xfId="4" applyNumberFormat="1" applyFont="1" applyBorder="1" applyAlignment="1">
      <alignment horizontal="center"/>
    </xf>
    <xf numFmtId="168" fontId="9" fillId="0" borderId="62" xfId="4" applyNumberFormat="1" applyFont="1" applyBorder="1" applyAlignment="1">
      <alignment horizontal="center"/>
    </xf>
    <xf numFmtId="168" fontId="9" fillId="0" borderId="90" xfId="4" applyNumberFormat="1" applyFont="1" applyBorder="1" applyAlignment="1">
      <alignment horizontal="center"/>
    </xf>
    <xf numFmtId="168" fontId="9" fillId="0" borderId="43" xfId="4" applyNumberFormat="1" applyFont="1" applyBorder="1" applyAlignment="1">
      <alignment horizontal="center"/>
    </xf>
    <xf numFmtId="168" fontId="9" fillId="0" borderId="42" xfId="0" applyNumberFormat="1" applyFont="1" applyBorder="1" applyAlignment="1">
      <alignment horizontal="center"/>
    </xf>
    <xf numFmtId="168" fontId="9" fillId="0" borderId="43" xfId="0" applyNumberFormat="1" applyFont="1" applyBorder="1" applyAlignment="1">
      <alignment horizontal="center"/>
    </xf>
    <xf numFmtId="43" fontId="2" fillId="0" borderId="73" xfId="0" applyNumberFormat="1" applyFont="1" applyBorder="1"/>
    <xf numFmtId="14" fontId="0" fillId="0" borderId="0" xfId="0" applyNumberFormat="1" applyAlignment="1">
      <alignment horizontal="center"/>
    </xf>
    <xf numFmtId="164" fontId="9" fillId="0" borderId="73" xfId="1" applyNumberFormat="1" applyFont="1" applyFill="1" applyBorder="1" applyAlignment="1">
      <alignment horizontal="right"/>
    </xf>
    <xf numFmtId="0" fontId="9" fillId="0" borderId="73" xfId="4" applyNumberFormat="1" applyFont="1" applyBorder="1" applyAlignment="1">
      <alignment vertical="top"/>
    </xf>
    <xf numFmtId="1" fontId="9" fillId="0" borderId="73" xfId="4" applyNumberFormat="1" applyFont="1" applyBorder="1"/>
    <xf numFmtId="164" fontId="10" fillId="0" borderId="73" xfId="1" applyNumberFormat="1" applyFont="1" applyFill="1" applyBorder="1" applyAlignment="1">
      <alignment vertical="center"/>
    </xf>
    <xf numFmtId="9" fontId="9" fillId="0" borderId="73" xfId="3" applyFont="1" applyFill="1" applyBorder="1" applyAlignment="1">
      <alignment vertical="center" wrapText="1"/>
    </xf>
    <xf numFmtId="1" fontId="9" fillId="0" borderId="73" xfId="4" applyNumberFormat="1" applyFont="1" applyBorder="1" applyAlignment="1">
      <alignment vertical="center" wrapText="1"/>
    </xf>
    <xf numFmtId="164" fontId="9" fillId="0" borderId="73" xfId="1" applyNumberFormat="1" applyFont="1" applyFill="1" applyBorder="1" applyAlignment="1">
      <alignment vertical="center" wrapText="1"/>
    </xf>
    <xf numFmtId="164" fontId="10" fillId="0" borderId="73" xfId="1" applyNumberFormat="1" applyFont="1" applyFill="1" applyBorder="1" applyAlignment="1"/>
    <xf numFmtId="0" fontId="10" fillId="0" borderId="90" xfId="4" applyNumberFormat="1" applyFont="1" applyBorder="1" applyAlignment="1">
      <alignment vertical="top"/>
    </xf>
    <xf numFmtId="0" fontId="9" fillId="0" borderId="4" xfId="4" applyNumberFormat="1" applyFont="1" applyBorder="1" applyAlignment="1">
      <alignment horizontal="left"/>
    </xf>
    <xf numFmtId="0" fontId="9" fillId="0" borderId="78" xfId="0" applyFont="1" applyBorder="1"/>
    <xf numFmtId="43" fontId="10" fillId="0" borderId="85" xfId="1" applyFont="1" applyFill="1" applyBorder="1" applyAlignment="1">
      <alignment horizontal="center"/>
    </xf>
    <xf numFmtId="43" fontId="10" fillId="0" borderId="86" xfId="1" applyFont="1" applyFill="1" applyBorder="1" applyAlignment="1">
      <alignment horizontal="center"/>
    </xf>
    <xf numFmtId="9" fontId="10" fillId="0" borderId="42" xfId="3" applyFont="1" applyFill="1" applyBorder="1" applyAlignment="1">
      <alignment horizontal="left" vertical="top" wrapText="1"/>
    </xf>
    <xf numFmtId="9" fontId="10" fillId="0" borderId="43" xfId="3" applyFont="1" applyFill="1" applyBorder="1" applyAlignment="1">
      <alignment horizontal="left" vertical="top" wrapText="1"/>
    </xf>
    <xf numFmtId="0" fontId="10" fillId="0" borderId="42" xfId="0" applyFont="1" applyBorder="1" applyAlignment="1">
      <alignment horizontal="justify" vertical="top" wrapText="1"/>
    </xf>
    <xf numFmtId="43" fontId="19" fillId="0" borderId="63" xfId="8" applyNumberFormat="1" applyFont="1" applyFill="1" applyBorder="1"/>
    <xf numFmtId="43" fontId="22" fillId="0" borderId="37" xfId="8" applyNumberFormat="1" applyFont="1" applyFill="1" applyBorder="1"/>
    <xf numFmtId="43" fontId="22" fillId="0" borderId="63" xfId="8" applyNumberFormat="1" applyFont="1" applyFill="1" applyBorder="1"/>
    <xf numFmtId="43" fontId="22" fillId="0" borderId="37" xfId="0" applyNumberFormat="1" applyFont="1" applyBorder="1"/>
    <xf numFmtId="164" fontId="9" fillId="0" borderId="73" xfId="1" applyNumberFormat="1" applyFont="1" applyFill="1" applyBorder="1" applyAlignment="1">
      <alignment vertical="center"/>
    </xf>
    <xf numFmtId="164" fontId="9" fillId="0" borderId="76" xfId="1" applyNumberFormat="1" applyFont="1" applyFill="1" applyBorder="1" applyAlignment="1">
      <alignment horizontal="right"/>
    </xf>
    <xf numFmtId="164" fontId="9" fillId="0" borderId="80" xfId="1" applyNumberFormat="1" applyFont="1" applyFill="1" applyBorder="1" applyAlignment="1">
      <alignment horizontal="right"/>
    </xf>
    <xf numFmtId="10" fontId="10" fillId="0" borderId="74" xfId="2" applyNumberFormat="1" applyFont="1" applyFill="1" applyBorder="1" applyAlignment="1"/>
    <xf numFmtId="179" fontId="10" fillId="0" borderId="95" xfId="2" applyNumberFormat="1" applyFont="1" applyFill="1" applyBorder="1" applyAlignment="1"/>
    <xf numFmtId="1" fontId="9" fillId="0" borderId="83" xfId="4" applyNumberFormat="1" applyFont="1" applyBorder="1" applyAlignment="1">
      <alignment horizontal="center"/>
    </xf>
    <xf numFmtId="164" fontId="9" fillId="0" borderId="73" xfId="1" applyNumberFormat="1" applyFont="1" applyFill="1" applyBorder="1" applyAlignment="1"/>
    <xf numFmtId="164" fontId="9" fillId="0" borderId="73" xfId="1" applyNumberFormat="1" applyFont="1" applyFill="1" applyBorder="1"/>
    <xf numFmtId="164" fontId="1" fillId="0" borderId="73" xfId="36" applyNumberFormat="1" applyFont="1" applyFill="1" applyBorder="1" applyAlignment="1">
      <alignment vertical="center"/>
    </xf>
    <xf numFmtId="164" fontId="107" fillId="0" borderId="73" xfId="1" applyNumberFormat="1" applyFont="1" applyFill="1" applyBorder="1" applyAlignment="1">
      <alignment vertical="center"/>
    </xf>
    <xf numFmtId="43" fontId="10" fillId="0" borderId="76" xfId="1" applyFont="1" applyFill="1" applyBorder="1" applyAlignment="1">
      <alignment horizontal="center"/>
    </xf>
    <xf numFmtId="43" fontId="10" fillId="0" borderId="80" xfId="1" applyFont="1" applyFill="1" applyBorder="1" applyAlignment="1">
      <alignment horizontal="center"/>
    </xf>
    <xf numFmtId="164" fontId="9" fillId="0" borderId="73" xfId="1" applyNumberFormat="1" applyFont="1" applyFill="1" applyBorder="1" applyAlignment="1">
      <alignment horizontal="center"/>
    </xf>
    <xf numFmtId="43" fontId="9" fillId="0" borderId="98" xfId="1" applyFont="1" applyFill="1" applyBorder="1" applyAlignment="1">
      <alignment horizontal="center"/>
    </xf>
    <xf numFmtId="9" fontId="10" fillId="0" borderId="42" xfId="3" applyFont="1" applyFill="1" applyBorder="1" applyAlignment="1">
      <alignment horizontal="center"/>
    </xf>
    <xf numFmtId="164" fontId="9" fillId="0" borderId="83" xfId="1" applyNumberFormat="1" applyFont="1" applyFill="1" applyBorder="1" applyAlignment="1">
      <alignment horizontal="right"/>
    </xf>
    <xf numFmtId="9" fontId="11" fillId="0" borderId="90" xfId="3" applyFont="1" applyFill="1" applyBorder="1" applyAlignment="1">
      <alignment horizontal="left"/>
    </xf>
    <xf numFmtId="170" fontId="2" fillId="0" borderId="14" xfId="0" applyNumberFormat="1" applyFont="1" applyBorder="1"/>
    <xf numFmtId="170" fontId="2" fillId="0" borderId="14" xfId="1" applyNumberFormat="1" applyFont="1" applyFill="1" applyBorder="1"/>
    <xf numFmtId="170" fontId="0" fillId="0" borderId="14" xfId="0" applyNumberFormat="1" applyBorder="1"/>
    <xf numFmtId="170" fontId="0" fillId="0" borderId="14" xfId="1" applyNumberFormat="1" applyFont="1" applyFill="1" applyBorder="1"/>
    <xf numFmtId="170" fontId="2" fillId="0" borderId="13" xfId="0" applyNumberFormat="1" applyFont="1" applyBorder="1"/>
    <xf numFmtId="164" fontId="0" fillId="0" borderId="73" xfId="1" applyNumberFormat="1" applyFont="1" applyFill="1" applyBorder="1"/>
    <xf numFmtId="10" fontId="75" fillId="0" borderId="0" xfId="2" applyNumberFormat="1" applyFont="1"/>
    <xf numFmtId="0" fontId="109" fillId="0" borderId="0" xfId="37" applyFont="1" applyAlignment="1">
      <alignment horizontal="center"/>
    </xf>
    <xf numFmtId="0" fontId="109" fillId="0" borderId="0" xfId="37" applyFont="1"/>
    <xf numFmtId="0" fontId="110" fillId="0" borderId="0" xfId="37" applyFont="1"/>
    <xf numFmtId="0" fontId="109" fillId="0" borderId="73" xfId="37" applyFont="1" applyBorder="1" applyAlignment="1">
      <alignment horizontal="center"/>
    </xf>
    <xf numFmtId="0" fontId="109" fillId="0" borderId="73" xfId="37" applyFont="1" applyBorder="1"/>
    <xf numFmtId="0" fontId="110" fillId="0" borderId="14" xfId="37" applyFont="1" applyBorder="1"/>
    <xf numFmtId="170" fontId="110" fillId="0" borderId="14" xfId="28" applyFont="1" applyBorder="1" applyAlignment="1"/>
    <xf numFmtId="170" fontId="110" fillId="0" borderId="10" xfId="28" applyFont="1" applyBorder="1" applyAlignment="1"/>
    <xf numFmtId="0" fontId="109" fillId="0" borderId="14" xfId="37" applyFont="1" applyBorder="1" applyAlignment="1">
      <alignment vertical="center" wrapText="1"/>
    </xf>
    <xf numFmtId="0" fontId="109" fillId="0" borderId="14" xfId="37" applyFont="1" applyBorder="1" applyAlignment="1">
      <alignment vertical="top" wrapText="1"/>
    </xf>
    <xf numFmtId="173" fontId="109" fillId="0" borderId="14" xfId="28" applyNumberFormat="1" applyFont="1" applyFill="1" applyBorder="1" applyAlignment="1">
      <alignment vertical="top" wrapText="1"/>
    </xf>
    <xf numFmtId="173" fontId="110" fillId="0" borderId="10" xfId="28" applyNumberFormat="1" applyFont="1" applyFill="1" applyBorder="1" applyAlignment="1">
      <alignment vertical="top" wrapText="1"/>
    </xf>
    <xf numFmtId="0" fontId="110" fillId="0" borderId="14" xfId="37" applyFont="1" applyBorder="1" applyAlignment="1">
      <alignment vertical="center"/>
    </xf>
    <xf numFmtId="0" fontId="110" fillId="0" borderId="14" xfId="37" applyFont="1" applyBorder="1" applyAlignment="1">
      <alignment vertical="top" wrapText="1"/>
    </xf>
    <xf numFmtId="164" fontId="110" fillId="0" borderId="14" xfId="1" applyNumberFormat="1" applyFont="1" applyFill="1" applyBorder="1" applyAlignment="1">
      <alignment vertical="top" wrapText="1"/>
    </xf>
    <xf numFmtId="164" fontId="110" fillId="0" borderId="10" xfId="1" applyNumberFormat="1" applyFont="1" applyFill="1" applyBorder="1" applyAlignment="1">
      <alignment vertical="top" wrapText="1"/>
    </xf>
    <xf numFmtId="173" fontId="110" fillId="0" borderId="14" xfId="28" applyNumberFormat="1" applyFont="1" applyFill="1" applyBorder="1" applyAlignment="1">
      <alignment vertical="top" wrapText="1"/>
    </xf>
    <xf numFmtId="173" fontId="110" fillId="0" borderId="14" xfId="28" applyNumberFormat="1" applyFont="1" applyBorder="1" applyAlignment="1">
      <alignment vertical="top"/>
    </xf>
    <xf numFmtId="173" fontId="110" fillId="0" borderId="14" xfId="28" applyNumberFormat="1" applyFont="1" applyBorder="1" applyAlignment="1">
      <alignment vertical="top" wrapText="1"/>
    </xf>
    <xf numFmtId="170" fontId="110" fillId="0" borderId="14" xfId="28" applyFont="1" applyFill="1" applyBorder="1" applyAlignment="1">
      <alignment vertical="top" wrapText="1"/>
    </xf>
    <xf numFmtId="0" fontId="110" fillId="0" borderId="14" xfId="37" applyFont="1" applyBorder="1" applyAlignment="1">
      <alignment vertical="center" wrapText="1"/>
    </xf>
    <xf numFmtId="173" fontId="110" fillId="0" borderId="10" xfId="28" applyNumberFormat="1" applyFont="1" applyBorder="1" applyAlignment="1">
      <alignment vertical="top"/>
    </xf>
    <xf numFmtId="0" fontId="110" fillId="0" borderId="14" xfId="37" applyFont="1" applyBorder="1" applyAlignment="1">
      <alignment vertical="top"/>
    </xf>
    <xf numFmtId="173" fontId="109" fillId="0" borderId="14" xfId="28" applyNumberFormat="1" applyFont="1" applyBorder="1" applyAlignment="1">
      <alignment vertical="top" wrapText="1"/>
    </xf>
    <xf numFmtId="173" fontId="110" fillId="0" borderId="10" xfId="28" applyNumberFormat="1" applyFont="1" applyBorder="1" applyAlignment="1">
      <alignment vertical="top" wrapText="1"/>
    </xf>
    <xf numFmtId="0" fontId="110" fillId="0" borderId="0" xfId="37" applyFont="1" applyAlignment="1">
      <alignment vertical="top"/>
    </xf>
    <xf numFmtId="10" fontId="110" fillId="0" borderId="14" xfId="2" applyNumberFormat="1" applyFont="1" applyFill="1" applyBorder="1" applyAlignment="1">
      <alignment vertical="top" wrapText="1"/>
    </xf>
    <xf numFmtId="173" fontId="110" fillId="3" borderId="10" xfId="28" applyNumberFormat="1" applyFont="1" applyFill="1" applyBorder="1" applyAlignment="1">
      <alignment vertical="top"/>
    </xf>
    <xf numFmtId="0" fontId="109" fillId="0" borderId="13" xfId="37" applyFont="1" applyBorder="1" applyAlignment="1">
      <alignment vertical="top" wrapText="1"/>
    </xf>
    <xf numFmtId="0" fontId="109" fillId="0" borderId="0" xfId="37" applyFont="1" applyAlignment="1">
      <alignment vertical="top"/>
    </xf>
    <xf numFmtId="173" fontId="109" fillId="0" borderId="0" xfId="28" applyNumberFormat="1" applyFont="1" applyAlignment="1">
      <alignment vertical="top"/>
    </xf>
    <xf numFmtId="0" fontId="109" fillId="3" borderId="14" xfId="37" applyFont="1" applyFill="1" applyBorder="1" applyAlignment="1">
      <alignment horizontal="center" vertical="center"/>
    </xf>
    <xf numFmtId="0" fontId="109" fillId="3" borderId="14" xfId="37" applyFont="1" applyFill="1" applyBorder="1" applyAlignment="1">
      <alignment vertical="center" wrapText="1"/>
    </xf>
    <xf numFmtId="0" fontId="109" fillId="3" borderId="14" xfId="37" applyFont="1" applyFill="1" applyBorder="1" applyAlignment="1">
      <alignment vertical="top" wrapText="1"/>
    </xf>
    <xf numFmtId="173" fontId="109" fillId="3" borderId="14" xfId="28" applyNumberFormat="1" applyFont="1" applyFill="1" applyBorder="1" applyAlignment="1">
      <alignment vertical="top" wrapText="1"/>
    </xf>
    <xf numFmtId="173" fontId="110" fillId="3" borderId="14" xfId="28" applyNumberFormat="1" applyFont="1" applyFill="1" applyBorder="1" applyAlignment="1">
      <alignment vertical="top"/>
    </xf>
    <xf numFmtId="0" fontId="110" fillId="3" borderId="14" xfId="37" applyFont="1" applyFill="1" applyBorder="1" applyAlignment="1">
      <alignment vertical="top"/>
    </xf>
    <xf numFmtId="0" fontId="110" fillId="3" borderId="0" xfId="37" applyFont="1" applyFill="1"/>
    <xf numFmtId="0" fontId="109" fillId="3" borderId="0" xfId="37" applyFont="1" applyFill="1" applyAlignment="1">
      <alignment vertical="top"/>
    </xf>
    <xf numFmtId="173" fontId="109" fillId="3" borderId="0" xfId="28" applyNumberFormat="1" applyFont="1" applyFill="1" applyAlignment="1">
      <alignment vertical="top" wrapText="1"/>
    </xf>
    <xf numFmtId="0" fontId="109" fillId="3" borderId="0" xfId="37" applyFont="1" applyFill="1" applyAlignment="1">
      <alignment vertical="top" wrapText="1"/>
    </xf>
    <xf numFmtId="0" fontId="109" fillId="0" borderId="13" xfId="37" applyFont="1" applyBorder="1" applyAlignment="1">
      <alignment horizontal="center"/>
    </xf>
    <xf numFmtId="0" fontId="110" fillId="0" borderId="13" xfId="37" applyFont="1" applyBorder="1" applyAlignment="1">
      <alignment vertical="top" wrapText="1"/>
    </xf>
    <xf numFmtId="170" fontId="110" fillId="0" borderId="13" xfId="28" applyFont="1" applyBorder="1" applyAlignment="1">
      <alignment vertical="top" wrapText="1"/>
    </xf>
    <xf numFmtId="0" fontId="110" fillId="0" borderId="17" xfId="37" applyFont="1" applyBorder="1"/>
    <xf numFmtId="0" fontId="110" fillId="0" borderId="13" xfId="37" applyFont="1" applyBorder="1"/>
    <xf numFmtId="0" fontId="109" fillId="0" borderId="0" xfId="37" applyFont="1" applyAlignment="1">
      <alignment vertical="top" wrapText="1"/>
    </xf>
    <xf numFmtId="0" fontId="109" fillId="0" borderId="0" xfId="37" applyFont="1" applyAlignment="1">
      <alignment horizontal="right"/>
    </xf>
    <xf numFmtId="0" fontId="110" fillId="0" borderId="0" xfId="11" applyFont="1"/>
    <xf numFmtId="0" fontId="111" fillId="0" borderId="0" xfId="37" applyFont="1"/>
    <xf numFmtId="0" fontId="110" fillId="0" borderId="0" xfId="37" applyFont="1" applyAlignment="1">
      <alignment horizontal="right"/>
    </xf>
    <xf numFmtId="0" fontId="110" fillId="0" borderId="0" xfId="37" applyFont="1" applyAlignment="1">
      <alignment horizontal="left" indent="4"/>
    </xf>
    <xf numFmtId="173" fontId="110" fillId="0" borderId="10" xfId="28" applyNumberFormat="1" applyFont="1" applyFill="1" applyBorder="1" applyAlignment="1">
      <alignment vertical="top"/>
    </xf>
    <xf numFmtId="170" fontId="110" fillId="0" borderId="7" xfId="28" applyFont="1" applyBorder="1" applyAlignment="1"/>
    <xf numFmtId="170" fontId="110" fillId="0" borderId="7" xfId="28" applyFont="1" applyFill="1" applyBorder="1" applyAlignment="1">
      <alignment vertical="top" wrapText="1"/>
    </xf>
    <xf numFmtId="173" fontId="110" fillId="0" borderId="7" xfId="28" applyNumberFormat="1" applyFont="1" applyFill="1" applyBorder="1" applyAlignment="1">
      <alignment vertical="top" wrapText="1"/>
    </xf>
    <xf numFmtId="173" fontId="110" fillId="0" borderId="7" xfId="28" applyNumberFormat="1" applyFont="1" applyBorder="1" applyAlignment="1">
      <alignment vertical="top"/>
    </xf>
    <xf numFmtId="173" fontId="110" fillId="0" borderId="7" xfId="28" applyNumberFormat="1" applyFont="1" applyBorder="1" applyAlignment="1">
      <alignment vertical="top" wrapText="1"/>
    </xf>
    <xf numFmtId="10" fontId="110" fillId="0" borderId="7" xfId="2" applyNumberFormat="1" applyFont="1" applyFill="1" applyBorder="1" applyAlignment="1">
      <alignment vertical="top" wrapText="1"/>
    </xf>
    <xf numFmtId="0" fontId="110" fillId="0" borderId="76" xfId="37" applyFont="1" applyBorder="1"/>
    <xf numFmtId="9" fontId="110" fillId="0" borderId="14" xfId="2" applyFont="1" applyBorder="1"/>
    <xf numFmtId="15" fontId="109" fillId="0" borderId="73" xfId="37" applyNumberFormat="1" applyFont="1" applyBorder="1" applyAlignment="1">
      <alignment horizontal="center"/>
    </xf>
    <xf numFmtId="168" fontId="9" fillId="0" borderId="4" xfId="4" applyNumberFormat="1" applyFont="1" applyBorder="1" applyAlignment="1">
      <alignment horizontal="left"/>
    </xf>
    <xf numFmtId="0" fontId="109" fillId="0" borderId="42" xfId="37" applyFont="1" applyBorder="1" applyAlignment="1">
      <alignment horizontal="left"/>
    </xf>
    <xf numFmtId="0" fontId="109" fillId="0" borderId="59" xfId="37" applyFont="1" applyBorder="1" applyAlignment="1">
      <alignment horizontal="center"/>
    </xf>
    <xf numFmtId="0" fontId="109" fillId="0" borderId="100" xfId="37" applyFont="1" applyBorder="1" applyAlignment="1">
      <alignment horizontal="center"/>
    </xf>
    <xf numFmtId="0" fontId="109" fillId="0" borderId="82" xfId="37" applyFont="1" applyBorder="1" applyAlignment="1">
      <alignment horizontal="center" vertical="center"/>
    </xf>
    <xf numFmtId="0" fontId="110" fillId="0" borderId="63" xfId="37" applyFont="1" applyBorder="1"/>
    <xf numFmtId="43" fontId="110" fillId="0" borderId="63" xfId="1" applyFont="1" applyBorder="1"/>
    <xf numFmtId="0" fontId="110" fillId="0" borderId="63" xfId="37" applyFont="1" applyBorder="1" applyAlignment="1">
      <alignment vertical="top"/>
    </xf>
    <xf numFmtId="0" fontId="110" fillId="0" borderId="0" xfId="11" applyFont="1" applyAlignment="1">
      <alignment wrapText="1"/>
    </xf>
    <xf numFmtId="0" fontId="109" fillId="0" borderId="56" xfId="37" applyFont="1" applyBorder="1" applyAlignment="1">
      <alignment horizontal="center" vertical="center"/>
    </xf>
    <xf numFmtId="0" fontId="109" fillId="0" borderId="85" xfId="37" applyFont="1" applyBorder="1" applyAlignment="1">
      <alignment vertical="center" wrapText="1"/>
    </xf>
    <xf numFmtId="0" fontId="110" fillId="0" borderId="85" xfId="37" applyFont="1" applyBorder="1" applyAlignment="1">
      <alignment vertical="top" wrapText="1"/>
    </xf>
    <xf numFmtId="173" fontId="110" fillId="0" borderId="85" xfId="28" applyNumberFormat="1" applyFont="1" applyBorder="1" applyAlignment="1">
      <alignment vertical="top" wrapText="1"/>
    </xf>
    <xf numFmtId="173" fontId="110" fillId="0" borderId="98" xfId="28" applyNumberFormat="1" applyFont="1" applyBorder="1" applyAlignment="1">
      <alignment vertical="top"/>
    </xf>
    <xf numFmtId="173" fontId="110" fillId="0" borderId="57" xfId="28" applyNumberFormat="1" applyFont="1" applyBorder="1" applyAlignment="1">
      <alignment vertical="top"/>
    </xf>
    <xf numFmtId="0" fontId="110" fillId="0" borderId="85" xfId="37" applyFont="1" applyBorder="1" applyAlignment="1">
      <alignment vertical="top"/>
    </xf>
    <xf numFmtId="0" fontId="110" fillId="0" borderId="85" xfId="37" applyFont="1" applyBorder="1"/>
    <xf numFmtId="0" fontId="110" fillId="0" borderId="86" xfId="37" applyFont="1" applyBorder="1"/>
    <xf numFmtId="164" fontId="9" fillId="0" borderId="62" xfId="1" applyNumberFormat="1" applyFont="1" applyFill="1" applyBorder="1" applyAlignment="1">
      <alignment horizontal="center"/>
    </xf>
    <xf numFmtId="168" fontId="11" fillId="0" borderId="42" xfId="4" applyNumberFormat="1" applyFont="1" applyBorder="1" applyAlignment="1">
      <alignment wrapText="1"/>
    </xf>
    <xf numFmtId="168" fontId="10" fillId="0" borderId="10" xfId="4" applyNumberFormat="1" applyFont="1" applyBorder="1" applyAlignment="1">
      <alignment horizontal="left" wrapText="1"/>
    </xf>
    <xf numFmtId="0" fontId="9" fillId="0" borderId="74" xfId="4" applyNumberFormat="1" applyFont="1" applyBorder="1" applyAlignment="1">
      <alignment horizontal="left" vertical="center"/>
    </xf>
    <xf numFmtId="0" fontId="9" fillId="0" borderId="4" xfId="4" applyNumberFormat="1" applyFont="1" applyBorder="1" applyAlignment="1">
      <alignment horizontal="left" vertical="center"/>
    </xf>
    <xf numFmtId="168" fontId="14" fillId="0" borderId="74" xfId="4" applyNumberFormat="1" applyFont="1" applyBorder="1" applyAlignment="1">
      <alignment wrapText="1"/>
    </xf>
    <xf numFmtId="168" fontId="10" fillId="0" borderId="93" xfId="4" applyNumberFormat="1" applyFont="1" applyBorder="1" applyAlignment="1">
      <alignment wrapText="1"/>
    </xf>
    <xf numFmtId="168" fontId="10" fillId="0" borderId="42" xfId="4" applyNumberFormat="1" applyFont="1" applyBorder="1" applyAlignment="1">
      <alignment wrapText="1"/>
    </xf>
    <xf numFmtId="164" fontId="9" fillId="0" borderId="95" xfId="1" applyNumberFormat="1" applyFont="1" applyFill="1" applyBorder="1" applyAlignment="1">
      <alignment horizontal="center" vertical="center" wrapText="1"/>
    </xf>
    <xf numFmtId="164" fontId="10" fillId="0" borderId="76" xfId="1" applyNumberFormat="1" applyFont="1" applyFill="1" applyBorder="1" applyAlignment="1">
      <alignment wrapText="1"/>
    </xf>
    <xf numFmtId="164" fontId="10" fillId="0" borderId="14" xfId="1" applyNumberFormat="1" applyFont="1" applyFill="1" applyBorder="1" applyAlignment="1">
      <alignment wrapText="1"/>
    </xf>
    <xf numFmtId="164" fontId="10" fillId="0" borderId="95" xfId="1" applyNumberFormat="1" applyFont="1" applyFill="1" applyBorder="1" applyAlignment="1">
      <alignment wrapText="1"/>
    </xf>
    <xf numFmtId="164" fontId="10" fillId="0" borderId="43" xfId="1" applyNumberFormat="1" applyFont="1" applyFill="1" applyBorder="1" applyAlignment="1">
      <alignment wrapText="1"/>
    </xf>
    <xf numFmtId="0" fontId="11" fillId="0" borderId="42" xfId="0" applyFont="1" applyBorder="1" applyAlignment="1">
      <alignment horizontal="left" vertical="top" wrapText="1"/>
    </xf>
    <xf numFmtId="180" fontId="75" fillId="0" borderId="0" xfId="0" applyNumberFormat="1" applyFont="1"/>
    <xf numFmtId="0" fontId="110" fillId="0" borderId="63" xfId="37" applyFont="1" applyBorder="1" applyAlignment="1">
      <alignment wrapText="1"/>
    </xf>
    <xf numFmtId="173" fontId="109" fillId="0" borderId="14" xfId="28" applyNumberFormat="1" applyFont="1" applyBorder="1" applyAlignment="1">
      <alignment vertical="center" wrapText="1"/>
    </xf>
    <xf numFmtId="173" fontId="110" fillId="0" borderId="10" xfId="28" applyNumberFormat="1" applyFont="1" applyBorder="1" applyAlignment="1">
      <alignment vertical="center" wrapText="1"/>
    </xf>
    <xf numFmtId="170" fontId="110" fillId="0" borderId="7" xfId="28" applyFont="1" applyFill="1" applyBorder="1" applyAlignment="1">
      <alignment vertical="center" wrapText="1"/>
    </xf>
    <xf numFmtId="170" fontId="110" fillId="0" borderId="14" xfId="28" applyFont="1" applyFill="1" applyBorder="1" applyAlignment="1">
      <alignment vertical="center" wrapText="1"/>
    </xf>
    <xf numFmtId="9" fontId="110" fillId="0" borderId="14" xfId="2" applyFont="1" applyBorder="1" applyAlignment="1">
      <alignment vertical="center"/>
    </xf>
    <xf numFmtId="0" fontId="110" fillId="0" borderId="63" xfId="37" applyFont="1" applyBorder="1" applyAlignment="1">
      <alignment vertical="center" wrapText="1"/>
    </xf>
    <xf numFmtId="0" fontId="110" fillId="0" borderId="0" xfId="37" applyFont="1" applyAlignment="1">
      <alignment vertical="center"/>
    </xf>
    <xf numFmtId="0" fontId="110" fillId="0" borderId="63" xfId="37" applyFont="1" applyBorder="1" applyAlignment="1">
      <alignment vertical="top" wrapText="1"/>
    </xf>
    <xf numFmtId="0" fontId="109" fillId="0" borderId="82" xfId="37" applyFont="1" applyBorder="1" applyAlignment="1">
      <alignment horizontal="center" vertical="top"/>
    </xf>
    <xf numFmtId="9" fontId="110" fillId="0" borderId="14" xfId="2" applyFont="1" applyBorder="1" applyAlignment="1">
      <alignment vertical="top"/>
    </xf>
    <xf numFmtId="168" fontId="9" fillId="0" borderId="2" xfId="4" applyNumberFormat="1" applyFont="1" applyBorder="1"/>
    <xf numFmtId="168" fontId="9" fillId="0" borderId="3" xfId="4" applyNumberFormat="1" applyFont="1" applyBorder="1"/>
    <xf numFmtId="168" fontId="9" fillId="0" borderId="22" xfId="4" applyNumberFormat="1" applyFont="1" applyBorder="1"/>
    <xf numFmtId="168" fontId="9" fillId="0" borderId="42" xfId="4" applyNumberFormat="1" applyFont="1" applyBorder="1" applyAlignment="1">
      <alignment wrapText="1"/>
    </xf>
    <xf numFmtId="164" fontId="9" fillId="0" borderId="0" xfId="1" applyNumberFormat="1" applyFont="1" applyFill="1" applyBorder="1" applyAlignment="1">
      <alignment wrapText="1"/>
    </xf>
    <xf numFmtId="164" fontId="9" fillId="0" borderId="43" xfId="1" applyNumberFormat="1" applyFont="1" applyFill="1" applyBorder="1" applyAlignment="1">
      <alignment wrapText="1"/>
    </xf>
    <xf numFmtId="0" fontId="9" fillId="0" borderId="77" xfId="4" applyNumberFormat="1" applyFont="1" applyBorder="1" applyAlignment="1">
      <alignment vertical="top"/>
    </xf>
    <xf numFmtId="164" fontId="10" fillId="0" borderId="77" xfId="1" applyNumberFormat="1" applyFont="1" applyFill="1" applyBorder="1" applyAlignment="1">
      <alignment vertical="center"/>
    </xf>
    <xf numFmtId="0" fontId="0" fillId="0" borderId="77" xfId="0" applyBorder="1"/>
    <xf numFmtId="0" fontId="75" fillId="0" borderId="0" xfId="0" applyFont="1" applyAlignment="1">
      <alignment vertical="center"/>
    </xf>
    <xf numFmtId="164" fontId="0" fillId="0" borderId="0" xfId="1" applyNumberFormat="1" applyFont="1" applyAlignment="1">
      <alignment vertical="center"/>
    </xf>
    <xf numFmtId="168" fontId="14" fillId="0" borderId="74" xfId="4" applyNumberFormat="1" applyFont="1" applyBorder="1"/>
    <xf numFmtId="168" fontId="14" fillId="0" borderId="83" xfId="4" applyNumberFormat="1" applyFont="1" applyBorder="1"/>
    <xf numFmtId="168" fontId="14" fillId="0" borderId="4" xfId="4" applyNumberFormat="1" applyFont="1" applyBorder="1"/>
    <xf numFmtId="168" fontId="14" fillId="0" borderId="17" xfId="4" applyNumberFormat="1" applyFont="1" applyBorder="1"/>
    <xf numFmtId="1" fontId="10" fillId="0" borderId="91" xfId="4" applyNumberFormat="1" applyFont="1" applyBorder="1"/>
    <xf numFmtId="164" fontId="9" fillId="0" borderId="73" xfId="1" applyNumberFormat="1" applyFont="1" applyFill="1" applyBorder="1" applyAlignment="1">
      <alignment horizontal="center" vertical="center"/>
    </xf>
    <xf numFmtId="168" fontId="9" fillId="0" borderId="73" xfId="4" applyNumberFormat="1" applyFont="1" applyBorder="1" applyAlignment="1">
      <alignment horizontal="center"/>
    </xf>
    <xf numFmtId="15" fontId="9" fillId="0" borderId="73" xfId="37" applyNumberFormat="1" applyFont="1" applyBorder="1" applyAlignment="1">
      <alignment horizontal="center" vertical="center"/>
    </xf>
    <xf numFmtId="0" fontId="9" fillId="0" borderId="73" xfId="37" applyFont="1" applyBorder="1" applyAlignment="1">
      <alignment horizontal="center" vertical="center"/>
    </xf>
    <xf numFmtId="0" fontId="9" fillId="0" borderId="99" xfId="37" applyFont="1" applyBorder="1" applyAlignment="1">
      <alignment horizontal="center" vertical="center" wrapText="1"/>
    </xf>
    <xf numFmtId="0" fontId="10" fillId="0" borderId="14" xfId="37" applyFont="1" applyBorder="1"/>
    <xf numFmtId="170" fontId="10" fillId="0" borderId="7" xfId="28" applyFont="1" applyBorder="1" applyAlignment="1">
      <alignment vertical="center"/>
    </xf>
    <xf numFmtId="0" fontId="10" fillId="0" borderId="76" xfId="37" applyFont="1" applyBorder="1" applyAlignment="1">
      <alignment vertical="center"/>
    </xf>
    <xf numFmtId="0" fontId="10" fillId="0" borderId="14" xfId="37" applyFont="1" applyBorder="1" applyAlignment="1">
      <alignment vertical="center"/>
    </xf>
    <xf numFmtId="0" fontId="10" fillId="0" borderId="7" xfId="37" applyFont="1" applyBorder="1"/>
    <xf numFmtId="170" fontId="10" fillId="0" borderId="7" xfId="28" applyFont="1" applyFill="1" applyBorder="1" applyAlignment="1">
      <alignment vertical="center" wrapText="1"/>
    </xf>
    <xf numFmtId="170" fontId="10" fillId="0" borderId="14" xfId="28" applyFont="1" applyFill="1" applyBorder="1" applyAlignment="1">
      <alignment vertical="center" wrapText="1"/>
    </xf>
    <xf numFmtId="10" fontId="10" fillId="0" borderId="14" xfId="2" applyNumberFormat="1" applyFont="1" applyBorder="1" applyAlignment="1">
      <alignment vertical="center"/>
    </xf>
    <xf numFmtId="0" fontId="10" fillId="0" borderId="7" xfId="37" applyFont="1" applyBorder="1" applyAlignment="1">
      <alignment wrapText="1"/>
    </xf>
    <xf numFmtId="173" fontId="10" fillId="0" borderId="7" xfId="28" applyNumberFormat="1" applyFont="1" applyBorder="1" applyAlignment="1">
      <alignment vertical="center"/>
    </xf>
    <xf numFmtId="10" fontId="10" fillId="0" borderId="14" xfId="37" applyNumberFormat="1" applyFont="1" applyBorder="1" applyAlignment="1">
      <alignment vertical="center"/>
    </xf>
    <xf numFmtId="0" fontId="10" fillId="0" borderId="7" xfId="37" applyFont="1" applyBorder="1" applyAlignment="1">
      <alignment vertical="center" wrapText="1"/>
    </xf>
    <xf numFmtId="173" fontId="10" fillId="0" borderId="7" xfId="28" applyNumberFormat="1" applyFont="1" applyBorder="1" applyAlignment="1">
      <alignment vertical="center" wrapText="1"/>
    </xf>
    <xf numFmtId="10" fontId="10" fillId="0" borderId="7" xfId="2" applyNumberFormat="1" applyFont="1" applyFill="1" applyBorder="1" applyAlignment="1">
      <alignment vertical="center" wrapText="1"/>
    </xf>
    <xf numFmtId="43" fontId="10" fillId="0" borderId="7" xfId="1" applyFont="1" applyBorder="1"/>
    <xf numFmtId="173" fontId="10" fillId="0" borderId="14" xfId="28" applyNumberFormat="1" applyFont="1" applyBorder="1" applyAlignment="1">
      <alignment vertical="center"/>
    </xf>
    <xf numFmtId="164" fontId="9" fillId="0" borderId="100" xfId="1" applyNumberFormat="1" applyFont="1" applyFill="1" applyBorder="1" applyAlignment="1">
      <alignment horizontal="right"/>
    </xf>
    <xf numFmtId="0" fontId="10" fillId="0" borderId="91" xfId="4" applyNumberFormat="1" applyFont="1" applyBorder="1" applyAlignment="1">
      <alignment vertical="top"/>
    </xf>
    <xf numFmtId="164" fontId="9" fillId="0" borderId="77" xfId="1" applyNumberFormat="1" applyFont="1" applyFill="1" applyBorder="1" applyAlignment="1">
      <alignment horizontal="right"/>
    </xf>
    <xf numFmtId="0" fontId="0" fillId="0" borderId="91" xfId="0" applyBorder="1"/>
    <xf numFmtId="164" fontId="9" fillId="0" borderId="102" xfId="1" applyNumberFormat="1" applyFont="1" applyFill="1" applyBorder="1" applyAlignment="1">
      <alignment horizontal="right"/>
    </xf>
    <xf numFmtId="0" fontId="9" fillId="0" borderId="17" xfId="0" applyFont="1" applyBorder="1"/>
    <xf numFmtId="0" fontId="9" fillId="0" borderId="42" xfId="0" applyFont="1" applyBorder="1" applyAlignment="1">
      <alignment horizontal="left"/>
    </xf>
    <xf numFmtId="164" fontId="10" fillId="0" borderId="13" xfId="1" applyNumberFormat="1" applyFont="1" applyFill="1" applyBorder="1" applyAlignment="1">
      <alignment horizontal="left" vertical="center" wrapText="1"/>
    </xf>
    <xf numFmtId="164" fontId="10" fillId="0" borderId="35" xfId="1" applyNumberFormat="1" applyFont="1" applyFill="1" applyBorder="1" applyAlignment="1">
      <alignment horizontal="left" vertical="center" wrapText="1"/>
    </xf>
    <xf numFmtId="10" fontId="10" fillId="0" borderId="12" xfId="2" applyNumberFormat="1" applyFont="1" applyFill="1" applyBorder="1" applyAlignment="1">
      <alignment vertical="center" wrapText="1"/>
    </xf>
    <xf numFmtId="10" fontId="10" fillId="0" borderId="13" xfId="2" applyNumberFormat="1" applyFont="1" applyBorder="1" applyAlignment="1">
      <alignment vertical="center"/>
    </xf>
    <xf numFmtId="0" fontId="10" fillId="0" borderId="12" xfId="37" applyFont="1" applyBorder="1" applyAlignment="1">
      <alignment vertical="top" wrapText="1"/>
    </xf>
    <xf numFmtId="0" fontId="10" fillId="0" borderId="14" xfId="37" applyFont="1" applyBorder="1" applyAlignment="1">
      <alignment horizontal="center" vertical="center" wrapText="1"/>
    </xf>
    <xf numFmtId="0" fontId="10" fillId="0" borderId="13" xfId="37" applyFont="1" applyBorder="1" applyAlignment="1">
      <alignment horizontal="center" vertical="center" wrapText="1"/>
    </xf>
    <xf numFmtId="164" fontId="9" fillId="0" borderId="100" xfId="1" applyNumberFormat="1" applyFont="1" applyFill="1" applyBorder="1" applyAlignment="1">
      <alignment vertical="center"/>
    </xf>
    <xf numFmtId="164" fontId="9" fillId="0" borderId="100" xfId="1" applyNumberFormat="1" applyFont="1" applyFill="1" applyBorder="1" applyAlignment="1">
      <alignment vertical="center" wrapText="1"/>
    </xf>
    <xf numFmtId="164" fontId="9" fillId="0" borderId="99" xfId="1" applyNumberFormat="1" applyFont="1" applyFill="1" applyBorder="1" applyAlignment="1">
      <alignment horizontal="right"/>
    </xf>
    <xf numFmtId="164" fontId="9" fillId="0" borderId="100" xfId="1" applyNumberFormat="1" applyFont="1" applyFill="1" applyBorder="1"/>
    <xf numFmtId="164" fontId="10" fillId="0" borderId="73" xfId="1" applyNumberFormat="1" applyFont="1" applyFill="1" applyBorder="1"/>
    <xf numFmtId="164" fontId="10" fillId="0" borderId="100" xfId="1" applyNumberFormat="1" applyFont="1" applyFill="1" applyBorder="1"/>
    <xf numFmtId="0" fontId="10" fillId="0" borderId="103" xfId="4" applyNumberFormat="1" applyFont="1" applyBorder="1" applyAlignment="1">
      <alignment vertical="top" wrapText="1"/>
    </xf>
    <xf numFmtId="164" fontId="10" fillId="0" borderId="100" xfId="1" applyNumberFormat="1" applyFont="1" applyFill="1" applyBorder="1" applyAlignment="1">
      <alignment vertical="center"/>
    </xf>
    <xf numFmtId="9" fontId="9" fillId="0" borderId="101" xfId="3" applyFont="1" applyFill="1" applyBorder="1" applyAlignment="1"/>
    <xf numFmtId="164" fontId="9" fillId="0" borderId="100" xfId="1" applyNumberFormat="1" applyFont="1" applyFill="1" applyBorder="1" applyAlignment="1">
      <alignment horizontal="center" vertical="center"/>
    </xf>
    <xf numFmtId="9" fontId="9" fillId="0" borderId="103" xfId="3" applyFont="1" applyFill="1" applyBorder="1" applyAlignment="1">
      <alignment vertical="center" wrapText="1"/>
    </xf>
    <xf numFmtId="9" fontId="10" fillId="0" borderId="103" xfId="3" applyFont="1" applyFill="1" applyBorder="1" applyAlignment="1"/>
    <xf numFmtId="10" fontId="10" fillId="0" borderId="100" xfId="2" applyNumberFormat="1" applyFont="1" applyFill="1" applyBorder="1" applyAlignment="1"/>
    <xf numFmtId="179" fontId="10" fillId="0" borderId="100" xfId="2" applyNumberFormat="1" applyFont="1" applyFill="1" applyBorder="1" applyAlignment="1"/>
    <xf numFmtId="9" fontId="10" fillId="0" borderId="101" xfId="3" applyFont="1" applyFill="1" applyBorder="1" applyAlignment="1"/>
    <xf numFmtId="164" fontId="9" fillId="0" borderId="100" xfId="1" applyNumberFormat="1" applyFont="1" applyFill="1" applyBorder="1" applyAlignment="1"/>
    <xf numFmtId="0" fontId="10" fillId="0" borderId="101" xfId="4" applyNumberFormat="1" applyFont="1" applyBorder="1" applyAlignment="1">
      <alignment vertical="top" wrapText="1"/>
    </xf>
    <xf numFmtId="0" fontId="10" fillId="0" borderId="101" xfId="4" applyNumberFormat="1" applyFont="1" applyBorder="1" applyAlignment="1">
      <alignment vertical="top"/>
    </xf>
    <xf numFmtId="164" fontId="9" fillId="0" borderId="97" xfId="1" applyNumberFormat="1" applyFont="1" applyFill="1" applyBorder="1" applyAlignment="1">
      <alignment horizontal="right"/>
    </xf>
    <xf numFmtId="164" fontId="9" fillId="0" borderId="100" xfId="1" applyNumberFormat="1" applyFont="1" applyFill="1" applyBorder="1" applyAlignment="1">
      <alignment horizontal="center"/>
    </xf>
    <xf numFmtId="164" fontId="9" fillId="0" borderId="73" xfId="1" applyNumberFormat="1" applyFont="1" applyFill="1" applyBorder="1" applyAlignment="1">
      <alignment vertical="top"/>
    </xf>
    <xf numFmtId="164" fontId="9" fillId="0" borderId="100" xfId="1" applyNumberFormat="1" applyFont="1" applyFill="1" applyBorder="1" applyAlignment="1">
      <alignment vertical="top"/>
    </xf>
    <xf numFmtId="168" fontId="14" fillId="0" borderId="90" xfId="4" applyNumberFormat="1" applyFont="1" applyBorder="1"/>
    <xf numFmtId="0" fontId="9" fillId="0" borderId="103" xfId="37" applyFont="1" applyBorder="1" applyAlignment="1">
      <alignment vertical="center"/>
    </xf>
    <xf numFmtId="0" fontId="9" fillId="0" borderId="100" xfId="37" applyFont="1" applyBorder="1" applyAlignment="1">
      <alignment horizontal="center" vertical="center"/>
    </xf>
    <xf numFmtId="0" fontId="10" fillId="0" borderId="82" xfId="37" applyFont="1" applyBorder="1"/>
    <xf numFmtId="0" fontId="10" fillId="0" borderId="63" xfId="37" applyFont="1" applyBorder="1"/>
    <xf numFmtId="0" fontId="9" fillId="0" borderId="82" xfId="37" applyFont="1" applyBorder="1" applyAlignment="1">
      <alignment vertical="center" wrapText="1"/>
    </xf>
    <xf numFmtId="0" fontId="10" fillId="0" borderId="63" xfId="37" applyFont="1" applyBorder="1" applyAlignment="1">
      <alignment horizontal="center" vertical="center" wrapText="1"/>
    </xf>
    <xf numFmtId="0" fontId="10" fillId="0" borderId="82" xfId="37" applyFont="1" applyBorder="1" applyAlignment="1">
      <alignment vertical="center" wrapText="1"/>
    </xf>
    <xf numFmtId="0" fontId="9" fillId="0" borderId="58" xfId="37" applyFont="1" applyBorder="1" applyAlignment="1">
      <alignment vertical="center" wrapText="1"/>
    </xf>
    <xf numFmtId="0" fontId="10" fillId="0" borderId="35" xfId="37" applyFont="1" applyBorder="1" applyAlignment="1">
      <alignment horizontal="center" vertical="center" wrapText="1"/>
    </xf>
    <xf numFmtId="0" fontId="10" fillId="0" borderId="42" xfId="0" applyFont="1" applyBorder="1" applyAlignment="1">
      <alignment horizontal="left" wrapText="1"/>
    </xf>
    <xf numFmtId="168" fontId="9" fillId="0" borderId="0" xfId="4" applyNumberFormat="1" applyFont="1" applyAlignment="1">
      <alignment horizontal="center"/>
    </xf>
    <xf numFmtId="1" fontId="9" fillId="0" borderId="0" xfId="4" applyNumberFormat="1" applyFont="1"/>
    <xf numFmtId="1" fontId="10" fillId="0" borderId="0" xfId="4" applyNumberFormat="1" applyFont="1"/>
    <xf numFmtId="164" fontId="2" fillId="0" borderId="73" xfId="0" applyNumberFormat="1" applyFont="1" applyBorder="1"/>
    <xf numFmtId="164" fontId="0" fillId="0" borderId="73" xfId="0" applyNumberFormat="1" applyBorder="1"/>
    <xf numFmtId="168" fontId="14" fillId="0" borderId="0" xfId="4" applyNumberFormat="1" applyFont="1" applyAlignment="1">
      <alignment wrapText="1"/>
    </xf>
    <xf numFmtId="168" fontId="10" fillId="0" borderId="0" xfId="4" applyNumberFormat="1" applyFont="1"/>
    <xf numFmtId="168" fontId="10" fillId="0" borderId="0" xfId="4" applyNumberFormat="1" applyFont="1" applyAlignment="1">
      <alignment vertical="top"/>
    </xf>
    <xf numFmtId="0" fontId="10" fillId="0" borderId="0" xfId="0" applyFont="1" applyAlignment="1">
      <alignment vertical="center" wrapText="1"/>
    </xf>
    <xf numFmtId="1" fontId="9" fillId="0" borderId="0" xfId="4" applyNumberFormat="1" applyFont="1" applyAlignment="1">
      <alignment horizontal="left"/>
    </xf>
    <xf numFmtId="1" fontId="10" fillId="0" borderId="0" xfId="4" applyNumberFormat="1" applyFont="1" applyAlignment="1">
      <alignment horizontal="left"/>
    </xf>
    <xf numFmtId="0" fontId="10" fillId="0" borderId="0" xfId="0" applyFont="1"/>
    <xf numFmtId="0" fontId="10" fillId="0" borderId="0" xfId="0" applyFont="1" applyAlignment="1">
      <alignment vertical="top" wrapText="1"/>
    </xf>
    <xf numFmtId="0" fontId="10" fillId="0" borderId="0" xfId="0" applyFont="1" applyAlignment="1">
      <alignment horizontal="justify" vertical="top" wrapText="1"/>
    </xf>
    <xf numFmtId="0" fontId="10" fillId="0" borderId="0" xfId="0" applyFont="1" applyAlignment="1">
      <alignment horizontal="left" wrapText="1"/>
    </xf>
    <xf numFmtId="0" fontId="10" fillId="0" borderId="0" xfId="0" applyFont="1" applyAlignment="1">
      <alignment horizontal="center" vertical="center" wrapText="1"/>
    </xf>
    <xf numFmtId="0" fontId="10" fillId="0" borderId="0" xfId="0" applyFont="1" applyAlignment="1">
      <alignment horizontal="left" vertical="top" wrapText="1"/>
    </xf>
    <xf numFmtId="168" fontId="9" fillId="0" borderId="104" xfId="4" applyNumberFormat="1" applyFont="1" applyBorder="1" applyAlignment="1">
      <alignment wrapText="1"/>
    </xf>
    <xf numFmtId="168" fontId="14" fillId="0" borderId="102" xfId="4" applyNumberFormat="1" applyFont="1" applyBorder="1" applyAlignment="1">
      <alignment wrapText="1"/>
    </xf>
    <xf numFmtId="164" fontId="9" fillId="0" borderId="30" xfId="1" applyNumberFormat="1" applyFont="1" applyFill="1" applyBorder="1" applyAlignment="1">
      <alignment wrapText="1"/>
    </xf>
    <xf numFmtId="164" fontId="9" fillId="0" borderId="34" xfId="1" applyNumberFormat="1" applyFont="1" applyFill="1" applyBorder="1" applyAlignment="1">
      <alignment wrapText="1"/>
    </xf>
    <xf numFmtId="1" fontId="9" fillId="0" borderId="0" xfId="4" applyNumberFormat="1" applyFont="1" applyAlignment="1">
      <alignment horizontal="center"/>
    </xf>
    <xf numFmtId="0" fontId="9" fillId="0" borderId="0" xfId="0" applyFont="1" applyAlignment="1">
      <alignment vertical="center"/>
    </xf>
    <xf numFmtId="0" fontId="9" fillId="0" borderId="0" xfId="0" applyFont="1" applyAlignment="1">
      <alignment horizontal="left" vertical="center" wrapText="1"/>
    </xf>
    <xf numFmtId="0" fontId="10" fillId="0" borderId="0" xfId="0" applyFont="1" applyAlignment="1">
      <alignment vertical="center"/>
    </xf>
    <xf numFmtId="0" fontId="10" fillId="0" borderId="0" xfId="0" applyFont="1" applyAlignment="1">
      <alignment vertical="top"/>
    </xf>
    <xf numFmtId="0" fontId="9" fillId="0" borderId="0" xfId="0" applyFont="1" applyAlignment="1">
      <alignment vertical="top" wrapText="1"/>
    </xf>
    <xf numFmtId="0" fontId="9" fillId="0" borderId="0" xfId="0" applyFont="1" applyAlignment="1">
      <alignment horizontal="left" vertical="top" wrapText="1"/>
    </xf>
    <xf numFmtId="0" fontId="12" fillId="0" borderId="0" xfId="0" applyFont="1"/>
    <xf numFmtId="0" fontId="13" fillId="0" borderId="0" xfId="0" applyFont="1"/>
    <xf numFmtId="0" fontId="9" fillId="0" borderId="0" xfId="0" applyFont="1"/>
    <xf numFmtId="0" fontId="10" fillId="0" borderId="0" xfId="4" applyNumberFormat="1" applyFont="1" applyAlignment="1">
      <alignment horizontal="justify" vertical="top" wrapText="1"/>
    </xf>
    <xf numFmtId="168" fontId="10" fillId="0" borderId="0" xfId="4" applyNumberFormat="1" applyFont="1" applyAlignment="1">
      <alignment horizontal="justify" vertical="top" wrapText="1"/>
    </xf>
    <xf numFmtId="0" fontId="10" fillId="0" borderId="0" xfId="4" applyNumberFormat="1" applyFont="1" applyAlignment="1">
      <alignment vertical="top"/>
    </xf>
    <xf numFmtId="0" fontId="9" fillId="0" borderId="0" xfId="4" applyNumberFormat="1" applyFont="1" applyAlignment="1">
      <alignment vertical="top"/>
    </xf>
    <xf numFmtId="0" fontId="11" fillId="0" borderId="0" xfId="0" applyFont="1" applyAlignment="1">
      <alignment horizontal="left" vertical="top" wrapText="1"/>
    </xf>
    <xf numFmtId="169" fontId="10" fillId="0" borderId="0" xfId="4" applyNumberFormat="1" applyFont="1" applyAlignment="1">
      <alignment vertical="top"/>
    </xf>
    <xf numFmtId="0" fontId="10" fillId="0" borderId="0" xfId="4" applyNumberFormat="1" applyFont="1" applyAlignment="1">
      <alignment horizontal="left"/>
    </xf>
    <xf numFmtId="1" fontId="10" fillId="0" borderId="0" xfId="4" applyNumberFormat="1" applyFont="1" applyAlignment="1">
      <alignment wrapText="1"/>
    </xf>
    <xf numFmtId="0" fontId="11" fillId="0" borderId="0" xfId="4" applyNumberFormat="1" applyFont="1"/>
    <xf numFmtId="0" fontId="10" fillId="0" borderId="0" xfId="4" applyNumberFormat="1" applyFont="1" applyAlignment="1">
      <alignment horizontal="left" vertical="top" wrapText="1"/>
    </xf>
    <xf numFmtId="0" fontId="10" fillId="0" borderId="0" xfId="4" applyNumberFormat="1" applyFont="1" applyAlignment="1">
      <alignment vertical="top" wrapText="1"/>
    </xf>
    <xf numFmtId="0" fontId="9" fillId="0" borderId="88" xfId="4" applyNumberFormat="1" applyFont="1" applyBorder="1" applyAlignment="1">
      <alignment horizontal="center"/>
    </xf>
    <xf numFmtId="0" fontId="9" fillId="0" borderId="78" xfId="4" applyNumberFormat="1" applyFont="1" applyBorder="1" applyAlignment="1">
      <alignment horizontal="center"/>
    </xf>
    <xf numFmtId="1" fontId="10" fillId="0" borderId="98" xfId="4" applyNumberFormat="1" applyFont="1" applyBorder="1"/>
    <xf numFmtId="164" fontId="9" fillId="0" borderId="30" xfId="1" applyNumberFormat="1" applyFont="1" applyFill="1" applyBorder="1" applyAlignment="1">
      <alignment horizontal="right"/>
    </xf>
    <xf numFmtId="164" fontId="9" fillId="0" borderId="34" xfId="1" applyNumberFormat="1" applyFont="1" applyFill="1" applyBorder="1" applyAlignment="1">
      <alignment horizontal="right"/>
    </xf>
    <xf numFmtId="169" fontId="10" fillId="0" borderId="0" xfId="4" applyNumberFormat="1" applyFont="1" applyAlignment="1">
      <alignment horizontal="justify" vertical="top" wrapText="1"/>
    </xf>
    <xf numFmtId="0" fontId="9" fillId="0" borderId="0" xfId="4" applyNumberFormat="1" applyFont="1" applyAlignment="1">
      <alignment horizontal="left"/>
    </xf>
    <xf numFmtId="0" fontId="9" fillId="0" borderId="0" xfId="4" applyNumberFormat="1" applyFont="1" applyAlignment="1">
      <alignment horizontal="left" vertical="top"/>
    </xf>
    <xf numFmtId="170" fontId="10" fillId="0" borderId="0" xfId="0" applyNumberFormat="1" applyFont="1"/>
    <xf numFmtId="168" fontId="9" fillId="0" borderId="0" xfId="0" applyNumberFormat="1" applyFont="1" applyAlignment="1">
      <alignment horizontal="center"/>
    </xf>
    <xf numFmtId="164" fontId="10" fillId="0" borderId="0" xfId="0" applyNumberFormat="1" applyFont="1"/>
    <xf numFmtId="169" fontId="10" fillId="0" borderId="0" xfId="0" applyNumberFormat="1" applyFont="1"/>
    <xf numFmtId="0" fontId="9" fillId="0" borderId="0" xfId="4" applyNumberFormat="1" applyFont="1" applyAlignment="1">
      <alignment horizontal="center"/>
    </xf>
    <xf numFmtId="164" fontId="9" fillId="0" borderId="106" xfId="1" applyNumberFormat="1" applyFont="1" applyFill="1" applyBorder="1" applyAlignment="1">
      <alignment horizontal="center"/>
    </xf>
    <xf numFmtId="164" fontId="9" fillId="0" borderId="107" xfId="1" applyNumberFormat="1" applyFont="1" applyFill="1" applyBorder="1" applyAlignment="1">
      <alignment horizontal="center"/>
    </xf>
    <xf numFmtId="168" fontId="9" fillId="0" borderId="0" xfId="4" applyNumberFormat="1" applyFont="1" applyAlignment="1">
      <alignment wrapText="1"/>
    </xf>
    <xf numFmtId="0" fontId="10" fillId="0" borderId="0" xfId="0" applyFont="1" applyAlignment="1">
      <alignment horizontal="justify" vertical="top"/>
    </xf>
    <xf numFmtId="1" fontId="9" fillId="0" borderId="73" xfId="4" applyNumberFormat="1" applyFont="1" applyBorder="1" applyAlignment="1">
      <alignment horizontal="center" vertical="center" wrapText="1"/>
    </xf>
    <xf numFmtId="164" fontId="9" fillId="0" borderId="73" xfId="1" applyNumberFormat="1" applyFont="1" applyFill="1" applyBorder="1" applyAlignment="1">
      <alignment horizontal="center" vertical="center" wrapText="1"/>
    </xf>
    <xf numFmtId="164" fontId="9" fillId="0" borderId="100" xfId="1" applyNumberFormat="1" applyFont="1" applyFill="1" applyBorder="1" applyAlignment="1">
      <alignment horizontal="center" vertical="center" wrapText="1"/>
    </xf>
    <xf numFmtId="169" fontId="9" fillId="0" borderId="75" xfId="1" applyNumberFormat="1" applyFont="1" applyFill="1" applyBorder="1" applyAlignment="1">
      <alignment horizontal="center" vertical="top" wrapText="1"/>
    </xf>
    <xf numFmtId="164" fontId="9" fillId="0" borderId="76" xfId="1" applyNumberFormat="1" applyFont="1" applyFill="1" applyBorder="1" applyAlignment="1">
      <alignment horizontal="center" vertical="top" wrapText="1"/>
    </xf>
    <xf numFmtId="169" fontId="9" fillId="0" borderId="12" xfId="1" applyNumberFormat="1" applyFont="1" applyFill="1" applyBorder="1" applyAlignment="1">
      <alignment horizontal="center" vertical="top" wrapText="1"/>
    </xf>
    <xf numFmtId="14" fontId="9" fillId="0" borderId="13" xfId="1" applyNumberFormat="1" applyFont="1" applyFill="1" applyBorder="1" applyAlignment="1">
      <alignment horizontal="center" vertical="top" wrapText="1"/>
    </xf>
    <xf numFmtId="169" fontId="9" fillId="0" borderId="35" xfId="1" applyNumberFormat="1" applyFont="1" applyFill="1" applyBorder="1" applyAlignment="1">
      <alignment horizontal="center" vertical="top" wrapText="1"/>
    </xf>
    <xf numFmtId="169" fontId="9" fillId="0" borderId="80" xfId="1" applyNumberFormat="1" applyFont="1" applyFill="1" applyBorder="1" applyAlignment="1">
      <alignment horizontal="center" vertical="top" wrapText="1"/>
    </xf>
    <xf numFmtId="9" fontId="9" fillId="0" borderId="93" xfId="3" applyFont="1" applyFill="1" applyBorder="1" applyAlignment="1">
      <alignment horizontal="left"/>
    </xf>
    <xf numFmtId="168" fontId="61" fillId="0" borderId="75" xfId="40" applyNumberFormat="1" applyFont="1" applyBorder="1"/>
    <xf numFmtId="168" fontId="61" fillId="0" borderId="74" xfId="40" applyNumberFormat="1" applyFont="1" applyBorder="1"/>
    <xf numFmtId="168" fontId="61" fillId="0" borderId="83" xfId="40" applyNumberFormat="1" applyFont="1" applyBorder="1" applyAlignment="1">
      <alignment horizontal="center"/>
    </xf>
    <xf numFmtId="164" fontId="58" fillId="0" borderId="76" xfId="1" applyNumberFormat="1" applyFont="1" applyBorder="1" applyAlignment="1">
      <alignment horizontal="center"/>
    </xf>
    <xf numFmtId="190" fontId="58" fillId="0" borderId="7" xfId="40" applyNumberFormat="1" applyFont="1" applyBorder="1"/>
    <xf numFmtId="168" fontId="58" fillId="0" borderId="0" xfId="40" applyNumberFormat="1" applyFont="1"/>
    <xf numFmtId="168" fontId="61" fillId="0" borderId="0" xfId="40" applyNumberFormat="1" applyFont="1" applyAlignment="1">
      <alignment horizontal="center"/>
    </xf>
    <xf numFmtId="164" fontId="61" fillId="0" borderId="0" xfId="1" applyNumberFormat="1" applyFont="1" applyAlignment="1">
      <alignment horizontal="center"/>
    </xf>
    <xf numFmtId="164" fontId="61" fillId="0" borderId="14" xfId="1" applyNumberFormat="1" applyFont="1" applyBorder="1"/>
    <xf numFmtId="168" fontId="61" fillId="0" borderId="7" xfId="40" applyNumberFormat="1" applyFont="1" applyBorder="1" applyAlignment="1">
      <alignment horizontal="center"/>
    </xf>
    <xf numFmtId="168" fontId="61" fillId="0" borderId="7" xfId="40" applyNumberFormat="1" applyFont="1" applyBorder="1"/>
    <xf numFmtId="49" fontId="61" fillId="0" borderId="0" xfId="40" applyNumberFormat="1" applyFont="1" applyAlignment="1">
      <alignment horizontal="left"/>
    </xf>
    <xf numFmtId="164" fontId="61" fillId="0" borderId="7" xfId="1" applyNumberFormat="1" applyFont="1" applyFill="1" applyBorder="1"/>
    <xf numFmtId="168" fontId="61" fillId="0" borderId="0" xfId="40" applyNumberFormat="1" applyFont="1" applyAlignment="1">
      <alignment horizontal="right"/>
    </xf>
    <xf numFmtId="168" fontId="61" fillId="0" borderId="0" xfId="40" applyNumberFormat="1" applyFont="1"/>
    <xf numFmtId="164" fontId="58" fillId="0" borderId="14" xfId="1" applyNumberFormat="1" applyFont="1" applyFill="1" applyBorder="1"/>
    <xf numFmtId="164" fontId="61" fillId="0" borderId="14" xfId="1" applyNumberFormat="1" applyFont="1" applyFill="1" applyBorder="1"/>
    <xf numFmtId="10" fontId="58" fillId="0" borderId="68" xfId="2" applyNumberFormat="1" applyFont="1" applyFill="1" applyBorder="1"/>
    <xf numFmtId="168" fontId="61" fillId="0" borderId="0" xfId="40" applyNumberFormat="1" applyFont="1" applyAlignment="1">
      <alignment horizontal="left"/>
    </xf>
    <xf numFmtId="168" fontId="58" fillId="0" borderId="0" xfId="40" applyNumberFormat="1" applyFont="1" applyAlignment="1">
      <alignment horizontal="center"/>
    </xf>
    <xf numFmtId="164" fontId="58" fillId="0" borderId="73" xfId="1" applyNumberFormat="1" applyFont="1" applyFill="1" applyBorder="1"/>
    <xf numFmtId="164" fontId="114" fillId="0" borderId="14" xfId="1" applyNumberFormat="1" applyFont="1" applyFill="1" applyBorder="1"/>
    <xf numFmtId="173" fontId="61" fillId="0" borderId="0" xfId="41" applyNumberFormat="1" applyFont="1" applyFill="1" applyBorder="1" applyAlignment="1">
      <alignment horizontal="center"/>
    </xf>
    <xf numFmtId="164" fontId="61" fillId="0" borderId="13" xfId="1" applyNumberFormat="1" applyFont="1" applyFill="1" applyBorder="1"/>
    <xf numFmtId="168" fontId="61" fillId="0" borderId="12" xfId="40" applyNumberFormat="1" applyFont="1" applyBorder="1"/>
    <xf numFmtId="168" fontId="61" fillId="0" borderId="4" xfId="40" applyNumberFormat="1" applyFont="1" applyBorder="1"/>
    <xf numFmtId="168" fontId="61" fillId="0" borderId="4" xfId="40" applyNumberFormat="1" applyFont="1" applyBorder="1" applyAlignment="1">
      <alignment horizontal="center"/>
    </xf>
    <xf numFmtId="10" fontId="58" fillId="0" borderId="13" xfId="2" applyNumberFormat="1" applyFont="1" applyFill="1" applyBorder="1"/>
    <xf numFmtId="49" fontId="7" fillId="0" borderId="75" xfId="0" applyNumberFormat="1" applyFont="1" applyBorder="1" applyAlignment="1">
      <alignment horizontal="left" vertical="top"/>
    </xf>
    <xf numFmtId="49" fontId="7" fillId="0" borderId="74" xfId="0" applyNumberFormat="1" applyFont="1" applyBorder="1" applyAlignment="1">
      <alignment horizontal="left" vertical="top" indent="3"/>
    </xf>
    <xf numFmtId="49" fontId="7" fillId="0" borderId="7" xfId="0" applyNumberFormat="1" applyFont="1" applyBorder="1" applyAlignment="1">
      <alignment horizontal="left" vertical="top" indent="3"/>
    </xf>
    <xf numFmtId="49" fontId="7" fillId="0" borderId="12" xfId="0" applyNumberFormat="1" applyFont="1" applyBorder="1" applyAlignment="1">
      <alignment horizontal="left" vertical="top" indent="3"/>
    </xf>
    <xf numFmtId="49" fontId="4" fillId="0" borderId="73" xfId="0" applyNumberFormat="1" applyFont="1" applyBorder="1" applyAlignment="1">
      <alignment horizontal="center" vertical="top"/>
    </xf>
    <xf numFmtId="49" fontId="7" fillId="0" borderId="0" xfId="0" applyNumberFormat="1" applyFont="1" applyAlignment="1">
      <alignment vertical="top"/>
    </xf>
    <xf numFmtId="165" fontId="7" fillId="0" borderId="0" xfId="0" applyNumberFormat="1" applyFont="1" applyAlignment="1">
      <alignment horizontal="right" vertical="top"/>
    </xf>
    <xf numFmtId="166" fontId="7" fillId="0" borderId="0" xfId="0" applyNumberFormat="1" applyFont="1" applyAlignment="1">
      <alignment horizontal="right" vertical="top"/>
    </xf>
    <xf numFmtId="49" fontId="4" fillId="0" borderId="0" xfId="0" applyNumberFormat="1" applyFont="1" applyAlignment="1">
      <alignment vertical="top"/>
    </xf>
    <xf numFmtId="166" fontId="4" fillId="0" borderId="0" xfId="0" applyNumberFormat="1" applyFont="1" applyAlignment="1">
      <alignment horizontal="right" vertical="top"/>
    </xf>
    <xf numFmtId="165" fontId="4" fillId="0" borderId="0" xfId="0" applyNumberFormat="1" applyFont="1" applyAlignment="1">
      <alignment horizontal="right" vertical="top"/>
    </xf>
    <xf numFmtId="49" fontId="7" fillId="0" borderId="91" xfId="0" applyNumberFormat="1" applyFont="1" applyBorder="1" applyAlignment="1">
      <alignment horizontal="left" vertical="top" indent="3"/>
    </xf>
    <xf numFmtId="165" fontId="7" fillId="0" borderId="91" xfId="0" applyNumberFormat="1" applyFont="1" applyBorder="1" applyAlignment="1">
      <alignment horizontal="right" vertical="top"/>
    </xf>
    <xf numFmtId="49" fontId="6" fillId="0" borderId="0" xfId="0" applyNumberFormat="1" applyFont="1" applyAlignment="1">
      <alignment vertical="top"/>
    </xf>
    <xf numFmtId="49" fontId="7" fillId="0" borderId="75" xfId="0" applyNumberFormat="1" applyFont="1" applyBorder="1" applyAlignment="1">
      <alignment horizontal="center" vertical="top" wrapText="1"/>
    </xf>
    <xf numFmtId="49" fontId="7" fillId="0" borderId="74" xfId="0" applyNumberFormat="1" applyFont="1" applyBorder="1" applyAlignment="1">
      <alignment horizontal="center" vertical="top" wrapText="1"/>
    </xf>
    <xf numFmtId="49" fontId="4" fillId="0" borderId="7" xfId="0" applyNumberFormat="1" applyFont="1" applyBorder="1" applyAlignment="1">
      <alignment horizontal="center" vertical="top" wrapText="1"/>
    </xf>
    <xf numFmtId="49" fontId="4" fillId="0" borderId="0" xfId="0" applyNumberFormat="1" applyFont="1" applyAlignment="1">
      <alignment horizontal="center" vertical="top" wrapText="1"/>
    </xf>
    <xf numFmtId="49" fontId="7" fillId="0" borderId="74" xfId="0" applyNumberFormat="1" applyFont="1" applyBorder="1" applyAlignment="1">
      <alignment horizontal="center" vertical="top"/>
    </xf>
    <xf numFmtId="49" fontId="5" fillId="0" borderId="0" xfId="0" applyNumberFormat="1" applyFont="1" applyAlignment="1">
      <alignment vertical="top"/>
    </xf>
    <xf numFmtId="49" fontId="6" fillId="0" borderId="4" xfId="0" applyNumberFormat="1" applyFont="1" applyBorder="1" applyAlignment="1">
      <alignment vertical="top"/>
    </xf>
    <xf numFmtId="49" fontId="5" fillId="0" borderId="74" xfId="0" applyNumberFormat="1" applyFont="1" applyBorder="1" applyAlignment="1">
      <alignment vertical="top"/>
    </xf>
    <xf numFmtId="43" fontId="3" fillId="0" borderId="73" xfId="1" applyFont="1" applyBorder="1" applyAlignment="1">
      <alignment horizontal="left"/>
    </xf>
    <xf numFmtId="164" fontId="3" fillId="0" borderId="73" xfId="1" applyNumberFormat="1" applyFont="1" applyBorder="1" applyAlignment="1"/>
    <xf numFmtId="164" fontId="0" fillId="0" borderId="73" xfId="1" applyNumberFormat="1" applyFont="1" applyBorder="1"/>
    <xf numFmtId="164" fontId="2" fillId="0" borderId="73" xfId="1" applyNumberFormat="1" applyFont="1" applyBorder="1"/>
    <xf numFmtId="164" fontId="0" fillId="2" borderId="0" xfId="0" applyNumberFormat="1" applyFill="1"/>
    <xf numFmtId="43" fontId="3" fillId="0" borderId="73" xfId="1" applyFont="1" applyBorder="1" applyAlignment="1">
      <alignment horizontal="center"/>
    </xf>
    <xf numFmtId="173" fontId="53" fillId="2" borderId="14" xfId="13" applyNumberFormat="1" applyFont="1" applyFill="1" applyBorder="1"/>
    <xf numFmtId="170" fontId="27" fillId="0" borderId="106" xfId="9" applyFont="1" applyBorder="1" applyAlignment="1">
      <alignment horizontal="right" vertical="center"/>
    </xf>
    <xf numFmtId="170" fontId="27" fillId="0" borderId="107" xfId="9" applyFont="1" applyFill="1" applyBorder="1" applyAlignment="1">
      <alignment horizontal="right" vertical="center"/>
    </xf>
    <xf numFmtId="170" fontId="27" fillId="0" borderId="105" xfId="9" applyFont="1" applyBorder="1" applyAlignment="1">
      <alignment horizontal="right" vertical="center"/>
    </xf>
    <xf numFmtId="170" fontId="27" fillId="0" borderId="108" xfId="9" applyFont="1" applyBorder="1" applyAlignment="1">
      <alignment horizontal="center" vertical="center"/>
    </xf>
    <xf numFmtId="170" fontId="27" fillId="0" borderId="108" xfId="9" applyFont="1" applyBorder="1" applyAlignment="1">
      <alignment horizontal="right" vertical="center"/>
    </xf>
    <xf numFmtId="170" fontId="27" fillId="0" borderId="107" xfId="9" applyFont="1" applyBorder="1" applyAlignment="1">
      <alignment horizontal="right" vertical="center"/>
    </xf>
    <xf numFmtId="174" fontId="27" fillId="0" borderId="105" xfId="9" applyNumberFormat="1" applyFont="1" applyBorder="1" applyAlignment="1">
      <alignment horizontal="right" vertical="center"/>
    </xf>
    <xf numFmtId="174" fontId="29" fillId="0" borderId="17" xfId="9" applyNumberFormat="1" applyFont="1" applyBorder="1" applyAlignment="1">
      <alignment vertical="center"/>
    </xf>
    <xf numFmtId="170" fontId="29" fillId="0" borderId="103" xfId="9" applyFont="1" applyBorder="1" applyAlignment="1">
      <alignment vertical="center"/>
    </xf>
    <xf numFmtId="170" fontId="29" fillId="0" borderId="77" xfId="9" applyFont="1" applyBorder="1" applyAlignment="1">
      <alignment vertical="center"/>
    </xf>
    <xf numFmtId="173" fontId="23" fillId="0" borderId="100" xfId="9" applyNumberFormat="1" applyFont="1" applyFill="1" applyBorder="1" applyAlignment="1">
      <alignment vertical="center"/>
    </xf>
    <xf numFmtId="174" fontId="27" fillId="0" borderId="47" xfId="9" applyNumberFormat="1" applyFont="1" applyBorder="1" applyAlignment="1">
      <alignment vertical="center"/>
    </xf>
    <xf numFmtId="170" fontId="28" fillId="0" borderId="103" xfId="9" applyFont="1" applyBorder="1" applyAlignment="1">
      <alignment vertical="center"/>
    </xf>
    <xf numFmtId="170" fontId="33" fillId="0" borderId="99" xfId="9" applyFont="1" applyBorder="1" applyAlignment="1">
      <alignment vertical="center"/>
    </xf>
    <xf numFmtId="170" fontId="29" fillId="0" borderId="103" xfId="9" applyFont="1" applyFill="1" applyBorder="1" applyAlignment="1">
      <alignment vertical="center"/>
    </xf>
    <xf numFmtId="170" fontId="29" fillId="0" borderId="77" xfId="9" applyFont="1" applyFill="1" applyBorder="1" applyAlignment="1">
      <alignment vertical="center"/>
    </xf>
    <xf numFmtId="170" fontId="28" fillId="0" borderId="99" xfId="9" applyFont="1" applyFill="1" applyBorder="1" applyAlignment="1">
      <alignment vertical="center"/>
    </xf>
    <xf numFmtId="170" fontId="29" fillId="0" borderId="100" xfId="9" applyFont="1" applyFill="1" applyBorder="1" applyAlignment="1">
      <alignment vertical="center"/>
    </xf>
    <xf numFmtId="174" fontId="28" fillId="0" borderId="77" xfId="9" applyNumberFormat="1" applyFont="1" applyFill="1" applyBorder="1" applyAlignment="1">
      <alignment vertical="center"/>
    </xf>
    <xf numFmtId="170" fontId="28" fillId="0" borderId="73" xfId="9" applyFont="1" applyFill="1" applyBorder="1" applyAlignment="1">
      <alignment vertical="center"/>
    </xf>
    <xf numFmtId="174" fontId="29" fillId="0" borderId="109" xfId="9" applyNumberFormat="1" applyFont="1" applyFill="1" applyBorder="1" applyAlignment="1">
      <alignment vertical="center"/>
    </xf>
    <xf numFmtId="174" fontId="29" fillId="0" borderId="103" xfId="9" applyNumberFormat="1" applyFont="1" applyFill="1" applyBorder="1" applyAlignment="1">
      <alignment vertical="center"/>
    </xf>
    <xf numFmtId="173" fontId="34" fillId="0" borderId="100" xfId="9" applyNumberFormat="1" applyFont="1" applyFill="1" applyBorder="1" applyAlignment="1">
      <alignment vertical="center"/>
    </xf>
    <xf numFmtId="170" fontId="35" fillId="0" borderId="77" xfId="9" applyFont="1" applyFill="1" applyBorder="1" applyAlignment="1">
      <alignment vertical="center"/>
    </xf>
    <xf numFmtId="170" fontId="36" fillId="0" borderId="99" xfId="9" applyFont="1" applyFill="1" applyBorder="1" applyAlignment="1">
      <alignment vertical="center"/>
    </xf>
    <xf numFmtId="170" fontId="35" fillId="0" borderId="100" xfId="9" applyFont="1" applyFill="1" applyBorder="1" applyAlignment="1">
      <alignment vertical="center"/>
    </xf>
    <xf numFmtId="174" fontId="36" fillId="0" borderId="77" xfId="9" applyNumberFormat="1" applyFont="1" applyFill="1" applyBorder="1" applyAlignment="1">
      <alignment vertical="center"/>
    </xf>
    <xf numFmtId="170" fontId="36" fillId="0" borderId="73" xfId="9" applyFont="1" applyFill="1" applyBorder="1" applyAlignment="1">
      <alignment vertical="center"/>
    </xf>
    <xf numFmtId="174" fontId="23" fillId="0" borderId="109" xfId="9" applyNumberFormat="1" applyFont="1" applyFill="1" applyBorder="1" applyAlignment="1">
      <alignment vertical="center"/>
    </xf>
    <xf numFmtId="170" fontId="32" fillId="0" borderId="103" xfId="9" applyFont="1" applyBorder="1" applyAlignment="1">
      <alignment vertical="center"/>
    </xf>
    <xf numFmtId="170" fontId="27" fillId="0" borderId="99" xfId="9" applyFont="1" applyBorder="1" applyAlignment="1">
      <alignment vertical="center"/>
    </xf>
    <xf numFmtId="174" fontId="25" fillId="0" borderId="103" xfId="9" applyNumberFormat="1" applyFont="1" applyFill="1" applyBorder="1" applyAlignment="1">
      <alignment vertical="center"/>
    </xf>
    <xf numFmtId="174" fontId="37" fillId="0" borderId="77" xfId="9" applyNumberFormat="1" applyFont="1" applyFill="1" applyBorder="1" applyAlignment="1">
      <alignment vertical="center"/>
    </xf>
    <xf numFmtId="170" fontId="38" fillId="0" borderId="99" xfId="9" applyFont="1" applyBorder="1" applyAlignment="1">
      <alignment vertical="center"/>
    </xf>
    <xf numFmtId="170" fontId="27" fillId="0" borderId="73" xfId="9" applyFont="1" applyBorder="1" applyAlignment="1">
      <alignment vertical="center"/>
    </xf>
    <xf numFmtId="174" fontId="27" fillId="0" borderId="77" xfId="9" applyNumberFormat="1" applyFont="1" applyBorder="1" applyAlignment="1">
      <alignment vertical="center"/>
    </xf>
    <xf numFmtId="170" fontId="37" fillId="0" borderId="77" xfId="9" applyFont="1" applyFill="1" applyBorder="1" applyAlignment="1">
      <alignment vertical="center"/>
    </xf>
    <xf numFmtId="174" fontId="27" fillId="0" borderId="110" xfId="9" applyNumberFormat="1" applyFont="1" applyFill="1" applyBorder="1" applyAlignment="1">
      <alignment vertical="center"/>
    </xf>
    <xf numFmtId="170" fontId="27" fillId="0" borderId="77" xfId="9" applyFont="1" applyBorder="1" applyAlignment="1">
      <alignment vertical="center"/>
    </xf>
    <xf numFmtId="170" fontId="32" fillId="2" borderId="79" xfId="9" applyFont="1" applyFill="1" applyBorder="1" applyAlignment="1">
      <alignment vertical="center"/>
    </xf>
    <xf numFmtId="170" fontId="27" fillId="2" borderId="75" xfId="9" applyFont="1" applyFill="1" applyBorder="1" applyAlignment="1">
      <alignment vertical="center"/>
    </xf>
    <xf numFmtId="174" fontId="25" fillId="2" borderId="93" xfId="9" applyNumberFormat="1" applyFont="1" applyFill="1" applyBorder="1" applyAlignment="1">
      <alignment vertical="center"/>
    </xf>
    <xf numFmtId="170" fontId="29" fillId="2" borderId="13" xfId="9" applyFont="1" applyFill="1" applyBorder="1" applyAlignment="1">
      <alignment vertical="center"/>
    </xf>
    <xf numFmtId="174" fontId="34" fillId="2" borderId="74" xfId="9" applyNumberFormat="1" applyFont="1" applyFill="1" applyBorder="1" applyAlignment="1">
      <alignment vertical="center"/>
    </xf>
    <xf numFmtId="170" fontId="38" fillId="2" borderId="75" xfId="9" applyFont="1" applyFill="1" applyBorder="1" applyAlignment="1">
      <alignment vertical="center"/>
    </xf>
    <xf numFmtId="170" fontId="27" fillId="2" borderId="73" xfId="9" applyFont="1" applyFill="1" applyBorder="1" applyAlignment="1">
      <alignment vertical="center"/>
    </xf>
    <xf numFmtId="174" fontId="29" fillId="2" borderId="103" xfId="9" applyNumberFormat="1" applyFont="1" applyFill="1" applyBorder="1" applyAlignment="1">
      <alignment vertical="center"/>
    </xf>
    <xf numFmtId="170" fontId="34" fillId="2" borderId="77" xfId="9" applyFont="1" applyFill="1" applyBorder="1" applyAlignment="1">
      <alignment vertical="center"/>
    </xf>
    <xf numFmtId="174" fontId="27" fillId="2" borderId="110" xfId="9" applyNumberFormat="1" applyFont="1" applyFill="1" applyBorder="1" applyAlignment="1">
      <alignment vertical="center"/>
    </xf>
    <xf numFmtId="170" fontId="27" fillId="2" borderId="83" xfId="9" applyFont="1" applyFill="1" applyBorder="1" applyAlignment="1">
      <alignment vertical="center"/>
    </xf>
    <xf numFmtId="170" fontId="23" fillId="0" borderId="79" xfId="9" applyFont="1" applyBorder="1" applyAlignment="1">
      <alignment vertical="center"/>
    </xf>
    <xf numFmtId="170" fontId="25" fillId="0" borderId="75" xfId="9" applyFont="1" applyBorder="1" applyAlignment="1">
      <alignment vertical="center"/>
    </xf>
    <xf numFmtId="174" fontId="25" fillId="0" borderId="110" xfId="9" applyNumberFormat="1" applyFont="1" applyBorder="1" applyAlignment="1">
      <alignment vertical="center"/>
    </xf>
    <xf numFmtId="173" fontId="25" fillId="0" borderId="80" xfId="9" applyNumberFormat="1" applyFont="1" applyBorder="1" applyAlignment="1">
      <alignment vertical="center"/>
    </xf>
    <xf numFmtId="174" fontId="27" fillId="0" borderId="95" xfId="9" applyNumberFormat="1" applyFont="1" applyBorder="1" applyAlignment="1">
      <alignment vertical="center"/>
    </xf>
    <xf numFmtId="170" fontId="31" fillId="0" borderId="75" xfId="9" applyFont="1" applyBorder="1" applyAlignment="1">
      <alignment vertical="center"/>
    </xf>
    <xf numFmtId="173" fontId="27" fillId="0" borderId="95" xfId="9" applyNumberFormat="1" applyFont="1" applyBorder="1" applyAlignment="1">
      <alignment vertical="center"/>
    </xf>
    <xf numFmtId="174" fontId="27" fillId="0" borderId="110" xfId="9" applyNumberFormat="1" applyFont="1" applyBorder="1" applyAlignment="1">
      <alignment vertical="center"/>
    </xf>
    <xf numFmtId="173" fontId="27" fillId="0" borderId="110" xfId="9" applyNumberFormat="1" applyFont="1" applyBorder="1" applyAlignment="1">
      <alignment vertical="center"/>
    </xf>
    <xf numFmtId="170" fontId="27" fillId="0" borderId="110" xfId="9" applyFont="1" applyBorder="1" applyAlignment="1">
      <alignment vertical="center"/>
    </xf>
    <xf numFmtId="170" fontId="23" fillId="0" borderId="103" xfId="9" applyFont="1" applyBorder="1" applyAlignment="1">
      <alignment vertical="center"/>
    </xf>
    <xf numFmtId="170" fontId="23" fillId="0" borderId="99" xfId="9" applyFont="1" applyBorder="1" applyAlignment="1">
      <alignment vertical="center"/>
    </xf>
    <xf numFmtId="170" fontId="29" fillId="0" borderId="73" xfId="9" applyFont="1" applyBorder="1" applyAlignment="1">
      <alignment vertical="center"/>
    </xf>
    <xf numFmtId="170" fontId="27" fillId="0" borderId="100" xfId="9" applyFont="1" applyBorder="1" applyAlignment="1">
      <alignment vertical="center"/>
    </xf>
    <xf numFmtId="170" fontId="23" fillId="0" borderId="99" xfId="9" applyFont="1" applyFill="1" applyBorder="1" applyAlignment="1">
      <alignment vertical="center"/>
    </xf>
    <xf numFmtId="173" fontId="29" fillId="0" borderId="100" xfId="9" applyNumberFormat="1" applyFont="1" applyFill="1" applyBorder="1" applyAlignment="1">
      <alignment vertical="center"/>
    </xf>
    <xf numFmtId="174" fontId="29" fillId="0" borderId="77" xfId="9" applyNumberFormat="1" applyFont="1" applyFill="1" applyBorder="1" applyAlignment="1">
      <alignment vertical="center"/>
    </xf>
    <xf numFmtId="170" fontId="29" fillId="0" borderId="73" xfId="9" applyFont="1" applyFill="1" applyBorder="1" applyAlignment="1">
      <alignment vertical="center"/>
    </xf>
    <xf numFmtId="170" fontId="23" fillId="0" borderId="100" xfId="9" applyFont="1" applyFill="1" applyBorder="1" applyAlignment="1">
      <alignment vertical="center"/>
    </xf>
    <xf numFmtId="173" fontId="27" fillId="0" borderId="100" xfId="9" applyNumberFormat="1" applyFont="1" applyBorder="1" applyAlignment="1">
      <alignment vertical="center"/>
    </xf>
    <xf numFmtId="170" fontId="0" fillId="0" borderId="99" xfId="9" applyFont="1" applyBorder="1" applyAlignment="1">
      <alignment vertical="center"/>
    </xf>
    <xf numFmtId="170" fontId="27" fillId="0" borderId="100" xfId="9" applyFont="1" applyFill="1" applyBorder="1" applyAlignment="1">
      <alignment vertical="center"/>
    </xf>
    <xf numFmtId="170" fontId="34" fillId="0" borderId="77" xfId="9" applyFont="1" applyFill="1" applyBorder="1" applyAlignment="1">
      <alignment vertical="center"/>
    </xf>
    <xf numFmtId="170" fontId="29" fillId="0" borderId="100" xfId="9" applyFont="1" applyBorder="1" applyAlignment="1">
      <alignment vertical="center"/>
    </xf>
    <xf numFmtId="170" fontId="0" fillId="0" borderId="99" xfId="9" applyFont="1" applyFill="1" applyBorder="1" applyAlignment="1">
      <alignment vertical="center"/>
    </xf>
    <xf numFmtId="170" fontId="23" fillId="0" borderId="77" xfId="9" applyFont="1" applyFill="1" applyBorder="1" applyAlignment="1">
      <alignment vertical="center"/>
    </xf>
    <xf numFmtId="170" fontId="29" fillId="0" borderId="101" xfId="9" applyFont="1" applyFill="1" applyBorder="1" applyAlignment="1">
      <alignment vertical="center"/>
    </xf>
    <xf numFmtId="174" fontId="29" fillId="0" borderId="91" xfId="9" applyNumberFormat="1" applyFont="1" applyFill="1" applyBorder="1" applyAlignment="1">
      <alignment vertical="center"/>
    </xf>
    <xf numFmtId="174" fontId="29" fillId="8" borderId="77" xfId="9" applyNumberFormat="1" applyFont="1" applyFill="1" applyBorder="1" applyAlignment="1">
      <alignment vertical="center"/>
    </xf>
    <xf numFmtId="170" fontId="34" fillId="8" borderId="77" xfId="9" applyFont="1" applyFill="1" applyBorder="1" applyAlignment="1">
      <alignment vertical="center"/>
    </xf>
    <xf numFmtId="173" fontId="29" fillId="8" borderId="100" xfId="9" applyNumberFormat="1" applyFont="1" applyFill="1" applyBorder="1" applyAlignment="1">
      <alignment vertical="center"/>
    </xf>
    <xf numFmtId="170" fontId="29" fillId="0" borderId="91" xfId="9" applyFont="1" applyFill="1" applyBorder="1" applyAlignment="1">
      <alignment vertical="center"/>
    </xf>
    <xf numFmtId="170" fontId="29" fillId="0" borderId="99" xfId="9" applyFont="1" applyFill="1" applyBorder="1" applyAlignment="1">
      <alignment vertical="center"/>
    </xf>
    <xf numFmtId="170" fontId="39" fillId="0" borderId="103" xfId="9" applyFont="1" applyBorder="1" applyAlignment="1">
      <alignment vertical="center"/>
    </xf>
    <xf numFmtId="170" fontId="25" fillId="0" borderId="99" xfId="9" applyFont="1" applyBorder="1" applyAlignment="1">
      <alignment vertical="center"/>
    </xf>
    <xf numFmtId="170" fontId="25" fillId="0" borderId="101" xfId="9" applyFont="1" applyFill="1" applyBorder="1" applyAlignment="1">
      <alignment vertical="center"/>
    </xf>
    <xf numFmtId="170" fontId="39" fillId="0" borderId="73" xfId="9" applyFont="1" applyBorder="1" applyAlignment="1">
      <alignment vertical="center"/>
    </xf>
    <xf numFmtId="173" fontId="25" fillId="0" borderId="100" xfId="9" applyNumberFormat="1" applyFont="1" applyBorder="1" applyAlignment="1">
      <alignment vertical="center"/>
    </xf>
    <xf numFmtId="170" fontId="25" fillId="0" borderId="91" xfId="9" applyFont="1" applyFill="1" applyBorder="1" applyAlignment="1">
      <alignment vertical="center"/>
    </xf>
    <xf numFmtId="170" fontId="25" fillId="0" borderId="99" xfId="9" applyFont="1" applyFill="1" applyBorder="1" applyAlignment="1">
      <alignment vertical="center"/>
    </xf>
    <xf numFmtId="174" fontId="25" fillId="0" borderId="91" xfId="9" applyNumberFormat="1" applyFont="1" applyFill="1" applyBorder="1" applyAlignment="1">
      <alignment vertical="center"/>
    </xf>
    <xf numFmtId="174" fontId="25" fillId="0" borderId="109" xfId="9" applyNumberFormat="1" applyFont="1" applyFill="1" applyBorder="1" applyAlignment="1">
      <alignment vertical="center"/>
    </xf>
    <xf numFmtId="170" fontId="25" fillId="0" borderId="77" xfId="9" applyFont="1" applyFill="1" applyBorder="1" applyAlignment="1">
      <alignment vertical="center"/>
    </xf>
    <xf numFmtId="173" fontId="25" fillId="0" borderId="100" xfId="9" applyNumberFormat="1" applyFont="1" applyFill="1" applyBorder="1" applyAlignment="1">
      <alignment vertical="center"/>
    </xf>
    <xf numFmtId="174" fontId="23" fillId="0" borderId="77" xfId="9" applyNumberFormat="1" applyFont="1" applyFill="1" applyBorder="1" applyAlignment="1">
      <alignment vertical="center"/>
    </xf>
    <xf numFmtId="170" fontId="23" fillId="0" borderId="73" xfId="9" applyFont="1" applyFill="1" applyBorder="1" applyAlignment="1">
      <alignment vertical="center"/>
    </xf>
    <xf numFmtId="173" fontId="29" fillId="0" borderId="100" xfId="9" applyNumberFormat="1" applyFont="1" applyBorder="1" applyAlignment="1">
      <alignment vertical="center"/>
    </xf>
    <xf numFmtId="170" fontId="27" fillId="0" borderId="99" xfId="9" applyFont="1" applyFill="1" applyBorder="1" applyAlignment="1">
      <alignment vertical="center"/>
    </xf>
    <xf numFmtId="173" fontId="23" fillId="0" borderId="100" xfId="9" applyNumberFormat="1" applyFont="1" applyBorder="1" applyAlignment="1">
      <alignment vertical="center"/>
    </xf>
    <xf numFmtId="174" fontId="23" fillId="0" borderId="77" xfId="9" applyNumberFormat="1" applyFont="1" applyBorder="1" applyAlignment="1">
      <alignment vertical="center"/>
    </xf>
    <xf numFmtId="170" fontId="23" fillId="0" borderId="73" xfId="9" applyFont="1" applyBorder="1" applyAlignment="1">
      <alignment vertical="center"/>
    </xf>
    <xf numFmtId="174" fontId="23" fillId="0" borderId="109" xfId="9" applyNumberFormat="1" applyFont="1" applyBorder="1" applyAlignment="1">
      <alignment vertical="center"/>
    </xf>
    <xf numFmtId="170" fontId="23" fillId="0" borderId="77" xfId="9" applyFont="1" applyBorder="1" applyAlignment="1">
      <alignment vertical="center"/>
    </xf>
    <xf numFmtId="170" fontId="23" fillId="0" borderId="75" xfId="9" applyFont="1" applyBorder="1" applyAlignment="1">
      <alignment vertical="center"/>
    </xf>
    <xf numFmtId="170" fontId="23" fillId="0" borderId="76" xfId="9" applyFont="1" applyBorder="1" applyAlignment="1">
      <alignment vertical="center"/>
    </xf>
    <xf numFmtId="170" fontId="23" fillId="0" borderId="80" xfId="9" applyFont="1" applyBorder="1" applyAlignment="1">
      <alignment vertical="center"/>
    </xf>
    <xf numFmtId="170" fontId="29" fillId="0" borderId="83" xfId="9" applyFont="1" applyBorder="1" applyAlignment="1">
      <alignment vertical="center"/>
    </xf>
    <xf numFmtId="170" fontId="28" fillId="0" borderId="75" xfId="9" applyFont="1" applyBorder="1" applyAlignment="1">
      <alignment vertical="center"/>
    </xf>
    <xf numFmtId="173" fontId="28" fillId="0" borderId="80" xfId="9" applyNumberFormat="1" applyFont="1" applyBorder="1" applyAlignment="1">
      <alignment vertical="center"/>
    </xf>
    <xf numFmtId="174" fontId="23" fillId="0" borderId="83" xfId="9" applyNumberFormat="1" applyFont="1" applyBorder="1" applyAlignment="1">
      <alignment vertical="center"/>
    </xf>
    <xf numFmtId="174" fontId="23" fillId="0" borderId="110" xfId="9" applyNumberFormat="1" applyFont="1" applyBorder="1" applyAlignment="1">
      <alignment vertical="center"/>
    </xf>
    <xf numFmtId="170" fontId="23" fillId="0" borderId="83" xfId="9" applyFont="1" applyBorder="1" applyAlignment="1">
      <alignment vertical="center"/>
    </xf>
    <xf numFmtId="49" fontId="7" fillId="0" borderId="75" xfId="0" applyNumberFormat="1" applyFont="1" applyBorder="1" applyAlignment="1">
      <alignment horizontal="center" vertical="top"/>
    </xf>
    <xf numFmtId="49" fontId="7" fillId="0" borderId="73" xfId="0" applyNumberFormat="1" applyFont="1" applyBorder="1" applyAlignment="1">
      <alignment horizontal="left" vertical="top" indent="3"/>
    </xf>
    <xf numFmtId="43" fontId="7" fillId="0" borderId="0" xfId="1" applyFont="1" applyAlignment="1">
      <alignment horizontal="right" vertical="top"/>
    </xf>
    <xf numFmtId="43" fontId="4" fillId="0" borderId="0" xfId="1" applyFont="1" applyAlignment="1">
      <alignment horizontal="right" vertical="top"/>
    </xf>
    <xf numFmtId="0" fontId="0" fillId="2" borderId="73" xfId="0" applyFill="1" applyBorder="1"/>
    <xf numFmtId="0" fontId="76" fillId="2" borderId="73" xfId="0" applyFont="1" applyFill="1" applyBorder="1"/>
    <xf numFmtId="0" fontId="0" fillId="0" borderId="73" xfId="0" pivotButton="1" applyBorder="1"/>
    <xf numFmtId="164" fontId="0" fillId="2" borderId="73" xfId="0" applyNumberFormat="1" applyFill="1" applyBorder="1"/>
    <xf numFmtId="1" fontId="10" fillId="3" borderId="4" xfId="4" applyNumberFormat="1" applyFont="1" applyFill="1" applyBorder="1"/>
    <xf numFmtId="165" fontId="0" fillId="0" borderId="0" xfId="0" applyNumberFormat="1"/>
    <xf numFmtId="166" fontId="0" fillId="0" borderId="0" xfId="0" applyNumberFormat="1"/>
    <xf numFmtId="43" fontId="7" fillId="0" borderId="91" xfId="1" applyFont="1" applyBorder="1" applyAlignment="1">
      <alignment horizontal="right" vertical="top"/>
    </xf>
    <xf numFmtId="43" fontId="57" fillId="0" borderId="0" xfId="1" applyFont="1"/>
    <xf numFmtId="164" fontId="58" fillId="0" borderId="83" xfId="1" applyNumberFormat="1" applyFont="1" applyBorder="1" applyAlignment="1">
      <alignment horizontal="center"/>
    </xf>
    <xf numFmtId="0" fontId="9" fillId="0" borderId="14" xfId="1" applyNumberFormat="1" applyFont="1" applyFill="1" applyBorder="1" applyAlignment="1">
      <alignment horizontal="right"/>
    </xf>
    <xf numFmtId="176" fontId="0" fillId="0" borderId="0" xfId="0" applyNumberFormat="1"/>
    <xf numFmtId="0" fontId="9" fillId="0" borderId="0" xfId="0" applyFont="1" applyAlignment="1">
      <alignment vertical="center" wrapText="1"/>
    </xf>
    <xf numFmtId="164" fontId="9" fillId="0" borderId="0" xfId="1" applyNumberFormat="1" applyFont="1" applyFill="1" applyBorder="1" applyAlignment="1">
      <alignment vertical="center" wrapText="1"/>
    </xf>
    <xf numFmtId="164" fontId="115" fillId="0" borderId="0" xfId="0" applyNumberFormat="1" applyFont="1"/>
    <xf numFmtId="177" fontId="0" fillId="0" borderId="17" xfId="0" applyNumberFormat="1" applyBorder="1"/>
    <xf numFmtId="177" fontId="2" fillId="0" borderId="15" xfId="0" applyNumberFormat="1" applyFont="1" applyBorder="1"/>
    <xf numFmtId="15" fontId="93" fillId="4" borderId="73" xfId="32" applyNumberFormat="1" applyFont="1" applyFill="1" applyBorder="1" applyAlignment="1" applyProtection="1">
      <alignment horizontal="center" vertical="center" wrapText="1"/>
      <protection locked="0"/>
    </xf>
    <xf numFmtId="49" fontId="94" fillId="0" borderId="73" xfId="0" applyNumberFormat="1" applyFont="1" applyBorder="1" applyAlignment="1">
      <alignment vertical="center"/>
    </xf>
    <xf numFmtId="177" fontId="94" fillId="0" borderId="73" xfId="42" applyFont="1" applyBorder="1" applyAlignment="1">
      <alignment vertical="center"/>
    </xf>
    <xf numFmtId="43" fontId="94" fillId="0" borderId="73" xfId="1" applyFont="1" applyBorder="1" applyAlignment="1">
      <alignment vertical="center"/>
    </xf>
    <xf numFmtId="0" fontId="92" fillId="11" borderId="73" xfId="33" applyNumberFormat="1" applyFont="1" applyFill="1" applyBorder="1" applyAlignment="1" applyProtection="1">
      <alignment horizontal="center" vertical="center"/>
      <protection locked="0"/>
    </xf>
    <xf numFmtId="15" fontId="92" fillId="11" borderId="73" xfId="33" applyNumberFormat="1" applyFont="1" applyFill="1" applyBorder="1" applyAlignment="1" applyProtection="1">
      <alignment horizontal="center" vertical="center"/>
      <protection locked="0"/>
    </xf>
    <xf numFmtId="170" fontId="116" fillId="11" borderId="73" xfId="33" applyFont="1" applyFill="1" applyBorder="1" applyAlignment="1" applyProtection="1">
      <alignment horizontal="center" vertical="center"/>
      <protection locked="0"/>
    </xf>
    <xf numFmtId="170" fontId="92" fillId="11" borderId="73" xfId="33" applyFont="1" applyFill="1" applyBorder="1" applyAlignment="1" applyProtection="1">
      <alignment horizontal="center" vertical="center"/>
      <protection locked="0"/>
    </xf>
    <xf numFmtId="43" fontId="92" fillId="0" borderId="0" xfId="32" applyNumberFormat="1" applyFont="1" applyAlignment="1" applyProtection="1">
      <alignment wrapText="1"/>
      <protection locked="0"/>
    </xf>
    <xf numFmtId="170" fontId="93" fillId="11" borderId="73" xfId="33" applyFont="1" applyFill="1" applyBorder="1" applyAlignment="1" applyProtection="1">
      <alignment horizontal="center" vertical="center"/>
      <protection locked="0"/>
    </xf>
    <xf numFmtId="0" fontId="94" fillId="11" borderId="73" xfId="0" applyFont="1" applyFill="1" applyBorder="1" applyAlignment="1">
      <alignment horizontal="center" vertical="center"/>
    </xf>
    <xf numFmtId="15" fontId="94" fillId="11" borderId="73" xfId="0" applyNumberFormat="1" applyFont="1" applyFill="1" applyBorder="1" applyAlignment="1">
      <alignment horizontal="center" vertical="center"/>
    </xf>
    <xf numFmtId="43" fontId="95" fillId="11" borderId="73" xfId="1" applyFont="1" applyFill="1" applyBorder="1" applyAlignment="1">
      <alignment vertical="center"/>
    </xf>
    <xf numFmtId="177" fontId="94" fillId="0" borderId="76" xfId="42" applyFont="1" applyBorder="1" applyAlignment="1">
      <alignment vertical="center"/>
    </xf>
    <xf numFmtId="43" fontId="94" fillId="0" borderId="76" xfId="1" applyFont="1" applyBorder="1" applyAlignment="1">
      <alignment vertical="center"/>
    </xf>
    <xf numFmtId="43" fontId="95" fillId="11" borderId="76" xfId="1" applyFont="1" applyFill="1" applyBorder="1" applyAlignment="1">
      <alignment vertical="center"/>
    </xf>
    <xf numFmtId="49" fontId="94" fillId="11" borderId="73" xfId="0" applyNumberFormat="1" applyFont="1" applyFill="1" applyBorder="1" applyAlignment="1">
      <alignment horizontal="left" vertical="center"/>
    </xf>
    <xf numFmtId="0" fontId="94" fillId="11" borderId="73" xfId="0" applyFont="1" applyFill="1" applyBorder="1" applyAlignment="1">
      <alignment horizontal="center"/>
    </xf>
    <xf numFmtId="43" fontId="95" fillId="11" borderId="73" xfId="0" applyNumberFormat="1" applyFont="1" applyFill="1" applyBorder="1" applyAlignment="1">
      <alignment horizontal="center" vertical="center"/>
    </xf>
    <xf numFmtId="170" fontId="117" fillId="11" borderId="73" xfId="33" applyFont="1" applyFill="1" applyBorder="1" applyAlignment="1" applyProtection="1">
      <alignment horizontal="center" vertical="center"/>
      <protection locked="0"/>
    </xf>
    <xf numFmtId="170" fontId="91" fillId="11" borderId="73" xfId="33" applyFont="1" applyFill="1" applyBorder="1" applyAlignment="1" applyProtection="1">
      <alignment horizontal="center" vertical="center"/>
      <protection locked="0"/>
    </xf>
    <xf numFmtId="0" fontId="94" fillId="0" borderId="76" xfId="0" applyFont="1" applyBorder="1" applyAlignment="1">
      <alignment horizontal="center" vertical="center"/>
    </xf>
    <xf numFmtId="15" fontId="94" fillId="0" borderId="76" xfId="0" applyNumberFormat="1" applyFont="1" applyBorder="1" applyAlignment="1">
      <alignment horizontal="center" vertical="center"/>
    </xf>
    <xf numFmtId="0" fontId="94" fillId="11" borderId="76" xfId="0" applyFont="1" applyFill="1" applyBorder="1" applyAlignment="1">
      <alignment horizontal="center" vertical="center"/>
    </xf>
    <xf numFmtId="15" fontId="94" fillId="11" borderId="76" xfId="0" applyNumberFormat="1" applyFont="1" applyFill="1" applyBorder="1" applyAlignment="1">
      <alignment horizontal="center" vertical="center"/>
    </xf>
    <xf numFmtId="43" fontId="94" fillId="0" borderId="73" xfId="1" applyFont="1" applyFill="1" applyBorder="1" applyAlignment="1">
      <alignment vertical="center"/>
    </xf>
    <xf numFmtId="49" fontId="94" fillId="11" borderId="73" xfId="0" applyNumberFormat="1" applyFont="1" applyFill="1" applyBorder="1" applyAlignment="1">
      <alignment vertical="center"/>
    </xf>
    <xf numFmtId="49" fontId="94" fillId="0" borderId="73" xfId="0" applyNumberFormat="1" applyFont="1" applyBorder="1" applyAlignment="1">
      <alignment horizontal="left" vertical="center"/>
    </xf>
    <xf numFmtId="0" fontId="93" fillId="4" borderId="73" xfId="33" applyNumberFormat="1" applyFont="1" applyFill="1" applyBorder="1" applyAlignment="1" applyProtection="1">
      <alignment horizontal="center" vertical="center"/>
      <protection locked="0"/>
    </xf>
    <xf numFmtId="0" fontId="93" fillId="4" borderId="73" xfId="33" applyNumberFormat="1" applyFont="1" applyFill="1" applyBorder="1" applyAlignment="1" applyProtection="1">
      <alignment horizontal="center" vertical="center" shrinkToFit="1"/>
      <protection locked="0"/>
    </xf>
    <xf numFmtId="15" fontId="93" fillId="4" borderId="73" xfId="33" applyNumberFormat="1" applyFont="1" applyFill="1" applyBorder="1" applyAlignment="1" applyProtection="1">
      <alignment horizontal="center" vertical="center"/>
      <protection locked="0"/>
    </xf>
    <xf numFmtId="170" fontId="116" fillId="4" borderId="73" xfId="33" applyFont="1" applyFill="1" applyBorder="1" applyAlignment="1" applyProtection="1">
      <alignment horizontal="center" vertical="center"/>
      <protection locked="0"/>
    </xf>
    <xf numFmtId="170" fontId="93" fillId="4" borderId="73" xfId="33" applyFont="1" applyFill="1" applyBorder="1" applyAlignment="1" applyProtection="1">
      <alignment horizontal="center" vertical="center"/>
      <protection locked="0"/>
    </xf>
    <xf numFmtId="0" fontId="91" fillId="0" borderId="0" xfId="32" applyFont="1" applyAlignment="1" applyProtection="1">
      <alignment horizontal="left" shrinkToFit="1"/>
      <protection locked="0"/>
    </xf>
    <xf numFmtId="0" fontId="91" fillId="0" borderId="0" xfId="32" applyFont="1" applyAlignment="1" applyProtection="1">
      <alignment horizontal="center" vertical="center" shrinkToFit="1"/>
      <protection locked="0"/>
    </xf>
    <xf numFmtId="0" fontId="91" fillId="0" borderId="0" xfId="32" applyFont="1" applyAlignment="1" applyProtection="1">
      <alignment wrapText="1"/>
      <protection locked="0"/>
    </xf>
    <xf numFmtId="15" fontId="91" fillId="0" borderId="0" xfId="32" applyNumberFormat="1" applyFont="1" applyAlignment="1" applyProtection="1">
      <alignment shrinkToFit="1"/>
      <protection locked="0"/>
    </xf>
    <xf numFmtId="170" fontId="91" fillId="9" borderId="72" xfId="33" applyFont="1" applyFill="1" applyBorder="1" applyAlignment="1" applyProtection="1">
      <alignment horizontal="center" vertical="center"/>
      <protection locked="0"/>
    </xf>
    <xf numFmtId="170" fontId="91" fillId="0" borderId="0" xfId="33" applyFont="1" applyFill="1" applyBorder="1" applyAlignment="1" applyProtection="1">
      <alignment horizontal="center" vertical="center" wrapText="1"/>
      <protection locked="0"/>
    </xf>
    <xf numFmtId="170" fontId="93" fillId="0" borderId="0" xfId="33" applyFont="1" applyFill="1" applyBorder="1" applyAlignment="1" applyProtection="1">
      <alignment wrapText="1"/>
      <protection locked="0"/>
    </xf>
    <xf numFmtId="170" fontId="118" fillId="0" borderId="0" xfId="33" applyFont="1" applyFill="1" applyBorder="1" applyAlignment="1" applyProtection="1">
      <alignment wrapText="1"/>
      <protection locked="0"/>
    </xf>
    <xf numFmtId="0" fontId="2" fillId="0" borderId="4" xfId="0" applyFont="1" applyBorder="1" applyAlignment="1">
      <alignment wrapText="1"/>
    </xf>
    <xf numFmtId="0" fontId="2" fillId="0" borderId="4" xfId="0" applyFont="1" applyBorder="1" applyAlignment="1">
      <alignment horizontal="center" wrapText="1"/>
    </xf>
    <xf numFmtId="0" fontId="2" fillId="0" borderId="91" xfId="0" applyFont="1" applyBorder="1"/>
    <xf numFmtId="15" fontId="2" fillId="0" borderId="91" xfId="0" applyNumberFormat="1" applyFont="1" applyBorder="1" applyAlignment="1">
      <alignment wrapText="1"/>
    </xf>
    <xf numFmtId="0" fontId="2" fillId="0" borderId="91" xfId="0" applyFont="1" applyBorder="1" applyAlignment="1">
      <alignment horizontal="center" wrapText="1"/>
    </xf>
    <xf numFmtId="0" fontId="2" fillId="0" borderId="91" xfId="0" applyFont="1" applyBorder="1" applyAlignment="1">
      <alignment wrapText="1"/>
    </xf>
    <xf numFmtId="49" fontId="0" fillId="0" borderId="0" xfId="0" applyNumberFormat="1"/>
    <xf numFmtId="0" fontId="57" fillId="0" borderId="0" xfId="0" applyFont="1"/>
    <xf numFmtId="49" fontId="57" fillId="0" borderId="0" xfId="0" applyNumberFormat="1" applyFont="1"/>
    <xf numFmtId="10" fontId="57" fillId="0" borderId="0" xfId="2" applyNumberFormat="1" applyFont="1"/>
    <xf numFmtId="168" fontId="9" fillId="3" borderId="93" xfId="4" applyNumberFormat="1" applyFont="1" applyFill="1" applyBorder="1" applyAlignment="1">
      <alignment horizontal="left" vertical="center"/>
    </xf>
    <xf numFmtId="9" fontId="9" fillId="3" borderId="74" xfId="3" applyFont="1" applyFill="1" applyBorder="1" applyAlignment="1">
      <alignment horizontal="left"/>
    </xf>
    <xf numFmtId="1" fontId="9" fillId="3" borderId="74" xfId="4" applyNumberFormat="1" applyFont="1" applyFill="1" applyBorder="1" applyAlignment="1">
      <alignment horizontal="center"/>
    </xf>
    <xf numFmtId="172" fontId="9" fillId="3" borderId="83" xfId="1" applyNumberFormat="1" applyFont="1" applyFill="1" applyBorder="1" applyAlignment="1">
      <alignment horizontal="center" vertical="center" wrapText="1"/>
    </xf>
    <xf numFmtId="164" fontId="9" fillId="3" borderId="76" xfId="1" applyNumberFormat="1" applyFont="1" applyFill="1" applyBorder="1" applyAlignment="1">
      <alignment horizontal="center" vertical="center" wrapText="1"/>
    </xf>
    <xf numFmtId="164" fontId="9" fillId="3" borderId="80" xfId="1" applyNumberFormat="1" applyFont="1" applyFill="1" applyBorder="1" applyAlignment="1">
      <alignment horizontal="center" vertical="center" wrapText="1"/>
    </xf>
    <xf numFmtId="9" fontId="10" fillId="3" borderId="90" xfId="3" applyFont="1" applyFill="1" applyBorder="1" applyAlignment="1"/>
    <xf numFmtId="9" fontId="10" fillId="3" borderId="4" xfId="3" applyFont="1" applyFill="1" applyBorder="1" applyAlignment="1"/>
    <xf numFmtId="164" fontId="9" fillId="3" borderId="17" xfId="1" applyNumberFormat="1" applyFont="1" applyFill="1" applyBorder="1" applyAlignment="1">
      <alignment horizontal="center"/>
    </xf>
    <xf numFmtId="164" fontId="9" fillId="3" borderId="13" xfId="1" applyNumberFormat="1" applyFont="1" applyFill="1" applyBorder="1" applyAlignment="1">
      <alignment horizontal="center"/>
    </xf>
    <xf numFmtId="164" fontId="9" fillId="3" borderId="35" xfId="1" applyNumberFormat="1" applyFont="1" applyFill="1" applyBorder="1" applyAlignment="1">
      <alignment horizontal="center"/>
    </xf>
    <xf numFmtId="0" fontId="2" fillId="0" borderId="77" xfId="0" applyFont="1" applyBorder="1" applyAlignment="1">
      <alignment horizontal="center"/>
    </xf>
    <xf numFmtId="168" fontId="21" fillId="0" borderId="42" xfId="25" applyNumberFormat="1" applyFont="1" applyBorder="1" applyAlignment="1">
      <alignment horizontal="center"/>
    </xf>
    <xf numFmtId="168" fontId="21" fillId="0" borderId="0" xfId="25" applyNumberFormat="1" applyFont="1" applyAlignment="1">
      <alignment horizontal="center"/>
    </xf>
    <xf numFmtId="168" fontId="21" fillId="0" borderId="43" xfId="25" applyNumberFormat="1" applyFont="1" applyBorder="1" applyAlignment="1">
      <alignment horizontal="center"/>
    </xf>
    <xf numFmtId="14" fontId="0" fillId="0" borderId="73" xfId="0" applyNumberFormat="1" applyBorder="1" applyAlignment="1">
      <alignment horizontal="center" vertical="top"/>
    </xf>
    <xf numFmtId="164" fontId="0" fillId="0" borderId="14" xfId="0" applyNumberFormat="1" applyBorder="1"/>
    <xf numFmtId="164" fontId="0" fillId="0" borderId="0" xfId="1" applyNumberFormat="1" applyFont="1" applyBorder="1"/>
    <xf numFmtId="14" fontId="0" fillId="0" borderId="77" xfId="0" applyNumberFormat="1" applyBorder="1" applyAlignment="1">
      <alignment horizontal="center"/>
    </xf>
    <xf numFmtId="0" fontId="37" fillId="0" borderId="73" xfId="32" applyFont="1" applyBorder="1" applyAlignment="1" applyProtection="1">
      <alignment horizontal="center" vertical="center" wrapText="1"/>
      <protection locked="0"/>
    </xf>
    <xf numFmtId="15" fontId="37" fillId="0" borderId="73" xfId="32" applyNumberFormat="1" applyFont="1" applyBorder="1" applyAlignment="1" applyProtection="1">
      <alignment horizontal="center" vertical="center" wrapText="1"/>
      <protection locked="0"/>
    </xf>
    <xf numFmtId="43" fontId="37" fillId="0" borderId="73" xfId="1" applyFont="1" applyFill="1" applyBorder="1" applyAlignment="1" applyProtection="1">
      <alignment horizontal="center" vertical="center" wrapText="1"/>
      <protection locked="0"/>
    </xf>
    <xf numFmtId="0" fontId="0" fillId="5" borderId="73" xfId="0" applyFill="1" applyBorder="1"/>
    <xf numFmtId="14" fontId="0" fillId="5" borderId="73" xfId="0" applyNumberFormat="1" applyFill="1" applyBorder="1"/>
    <xf numFmtId="43" fontId="0" fillId="5" borderId="73" xfId="1" applyFont="1" applyFill="1" applyBorder="1"/>
    <xf numFmtId="2" fontId="0" fillId="5" borderId="73" xfId="0" applyNumberFormat="1" applyFill="1" applyBorder="1"/>
    <xf numFmtId="0" fontId="0" fillId="12" borderId="73" xfId="0" applyFill="1" applyBorder="1"/>
    <xf numFmtId="14" fontId="0" fillId="12" borderId="73" xfId="0" applyNumberFormat="1" applyFill="1" applyBorder="1"/>
    <xf numFmtId="43" fontId="0" fillId="12" borderId="73" xfId="1" applyFont="1" applyFill="1" applyBorder="1"/>
    <xf numFmtId="2" fontId="0" fillId="12" borderId="73" xfId="0" applyNumberFormat="1" applyFill="1" applyBorder="1"/>
    <xf numFmtId="43" fontId="0" fillId="12" borderId="73" xfId="0" applyNumberFormat="1" applyFill="1" applyBorder="1"/>
    <xf numFmtId="0" fontId="0" fillId="12" borderId="0" xfId="0" applyFill="1"/>
    <xf numFmtId="43" fontId="10" fillId="0" borderId="73" xfId="1" applyFont="1" applyFill="1" applyBorder="1" applyAlignment="1">
      <alignment vertical="center"/>
    </xf>
    <xf numFmtId="170" fontId="2" fillId="0" borderId="1" xfId="0" applyNumberFormat="1" applyFont="1" applyBorder="1"/>
    <xf numFmtId="170" fontId="2" fillId="0" borderId="1" xfId="1" applyNumberFormat="1" applyFont="1" applyFill="1" applyBorder="1"/>
    <xf numFmtId="170" fontId="2" fillId="0" borderId="11" xfId="0" applyNumberFormat="1" applyFont="1" applyBorder="1"/>
    <xf numFmtId="43" fontId="10" fillId="0" borderId="14" xfId="1" applyFont="1" applyFill="1" applyBorder="1" applyAlignment="1">
      <alignment horizontal="right"/>
    </xf>
    <xf numFmtId="43" fontId="10" fillId="0" borderId="14" xfId="1" applyFont="1" applyFill="1" applyBorder="1"/>
    <xf numFmtId="43" fontId="10" fillId="0" borderId="63" xfId="1" applyFont="1" applyFill="1" applyBorder="1"/>
    <xf numFmtId="43" fontId="10" fillId="0" borderId="14" xfId="1" applyFont="1" applyFill="1" applyBorder="1" applyAlignment="1"/>
    <xf numFmtId="43" fontId="10" fillId="0" borderId="63" xfId="1" applyFont="1" applyFill="1" applyBorder="1" applyAlignment="1"/>
    <xf numFmtId="43" fontId="10" fillId="0" borderId="13" xfId="1" applyFont="1" applyFill="1" applyBorder="1"/>
    <xf numFmtId="43" fontId="10" fillId="0" borderId="35" xfId="1" applyFont="1" applyFill="1" applyBorder="1"/>
    <xf numFmtId="43" fontId="10" fillId="0" borderId="7" xfId="1" applyFont="1" applyFill="1" applyBorder="1" applyAlignment="1"/>
    <xf numFmtId="43" fontId="10" fillId="0" borderId="13" xfId="1" applyFont="1" applyFill="1" applyBorder="1" applyAlignment="1">
      <alignment horizontal="right"/>
    </xf>
    <xf numFmtId="43" fontId="10" fillId="0" borderId="10" xfId="1" applyFont="1" applyFill="1" applyBorder="1" applyAlignment="1"/>
    <xf numFmtId="43" fontId="10" fillId="0" borderId="43" xfId="1" applyFont="1" applyFill="1" applyBorder="1" applyAlignment="1"/>
    <xf numFmtId="43" fontId="22" fillId="0" borderId="14" xfId="1" applyFont="1" applyFill="1" applyBorder="1"/>
    <xf numFmtId="43" fontId="19" fillId="0" borderId="14" xfId="1" applyFont="1" applyFill="1" applyBorder="1" applyAlignment="1">
      <alignment horizontal="right"/>
    </xf>
    <xf numFmtId="43" fontId="22" fillId="0" borderId="14" xfId="1" applyFont="1" applyFill="1" applyBorder="1" applyAlignment="1">
      <alignment horizontal="right" wrapText="1"/>
    </xf>
    <xf numFmtId="43" fontId="0" fillId="0" borderId="13" xfId="1" applyFont="1" applyBorder="1"/>
    <xf numFmtId="9" fontId="9" fillId="0" borderId="42" xfId="2" applyFont="1" applyFill="1" applyBorder="1" applyAlignment="1"/>
    <xf numFmtId="9" fontId="10" fillId="0" borderId="42" xfId="2" applyFont="1" applyFill="1" applyBorder="1" applyAlignment="1"/>
    <xf numFmtId="9" fontId="10" fillId="0" borderId="90" xfId="2" applyFont="1" applyFill="1" applyBorder="1" applyAlignment="1"/>
    <xf numFmtId="164" fontId="10" fillId="0" borderId="17" xfId="1" applyNumberFormat="1" applyFont="1" applyFill="1" applyBorder="1" applyAlignment="1"/>
    <xf numFmtId="164" fontId="10" fillId="0" borderId="62" xfId="1" applyNumberFormat="1" applyFont="1" applyFill="1" applyBorder="1" applyAlignment="1"/>
    <xf numFmtId="9" fontId="11" fillId="0" borderId="93" xfId="2" applyFont="1" applyFill="1" applyBorder="1" applyAlignment="1"/>
    <xf numFmtId="164" fontId="9" fillId="0" borderId="14" xfId="1" applyNumberFormat="1" applyFont="1" applyFill="1" applyBorder="1" applyAlignment="1">
      <alignment vertical="center"/>
    </xf>
    <xf numFmtId="164" fontId="9" fillId="0" borderId="63" xfId="1" applyNumberFormat="1" applyFont="1" applyFill="1" applyBorder="1" applyAlignment="1">
      <alignment vertical="center"/>
    </xf>
    <xf numFmtId="0" fontId="9" fillId="0" borderId="0" xfId="0" applyFont="1" applyAlignment="1">
      <alignment horizontal="right"/>
    </xf>
    <xf numFmtId="9" fontId="10" fillId="0" borderId="0" xfId="3" applyFont="1" applyFill="1" applyBorder="1" applyAlignment="1">
      <alignment horizontal="right"/>
    </xf>
    <xf numFmtId="164" fontId="10" fillId="0" borderId="0" xfId="3" applyNumberFormat="1" applyFont="1" applyFill="1" applyBorder="1" applyAlignment="1">
      <alignment horizontal="right"/>
    </xf>
    <xf numFmtId="164" fontId="10" fillId="0" borderId="0" xfId="1" applyNumberFormat="1" applyFont="1" applyFill="1" applyBorder="1" applyAlignment="1">
      <alignment horizontal="right"/>
    </xf>
    <xf numFmtId="164" fontId="10" fillId="0" borderId="0" xfId="1" applyNumberFormat="1" applyFont="1" applyFill="1" applyBorder="1" applyAlignment="1">
      <alignment horizontal="right" vertical="center"/>
    </xf>
    <xf numFmtId="164" fontId="10" fillId="0" borderId="14" xfId="1" applyNumberFormat="1" applyFont="1" applyFill="1" applyBorder="1" applyAlignment="1">
      <alignment horizontal="right" vertical="center"/>
    </xf>
    <xf numFmtId="164" fontId="10" fillId="0" borderId="63" xfId="1" applyNumberFormat="1" applyFont="1" applyFill="1" applyBorder="1" applyAlignment="1">
      <alignment horizontal="right" vertical="center"/>
    </xf>
    <xf numFmtId="43" fontId="10" fillId="0" borderId="14" xfId="1" applyFont="1" applyFill="1" applyBorder="1" applyAlignment="1">
      <alignment horizontal="right" vertical="center"/>
    </xf>
    <xf numFmtId="9" fontId="9" fillId="0" borderId="0" xfId="3" applyFont="1" applyFill="1" applyBorder="1" applyAlignment="1">
      <alignment horizontal="center"/>
    </xf>
    <xf numFmtId="167" fontId="9" fillId="0" borderId="0" xfId="3" applyNumberFormat="1" applyFont="1" applyFill="1" applyBorder="1" applyAlignment="1">
      <alignment horizontal="center"/>
    </xf>
    <xf numFmtId="2" fontId="9" fillId="0" borderId="0" xfId="3" applyNumberFormat="1" applyFont="1" applyFill="1" applyBorder="1" applyAlignment="1">
      <alignment horizontal="left" vertical="top" wrapText="1"/>
    </xf>
    <xf numFmtId="2" fontId="10" fillId="0" borderId="0" xfId="3" applyNumberFormat="1" applyFont="1" applyFill="1" applyBorder="1" applyAlignment="1">
      <alignment horizontal="left" vertical="top" wrapText="1"/>
    </xf>
    <xf numFmtId="10" fontId="115" fillId="0" borderId="0" xfId="2" applyNumberFormat="1" applyFont="1"/>
    <xf numFmtId="10" fontId="75" fillId="0" borderId="0" xfId="0" applyNumberFormat="1" applyFont="1"/>
    <xf numFmtId="0" fontId="81" fillId="0" borderId="0" xfId="2" applyNumberFormat="1" applyFont="1" applyFill="1" applyBorder="1"/>
    <xf numFmtId="0" fontId="81" fillId="0" borderId="0" xfId="3" applyNumberFormat="1" applyFont="1" applyFill="1" applyBorder="1"/>
    <xf numFmtId="0" fontId="10" fillId="0" borderId="0" xfId="4" applyNumberFormat="1" applyFont="1" applyAlignment="1">
      <alignment horizontal="left" wrapText="1"/>
    </xf>
    <xf numFmtId="1" fontId="9" fillId="0" borderId="0" xfId="4" applyNumberFormat="1" applyFont="1" applyAlignment="1">
      <alignment horizontal="left" wrapText="1"/>
    </xf>
    <xf numFmtId="0" fontId="9" fillId="0" borderId="0" xfId="0" applyFont="1" applyAlignment="1">
      <alignment horizontal="center" vertical="center" wrapText="1"/>
    </xf>
    <xf numFmtId="1" fontId="10" fillId="0" borderId="0" xfId="4" applyNumberFormat="1" applyFont="1" applyAlignment="1">
      <alignment horizontal="left" wrapText="1"/>
    </xf>
    <xf numFmtId="49" fontId="7" fillId="0" borderId="74" xfId="0" applyNumberFormat="1" applyFont="1" applyBorder="1" applyAlignment="1">
      <alignment horizontal="left" vertical="top" indent="2"/>
    </xf>
    <xf numFmtId="49" fontId="7" fillId="0" borderId="7" xfId="0" applyNumberFormat="1" applyFont="1" applyBorder="1" applyAlignment="1">
      <alignment horizontal="left" vertical="top" indent="2"/>
    </xf>
    <xf numFmtId="49" fontId="7" fillId="0" borderId="12" xfId="0" applyNumberFormat="1" applyFont="1" applyBorder="1" applyAlignment="1">
      <alignment horizontal="left" vertical="top" indent="2"/>
    </xf>
    <xf numFmtId="49" fontId="7" fillId="0" borderId="91" xfId="0" applyNumberFormat="1" applyFont="1" applyBorder="1" applyAlignment="1">
      <alignment horizontal="left" vertical="top" indent="2"/>
    </xf>
    <xf numFmtId="0" fontId="16" fillId="3" borderId="0" xfId="0" applyFont="1" applyFill="1"/>
    <xf numFmtId="0" fontId="0" fillId="3" borderId="0" xfId="0" applyFill="1"/>
    <xf numFmtId="0" fontId="2" fillId="3" borderId="73" xfId="0" applyFont="1" applyFill="1" applyBorder="1" applyAlignment="1">
      <alignment horizontal="center" vertical="center" wrapText="1"/>
    </xf>
    <xf numFmtId="14" fontId="0" fillId="3" borderId="73" xfId="0" applyNumberFormat="1" applyFill="1" applyBorder="1"/>
    <xf numFmtId="43" fontId="0" fillId="3" borderId="73" xfId="1" applyFont="1" applyFill="1" applyBorder="1"/>
    <xf numFmtId="43" fontId="0" fillId="3" borderId="73" xfId="0" applyNumberFormat="1" applyFill="1" applyBorder="1"/>
    <xf numFmtId="43" fontId="2" fillId="3" borderId="73" xfId="0" applyNumberFormat="1" applyFont="1" applyFill="1" applyBorder="1"/>
    <xf numFmtId="0" fontId="0" fillId="3" borderId="73" xfId="0" applyFill="1" applyBorder="1"/>
    <xf numFmtId="43" fontId="2" fillId="3" borderId="73" xfId="1" applyFont="1" applyFill="1" applyBorder="1"/>
    <xf numFmtId="0" fontId="77" fillId="13" borderId="0" xfId="0" applyFont="1" applyFill="1"/>
    <xf numFmtId="37" fontId="119" fillId="13" borderId="0" xfId="8" applyNumberFormat="1" applyFont="1" applyFill="1" applyBorder="1" applyAlignment="1">
      <alignment horizontal="right"/>
    </xf>
    <xf numFmtId="37" fontId="119" fillId="13" borderId="0" xfId="8" applyNumberFormat="1" applyFont="1" applyFill="1" applyAlignment="1">
      <alignment horizontal="right"/>
    </xf>
    <xf numFmtId="168" fontId="119" fillId="13" borderId="0" xfId="26" applyNumberFormat="1" applyFont="1" applyFill="1" applyAlignment="1">
      <alignment horizontal="center" vertical="top" wrapText="1"/>
    </xf>
    <xf numFmtId="173" fontId="120" fillId="13" borderId="0" xfId="27" applyNumberFormat="1" applyFont="1" applyFill="1" applyBorder="1"/>
    <xf numFmtId="170" fontId="77" fillId="13" borderId="0" xfId="8" applyFont="1" applyFill="1"/>
    <xf numFmtId="164" fontId="77" fillId="13" borderId="0" xfId="0" applyNumberFormat="1" applyFont="1" applyFill="1"/>
    <xf numFmtId="173" fontId="120" fillId="13" borderId="0" xfId="27" applyNumberFormat="1" applyFont="1" applyFill="1" applyBorder="1" applyAlignment="1">
      <alignment horizontal="right"/>
    </xf>
    <xf numFmtId="173" fontId="77" fillId="13" borderId="0" xfId="0" applyNumberFormat="1" applyFont="1" applyFill="1"/>
    <xf numFmtId="173" fontId="120" fillId="13" borderId="10" xfId="27" applyNumberFormat="1" applyFont="1" applyFill="1" applyBorder="1"/>
    <xf numFmtId="0" fontId="121" fillId="13" borderId="1" xfId="0" applyFont="1" applyFill="1" applyBorder="1"/>
    <xf numFmtId="0" fontId="77" fillId="13" borderId="1" xfId="0" applyFont="1" applyFill="1" applyBorder="1"/>
    <xf numFmtId="43" fontId="77" fillId="13" borderId="1" xfId="1" applyFont="1" applyFill="1" applyBorder="1"/>
    <xf numFmtId="37" fontId="119" fillId="13" borderId="10" xfId="8" applyNumberFormat="1" applyFont="1" applyFill="1" applyBorder="1" applyAlignment="1">
      <alignment horizontal="right"/>
    </xf>
    <xf numFmtId="173" fontId="119" fillId="13" borderId="0" xfId="27" applyNumberFormat="1" applyFont="1" applyFill="1" applyBorder="1" applyAlignment="1">
      <alignment horizontal="right"/>
    </xf>
    <xf numFmtId="0" fontId="122" fillId="13" borderId="12" xfId="0" applyFont="1" applyFill="1" applyBorder="1"/>
    <xf numFmtId="43" fontId="77" fillId="13" borderId="17" xfId="1" applyFont="1" applyFill="1" applyBorder="1"/>
    <xf numFmtId="37" fontId="119" fillId="13" borderId="0" xfId="8" applyNumberFormat="1" applyFont="1" applyFill="1" applyBorder="1"/>
    <xf numFmtId="43" fontId="77" fillId="13" borderId="0" xfId="0" applyNumberFormat="1" applyFont="1" applyFill="1"/>
    <xf numFmtId="164" fontId="119" fillId="13" borderId="0" xfId="8" applyNumberFormat="1" applyFont="1" applyFill="1" applyBorder="1" applyAlignment="1">
      <alignment horizontal="right"/>
    </xf>
    <xf numFmtId="185" fontId="77" fillId="13" borderId="0" xfId="0" applyNumberFormat="1" applyFont="1" applyFill="1"/>
    <xf numFmtId="164" fontId="119" fillId="13" borderId="0" xfId="27" applyNumberFormat="1" applyFont="1" applyFill="1" applyBorder="1" applyAlignment="1">
      <alignment horizontal="right"/>
    </xf>
    <xf numFmtId="168" fontId="120" fillId="13" borderId="0" xfId="26" applyNumberFormat="1" applyFont="1" applyFill="1"/>
    <xf numFmtId="0" fontId="123" fillId="13" borderId="3" xfId="0" applyFont="1" applyFill="1" applyBorder="1" applyAlignment="1">
      <alignment vertical="center" wrapText="1"/>
    </xf>
    <xf numFmtId="0" fontId="123" fillId="13" borderId="3" xfId="0" applyFont="1" applyFill="1" applyBorder="1" applyAlignment="1">
      <alignment horizontal="center" vertical="center" wrapText="1"/>
    </xf>
    <xf numFmtId="0" fontId="123" fillId="13" borderId="0" xfId="0" applyFont="1" applyFill="1" applyAlignment="1">
      <alignment vertical="center" wrapText="1"/>
    </xf>
    <xf numFmtId="37" fontId="123" fillId="13" borderId="0" xfId="0" applyNumberFormat="1" applyFont="1" applyFill="1" applyAlignment="1">
      <alignment horizontal="right" vertical="center" wrapText="1"/>
    </xf>
    <xf numFmtId="0" fontId="123" fillId="13" borderId="0" xfId="0" applyFont="1" applyFill="1" applyAlignment="1">
      <alignment horizontal="right" vertical="center" wrapText="1"/>
    </xf>
    <xf numFmtId="173" fontId="119" fillId="13" borderId="0" xfId="27" applyNumberFormat="1" applyFont="1" applyFill="1" applyBorder="1"/>
    <xf numFmtId="0" fontId="124" fillId="13" borderId="0" xfId="0" applyFont="1" applyFill="1" applyAlignment="1">
      <alignment vertical="center" wrapText="1"/>
    </xf>
    <xf numFmtId="0" fontId="124" fillId="13" borderId="0" xfId="0" applyFont="1" applyFill="1" applyAlignment="1">
      <alignment horizontal="right" vertical="center" wrapText="1"/>
    </xf>
    <xf numFmtId="0" fontId="123" fillId="13" borderId="0" xfId="0" applyFont="1" applyFill="1"/>
    <xf numFmtId="37" fontId="124" fillId="13" borderId="0" xfId="0" applyNumberFormat="1" applyFont="1" applyFill="1" applyAlignment="1">
      <alignment horizontal="right" vertical="center" wrapText="1"/>
    </xf>
    <xf numFmtId="37" fontId="120" fillId="13" borderId="0" xfId="8" applyNumberFormat="1" applyFont="1" applyFill="1" applyBorder="1" applyAlignment="1">
      <alignment horizontal="right"/>
    </xf>
    <xf numFmtId="164" fontId="123" fillId="13" borderId="0" xfId="1" applyNumberFormat="1" applyFont="1" applyFill="1" applyAlignment="1">
      <alignment horizontal="right" vertical="center" wrapText="1"/>
    </xf>
    <xf numFmtId="164" fontId="124" fillId="13" borderId="0" xfId="1" applyNumberFormat="1" applyFont="1" applyFill="1" applyAlignment="1">
      <alignment horizontal="right" vertical="center" wrapText="1"/>
    </xf>
    <xf numFmtId="37" fontId="77" fillId="13" borderId="0" xfId="0" applyNumberFormat="1" applyFont="1" applyFill="1"/>
    <xf numFmtId="37" fontId="120" fillId="13" borderId="0" xfId="8" applyNumberFormat="1" applyFont="1" applyFill="1" applyBorder="1"/>
    <xf numFmtId="170" fontId="120" fillId="13" borderId="0" xfId="8" applyFont="1" applyFill="1" applyBorder="1" applyAlignment="1">
      <alignment horizontal="right"/>
    </xf>
    <xf numFmtId="37" fontId="120" fillId="13" borderId="0" xfId="8" applyNumberFormat="1" applyFont="1" applyFill="1"/>
    <xf numFmtId="37" fontId="120" fillId="13" borderId="0" xfId="8" applyNumberFormat="1" applyFont="1" applyFill="1" applyAlignment="1">
      <alignment horizontal="right"/>
    </xf>
    <xf numFmtId="168" fontId="120" fillId="0" borderId="0" xfId="26" applyNumberFormat="1" applyFont="1"/>
    <xf numFmtId="173" fontId="120" fillId="0" borderId="0" xfId="27" applyNumberFormat="1" applyFont="1" applyFill="1" applyBorder="1"/>
    <xf numFmtId="37" fontId="120" fillId="0" borderId="0" xfId="8" applyNumberFormat="1" applyFont="1" applyFill="1" applyBorder="1" applyAlignment="1">
      <alignment horizontal="right"/>
    </xf>
    <xf numFmtId="0" fontId="77" fillId="3" borderId="0" xfId="0" applyFont="1" applyFill="1"/>
    <xf numFmtId="37" fontId="120" fillId="0" borderId="0" xfId="8" applyNumberFormat="1" applyFont="1" applyFill="1"/>
    <xf numFmtId="0" fontId="122" fillId="3" borderId="1" xfId="0" applyFont="1" applyFill="1" applyBorder="1"/>
    <xf numFmtId="43" fontId="77" fillId="3" borderId="1" xfId="1" applyFont="1" applyFill="1" applyBorder="1"/>
    <xf numFmtId="43" fontId="77" fillId="0" borderId="1" xfId="1" applyFont="1" applyFill="1" applyBorder="1"/>
    <xf numFmtId="43" fontId="77" fillId="0" borderId="1" xfId="0" applyNumberFormat="1" applyFont="1" applyBorder="1"/>
    <xf numFmtId="43" fontId="77" fillId="3" borderId="1" xfId="0" applyNumberFormat="1" applyFont="1" applyFill="1" applyBorder="1"/>
    <xf numFmtId="43" fontId="122" fillId="3" borderId="1" xfId="1" applyFont="1" applyFill="1" applyBorder="1"/>
    <xf numFmtId="43" fontId="122" fillId="3" borderId="1" xfId="0" applyNumberFormat="1" applyFont="1" applyFill="1" applyBorder="1"/>
    <xf numFmtId="0" fontId="77" fillId="0" borderId="1" xfId="0" applyFont="1" applyBorder="1"/>
    <xf numFmtId="0" fontId="77" fillId="3" borderId="1" xfId="0" applyFont="1" applyFill="1" applyBorder="1"/>
    <xf numFmtId="168" fontId="120" fillId="3" borderId="0" xfId="26" applyNumberFormat="1" applyFont="1" applyFill="1"/>
    <xf numFmtId="173" fontId="120" fillId="0" borderId="0" xfId="27" applyNumberFormat="1" applyFont="1" applyFill="1"/>
    <xf numFmtId="37" fontId="120" fillId="0" borderId="0" xfId="8" applyNumberFormat="1" applyFont="1" applyFill="1" applyAlignment="1">
      <alignment horizontal="right"/>
    </xf>
    <xf numFmtId="168" fontId="125" fillId="0" borderId="0" xfId="26" applyNumberFormat="1" applyFont="1"/>
    <xf numFmtId="9" fontId="119" fillId="0" borderId="0" xfId="2" applyFont="1" applyFill="1"/>
    <xf numFmtId="9" fontId="120" fillId="0" borderId="0" xfId="2" applyFont="1" applyFill="1"/>
    <xf numFmtId="173" fontId="119" fillId="0" borderId="0" xfId="28" applyNumberFormat="1" applyFont="1" applyFill="1"/>
    <xf numFmtId="186" fontId="120" fillId="0" borderId="0" xfId="29" applyFont="1"/>
    <xf numFmtId="168" fontId="119" fillId="0" borderId="0" xfId="26" applyNumberFormat="1" applyFont="1"/>
    <xf numFmtId="164" fontId="120" fillId="0" borderId="0" xfId="8" applyNumberFormat="1" applyFont="1" applyFill="1"/>
    <xf numFmtId="186" fontId="126" fillId="0" borderId="0" xfId="30" applyFont="1"/>
    <xf numFmtId="187" fontId="127" fillId="0" borderId="6" xfId="31" applyNumberFormat="1" applyFont="1" applyFill="1" applyBorder="1"/>
    <xf numFmtId="187" fontId="127" fillId="0" borderId="5" xfId="31" applyNumberFormat="1" applyFont="1" applyFill="1" applyBorder="1"/>
    <xf numFmtId="187" fontId="126" fillId="0" borderId="9" xfId="31" applyNumberFormat="1" applyFont="1" applyFill="1" applyBorder="1"/>
    <xf numFmtId="187" fontId="126" fillId="0" borderId="7" xfId="31" applyNumberFormat="1" applyFont="1" applyFill="1" applyBorder="1"/>
    <xf numFmtId="187" fontId="126" fillId="0" borderId="0" xfId="31" applyNumberFormat="1" applyFont="1" applyFill="1"/>
    <xf numFmtId="187" fontId="126" fillId="0" borderId="10" xfId="31" applyNumberFormat="1" applyFont="1" applyFill="1" applyBorder="1"/>
    <xf numFmtId="173" fontId="126" fillId="0" borderId="0" xfId="31" applyNumberFormat="1" applyFont="1" applyFill="1" applyAlignment="1">
      <alignment horizontal="right"/>
    </xf>
    <xf numFmtId="187" fontId="126" fillId="0" borderId="12" xfId="31" applyNumberFormat="1" applyFont="1" applyFill="1" applyBorder="1"/>
    <xf numFmtId="187" fontId="126" fillId="0" borderId="4" xfId="31" applyNumberFormat="1" applyFont="1" applyFill="1" applyBorder="1"/>
    <xf numFmtId="164" fontId="119" fillId="0" borderId="0" xfId="26" applyFont="1"/>
    <xf numFmtId="187" fontId="127" fillId="0" borderId="10" xfId="31" applyNumberFormat="1" applyFont="1" applyFill="1" applyBorder="1"/>
    <xf numFmtId="186" fontId="126" fillId="0" borderId="12" xfId="30" applyFont="1" applyBorder="1"/>
    <xf numFmtId="186" fontId="126" fillId="0" borderId="4" xfId="30" applyFont="1" applyBorder="1"/>
    <xf numFmtId="186" fontId="126" fillId="0" borderId="17" xfId="30" applyFont="1" applyBorder="1"/>
    <xf numFmtId="168" fontId="119" fillId="0" borderId="11" xfId="26" applyNumberFormat="1" applyFont="1" applyBorder="1"/>
    <xf numFmtId="168" fontId="120" fillId="0" borderId="11" xfId="26" applyNumberFormat="1" applyFont="1" applyBorder="1"/>
    <xf numFmtId="168" fontId="119" fillId="0" borderId="1" xfId="26" applyNumberFormat="1" applyFont="1" applyBorder="1"/>
    <xf numFmtId="164" fontId="120" fillId="0" borderId="0" xfId="26" applyFont="1"/>
    <xf numFmtId="168" fontId="120" fillId="0" borderId="6" xfId="26" applyNumberFormat="1" applyFont="1" applyBorder="1"/>
    <xf numFmtId="168" fontId="120" fillId="0" borderId="9" xfId="26" applyNumberFormat="1" applyFont="1" applyBorder="1"/>
    <xf numFmtId="168" fontId="120" fillId="0" borderId="20" xfId="26" applyNumberFormat="1" applyFont="1" applyBorder="1"/>
    <xf numFmtId="168" fontId="120" fillId="0" borderId="1" xfId="26" applyNumberFormat="1" applyFont="1" applyBorder="1"/>
    <xf numFmtId="164" fontId="120" fillId="0" borderId="12" xfId="8" applyNumberFormat="1" applyFont="1" applyFill="1" applyBorder="1"/>
    <xf numFmtId="168" fontId="120" fillId="0" borderId="17" xfId="26" applyNumberFormat="1" applyFont="1" applyBorder="1"/>
    <xf numFmtId="164" fontId="120" fillId="0" borderId="20" xfId="8" applyNumberFormat="1" applyFont="1" applyFill="1" applyBorder="1"/>
    <xf numFmtId="164" fontId="120" fillId="0" borderId="1" xfId="8" applyNumberFormat="1" applyFont="1" applyFill="1" applyBorder="1"/>
    <xf numFmtId="164" fontId="9" fillId="0" borderId="0" xfId="1" applyNumberFormat="1" applyFont="1" applyFill="1" applyBorder="1" applyAlignment="1">
      <alignment horizontal="center" vertical="center" wrapText="1"/>
    </xf>
    <xf numFmtId="164" fontId="10" fillId="0" borderId="0" xfId="1" applyNumberFormat="1" applyFont="1" applyFill="1" applyBorder="1" applyAlignment="1">
      <alignment horizontal="center"/>
    </xf>
    <xf numFmtId="164" fontId="9" fillId="0" borderId="0" xfId="1" applyNumberFormat="1" applyFont="1" applyFill="1" applyBorder="1" applyAlignment="1">
      <alignment horizontal="right"/>
    </xf>
    <xf numFmtId="164" fontId="9" fillId="0" borderId="0" xfId="1" applyNumberFormat="1" applyFont="1" applyFill="1" applyBorder="1" applyAlignment="1">
      <alignment vertical="center"/>
    </xf>
    <xf numFmtId="167" fontId="9" fillId="0" borderId="0" xfId="0" applyNumberFormat="1" applyFont="1" applyAlignment="1">
      <alignment horizontal="center" vertical="center" wrapText="1"/>
    </xf>
    <xf numFmtId="43" fontId="10" fillId="0" borderId="0" xfId="1" applyFont="1" applyFill="1" applyBorder="1" applyAlignment="1">
      <alignment horizontal="right"/>
    </xf>
    <xf numFmtId="168" fontId="9" fillId="0" borderId="0" xfId="4" applyNumberFormat="1" applyFont="1" applyAlignment="1">
      <alignment horizontal="center" vertical="center"/>
    </xf>
    <xf numFmtId="164" fontId="12" fillId="0" borderId="0" xfId="1" applyNumberFormat="1" applyFont="1" applyFill="1" applyBorder="1" applyAlignment="1"/>
    <xf numFmtId="164" fontId="9" fillId="0" borderId="0" xfId="1" applyNumberFormat="1" applyFont="1" applyFill="1" applyBorder="1"/>
    <xf numFmtId="164" fontId="10" fillId="0" borderId="0" xfId="1" applyNumberFormat="1" applyFont="1" applyFill="1" applyBorder="1" applyAlignment="1">
      <alignment horizontal="right" vertical="top" wrapText="1"/>
    </xf>
    <xf numFmtId="168" fontId="9" fillId="0" borderId="0" xfId="4" applyNumberFormat="1" applyFont="1" applyAlignment="1">
      <alignment horizontal="center" vertical="center" wrapText="1"/>
    </xf>
    <xf numFmtId="164" fontId="10" fillId="0" borderId="0" xfId="1" applyNumberFormat="1" applyFont="1" applyFill="1" applyBorder="1" applyAlignment="1">
      <alignment vertical="center"/>
    </xf>
    <xf numFmtId="0" fontId="0" fillId="0" borderId="0" xfId="0" applyAlignment="1">
      <alignment horizontal="center" vertical="center" wrapText="1"/>
    </xf>
    <xf numFmtId="164" fontId="10" fillId="0" borderId="0" xfId="1" applyNumberFormat="1" applyFont="1" applyFill="1" applyBorder="1" applyAlignment="1">
      <alignment horizontal="left" wrapText="1"/>
    </xf>
    <xf numFmtId="14" fontId="9" fillId="0" borderId="0" xfId="4" applyNumberFormat="1" applyFont="1" applyAlignment="1">
      <alignment horizontal="center"/>
    </xf>
    <xf numFmtId="164" fontId="9" fillId="0" borderId="0" xfId="1" applyNumberFormat="1" applyFont="1" applyFill="1" applyBorder="1" applyAlignment="1">
      <alignment horizontal="center" vertical="center"/>
    </xf>
    <xf numFmtId="10" fontId="10" fillId="0" borderId="0" xfId="2" applyNumberFormat="1" applyFont="1" applyFill="1" applyBorder="1" applyAlignment="1"/>
    <xf numFmtId="179" fontId="10" fillId="0" borderId="0" xfId="2" applyNumberFormat="1" applyFont="1" applyFill="1" applyBorder="1" applyAlignment="1"/>
    <xf numFmtId="164" fontId="9" fillId="3" borderId="0" xfId="1" applyNumberFormat="1" applyFont="1" applyFill="1" applyBorder="1" applyAlignment="1">
      <alignment horizontal="center" vertical="center" wrapText="1"/>
    </xf>
    <xf numFmtId="164" fontId="9" fillId="3" borderId="0" xfId="1" applyNumberFormat="1" applyFont="1" applyFill="1" applyBorder="1" applyAlignment="1">
      <alignment horizontal="left" vertical="top"/>
    </xf>
    <xf numFmtId="164" fontId="10" fillId="3" borderId="0" xfId="1" applyNumberFormat="1" applyFont="1" applyFill="1" applyBorder="1" applyAlignment="1">
      <alignment horizontal="left"/>
    </xf>
    <xf numFmtId="164" fontId="9" fillId="3" borderId="0" xfId="1" applyNumberFormat="1" applyFont="1" applyFill="1" applyBorder="1" applyAlignment="1">
      <alignment horizontal="left" vertical="center" wrapText="1"/>
    </xf>
    <xf numFmtId="43" fontId="10" fillId="0" borderId="0" xfId="1" applyFont="1" applyFill="1" applyBorder="1" applyAlignment="1">
      <alignment horizontal="center"/>
    </xf>
    <xf numFmtId="164" fontId="9" fillId="0" borderId="0" xfId="1" applyNumberFormat="1" applyFont="1" applyFill="1" applyBorder="1" applyAlignment="1">
      <alignment horizontal="left" wrapText="1"/>
    </xf>
    <xf numFmtId="9" fontId="10" fillId="0" borderId="0" xfId="2" applyFont="1" applyFill="1" applyBorder="1" applyAlignment="1">
      <alignment horizontal="right"/>
    </xf>
    <xf numFmtId="164" fontId="10" fillId="0" borderId="0" xfId="1" applyNumberFormat="1" applyFont="1" applyFill="1" applyBorder="1" applyAlignment="1">
      <alignment vertical="top" wrapText="1"/>
    </xf>
    <xf numFmtId="164" fontId="11" fillId="0" borderId="0" xfId="1" applyNumberFormat="1" applyFont="1" applyFill="1" applyBorder="1" applyAlignment="1">
      <alignment horizontal="left" vertical="top"/>
    </xf>
    <xf numFmtId="164" fontId="9" fillId="0" borderId="0" xfId="1" applyNumberFormat="1" applyFont="1" applyFill="1" applyBorder="1" applyAlignment="1">
      <alignment vertical="top"/>
    </xf>
    <xf numFmtId="10" fontId="10" fillId="0" borderId="0" xfId="2" applyNumberFormat="1" applyFont="1" applyFill="1" applyBorder="1" applyAlignment="1">
      <alignment horizontal="right"/>
    </xf>
    <xf numFmtId="168" fontId="9" fillId="3" borderId="0" xfId="4" applyNumberFormat="1" applyFont="1" applyFill="1" applyAlignment="1">
      <alignment horizontal="center"/>
    </xf>
    <xf numFmtId="164" fontId="9" fillId="3" borderId="0" xfId="1" applyNumberFormat="1" applyFont="1" applyFill="1" applyBorder="1" applyAlignment="1">
      <alignment horizontal="center"/>
    </xf>
    <xf numFmtId="164" fontId="10" fillId="0" borderId="0" xfId="1" applyNumberFormat="1" applyFont="1" applyFill="1" applyBorder="1" applyAlignment="1">
      <alignment horizontal="left" vertical="center" wrapText="1"/>
    </xf>
    <xf numFmtId="169" fontId="9" fillId="0" borderId="0" xfId="1" applyNumberFormat="1" applyFont="1" applyFill="1" applyBorder="1" applyAlignment="1">
      <alignment horizontal="center" vertical="top" wrapText="1"/>
    </xf>
    <xf numFmtId="169" fontId="10" fillId="0" borderId="0" xfId="1" applyNumberFormat="1" applyFont="1" applyFill="1" applyBorder="1" applyAlignment="1">
      <alignment horizontal="right"/>
    </xf>
    <xf numFmtId="164" fontId="10" fillId="0" borderId="0" xfId="1" applyNumberFormat="1" applyFont="1" applyFill="1" applyBorder="1" applyAlignment="1">
      <alignment wrapText="1"/>
    </xf>
    <xf numFmtId="0" fontId="9" fillId="0" borderId="0" xfId="37" applyFont="1" applyAlignment="1">
      <alignment horizontal="center" vertical="center"/>
    </xf>
    <xf numFmtId="0" fontId="10" fillId="0" borderId="0" xfId="37" applyFont="1"/>
    <xf numFmtId="0" fontId="10" fillId="0" borderId="0" xfId="37" applyFont="1" applyAlignment="1">
      <alignment horizontal="center" vertical="center" wrapText="1"/>
    </xf>
    <xf numFmtId="0" fontId="10" fillId="0" borderId="0" xfId="37" applyFont="1" applyAlignment="1">
      <alignment vertical="top" wrapText="1"/>
    </xf>
    <xf numFmtId="168" fontId="58" fillId="0" borderId="99" xfId="16" applyNumberFormat="1" applyFont="1" applyBorder="1" applyAlignment="1">
      <alignment vertical="top"/>
    </xf>
    <xf numFmtId="168" fontId="58" fillId="0" borderId="91" xfId="16" applyNumberFormat="1" applyFont="1" applyBorder="1"/>
    <xf numFmtId="173" fontId="58" fillId="0" borderId="91" xfId="17" applyNumberFormat="1" applyFont="1" applyFill="1" applyBorder="1"/>
    <xf numFmtId="168" fontId="58" fillId="0" borderId="73" xfId="16" applyNumberFormat="1" applyFont="1" applyBorder="1" applyAlignment="1">
      <alignment horizontal="right" vertical="top" wrapText="1"/>
    </xf>
    <xf numFmtId="168" fontId="58" fillId="0" borderId="75" xfId="16" applyNumberFormat="1" applyFont="1" applyBorder="1" applyAlignment="1">
      <alignment vertical="top"/>
    </xf>
    <xf numFmtId="168" fontId="58" fillId="0" borderId="74" xfId="16" applyNumberFormat="1" applyFont="1" applyBorder="1"/>
    <xf numFmtId="173" fontId="58" fillId="0" borderId="74" xfId="17" applyNumberFormat="1" applyFont="1" applyFill="1" applyBorder="1"/>
    <xf numFmtId="173" fontId="58" fillId="0" borderId="76" xfId="17" applyNumberFormat="1" applyFont="1" applyFill="1" applyBorder="1"/>
    <xf numFmtId="168" fontId="58" fillId="0" borderId="76" xfId="16" applyNumberFormat="1" applyFont="1" applyBorder="1" applyAlignment="1">
      <alignment horizontal="right" vertical="top" wrapText="1"/>
    </xf>
    <xf numFmtId="168" fontId="60" fillId="0" borderId="74" xfId="16" applyNumberFormat="1" applyFont="1" applyBorder="1"/>
    <xf numFmtId="0" fontId="76" fillId="13" borderId="0" xfId="0" applyFont="1" applyFill="1"/>
    <xf numFmtId="164" fontId="10" fillId="0" borderId="0" xfId="4" applyFont="1" applyAlignment="1">
      <alignment horizontal="center"/>
    </xf>
    <xf numFmtId="167" fontId="9" fillId="0" borderId="42" xfId="3" applyNumberFormat="1" applyFont="1" applyFill="1" applyBorder="1" applyAlignment="1">
      <alignment horizontal="center"/>
    </xf>
    <xf numFmtId="191" fontId="9" fillId="0" borderId="14" xfId="1" applyNumberFormat="1" applyFont="1" applyFill="1" applyBorder="1" applyAlignment="1">
      <alignment horizontal="center"/>
    </xf>
    <xf numFmtId="191" fontId="10" fillId="0" borderId="14" xfId="1" applyNumberFormat="1" applyFont="1" applyFill="1" applyBorder="1" applyAlignment="1">
      <alignment horizontal="right"/>
    </xf>
    <xf numFmtId="191" fontId="9" fillId="0" borderId="14" xfId="1" applyNumberFormat="1" applyFont="1" applyFill="1" applyBorder="1" applyAlignment="1">
      <alignment horizontal="right"/>
    </xf>
    <xf numFmtId="191" fontId="9" fillId="0" borderId="73" xfId="1" applyNumberFormat="1" applyFont="1" applyFill="1" applyBorder="1" applyAlignment="1">
      <alignment horizontal="right"/>
    </xf>
    <xf numFmtId="191" fontId="9" fillId="0" borderId="10" xfId="1" applyNumberFormat="1" applyFont="1" applyFill="1" applyBorder="1" applyAlignment="1">
      <alignment horizontal="center"/>
    </xf>
    <xf numFmtId="191" fontId="10" fillId="0" borderId="14" xfId="1" applyNumberFormat="1" applyFont="1" applyFill="1" applyBorder="1" applyAlignment="1">
      <alignment vertical="center" wrapText="1"/>
    </xf>
    <xf numFmtId="191" fontId="9" fillId="0" borderId="63" xfId="1" applyNumberFormat="1" applyFont="1" applyFill="1" applyBorder="1" applyAlignment="1">
      <alignment horizontal="center"/>
    </xf>
    <xf numFmtId="191" fontId="9" fillId="0" borderId="100" xfId="1" applyNumberFormat="1" applyFont="1" applyFill="1" applyBorder="1" applyAlignment="1">
      <alignment horizontal="right"/>
    </xf>
    <xf numFmtId="191" fontId="9" fillId="0" borderId="63" xfId="1" applyNumberFormat="1" applyFont="1" applyFill="1" applyBorder="1" applyAlignment="1">
      <alignment horizontal="right"/>
    </xf>
    <xf numFmtId="191" fontId="10" fillId="0" borderId="63" xfId="1" applyNumberFormat="1" applyFont="1" applyFill="1" applyBorder="1" applyAlignment="1">
      <alignment horizontal="right"/>
    </xf>
    <xf numFmtId="191" fontId="9" fillId="0" borderId="43" xfId="1" applyNumberFormat="1" applyFont="1" applyFill="1" applyBorder="1" applyAlignment="1">
      <alignment horizontal="center"/>
    </xf>
    <xf numFmtId="191" fontId="10" fillId="0" borderId="63" xfId="1" applyNumberFormat="1" applyFont="1" applyFill="1" applyBorder="1" applyAlignment="1">
      <alignment vertical="center" wrapText="1"/>
    </xf>
    <xf numFmtId="191" fontId="10" fillId="0" borderId="7" xfId="1" applyNumberFormat="1" applyFont="1" applyFill="1" applyBorder="1" applyAlignment="1">
      <alignment horizontal="right"/>
    </xf>
    <xf numFmtId="191" fontId="9" fillId="0" borderId="13" xfId="1" applyNumberFormat="1" applyFont="1" applyFill="1" applyBorder="1" applyAlignment="1">
      <alignment horizontal="right"/>
    </xf>
    <xf numFmtId="191" fontId="9" fillId="0" borderId="35" xfId="1" applyNumberFormat="1" applyFont="1" applyFill="1" applyBorder="1" applyAlignment="1">
      <alignment horizontal="right"/>
    </xf>
    <xf numFmtId="191" fontId="9" fillId="0" borderId="99" xfId="1" applyNumberFormat="1" applyFont="1" applyFill="1" applyBorder="1" applyAlignment="1">
      <alignment horizontal="right"/>
    </xf>
    <xf numFmtId="191" fontId="9" fillId="0" borderId="19" xfId="1" applyNumberFormat="1" applyFont="1" applyFill="1" applyBorder="1" applyAlignment="1">
      <alignment horizontal="right"/>
    </xf>
    <xf numFmtId="191" fontId="9" fillId="0" borderId="96" xfId="1" applyNumberFormat="1" applyFont="1" applyFill="1" applyBorder="1" applyAlignment="1">
      <alignment horizontal="right"/>
    </xf>
    <xf numFmtId="191" fontId="9" fillId="0" borderId="7" xfId="1" applyNumberFormat="1" applyFont="1" applyFill="1" applyBorder="1" applyAlignment="1">
      <alignment horizontal="right"/>
    </xf>
    <xf numFmtId="191" fontId="10" fillId="0" borderId="13" xfId="1" applyNumberFormat="1" applyFont="1" applyFill="1" applyBorder="1" applyAlignment="1">
      <alignment horizontal="right"/>
    </xf>
    <xf numFmtId="191" fontId="10" fillId="0" borderId="35" xfId="1" applyNumberFormat="1" applyFont="1" applyFill="1" applyBorder="1" applyAlignment="1">
      <alignment horizontal="right"/>
    </xf>
    <xf numFmtId="191" fontId="9" fillId="0" borderId="16" xfId="1" applyNumberFormat="1" applyFont="1" applyFill="1" applyBorder="1" applyAlignment="1">
      <alignment horizontal="right"/>
    </xf>
    <xf numFmtId="43" fontId="10" fillId="0" borderId="35" xfId="1" applyFont="1" applyFill="1" applyBorder="1" applyAlignment="1">
      <alignment horizontal="right"/>
    </xf>
    <xf numFmtId="191" fontId="10" fillId="0" borderId="14" xfId="1" applyNumberFormat="1" applyFont="1" applyFill="1" applyBorder="1"/>
    <xf numFmtId="191" fontId="10" fillId="0" borderId="63" xfId="1" applyNumberFormat="1" applyFont="1" applyFill="1" applyBorder="1"/>
    <xf numFmtId="191" fontId="10" fillId="0" borderId="14" xfId="1" applyNumberFormat="1" applyFont="1" applyFill="1" applyBorder="1" applyAlignment="1"/>
    <xf numFmtId="191" fontId="10" fillId="0" borderId="63" xfId="1" applyNumberFormat="1" applyFont="1" applyFill="1" applyBorder="1" applyAlignment="1"/>
    <xf numFmtId="191" fontId="9" fillId="0" borderId="16" xfId="1" applyNumberFormat="1" applyFont="1" applyFill="1" applyBorder="1"/>
    <xf numFmtId="191" fontId="9" fillId="0" borderId="96" xfId="1" applyNumberFormat="1" applyFont="1" applyFill="1" applyBorder="1"/>
    <xf numFmtId="191" fontId="10" fillId="0" borderId="7" xfId="1" applyNumberFormat="1" applyFont="1" applyFill="1" applyBorder="1"/>
    <xf numFmtId="191" fontId="10" fillId="0" borderId="76" xfId="1" applyNumberFormat="1" applyFont="1" applyFill="1" applyBorder="1"/>
    <xf numFmtId="191" fontId="10" fillId="0" borderId="80" xfId="1" applyNumberFormat="1" applyFont="1" applyFill="1" applyBorder="1"/>
    <xf numFmtId="191" fontId="9" fillId="0" borderId="73" xfId="1" applyNumberFormat="1" applyFont="1" applyFill="1" applyBorder="1"/>
    <xf numFmtId="191" fontId="9" fillId="0" borderId="100" xfId="1" applyNumberFormat="1" applyFont="1" applyFill="1" applyBorder="1"/>
    <xf numFmtId="191" fontId="9" fillId="0" borderId="14" xfId="1" applyNumberFormat="1" applyFont="1" applyFill="1" applyBorder="1"/>
    <xf numFmtId="191" fontId="9" fillId="0" borderId="63" xfId="1" applyNumberFormat="1" applyFont="1" applyFill="1" applyBorder="1"/>
    <xf numFmtId="191" fontId="10" fillId="0" borderId="13" xfId="1" applyNumberFormat="1" applyFont="1" applyFill="1" applyBorder="1"/>
    <xf numFmtId="191" fontId="10" fillId="0" borderId="35" xfId="1" applyNumberFormat="1" applyFont="1" applyFill="1" applyBorder="1"/>
    <xf numFmtId="191" fontId="10" fillId="0" borderId="73" xfId="1" applyNumberFormat="1" applyFont="1" applyFill="1" applyBorder="1"/>
    <xf numFmtId="191" fontId="10" fillId="0" borderId="100" xfId="1" applyNumberFormat="1" applyFont="1" applyFill="1" applyBorder="1"/>
    <xf numFmtId="191" fontId="10" fillId="0" borderId="14" xfId="1" applyNumberFormat="1" applyFont="1" applyFill="1" applyBorder="1" applyAlignment="1">
      <alignment horizontal="justify" vertical="top" wrapText="1"/>
    </xf>
    <xf numFmtId="191" fontId="10" fillId="0" borderId="63" xfId="1" applyNumberFormat="1" applyFont="1" applyFill="1" applyBorder="1" applyAlignment="1">
      <alignment horizontal="justify" vertical="top" wrapText="1"/>
    </xf>
    <xf numFmtId="191" fontId="10" fillId="0" borderId="14" xfId="1" applyNumberFormat="1" applyFont="1" applyFill="1" applyBorder="1" applyAlignment="1">
      <alignment horizontal="right" vertical="top" wrapText="1"/>
    </xf>
    <xf numFmtId="191" fontId="10" fillId="0" borderId="63" xfId="1" applyNumberFormat="1" applyFont="1" applyFill="1" applyBorder="1" applyAlignment="1">
      <alignment horizontal="right" vertical="top" wrapText="1"/>
    </xf>
    <xf numFmtId="191" fontId="10" fillId="0" borderId="7" xfId="1" applyNumberFormat="1" applyFont="1" applyFill="1" applyBorder="1" applyAlignment="1"/>
    <xf numFmtId="191" fontId="10" fillId="0" borderId="7" xfId="1" applyNumberFormat="1" applyFont="1" applyFill="1" applyBorder="1" applyAlignment="1">
      <alignment horizontal="right" vertical="top" wrapText="1"/>
    </xf>
    <xf numFmtId="191" fontId="10" fillId="0" borderId="14" xfId="1" applyNumberFormat="1" applyFont="1" applyFill="1" applyBorder="1" applyAlignment="1">
      <alignment horizontal="left" vertical="top" wrapText="1"/>
    </xf>
    <xf numFmtId="191" fontId="10" fillId="0" borderId="63" xfId="1" applyNumberFormat="1" applyFont="1" applyFill="1" applyBorder="1" applyAlignment="1">
      <alignment horizontal="left" vertical="top" wrapText="1"/>
    </xf>
    <xf numFmtId="191" fontId="10" fillId="0" borderId="73" xfId="1" applyNumberFormat="1" applyFont="1" applyFill="1" applyBorder="1" applyAlignment="1">
      <alignment vertical="center"/>
    </xf>
    <xf numFmtId="191" fontId="9" fillId="0" borderId="7" xfId="1" applyNumberFormat="1" applyFont="1" applyFill="1" applyBorder="1" applyAlignment="1">
      <alignment horizontal="justify" vertical="top" wrapText="1"/>
    </xf>
    <xf numFmtId="191" fontId="9" fillId="0" borderId="63" xfId="1" applyNumberFormat="1" applyFont="1" applyFill="1" applyBorder="1" applyAlignment="1">
      <alignment horizontal="justify" vertical="top" wrapText="1"/>
    </xf>
    <xf numFmtId="191" fontId="9" fillId="0" borderId="7" xfId="1" applyNumberFormat="1" applyFont="1" applyFill="1" applyBorder="1" applyAlignment="1"/>
    <xf numFmtId="191" fontId="9" fillId="0" borderId="63" xfId="1" applyNumberFormat="1" applyFont="1" applyFill="1" applyBorder="1" applyAlignment="1"/>
    <xf numFmtId="191" fontId="0" fillId="0" borderId="0" xfId="0" applyNumberFormat="1"/>
    <xf numFmtId="191" fontId="0" fillId="0" borderId="43" xfId="0" applyNumberFormat="1" applyBorder="1"/>
    <xf numFmtId="191" fontId="9" fillId="0" borderId="76" xfId="1" applyNumberFormat="1" applyFont="1" applyFill="1" applyBorder="1" applyAlignment="1">
      <alignment horizontal="center" vertical="center" wrapText="1"/>
    </xf>
    <xf numFmtId="191" fontId="9" fillId="0" borderId="80" xfId="1" applyNumberFormat="1" applyFont="1" applyFill="1" applyBorder="1" applyAlignment="1">
      <alignment horizontal="center" vertical="center" wrapText="1"/>
    </xf>
    <xf numFmtId="191" fontId="9" fillId="0" borderId="13" xfId="1" applyNumberFormat="1" applyFont="1" applyFill="1" applyBorder="1" applyAlignment="1">
      <alignment horizontal="center" vertical="center" wrapText="1"/>
    </xf>
    <xf numFmtId="191" fontId="9" fillId="0" borderId="35" xfId="1" applyNumberFormat="1" applyFont="1" applyFill="1" applyBorder="1" applyAlignment="1">
      <alignment horizontal="center" vertical="center" wrapText="1"/>
    </xf>
    <xf numFmtId="191" fontId="9" fillId="0" borderId="14" xfId="1" applyNumberFormat="1" applyFont="1" applyFill="1" applyBorder="1" applyAlignment="1">
      <alignment horizontal="center" vertical="center" wrapText="1"/>
    </xf>
    <xf numFmtId="191" fontId="9" fillId="0" borderId="63" xfId="1" applyNumberFormat="1" applyFont="1" applyFill="1" applyBorder="1" applyAlignment="1">
      <alignment horizontal="center" vertical="center" wrapText="1"/>
    </xf>
    <xf numFmtId="191" fontId="9" fillId="0" borderId="14" xfId="1" applyNumberFormat="1" applyFont="1" applyFill="1" applyBorder="1" applyAlignment="1"/>
    <xf numFmtId="191" fontId="9" fillId="0" borderId="16" xfId="1" applyNumberFormat="1" applyFont="1" applyFill="1" applyBorder="1" applyAlignment="1"/>
    <xf numFmtId="191" fontId="9" fillId="0" borderId="96" xfId="1" applyNumberFormat="1" applyFont="1" applyFill="1" applyBorder="1" applyAlignment="1"/>
    <xf numFmtId="191" fontId="10" fillId="0" borderId="14" xfId="1" applyNumberFormat="1" applyFont="1" applyFill="1" applyBorder="1" applyAlignment="1">
      <alignment horizontal="left" wrapText="1"/>
    </xf>
    <xf numFmtId="191" fontId="10" fillId="0" borderId="63" xfId="1" applyNumberFormat="1" applyFont="1" applyFill="1" applyBorder="1" applyAlignment="1">
      <alignment horizontal="left" wrapText="1"/>
    </xf>
    <xf numFmtId="191" fontId="9" fillId="0" borderId="13" xfId="1" applyNumberFormat="1" applyFont="1" applyFill="1" applyBorder="1" applyAlignment="1">
      <alignment horizontal="center"/>
    </xf>
    <xf numFmtId="191" fontId="9" fillId="0" borderId="35" xfId="1" applyNumberFormat="1" applyFont="1" applyFill="1" applyBorder="1" applyAlignment="1">
      <alignment horizontal="center"/>
    </xf>
    <xf numFmtId="191" fontId="9" fillId="0" borderId="73" xfId="1" applyNumberFormat="1" applyFont="1" applyFill="1" applyBorder="1" applyAlignment="1"/>
    <xf numFmtId="191" fontId="9" fillId="0" borderId="100" xfId="1" applyNumberFormat="1" applyFont="1" applyFill="1" applyBorder="1" applyAlignment="1"/>
    <xf numFmtId="191" fontId="10" fillId="0" borderId="13" xfId="1" applyNumberFormat="1" applyFont="1" applyFill="1" applyBorder="1" applyAlignment="1">
      <alignment horizontal="right" vertical="top" wrapText="1"/>
    </xf>
    <xf numFmtId="191" fontId="10" fillId="0" borderId="35" xfId="1" applyNumberFormat="1" applyFont="1" applyFill="1" applyBorder="1" applyAlignment="1">
      <alignment horizontal="right" vertical="top" wrapText="1"/>
    </xf>
    <xf numFmtId="191" fontId="10" fillId="0" borderId="77" xfId="1" applyNumberFormat="1" applyFont="1" applyFill="1" applyBorder="1" applyAlignment="1">
      <alignment vertical="center"/>
    </xf>
    <xf numFmtId="191" fontId="9" fillId="0" borderId="76" xfId="1" applyNumberFormat="1" applyFont="1" applyFill="1" applyBorder="1" applyAlignment="1">
      <alignment horizontal="right"/>
    </xf>
    <xf numFmtId="191" fontId="9" fillId="0" borderId="80" xfId="1" applyNumberFormat="1" applyFont="1" applyFill="1" applyBorder="1" applyAlignment="1">
      <alignment horizontal="right"/>
    </xf>
    <xf numFmtId="191" fontId="9" fillId="0" borderId="76" xfId="1" applyNumberFormat="1" applyFont="1" applyFill="1" applyBorder="1" applyAlignment="1">
      <alignment horizontal="right" vertical="center" wrapText="1"/>
    </xf>
    <xf numFmtId="191" fontId="9" fillId="0" borderId="80" xfId="1" applyNumberFormat="1" applyFont="1" applyFill="1" applyBorder="1" applyAlignment="1">
      <alignment horizontal="right" vertical="center" wrapText="1"/>
    </xf>
    <xf numFmtId="191" fontId="9" fillId="0" borderId="13" xfId="1" applyNumberFormat="1" applyFont="1" applyFill="1" applyBorder="1" applyAlignment="1">
      <alignment horizontal="right" vertical="center" wrapText="1"/>
    </xf>
    <xf numFmtId="191" fontId="9" fillId="0" borderId="35" xfId="1" applyNumberFormat="1" applyFont="1" applyFill="1" applyBorder="1" applyAlignment="1">
      <alignment horizontal="right" vertical="center" wrapText="1"/>
    </xf>
    <xf numFmtId="191" fontId="9" fillId="0" borderId="14" xfId="1" applyNumberFormat="1" applyFont="1" applyFill="1" applyBorder="1" applyAlignment="1">
      <alignment horizontal="right" vertical="center" wrapText="1"/>
    </xf>
    <xf numFmtId="191" fontId="9" fillId="0" borderId="63" xfId="1" applyNumberFormat="1" applyFont="1" applyFill="1" applyBorder="1" applyAlignment="1">
      <alignment horizontal="right" vertical="center" wrapText="1"/>
    </xf>
    <xf numFmtId="191" fontId="10" fillId="0" borderId="10" xfId="1" applyNumberFormat="1" applyFont="1" applyFill="1" applyBorder="1" applyAlignment="1"/>
    <xf numFmtId="191" fontId="10" fillId="0" borderId="43" xfId="1" applyNumberFormat="1" applyFont="1" applyFill="1" applyBorder="1" applyAlignment="1"/>
    <xf numFmtId="191" fontId="10" fillId="0" borderId="14" xfId="1" applyNumberFormat="1" applyFont="1" applyFill="1" applyBorder="1" applyAlignment="1">
      <alignment vertical="top"/>
    </xf>
    <xf numFmtId="191" fontId="10" fillId="0" borderId="63" xfId="1" applyNumberFormat="1" applyFont="1" applyFill="1" applyBorder="1" applyAlignment="1">
      <alignment vertical="top"/>
    </xf>
    <xf numFmtId="191" fontId="9" fillId="0" borderId="73" xfId="1" applyNumberFormat="1" applyFont="1" applyFill="1" applyBorder="1" applyAlignment="1">
      <alignment vertical="top"/>
    </xf>
    <xf numFmtId="191" fontId="9" fillId="0" borderId="100" xfId="1" applyNumberFormat="1" applyFont="1" applyFill="1" applyBorder="1" applyAlignment="1">
      <alignment vertical="top"/>
    </xf>
    <xf numFmtId="191" fontId="9" fillId="0" borderId="13" xfId="1" applyNumberFormat="1" applyFont="1" applyFill="1" applyBorder="1" applyAlignment="1"/>
    <xf numFmtId="191" fontId="9" fillId="0" borderId="35" xfId="1" applyNumberFormat="1" applyFont="1" applyFill="1" applyBorder="1" applyAlignment="1"/>
    <xf numFmtId="191" fontId="10" fillId="0" borderId="85" xfId="1" applyNumberFormat="1" applyFont="1" applyFill="1" applyBorder="1" applyAlignment="1"/>
    <xf numFmtId="191" fontId="10" fillId="0" borderId="86" xfId="1" applyNumberFormat="1" applyFont="1" applyFill="1" applyBorder="1" applyAlignment="1"/>
    <xf numFmtId="191" fontId="10" fillId="0" borderId="17" xfId="1" applyNumberFormat="1" applyFont="1" applyFill="1" applyBorder="1" applyAlignment="1"/>
    <xf numFmtId="191" fontId="10" fillId="0" borderId="62" xfId="1" applyNumberFormat="1" applyFont="1" applyFill="1" applyBorder="1" applyAlignment="1"/>
    <xf numFmtId="191" fontId="10" fillId="0" borderId="83" xfId="1" applyNumberFormat="1" applyFont="1" applyFill="1" applyBorder="1" applyAlignment="1"/>
    <xf numFmtId="191" fontId="10" fillId="0" borderId="95" xfId="1" applyNumberFormat="1" applyFont="1" applyFill="1" applyBorder="1" applyAlignment="1"/>
    <xf numFmtId="191" fontId="9" fillId="0" borderId="14" xfId="1" applyNumberFormat="1" applyFont="1" applyFill="1" applyBorder="1" applyAlignment="1">
      <alignment vertical="center"/>
    </xf>
    <xf numFmtId="191" fontId="9" fillId="0" borderId="63" xfId="1" applyNumberFormat="1" applyFont="1" applyFill="1" applyBorder="1" applyAlignment="1">
      <alignment vertical="center"/>
    </xf>
    <xf numFmtId="191" fontId="0" fillId="0" borderId="14" xfId="0" applyNumberFormat="1" applyBorder="1"/>
    <xf numFmtId="191" fontId="0" fillId="0" borderId="63" xfId="0" applyNumberFormat="1" applyBorder="1"/>
    <xf numFmtId="191" fontId="10" fillId="0" borderId="14" xfId="1" applyNumberFormat="1" applyFont="1" applyFill="1" applyBorder="1" applyAlignment="1">
      <alignment horizontal="right" vertical="center"/>
    </xf>
    <xf numFmtId="191" fontId="10" fillId="0" borderId="63" xfId="1" applyNumberFormat="1" applyFont="1" applyFill="1" applyBorder="1" applyAlignment="1">
      <alignment horizontal="right" vertical="center"/>
    </xf>
    <xf numFmtId="192" fontId="10" fillId="0" borderId="0" xfId="3" applyNumberFormat="1" applyFont="1" applyFill="1" applyBorder="1" applyAlignment="1">
      <alignment horizontal="right"/>
    </xf>
    <xf numFmtId="191" fontId="10" fillId="0" borderId="13" xfId="1" applyNumberFormat="1" applyFont="1" applyFill="1" applyBorder="1" applyAlignment="1">
      <alignment horizontal="left" vertical="center" wrapText="1"/>
    </xf>
    <xf numFmtId="191" fontId="10" fillId="0" borderId="76" xfId="1" applyNumberFormat="1" applyFont="1" applyFill="1" applyBorder="1" applyAlignment="1">
      <alignment wrapText="1"/>
    </xf>
    <xf numFmtId="191" fontId="10" fillId="0" borderId="95" xfId="1" applyNumberFormat="1" applyFont="1" applyFill="1" applyBorder="1" applyAlignment="1">
      <alignment wrapText="1"/>
    </xf>
    <xf numFmtId="191" fontId="10" fillId="0" borderId="14" xfId="1" applyNumberFormat="1" applyFont="1" applyFill="1" applyBorder="1" applyAlignment="1">
      <alignment wrapText="1"/>
    </xf>
    <xf numFmtId="191" fontId="10" fillId="0" borderId="43" xfId="1" applyNumberFormat="1" applyFont="1" applyFill="1" applyBorder="1" applyAlignment="1">
      <alignment wrapText="1"/>
    </xf>
    <xf numFmtId="191" fontId="9" fillId="0" borderId="30" xfId="1" applyNumberFormat="1" applyFont="1" applyFill="1" applyBorder="1" applyAlignment="1">
      <alignment wrapText="1"/>
    </xf>
    <xf numFmtId="191" fontId="9" fillId="0" borderId="34" xfId="1" applyNumberFormat="1" applyFont="1" applyFill="1" applyBorder="1" applyAlignment="1">
      <alignment wrapText="1"/>
    </xf>
    <xf numFmtId="43" fontId="10" fillId="0" borderId="7" xfId="1" applyFont="1" applyFill="1" applyBorder="1" applyAlignment="1">
      <alignment horizontal="right" vertical="top" wrapText="1"/>
    </xf>
    <xf numFmtId="43" fontId="10" fillId="0" borderId="35" xfId="1" applyFont="1" applyFill="1" applyBorder="1" applyAlignment="1">
      <alignment horizontal="left" vertical="center" wrapText="1"/>
    </xf>
    <xf numFmtId="193" fontId="10" fillId="0" borderId="14" xfId="1" applyNumberFormat="1" applyFont="1" applyFill="1" applyBorder="1" applyAlignment="1">
      <alignment horizontal="right"/>
    </xf>
    <xf numFmtId="193" fontId="10" fillId="0" borderId="63" xfId="1" applyNumberFormat="1" applyFont="1" applyFill="1" applyBorder="1" applyAlignment="1">
      <alignment horizontal="right"/>
    </xf>
    <xf numFmtId="193" fontId="9" fillId="0" borderId="14" xfId="1" applyNumberFormat="1" applyFont="1" applyFill="1" applyBorder="1" applyAlignment="1">
      <alignment horizontal="right"/>
    </xf>
    <xf numFmtId="193" fontId="9" fillId="0" borderId="73" xfId="1" applyNumberFormat="1" applyFont="1" applyFill="1" applyBorder="1" applyAlignment="1">
      <alignment horizontal="right"/>
    </xf>
    <xf numFmtId="193" fontId="9" fillId="0" borderId="100" xfId="1" applyNumberFormat="1" applyFont="1" applyFill="1" applyBorder="1" applyAlignment="1">
      <alignment horizontal="right"/>
    </xf>
    <xf numFmtId="193" fontId="9" fillId="0" borderId="63" xfId="1" applyNumberFormat="1" applyFont="1" applyFill="1" applyBorder="1" applyAlignment="1">
      <alignment horizontal="right"/>
    </xf>
    <xf numFmtId="193" fontId="9" fillId="0" borderId="15" xfId="1" applyNumberFormat="1" applyFont="1" applyFill="1" applyBorder="1" applyAlignment="1">
      <alignment vertical="center"/>
    </xf>
    <xf numFmtId="193" fontId="9" fillId="0" borderId="94" xfId="1" applyNumberFormat="1" applyFont="1" applyFill="1" applyBorder="1" applyAlignment="1">
      <alignment vertical="center"/>
    </xf>
    <xf numFmtId="193" fontId="9" fillId="0" borderId="73" xfId="1" applyNumberFormat="1" applyFont="1" applyFill="1" applyBorder="1" applyAlignment="1">
      <alignment vertical="center"/>
    </xf>
    <xf numFmtId="193" fontId="9" fillId="0" borderId="100" xfId="1" applyNumberFormat="1" applyFont="1" applyFill="1" applyBorder="1" applyAlignment="1">
      <alignment vertical="center"/>
    </xf>
    <xf numFmtId="193" fontId="9" fillId="0" borderId="83" xfId="1" applyNumberFormat="1" applyFont="1" applyFill="1" applyBorder="1" applyAlignment="1">
      <alignment vertical="center"/>
    </xf>
    <xf numFmtId="193" fontId="9" fillId="0" borderId="95" xfId="1" applyNumberFormat="1" applyFont="1" applyFill="1" applyBorder="1" applyAlignment="1">
      <alignment vertical="center"/>
    </xf>
    <xf numFmtId="193" fontId="9" fillId="0" borderId="16" xfId="1" applyNumberFormat="1" applyFont="1" applyFill="1" applyBorder="1" applyAlignment="1">
      <alignment vertical="center"/>
    </xf>
    <xf numFmtId="193" fontId="9" fillId="0" borderId="96" xfId="1" applyNumberFormat="1" applyFont="1" applyFill="1" applyBorder="1" applyAlignment="1">
      <alignment vertical="center"/>
    </xf>
    <xf numFmtId="193" fontId="10" fillId="0" borderId="76" xfId="1" applyNumberFormat="1" applyFont="1" applyFill="1" applyBorder="1" applyAlignment="1">
      <alignment horizontal="right"/>
    </xf>
    <xf numFmtId="193" fontId="10" fillId="0" borderId="80" xfId="1" applyNumberFormat="1" applyFont="1" applyFill="1" applyBorder="1" applyAlignment="1">
      <alignment horizontal="right"/>
    </xf>
    <xf numFmtId="193" fontId="10" fillId="0" borderId="14" xfId="1" applyNumberFormat="1" applyFont="1" applyFill="1" applyBorder="1"/>
    <xf numFmtId="193" fontId="10" fillId="0" borderId="63" xfId="1" applyNumberFormat="1" applyFont="1" applyFill="1" applyBorder="1"/>
    <xf numFmtId="193" fontId="10" fillId="0" borderId="76" xfId="1" applyNumberFormat="1" applyFont="1" applyFill="1" applyBorder="1"/>
    <xf numFmtId="193" fontId="10" fillId="0" borderId="80" xfId="1" applyNumberFormat="1" applyFont="1" applyFill="1" applyBorder="1"/>
    <xf numFmtId="193" fontId="9" fillId="0" borderId="73" xfId="1" applyNumberFormat="1" applyFont="1" applyFill="1" applyBorder="1"/>
    <xf numFmtId="193" fontId="9" fillId="0" borderId="100" xfId="1" applyNumberFormat="1" applyFont="1" applyFill="1" applyBorder="1"/>
    <xf numFmtId="193" fontId="9" fillId="0" borderId="30" xfId="1" applyNumberFormat="1" applyFont="1" applyFill="1" applyBorder="1" applyAlignment="1">
      <alignment horizontal="right"/>
    </xf>
    <xf numFmtId="193" fontId="9" fillId="0" borderId="34" xfId="1" applyNumberFormat="1" applyFont="1" applyFill="1" applyBorder="1" applyAlignment="1">
      <alignment horizontal="right"/>
    </xf>
    <xf numFmtId="193" fontId="10" fillId="0" borderId="13" xfId="1" applyNumberFormat="1" applyFont="1" applyFill="1" applyBorder="1" applyAlignment="1">
      <alignment horizontal="right"/>
    </xf>
    <xf numFmtId="193" fontId="10" fillId="0" borderId="35" xfId="1" applyNumberFormat="1" applyFont="1" applyFill="1" applyBorder="1" applyAlignment="1">
      <alignment horizontal="right"/>
    </xf>
    <xf numFmtId="193" fontId="9" fillId="0" borderId="16" xfId="1" applyNumberFormat="1" applyFont="1" applyFill="1" applyBorder="1" applyAlignment="1">
      <alignment horizontal="right"/>
    </xf>
    <xf numFmtId="193" fontId="9" fillId="0" borderId="96" xfId="1" applyNumberFormat="1" applyFont="1" applyFill="1" applyBorder="1" applyAlignment="1">
      <alignment horizontal="right"/>
    </xf>
    <xf numFmtId="193" fontId="10" fillId="0" borderId="10" xfId="1" applyNumberFormat="1" applyFont="1" applyFill="1" applyBorder="1" applyAlignment="1"/>
    <xf numFmtId="193" fontId="10" fillId="0" borderId="43" xfId="1" applyNumberFormat="1" applyFont="1" applyFill="1" applyBorder="1" applyAlignment="1"/>
    <xf numFmtId="193" fontId="9" fillId="0" borderId="100" xfId="1" applyNumberFormat="1" applyFont="1" applyFill="1" applyBorder="1" applyAlignment="1"/>
    <xf numFmtId="193" fontId="10" fillId="0" borderId="14" xfId="1" applyNumberFormat="1" applyFont="1" applyFill="1" applyBorder="1" applyAlignment="1"/>
    <xf numFmtId="193" fontId="10" fillId="0" borderId="63" xfId="1" applyNumberFormat="1" applyFont="1" applyFill="1" applyBorder="1" applyAlignment="1"/>
    <xf numFmtId="193" fontId="9" fillId="0" borderId="73" xfId="1" applyNumberFormat="1" applyFont="1" applyFill="1" applyBorder="1" applyAlignment="1"/>
    <xf numFmtId="193" fontId="9" fillId="0" borderId="106" xfId="1" applyNumberFormat="1" applyFont="1" applyFill="1" applyBorder="1" applyAlignment="1">
      <alignment horizontal="right"/>
    </xf>
    <xf numFmtId="193" fontId="9" fillId="0" borderId="107" xfId="1" applyNumberFormat="1" applyFont="1" applyFill="1" applyBorder="1" applyAlignment="1">
      <alignment horizontal="right"/>
    </xf>
    <xf numFmtId="168" fontId="58" fillId="0" borderId="99" xfId="16" applyNumberFormat="1" applyFont="1" applyBorder="1" applyAlignment="1">
      <alignment horizontal="center"/>
    </xf>
    <xf numFmtId="168" fontId="58" fillId="0" borderId="91" xfId="16" applyNumberFormat="1" applyFont="1" applyBorder="1" applyAlignment="1">
      <alignment horizontal="center"/>
    </xf>
    <xf numFmtId="173" fontId="58" fillId="0" borderId="91" xfId="17" applyNumberFormat="1" applyFont="1" applyFill="1" applyBorder="1" applyAlignment="1">
      <alignment horizontal="center"/>
    </xf>
    <xf numFmtId="168" fontId="58" fillId="0" borderId="77" xfId="16" applyNumberFormat="1" applyFont="1" applyBorder="1" applyAlignment="1">
      <alignment horizontal="center"/>
    </xf>
    <xf numFmtId="0" fontId="0" fillId="0" borderId="73" xfId="0" applyBorder="1" applyAlignment="1">
      <alignment horizontal="center"/>
    </xf>
    <xf numFmtId="14" fontId="0" fillId="0" borderId="73" xfId="0" applyNumberFormat="1" applyBorder="1"/>
    <xf numFmtId="2" fontId="0" fillId="0" borderId="73" xfId="0" applyNumberFormat="1" applyBorder="1"/>
    <xf numFmtId="0" fontId="2" fillId="0" borderId="73" xfId="0" applyFont="1" applyBorder="1" applyAlignment="1">
      <alignment horizontal="center" vertical="center"/>
    </xf>
    <xf numFmtId="0" fontId="2" fillId="0" borderId="73" xfId="0" applyFont="1" applyBorder="1" applyAlignment="1">
      <alignment horizontal="center" vertical="center" wrapText="1"/>
    </xf>
    <xf numFmtId="164" fontId="9" fillId="0" borderId="83" xfId="1" applyNumberFormat="1" applyFont="1" applyFill="1" applyBorder="1" applyAlignment="1">
      <alignment horizontal="center" vertical="center" wrapText="1"/>
    </xf>
    <xf numFmtId="0" fontId="10" fillId="0" borderId="101" xfId="4" applyNumberFormat="1" applyFont="1" applyBorder="1" applyAlignment="1">
      <alignment horizontal="left" vertical="top"/>
    </xf>
    <xf numFmtId="0" fontId="10" fillId="0" borderId="91" xfId="4" applyNumberFormat="1" applyFont="1" applyBorder="1" applyAlignment="1">
      <alignment horizontal="left" vertical="top"/>
    </xf>
    <xf numFmtId="0" fontId="10" fillId="0" borderId="77" xfId="4" applyNumberFormat="1" applyFont="1" applyBorder="1" applyAlignment="1">
      <alignment horizontal="left" vertical="top"/>
    </xf>
    <xf numFmtId="164" fontId="9" fillId="0" borderId="77" xfId="1" applyNumberFormat="1" applyFont="1" applyFill="1" applyBorder="1" applyAlignment="1">
      <alignment horizontal="left" vertical="top"/>
    </xf>
    <xf numFmtId="164" fontId="9" fillId="0" borderId="84" xfId="1" applyNumberFormat="1" applyFont="1" applyFill="1" applyBorder="1" applyAlignment="1">
      <alignment horizontal="left" vertical="top"/>
    </xf>
    <xf numFmtId="164" fontId="10" fillId="0" borderId="77" xfId="1" applyNumberFormat="1" applyFont="1" applyFill="1" applyBorder="1" applyAlignment="1">
      <alignment horizontal="left"/>
    </xf>
    <xf numFmtId="164" fontId="10" fillId="0" borderId="84" xfId="1" applyNumberFormat="1" applyFont="1" applyFill="1" applyBorder="1" applyAlignment="1">
      <alignment horizontal="left"/>
    </xf>
    <xf numFmtId="164" fontId="9" fillId="0" borderId="73" xfId="1" applyNumberFormat="1" applyFont="1" applyFill="1" applyBorder="1" applyAlignment="1">
      <alignment horizontal="left" vertical="center" wrapText="1"/>
    </xf>
    <xf numFmtId="164" fontId="9" fillId="0" borderId="100" xfId="1" applyNumberFormat="1" applyFont="1" applyFill="1" applyBorder="1" applyAlignment="1">
      <alignment horizontal="left" vertical="center" wrapText="1"/>
    </xf>
    <xf numFmtId="164" fontId="9" fillId="0" borderId="30" xfId="1" applyNumberFormat="1" applyFont="1" applyFill="1" applyBorder="1" applyAlignment="1">
      <alignment horizontal="left" vertical="center" wrapText="1"/>
    </xf>
    <xf numFmtId="164" fontId="9" fillId="0" borderId="34" xfId="1" applyNumberFormat="1" applyFont="1" applyFill="1" applyBorder="1" applyAlignment="1">
      <alignment horizontal="left" vertical="center" wrapText="1"/>
    </xf>
    <xf numFmtId="194" fontId="9" fillId="0" borderId="73" xfId="1" applyNumberFormat="1" applyFont="1" applyFill="1" applyBorder="1" applyAlignment="1">
      <alignment horizontal="right" vertical="top"/>
    </xf>
    <xf numFmtId="194" fontId="9" fillId="0" borderId="84" xfId="1" applyNumberFormat="1" applyFont="1" applyFill="1" applyBorder="1" applyAlignment="1">
      <alignment horizontal="right" vertical="top"/>
    </xf>
    <xf numFmtId="0" fontId="0" fillId="0" borderId="0" xfId="0" applyAlignment="1">
      <alignment horizontal="left" vertical="top" wrapText="1"/>
    </xf>
    <xf numFmtId="167" fontId="9" fillId="0" borderId="43" xfId="3" applyNumberFormat="1" applyFont="1" applyFill="1" applyBorder="1" applyAlignment="1">
      <alignment horizontal="right"/>
    </xf>
    <xf numFmtId="10" fontId="10" fillId="0" borderId="73" xfId="2" applyNumberFormat="1" applyFont="1" applyFill="1" applyBorder="1" applyAlignment="1"/>
    <xf numFmtId="179" fontId="10" fillId="0" borderId="73" xfId="2" applyNumberFormat="1" applyFont="1" applyFill="1" applyBorder="1" applyAlignment="1"/>
    <xf numFmtId="0" fontId="0" fillId="0" borderId="21" xfId="0" applyBorder="1"/>
    <xf numFmtId="0" fontId="0" fillId="0" borderId="88" xfId="0" applyBorder="1"/>
    <xf numFmtId="0" fontId="2" fillId="0" borderId="0" xfId="0" applyFont="1" applyAlignment="1">
      <alignment horizontal="center"/>
    </xf>
    <xf numFmtId="0" fontId="2" fillId="0" borderId="79" xfId="0" applyFont="1" applyBorder="1" applyAlignment="1">
      <alignment horizontal="center" vertical="center"/>
    </xf>
    <xf numFmtId="0" fontId="2" fillId="0" borderId="82" xfId="0" applyFont="1" applyBorder="1" applyAlignment="1">
      <alignment horizontal="center" vertical="center"/>
    </xf>
    <xf numFmtId="0" fontId="2" fillId="0" borderId="58" xfId="0" applyFont="1" applyBorder="1" applyAlignment="1">
      <alignment horizontal="center" vertical="center"/>
    </xf>
    <xf numFmtId="0" fontId="2" fillId="0" borderId="1" xfId="0" applyFont="1" applyBorder="1" applyAlignment="1">
      <alignment horizontal="center"/>
    </xf>
    <xf numFmtId="0" fontId="2" fillId="0" borderId="18" xfId="0" applyFont="1" applyBorder="1" applyAlignment="1">
      <alignment horizontal="center"/>
    </xf>
    <xf numFmtId="0" fontId="2" fillId="0" borderId="84" xfId="0" applyFont="1" applyBorder="1" applyAlignment="1">
      <alignment horizontal="center"/>
    </xf>
    <xf numFmtId="0" fontId="0" fillId="0" borderId="0" xfId="0" applyAlignment="1">
      <alignment horizontal="left" vertical="top" wrapText="1"/>
    </xf>
    <xf numFmtId="0" fontId="108" fillId="0" borderId="21" xfId="0" applyFont="1" applyBorder="1" applyAlignment="1">
      <alignment horizontal="center"/>
    </xf>
    <xf numFmtId="0" fontId="108" fillId="0" borderId="27" xfId="0" applyFont="1" applyBorder="1" applyAlignment="1">
      <alignment horizontal="center"/>
    </xf>
    <xf numFmtId="0" fontId="108" fillId="0" borderId="87" xfId="0" applyFont="1" applyBorder="1" applyAlignment="1">
      <alignment horizontal="center"/>
    </xf>
    <xf numFmtId="0" fontId="0" fillId="0" borderId="0" xfId="0" applyAlignment="1">
      <alignment horizontal="left" wrapText="1"/>
    </xf>
    <xf numFmtId="167" fontId="103" fillId="0" borderId="58" xfId="3" applyNumberFormat="1" applyFont="1" applyFill="1" applyBorder="1" applyAlignment="1">
      <alignment horizontal="center"/>
    </xf>
    <xf numFmtId="167" fontId="103" fillId="0" borderId="13" xfId="3" applyNumberFormat="1" applyFont="1" applyFill="1" applyBorder="1" applyAlignment="1">
      <alignment horizontal="center"/>
    </xf>
    <xf numFmtId="167" fontId="103" fillId="0" borderId="35" xfId="3" applyNumberFormat="1" applyFont="1" applyFill="1" applyBorder="1" applyAlignment="1">
      <alignment horizontal="center"/>
    </xf>
    <xf numFmtId="167" fontId="103" fillId="0" borderId="21" xfId="3" applyNumberFormat="1" applyFont="1" applyFill="1" applyBorder="1" applyAlignment="1">
      <alignment horizontal="center" vertical="center"/>
    </xf>
    <xf numFmtId="167" fontId="103" fillId="0" borderId="27" xfId="3" applyNumberFormat="1" applyFont="1" applyFill="1" applyBorder="1" applyAlignment="1">
      <alignment horizontal="center" vertical="center"/>
    </xf>
    <xf numFmtId="167" fontId="103" fillId="0" borderId="87" xfId="3" applyNumberFormat="1" applyFont="1" applyFill="1" applyBorder="1" applyAlignment="1">
      <alignment horizontal="center" vertical="center"/>
    </xf>
    <xf numFmtId="167" fontId="103" fillId="0" borderId="42" xfId="3" applyNumberFormat="1" applyFont="1" applyFill="1" applyBorder="1" applyAlignment="1">
      <alignment horizontal="center" vertical="center"/>
    </xf>
    <xf numFmtId="167" fontId="103" fillId="0" borderId="0" xfId="3" applyNumberFormat="1" applyFont="1" applyFill="1" applyBorder="1" applyAlignment="1">
      <alignment horizontal="center" vertical="center"/>
    </xf>
    <xf numFmtId="167" fontId="103" fillId="0" borderId="43" xfId="3" applyNumberFormat="1" applyFont="1" applyFill="1" applyBorder="1" applyAlignment="1">
      <alignment horizontal="center" vertical="center"/>
    </xf>
    <xf numFmtId="168" fontId="103" fillId="0" borderId="21" xfId="35" applyNumberFormat="1" applyFont="1" applyBorder="1" applyAlignment="1">
      <alignment horizontal="center"/>
    </xf>
    <xf numFmtId="168" fontId="103" fillId="0" borderId="27" xfId="35" applyNumberFormat="1" applyFont="1" applyBorder="1" applyAlignment="1">
      <alignment horizontal="center"/>
    </xf>
    <xf numFmtId="168" fontId="103" fillId="0" borderId="87" xfId="35" applyNumberFormat="1" applyFont="1" applyBorder="1" applyAlignment="1">
      <alignment horizontal="center"/>
    </xf>
    <xf numFmtId="168" fontId="21" fillId="0" borderId="90" xfId="35" applyNumberFormat="1" applyFont="1" applyBorder="1" applyAlignment="1">
      <alignment horizontal="center" wrapText="1"/>
    </xf>
    <xf numFmtId="168" fontId="21" fillId="0" borderId="4" xfId="35" applyNumberFormat="1" applyFont="1" applyBorder="1" applyAlignment="1">
      <alignment horizontal="center" wrapText="1"/>
    </xf>
    <xf numFmtId="168" fontId="21" fillId="0" borderId="62" xfId="35" applyNumberFormat="1" applyFont="1" applyBorder="1" applyAlignment="1">
      <alignment horizontal="center" wrapText="1"/>
    </xf>
    <xf numFmtId="9" fontId="9" fillId="0" borderId="90" xfId="3" applyFont="1" applyFill="1" applyBorder="1" applyAlignment="1">
      <alignment horizontal="center"/>
    </xf>
    <xf numFmtId="9" fontId="9" fillId="0" borderId="4" xfId="3" applyFont="1" applyFill="1" applyBorder="1" applyAlignment="1">
      <alignment horizontal="center"/>
    </xf>
    <xf numFmtId="9" fontId="9" fillId="0" borderId="62" xfId="3" applyFont="1" applyFill="1" applyBorder="1" applyAlignment="1">
      <alignment horizontal="center"/>
    </xf>
    <xf numFmtId="168" fontId="9" fillId="3" borderId="21" xfId="4" applyNumberFormat="1" applyFont="1" applyFill="1" applyBorder="1" applyAlignment="1">
      <alignment horizontal="center"/>
    </xf>
    <xf numFmtId="168" fontId="9" fillId="3" borderId="27" xfId="4" applyNumberFormat="1" applyFont="1" applyFill="1" applyBorder="1" applyAlignment="1">
      <alignment horizontal="center"/>
    </xf>
    <xf numFmtId="168" fontId="9" fillId="3" borderId="87" xfId="4" applyNumberFormat="1" applyFont="1" applyFill="1" applyBorder="1" applyAlignment="1">
      <alignment horizontal="center"/>
    </xf>
    <xf numFmtId="168" fontId="9" fillId="3" borderId="90" xfId="4" applyNumberFormat="1" applyFont="1" applyFill="1" applyBorder="1" applyAlignment="1">
      <alignment horizontal="center"/>
    </xf>
    <xf numFmtId="168" fontId="9" fillId="3" borderId="4" xfId="4" applyNumberFormat="1" applyFont="1" applyFill="1" applyBorder="1" applyAlignment="1">
      <alignment horizontal="center"/>
    </xf>
    <xf numFmtId="168" fontId="9" fillId="3" borderId="62" xfId="4" applyNumberFormat="1" applyFont="1" applyFill="1" applyBorder="1" applyAlignment="1">
      <alignment horizontal="center"/>
    </xf>
    <xf numFmtId="168" fontId="9" fillId="0" borderId="21" xfId="4" applyNumberFormat="1" applyFont="1" applyBorder="1" applyAlignment="1">
      <alignment horizontal="center"/>
    </xf>
    <xf numFmtId="168" fontId="9" fillId="0" borderId="27" xfId="4" applyNumberFormat="1" applyFont="1" applyBorder="1" applyAlignment="1">
      <alignment horizontal="center"/>
    </xf>
    <xf numFmtId="168" fontId="9" fillId="0" borderId="87" xfId="4" applyNumberFormat="1" applyFont="1" applyBorder="1" applyAlignment="1">
      <alignment horizontal="center"/>
    </xf>
    <xf numFmtId="0" fontId="10" fillId="0" borderId="42" xfId="4" applyNumberFormat="1" applyFont="1" applyBorder="1" applyAlignment="1">
      <alignment horizontal="left" vertical="top" wrapText="1"/>
    </xf>
    <xf numFmtId="0" fontId="10" fillId="0" borderId="0" xfId="4" applyNumberFormat="1" applyFont="1" applyAlignment="1">
      <alignment horizontal="left" vertical="top" wrapText="1"/>
    </xf>
    <xf numFmtId="0" fontId="10" fillId="0" borderId="42" xfId="0" applyFont="1" applyBorder="1" applyAlignment="1">
      <alignment horizontal="left" vertical="top" wrapText="1"/>
    </xf>
    <xf numFmtId="0" fontId="10" fillId="0" borderId="0" xfId="0" applyFont="1" applyAlignment="1">
      <alignment horizontal="left" vertical="top" wrapText="1"/>
    </xf>
    <xf numFmtId="0" fontId="10" fillId="0" borderId="43" xfId="0" applyFont="1" applyBorder="1" applyAlignment="1">
      <alignment horizontal="left" vertical="top" wrapText="1"/>
    </xf>
    <xf numFmtId="0" fontId="10" fillId="0" borderId="42" xfId="4" applyNumberFormat="1" applyFont="1" applyBorder="1" applyAlignment="1">
      <alignment horizontal="left" wrapText="1"/>
    </xf>
    <xf numFmtId="0" fontId="10" fillId="0" borderId="0" xfId="4" applyNumberFormat="1" applyFont="1" applyAlignment="1">
      <alignment horizontal="left" wrapText="1"/>
    </xf>
    <xf numFmtId="0" fontId="10" fillId="0" borderId="43" xfId="4" applyNumberFormat="1" applyFont="1" applyBorder="1" applyAlignment="1">
      <alignment horizontal="left" wrapText="1"/>
    </xf>
    <xf numFmtId="0" fontId="10" fillId="0" borderId="88" xfId="4" applyNumberFormat="1" applyFont="1" applyBorder="1" applyAlignment="1">
      <alignment horizontal="left" wrapText="1"/>
    </xf>
    <xf numFmtId="0" fontId="10" fillId="0" borderId="78" xfId="4" applyNumberFormat="1" applyFont="1" applyBorder="1" applyAlignment="1">
      <alignment horizontal="left" wrapText="1"/>
    </xf>
    <xf numFmtId="0" fontId="10" fillId="0" borderId="92" xfId="4" applyNumberFormat="1" applyFont="1" applyBorder="1" applyAlignment="1">
      <alignment horizontal="left" wrapText="1"/>
    </xf>
    <xf numFmtId="9" fontId="9" fillId="0" borderId="21" xfId="3" applyFont="1" applyFill="1" applyBorder="1" applyAlignment="1">
      <alignment horizontal="center"/>
    </xf>
    <xf numFmtId="9" fontId="9" fillId="0" borderId="27" xfId="3" applyFont="1" applyFill="1" applyBorder="1" applyAlignment="1">
      <alignment horizontal="center"/>
    </xf>
    <xf numFmtId="9" fontId="9" fillId="0" borderId="87" xfId="3" applyFont="1" applyFill="1" applyBorder="1" applyAlignment="1">
      <alignment horizontal="center"/>
    </xf>
    <xf numFmtId="168" fontId="10" fillId="0" borderId="42" xfId="4" applyNumberFormat="1" applyFont="1" applyBorder="1" applyAlignment="1">
      <alignment horizontal="left" wrapText="1"/>
    </xf>
    <xf numFmtId="168" fontId="10" fillId="0" borderId="0" xfId="4" applyNumberFormat="1" applyFont="1" applyAlignment="1">
      <alignment horizontal="left" wrapText="1"/>
    </xf>
    <xf numFmtId="168" fontId="9" fillId="0" borderId="42" xfId="4" applyNumberFormat="1" applyFont="1" applyBorder="1" applyAlignment="1">
      <alignment horizontal="center"/>
    </xf>
    <xf numFmtId="168" fontId="9" fillId="0" borderId="0" xfId="4" applyNumberFormat="1" applyFont="1" applyAlignment="1">
      <alignment horizontal="center"/>
    </xf>
    <xf numFmtId="168" fontId="9" fillId="0" borderId="43" xfId="4" applyNumberFormat="1" applyFont="1" applyBorder="1" applyAlignment="1">
      <alignment horizontal="center"/>
    </xf>
    <xf numFmtId="0" fontId="10" fillId="0" borderId="42" xfId="0" applyFont="1" applyBorder="1" applyAlignment="1">
      <alignment horizontal="left" wrapText="1"/>
    </xf>
    <xf numFmtId="0" fontId="10" fillId="0" borderId="0" xfId="0" applyFont="1" applyAlignment="1">
      <alignment horizontal="left" wrapText="1"/>
    </xf>
    <xf numFmtId="0" fontId="10" fillId="0" borderId="90" xfId="0" applyFont="1" applyBorder="1" applyAlignment="1">
      <alignment horizontal="left" wrapText="1"/>
    </xf>
    <xf numFmtId="0" fontId="10" fillId="0" borderId="4" xfId="0" applyFont="1" applyBorder="1" applyAlignment="1">
      <alignment horizontal="left" wrapText="1"/>
    </xf>
    <xf numFmtId="0" fontId="10" fillId="0" borderId="17" xfId="0" applyFont="1" applyBorder="1" applyAlignment="1">
      <alignment horizontal="left" wrapText="1"/>
    </xf>
    <xf numFmtId="0" fontId="9" fillId="0" borderId="0" xfId="0" applyFont="1" applyAlignment="1">
      <alignment horizontal="center" vertical="center"/>
    </xf>
    <xf numFmtId="168" fontId="9" fillId="0" borderId="93" xfId="4" applyNumberFormat="1" applyFont="1" applyBorder="1" applyAlignment="1">
      <alignment horizontal="left" wrapText="1"/>
    </xf>
    <xf numFmtId="168" fontId="9" fillId="0" borderId="74" xfId="4" applyNumberFormat="1" applyFont="1" applyBorder="1" applyAlignment="1">
      <alignment horizontal="left" wrapText="1"/>
    </xf>
    <xf numFmtId="168" fontId="9" fillId="0" borderId="83" xfId="4" applyNumberFormat="1" applyFont="1" applyBorder="1" applyAlignment="1">
      <alignment horizontal="left" wrapText="1"/>
    </xf>
    <xf numFmtId="9" fontId="10" fillId="0" borderId="42" xfId="3" applyFont="1" applyFill="1" applyBorder="1" applyAlignment="1">
      <alignment horizontal="left" wrapText="1"/>
    </xf>
    <xf numFmtId="9" fontId="10" fillId="0" borderId="0" xfId="3" applyFont="1" applyFill="1" applyBorder="1" applyAlignment="1">
      <alignment horizontal="left" wrapText="1"/>
    </xf>
    <xf numFmtId="9" fontId="10" fillId="0" borderId="43" xfId="3" applyFont="1" applyFill="1" applyBorder="1" applyAlignment="1">
      <alignment horizontal="left" wrapText="1"/>
    </xf>
    <xf numFmtId="9" fontId="10" fillId="0" borderId="42" xfId="3" applyFont="1" applyFill="1" applyBorder="1" applyAlignment="1">
      <alignment horizontal="left" vertical="top" wrapText="1"/>
    </xf>
    <xf numFmtId="9" fontId="10" fillId="0" borderId="0" xfId="3" applyFont="1" applyFill="1" applyBorder="1" applyAlignment="1">
      <alignment horizontal="left" vertical="top" wrapText="1"/>
    </xf>
    <xf numFmtId="9" fontId="10" fillId="0" borderId="43" xfId="3" applyFont="1" applyFill="1" applyBorder="1" applyAlignment="1">
      <alignment horizontal="left" vertical="top" wrapText="1"/>
    </xf>
    <xf numFmtId="9" fontId="10" fillId="0" borderId="104" xfId="3" applyFont="1" applyFill="1" applyBorder="1" applyAlignment="1">
      <alignment horizontal="center"/>
    </xf>
    <xf numFmtId="9" fontId="10" fillId="0" borderId="102" xfId="3" applyFont="1" applyFill="1" applyBorder="1" applyAlignment="1">
      <alignment horizontal="center"/>
    </xf>
    <xf numFmtId="9" fontId="10" fillId="0" borderId="105" xfId="3" applyFont="1" applyFill="1" applyBorder="1" applyAlignment="1">
      <alignment horizontal="center"/>
    </xf>
    <xf numFmtId="9" fontId="9" fillId="0" borderId="42" xfId="3" applyFont="1" applyFill="1" applyBorder="1" applyAlignment="1">
      <alignment horizontal="center"/>
    </xf>
    <xf numFmtId="9" fontId="9" fillId="0" borderId="0" xfId="3" applyFont="1" applyFill="1" applyBorder="1" applyAlignment="1">
      <alignment horizontal="center"/>
    </xf>
    <xf numFmtId="9" fontId="9" fillId="0" borderId="43" xfId="3" applyFont="1" applyFill="1" applyBorder="1" applyAlignment="1">
      <alignment horizontal="center"/>
    </xf>
    <xf numFmtId="9" fontId="9" fillId="0" borderId="42" xfId="3" applyFont="1" applyFill="1" applyBorder="1" applyAlignment="1">
      <alignment horizontal="left" wrapText="1"/>
    </xf>
    <xf numFmtId="9" fontId="9" fillId="0" borderId="0" xfId="3" applyFont="1" applyFill="1" applyBorder="1" applyAlignment="1">
      <alignment horizontal="left" wrapText="1"/>
    </xf>
    <xf numFmtId="9" fontId="9" fillId="0" borderId="43" xfId="3" applyFont="1" applyFill="1" applyBorder="1" applyAlignment="1">
      <alignment horizontal="left" wrapText="1"/>
    </xf>
    <xf numFmtId="9" fontId="10" fillId="0" borderId="10" xfId="3" applyFont="1" applyFill="1" applyBorder="1" applyAlignment="1">
      <alignment horizontal="left" wrapText="1"/>
    </xf>
    <xf numFmtId="9" fontId="9" fillId="0" borderId="10" xfId="3" applyFont="1" applyFill="1" applyBorder="1" applyAlignment="1">
      <alignment horizontal="left" wrapText="1"/>
    </xf>
    <xf numFmtId="9" fontId="10" fillId="0" borderId="101" xfId="3" applyFont="1" applyFill="1" applyBorder="1" applyAlignment="1">
      <alignment horizontal="center"/>
    </xf>
    <xf numFmtId="9" fontId="10" fillId="0" borderId="91" xfId="3" applyFont="1" applyFill="1" applyBorder="1" applyAlignment="1">
      <alignment horizontal="center"/>
    </xf>
    <xf numFmtId="9" fontId="10" fillId="0" borderId="77" xfId="3" applyFont="1" applyFill="1" applyBorder="1" applyAlignment="1">
      <alignment horizontal="center"/>
    </xf>
    <xf numFmtId="0" fontId="9" fillId="0" borderId="33" xfId="4" applyNumberFormat="1" applyFont="1" applyBorder="1" applyAlignment="1">
      <alignment horizontal="left" vertical="top" wrapText="1"/>
    </xf>
    <xf numFmtId="0" fontId="9" fillId="0" borderId="30" xfId="4" applyNumberFormat="1" applyFont="1" applyBorder="1" applyAlignment="1">
      <alignment horizontal="left" vertical="top" wrapText="1"/>
    </xf>
    <xf numFmtId="168" fontId="9" fillId="0" borderId="21" xfId="0" applyNumberFormat="1" applyFont="1" applyBorder="1" applyAlignment="1">
      <alignment horizontal="center"/>
    </xf>
    <xf numFmtId="168" fontId="9" fillId="0" borderId="27" xfId="0" applyNumberFormat="1" applyFont="1" applyBorder="1" applyAlignment="1">
      <alignment horizontal="center"/>
    </xf>
    <xf numFmtId="168" fontId="9" fillId="0" borderId="87" xfId="0" applyNumberFormat="1" applyFont="1" applyBorder="1" applyAlignment="1">
      <alignment horizontal="center"/>
    </xf>
    <xf numFmtId="168" fontId="9" fillId="0" borderId="42" xfId="0" applyNumberFormat="1" applyFont="1" applyBorder="1" applyAlignment="1">
      <alignment horizontal="center"/>
    </xf>
    <xf numFmtId="168" fontId="9" fillId="0" borderId="0" xfId="0" applyNumberFormat="1" applyFont="1" applyAlignment="1">
      <alignment horizontal="center"/>
    </xf>
    <xf numFmtId="168" fontId="9" fillId="0" borderId="43" xfId="0" applyNumberFormat="1" applyFont="1" applyBorder="1" applyAlignment="1">
      <alignment horizontal="center"/>
    </xf>
    <xf numFmtId="0" fontId="11" fillId="0" borderId="103" xfId="4" applyNumberFormat="1" applyFont="1" applyBorder="1" applyAlignment="1">
      <alignment horizontal="left" vertical="center" wrapText="1"/>
    </xf>
    <xf numFmtId="0" fontId="11" fillId="0" borderId="73" xfId="4" applyNumberFormat="1" applyFont="1" applyBorder="1" applyAlignment="1">
      <alignment horizontal="left" vertical="center" wrapText="1"/>
    </xf>
    <xf numFmtId="0" fontId="10" fillId="0" borderId="101" xfId="4" applyNumberFormat="1" applyFont="1" applyBorder="1" applyAlignment="1">
      <alignment horizontal="left" vertical="top"/>
    </xf>
    <xf numFmtId="0" fontId="10" fillId="0" borderId="91" xfId="4" applyNumberFormat="1" applyFont="1" applyBorder="1" applyAlignment="1">
      <alignment horizontal="left" vertical="top"/>
    </xf>
    <xf numFmtId="0" fontId="10" fillId="0" borderId="77" xfId="4" applyNumberFormat="1" applyFont="1" applyBorder="1" applyAlignment="1">
      <alignment horizontal="left" vertical="top"/>
    </xf>
    <xf numFmtId="0" fontId="9" fillId="0" borderId="103" xfId="4" applyNumberFormat="1" applyFont="1" applyBorder="1" applyAlignment="1">
      <alignment horizontal="left" vertical="top" wrapText="1"/>
    </xf>
    <xf numFmtId="0" fontId="9" fillId="0" borderId="73" xfId="4" applyNumberFormat="1" applyFont="1" applyBorder="1" applyAlignment="1">
      <alignment horizontal="left" vertical="top" wrapText="1"/>
    </xf>
    <xf numFmtId="9" fontId="11" fillId="0" borderId="42" xfId="3" applyFont="1" applyFill="1" applyBorder="1" applyAlignment="1">
      <alignment horizontal="left" vertical="top" wrapText="1"/>
    </xf>
    <xf numFmtId="9" fontId="11" fillId="0" borderId="0" xfId="3" applyFont="1" applyFill="1" applyBorder="1" applyAlignment="1">
      <alignment horizontal="left" vertical="top" wrapText="1"/>
    </xf>
    <xf numFmtId="0" fontId="10" fillId="0" borderId="42" xfId="4" applyNumberFormat="1" applyFont="1" applyBorder="1" applyAlignment="1">
      <alignment horizontal="justify" vertical="top" wrapText="1"/>
    </xf>
    <xf numFmtId="0" fontId="10" fillId="0" borderId="0" xfId="4" applyNumberFormat="1" applyFont="1" applyAlignment="1">
      <alignment horizontal="justify" vertical="top" wrapText="1"/>
    </xf>
    <xf numFmtId="0" fontId="10" fillId="0" borderId="43" xfId="4" applyNumberFormat="1" applyFont="1" applyBorder="1" applyAlignment="1">
      <alignment horizontal="left" vertical="top" wrapText="1"/>
    </xf>
    <xf numFmtId="0" fontId="9" fillId="0" borderId="101" xfId="4" applyNumberFormat="1" applyFont="1" applyBorder="1" applyAlignment="1">
      <alignment horizontal="left" vertical="center"/>
    </xf>
    <xf numFmtId="0" fontId="10" fillId="0" borderId="10" xfId="4" applyNumberFormat="1" applyFont="1" applyBorder="1" applyAlignment="1">
      <alignment horizontal="left" vertical="top" wrapText="1"/>
    </xf>
    <xf numFmtId="0" fontId="9" fillId="0" borderId="103" xfId="4" applyNumberFormat="1" applyFont="1" applyBorder="1" applyAlignment="1">
      <alignment horizontal="left" vertical="center"/>
    </xf>
    <xf numFmtId="0" fontId="9" fillId="0" borderId="73" xfId="4" applyNumberFormat="1" applyFont="1" applyBorder="1" applyAlignment="1">
      <alignment horizontal="left" vertical="center"/>
    </xf>
    <xf numFmtId="0" fontId="0" fillId="0" borderId="83" xfId="0" applyBorder="1" applyAlignment="1">
      <alignment horizontal="center"/>
    </xf>
    <xf numFmtId="0" fontId="0" fillId="0" borderId="17" xfId="0" applyBorder="1" applyAlignment="1">
      <alignment horizontal="center"/>
    </xf>
    <xf numFmtId="168" fontId="9" fillId="0" borderId="99" xfId="4" applyNumberFormat="1" applyFont="1" applyBorder="1" applyAlignment="1">
      <alignment horizontal="center"/>
    </xf>
    <xf numFmtId="168" fontId="9" fillId="0" borderId="91" xfId="4" applyNumberFormat="1" applyFont="1" applyBorder="1" applyAlignment="1">
      <alignment horizontal="center"/>
    </xf>
    <xf numFmtId="168" fontId="9" fillId="0" borderId="84" xfId="4" applyNumberFormat="1" applyFont="1" applyBorder="1" applyAlignment="1">
      <alignment horizontal="center"/>
    </xf>
    <xf numFmtId="0" fontId="10" fillId="0" borderId="42" xfId="4" quotePrefix="1" applyNumberFormat="1" applyFont="1" applyBorder="1" applyAlignment="1">
      <alignment horizontal="left" vertical="top" wrapText="1"/>
    </xf>
    <xf numFmtId="0" fontId="10" fillId="0" borderId="0" xfId="4" quotePrefix="1" applyNumberFormat="1" applyFont="1" applyAlignment="1">
      <alignment horizontal="left" vertical="top" wrapText="1"/>
    </xf>
    <xf numFmtId="0" fontId="10" fillId="0" borderId="10" xfId="4" quotePrefix="1" applyNumberFormat="1" applyFont="1" applyBorder="1" applyAlignment="1">
      <alignment horizontal="left" vertical="top" wrapText="1"/>
    </xf>
    <xf numFmtId="164" fontId="10" fillId="0" borderId="73" xfId="1" applyNumberFormat="1" applyFont="1" applyFill="1" applyBorder="1" applyAlignment="1">
      <alignment horizontal="center"/>
    </xf>
    <xf numFmtId="9" fontId="9" fillId="0" borderId="73" xfId="3" applyFont="1" applyFill="1" applyBorder="1" applyAlignment="1">
      <alignment horizontal="center" vertical="center" wrapText="1"/>
    </xf>
    <xf numFmtId="167" fontId="9" fillId="0" borderId="21" xfId="3" applyNumberFormat="1" applyFont="1" applyFill="1" applyBorder="1" applyAlignment="1">
      <alignment horizontal="center"/>
    </xf>
    <xf numFmtId="167" fontId="9" fillId="0" borderId="27" xfId="3" applyNumberFormat="1" applyFont="1" applyFill="1" applyBorder="1" applyAlignment="1">
      <alignment horizontal="center"/>
    </xf>
    <xf numFmtId="167" fontId="9" fillId="0" borderId="87" xfId="3" applyNumberFormat="1" applyFont="1" applyFill="1" applyBorder="1" applyAlignment="1">
      <alignment horizontal="center"/>
    </xf>
    <xf numFmtId="167" fontId="9" fillId="0" borderId="42" xfId="3" applyNumberFormat="1" applyFont="1" applyFill="1" applyBorder="1" applyAlignment="1">
      <alignment horizontal="center"/>
    </xf>
    <xf numFmtId="167" fontId="9" fillId="0" borderId="0" xfId="3" applyNumberFormat="1" applyFont="1" applyFill="1" applyBorder="1" applyAlignment="1">
      <alignment horizontal="center"/>
    </xf>
    <xf numFmtId="167" fontId="9" fillId="0" borderId="43" xfId="3" applyNumberFormat="1" applyFont="1" applyFill="1" applyBorder="1" applyAlignment="1">
      <alignment horizontal="center"/>
    </xf>
    <xf numFmtId="1" fontId="9" fillId="0" borderId="76" xfId="4" applyNumberFormat="1" applyFont="1" applyBorder="1" applyAlignment="1">
      <alignment horizontal="center" vertical="center" wrapText="1"/>
    </xf>
    <xf numFmtId="1" fontId="9" fillId="0" borderId="13" xfId="4" applyNumberFormat="1" applyFont="1" applyBorder="1" applyAlignment="1">
      <alignment horizontal="center" vertical="center" wrapText="1"/>
    </xf>
    <xf numFmtId="1" fontId="9" fillId="0" borderId="14" xfId="4" applyNumberFormat="1" applyFont="1" applyBorder="1" applyAlignment="1">
      <alignment horizontal="center" vertical="center"/>
    </xf>
    <xf numFmtId="1" fontId="9" fillId="0" borderId="0" xfId="4" applyNumberFormat="1" applyFont="1" applyAlignment="1">
      <alignment horizontal="left" wrapText="1"/>
    </xf>
    <xf numFmtId="1" fontId="9" fillId="0" borderId="43" xfId="4" applyNumberFormat="1" applyFont="1" applyBorder="1" applyAlignment="1">
      <alignment horizontal="left" wrapText="1"/>
    </xf>
    <xf numFmtId="167" fontId="9" fillId="0" borderId="21" xfId="0" applyNumberFormat="1" applyFont="1" applyBorder="1" applyAlignment="1">
      <alignment horizontal="center" vertical="center" wrapText="1"/>
    </xf>
    <xf numFmtId="167" fontId="9" fillId="0" borderId="27" xfId="0" applyNumberFormat="1" applyFont="1" applyBorder="1" applyAlignment="1">
      <alignment horizontal="center" vertical="center" wrapText="1"/>
    </xf>
    <xf numFmtId="167" fontId="9" fillId="0" borderId="87" xfId="0" applyNumberFormat="1" applyFont="1" applyBorder="1" applyAlignment="1">
      <alignment horizontal="center" vertical="center" wrapText="1"/>
    </xf>
    <xf numFmtId="0" fontId="9" fillId="0" borderId="42" xfId="0" applyFont="1" applyBorder="1" applyAlignment="1">
      <alignment horizontal="center" vertical="center" wrapText="1"/>
    </xf>
    <xf numFmtId="0" fontId="9" fillId="0" borderId="0" xfId="0" applyFont="1" applyAlignment="1">
      <alignment horizontal="center" vertical="center" wrapText="1"/>
    </xf>
    <xf numFmtId="0" fontId="9" fillId="0" borderId="43" xfId="0" applyFont="1" applyBorder="1" applyAlignment="1">
      <alignment horizontal="center" vertical="center" wrapText="1"/>
    </xf>
    <xf numFmtId="1" fontId="10" fillId="0" borderId="0" xfId="4" applyNumberFormat="1" applyFont="1" applyAlignment="1">
      <alignment horizontal="left" wrapText="1"/>
    </xf>
    <xf numFmtId="1" fontId="10" fillId="0" borderId="43" xfId="4" applyNumberFormat="1" applyFont="1" applyBorder="1" applyAlignment="1">
      <alignment horizontal="left" wrapText="1"/>
    </xf>
    <xf numFmtId="0" fontId="9" fillId="0" borderId="42" xfId="0" applyFont="1" applyBorder="1" applyAlignment="1">
      <alignment horizontal="left" vertical="top" wrapText="1"/>
    </xf>
    <xf numFmtId="0" fontId="9" fillId="0" borderId="0" xfId="0" applyFont="1" applyAlignment="1">
      <alignment horizontal="left" vertical="top" wrapText="1"/>
    </xf>
    <xf numFmtId="0" fontId="9" fillId="0" borderId="10" xfId="0" applyFont="1" applyBorder="1" applyAlignment="1">
      <alignment horizontal="left" vertical="top" wrapText="1"/>
    </xf>
    <xf numFmtId="168" fontId="9" fillId="0" borderId="21" xfId="4" applyNumberFormat="1" applyFont="1" applyBorder="1" applyAlignment="1">
      <alignment horizontal="center" vertical="center"/>
    </xf>
    <xf numFmtId="168" fontId="9" fillId="0" borderId="27" xfId="4" applyNumberFormat="1" applyFont="1" applyBorder="1" applyAlignment="1">
      <alignment horizontal="center" vertical="center"/>
    </xf>
    <xf numFmtId="168" fontId="9" fillId="0" borderId="87" xfId="4" applyNumberFormat="1" applyFont="1" applyBorder="1" applyAlignment="1">
      <alignment horizontal="center" vertical="center"/>
    </xf>
    <xf numFmtId="9" fontId="10" fillId="3" borderId="12" xfId="3" applyFont="1" applyFill="1" applyBorder="1" applyAlignment="1">
      <alignment horizontal="left"/>
    </xf>
    <xf numFmtId="9" fontId="10" fillId="3" borderId="4" xfId="3" applyFont="1" applyFill="1" applyBorder="1" applyAlignment="1">
      <alignment horizontal="left"/>
    </xf>
    <xf numFmtId="0" fontId="9" fillId="0" borderId="9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2" xfId="0" applyFont="1" applyBorder="1" applyAlignment="1">
      <alignment horizontal="center" vertical="center" wrapText="1"/>
    </xf>
    <xf numFmtId="0" fontId="9" fillId="0" borderId="42" xfId="0" applyFont="1" applyBorder="1" applyAlignment="1">
      <alignment horizontal="left" vertical="center" wrapText="1"/>
    </xf>
    <xf numFmtId="0" fontId="9" fillId="0" borderId="0" xfId="0" applyFont="1" applyAlignment="1">
      <alignment horizontal="left" vertical="center" wrapText="1"/>
    </xf>
    <xf numFmtId="168" fontId="9" fillId="0" borderId="90" xfId="4" applyNumberFormat="1" applyFont="1" applyBorder="1" applyAlignment="1">
      <alignment horizontal="center"/>
    </xf>
    <xf numFmtId="168" fontId="9" fillId="0" borderId="4" xfId="4" applyNumberFormat="1" applyFont="1" applyBorder="1" applyAlignment="1">
      <alignment horizontal="center"/>
    </xf>
    <xf numFmtId="168" fontId="9" fillId="0" borderId="62" xfId="4" applyNumberFormat="1" applyFont="1" applyBorder="1" applyAlignment="1">
      <alignment horizontal="center"/>
    </xf>
    <xf numFmtId="0" fontId="10" fillId="0" borderId="88" xfId="4" applyNumberFormat="1" applyFont="1" applyBorder="1" applyAlignment="1">
      <alignment horizontal="left" vertical="top" wrapText="1"/>
    </xf>
    <xf numFmtId="0" fontId="10" fillId="0" borderId="78" xfId="4" applyNumberFormat="1" applyFont="1" applyBorder="1" applyAlignment="1">
      <alignment horizontal="left" vertical="top" wrapText="1"/>
    </xf>
    <xf numFmtId="0" fontId="10" fillId="0" borderId="92" xfId="4" applyNumberFormat="1" applyFont="1" applyBorder="1" applyAlignment="1">
      <alignment horizontal="left" vertical="top" wrapText="1"/>
    </xf>
    <xf numFmtId="0" fontId="11" fillId="0" borderId="42" xfId="0" applyFont="1" applyBorder="1" applyAlignment="1">
      <alignment horizontal="left" vertical="top" wrapText="1"/>
    </xf>
    <xf numFmtId="0" fontId="11" fillId="0" borderId="0" xfId="0" applyFont="1" applyAlignment="1">
      <alignment horizontal="left" vertical="top" wrapText="1"/>
    </xf>
    <xf numFmtId="0" fontId="9" fillId="0" borderId="42" xfId="4" applyNumberFormat="1" applyFont="1" applyBorder="1" applyAlignment="1">
      <alignment horizontal="justify" vertical="top" wrapText="1"/>
    </xf>
    <xf numFmtId="0" fontId="9" fillId="0" borderId="0" xfId="4" applyNumberFormat="1" applyFont="1" applyAlignment="1">
      <alignment horizontal="justify" vertical="top" wrapText="1"/>
    </xf>
    <xf numFmtId="0" fontId="9" fillId="3" borderId="6" xfId="4" applyNumberFormat="1" applyFont="1" applyFill="1" applyBorder="1" applyAlignment="1">
      <alignment horizontal="left" vertical="center"/>
    </xf>
    <xf numFmtId="0" fontId="9" fillId="3" borderId="5" xfId="4" applyNumberFormat="1" applyFont="1" applyFill="1" applyBorder="1" applyAlignment="1">
      <alignment horizontal="left" vertical="center"/>
    </xf>
    <xf numFmtId="0" fontId="9" fillId="3" borderId="12" xfId="4" applyNumberFormat="1" applyFont="1" applyFill="1" applyBorder="1" applyAlignment="1">
      <alignment horizontal="left" vertical="center"/>
    </xf>
    <xf numFmtId="0" fontId="9" fillId="3" borderId="4" xfId="4" applyNumberFormat="1" applyFont="1" applyFill="1" applyBorder="1" applyAlignment="1">
      <alignment horizontal="left" vertical="center"/>
    </xf>
    <xf numFmtId="9" fontId="10" fillId="3" borderId="7" xfId="3" applyFont="1" applyFill="1" applyBorder="1" applyAlignment="1">
      <alignment horizontal="left"/>
    </xf>
    <xf numFmtId="9" fontId="10" fillId="3" borderId="0" xfId="3" applyFont="1" applyFill="1" applyBorder="1" applyAlignment="1">
      <alignment horizontal="left"/>
    </xf>
    <xf numFmtId="9" fontId="10" fillId="0" borderId="42" xfId="4" applyNumberFormat="1" applyFont="1" applyBorder="1" applyAlignment="1">
      <alignment horizontal="left" vertical="top" wrapText="1"/>
    </xf>
    <xf numFmtId="9" fontId="10" fillId="0" borderId="0" xfId="4" applyNumberFormat="1" applyFont="1" applyAlignment="1">
      <alignment horizontal="left" vertical="top" wrapText="1"/>
    </xf>
    <xf numFmtId="168" fontId="9" fillId="0" borderId="99" xfId="4" applyNumberFormat="1" applyFont="1" applyBorder="1" applyAlignment="1">
      <alignment horizontal="center" vertical="center" wrapText="1"/>
    </xf>
    <xf numFmtId="168" fontId="9" fillId="0" borderId="91" xfId="4" applyNumberFormat="1" applyFont="1" applyBorder="1" applyAlignment="1">
      <alignment horizontal="center" vertical="center" wrapText="1"/>
    </xf>
    <xf numFmtId="168" fontId="9" fillId="0" borderId="84" xfId="4" applyNumberFormat="1" applyFont="1" applyBorder="1" applyAlignment="1">
      <alignment horizontal="center" vertical="center" wrapText="1"/>
    </xf>
    <xf numFmtId="0" fontId="9" fillId="0" borderId="99" xfId="4" applyNumberFormat="1" applyFont="1" applyBorder="1" applyAlignment="1">
      <alignment horizontal="center" vertical="top"/>
    </xf>
    <xf numFmtId="0" fontId="9" fillId="0" borderId="77" xfId="4" applyNumberFormat="1" applyFont="1" applyBorder="1" applyAlignment="1">
      <alignment horizontal="center" vertical="top"/>
    </xf>
    <xf numFmtId="164" fontId="10" fillId="0" borderId="99" xfId="1" applyNumberFormat="1" applyFont="1" applyFill="1" applyBorder="1" applyAlignment="1">
      <alignment horizontal="center" vertical="center"/>
    </xf>
    <xf numFmtId="164" fontId="10" fillId="0" borderId="77" xfId="1" applyNumberFormat="1" applyFont="1" applyFill="1" applyBorder="1" applyAlignment="1">
      <alignment horizontal="center" vertical="center"/>
    </xf>
    <xf numFmtId="0" fontId="10" fillId="0" borderId="42" xfId="4" applyNumberFormat="1" applyFont="1" applyBorder="1" applyAlignment="1">
      <alignment horizontal="left" vertical="top"/>
    </xf>
    <xf numFmtId="0" fontId="10" fillId="0" borderId="0" xfId="4" applyNumberFormat="1" applyFont="1" applyAlignment="1">
      <alignment horizontal="left" vertical="top"/>
    </xf>
    <xf numFmtId="0" fontId="10" fillId="0" borderId="10" xfId="4" applyNumberFormat="1" applyFont="1" applyBorder="1" applyAlignment="1">
      <alignment horizontal="left" vertical="top"/>
    </xf>
    <xf numFmtId="0" fontId="0" fillId="0" borderId="91" xfId="0" applyBorder="1" applyAlignment="1">
      <alignment horizontal="center" vertical="center" wrapText="1"/>
    </xf>
    <xf numFmtId="0" fontId="0" fillId="0" borderId="84" xfId="0" applyBorder="1" applyAlignment="1">
      <alignment horizontal="center" vertical="center" wrapText="1"/>
    </xf>
    <xf numFmtId="0" fontId="9" fillId="0" borderId="42" xfId="4" applyNumberFormat="1" applyFont="1" applyBorder="1" applyAlignment="1">
      <alignment horizontal="left" vertical="top" wrapText="1"/>
    </xf>
    <xf numFmtId="0" fontId="9" fillId="0" borderId="0" xfId="4" applyNumberFormat="1" applyFont="1" applyAlignment="1">
      <alignment horizontal="left" vertical="top" wrapText="1"/>
    </xf>
    <xf numFmtId="2" fontId="9" fillId="0" borderId="42" xfId="3" applyNumberFormat="1" applyFont="1" applyFill="1" applyBorder="1" applyAlignment="1">
      <alignment horizontal="left" vertical="top" wrapText="1"/>
    </xf>
    <xf numFmtId="2" fontId="9" fillId="0" borderId="0" xfId="3" applyNumberFormat="1" applyFont="1" applyFill="1" applyBorder="1" applyAlignment="1">
      <alignment horizontal="left" vertical="top" wrapText="1"/>
    </xf>
    <xf numFmtId="2" fontId="9" fillId="0" borderId="43" xfId="3" applyNumberFormat="1" applyFont="1" applyFill="1" applyBorder="1" applyAlignment="1">
      <alignment horizontal="left" vertical="top" wrapText="1"/>
    </xf>
    <xf numFmtId="9" fontId="9" fillId="0" borderId="42" xfId="3" applyFont="1" applyFill="1" applyBorder="1" applyAlignment="1">
      <alignment horizontal="left" vertical="top" wrapText="1"/>
    </xf>
    <xf numFmtId="9" fontId="9" fillId="0" borderId="0" xfId="3" applyFont="1" applyFill="1" applyBorder="1" applyAlignment="1">
      <alignment horizontal="left" vertical="top" wrapText="1"/>
    </xf>
    <xf numFmtId="2" fontId="10" fillId="0" borderId="42" xfId="3" applyNumberFormat="1" applyFont="1" applyFill="1" applyBorder="1" applyAlignment="1">
      <alignment horizontal="left" vertical="top" wrapText="1"/>
    </xf>
    <xf numFmtId="2" fontId="10" fillId="0" borderId="0" xfId="3" applyNumberFormat="1" applyFont="1" applyFill="1" applyBorder="1" applyAlignment="1">
      <alignment horizontal="left" vertical="top" wrapText="1"/>
    </xf>
    <xf numFmtId="2" fontId="10" fillId="0" borderId="43" xfId="3" applyNumberFormat="1" applyFont="1" applyFill="1" applyBorder="1" applyAlignment="1">
      <alignment horizontal="left" vertical="top" wrapText="1"/>
    </xf>
    <xf numFmtId="2" fontId="10" fillId="0" borderId="88" xfId="3" applyNumberFormat="1" applyFont="1" applyFill="1" applyBorder="1" applyAlignment="1">
      <alignment horizontal="left" vertical="top" wrapText="1"/>
    </xf>
    <xf numFmtId="2" fontId="10" fillId="0" borderId="78" xfId="3" applyNumberFormat="1" applyFont="1" applyFill="1" applyBorder="1" applyAlignment="1">
      <alignment horizontal="left" vertical="top" wrapText="1"/>
    </xf>
    <xf numFmtId="2" fontId="10" fillId="0" borderId="92" xfId="3" applyNumberFormat="1" applyFont="1" applyFill="1" applyBorder="1" applyAlignment="1">
      <alignment horizontal="left" vertical="top" wrapText="1"/>
    </xf>
    <xf numFmtId="0" fontId="9" fillId="0" borderId="93" xfId="4" applyNumberFormat="1" applyFont="1" applyBorder="1" applyAlignment="1">
      <alignment horizontal="left" vertical="center"/>
    </xf>
    <xf numFmtId="0" fontId="9" fillId="0" borderId="74" xfId="4" applyNumberFormat="1" applyFont="1" applyBorder="1" applyAlignment="1">
      <alignment horizontal="left" vertical="center"/>
    </xf>
    <xf numFmtId="0" fontId="9" fillId="0" borderId="90" xfId="4" applyNumberFormat="1" applyFont="1" applyBorder="1" applyAlignment="1">
      <alignment horizontal="left" vertical="center"/>
    </xf>
    <xf numFmtId="0" fontId="9" fillId="0" borderId="4" xfId="4" applyNumberFormat="1" applyFont="1" applyBorder="1" applyAlignment="1">
      <alignment horizontal="left" vertical="center"/>
    </xf>
    <xf numFmtId="168" fontId="9" fillId="0" borderId="2" xfId="4" applyNumberFormat="1" applyFont="1" applyBorder="1" applyAlignment="1">
      <alignment horizontal="center"/>
    </xf>
    <xf numFmtId="168" fontId="9" fillId="0" borderId="3" xfId="4" applyNumberFormat="1" applyFont="1" applyBorder="1" applyAlignment="1">
      <alignment horizontal="center"/>
    </xf>
    <xf numFmtId="168" fontId="9" fillId="0" borderId="22" xfId="4" applyNumberFormat="1" applyFont="1" applyBorder="1" applyAlignment="1">
      <alignment horizontal="center"/>
    </xf>
    <xf numFmtId="168" fontId="9" fillId="0" borderId="88" xfId="4" applyNumberFormat="1" applyFont="1" applyBorder="1" applyAlignment="1">
      <alignment horizontal="center"/>
    </xf>
    <xf numFmtId="168" fontId="9" fillId="0" borderId="78" xfId="4" applyNumberFormat="1" applyFont="1" applyBorder="1" applyAlignment="1">
      <alignment horizontal="center"/>
    </xf>
    <xf numFmtId="168" fontId="9" fillId="0" borderId="92" xfId="4" applyNumberFormat="1" applyFont="1" applyBorder="1" applyAlignment="1">
      <alignment horizontal="center"/>
    </xf>
    <xf numFmtId="168" fontId="9" fillId="0" borderId="42" xfId="4" applyNumberFormat="1" applyFont="1" applyBorder="1" applyAlignment="1">
      <alignment horizontal="center" vertical="center"/>
    </xf>
    <xf numFmtId="168" fontId="9" fillId="0" borderId="0" xfId="4" applyNumberFormat="1" applyFont="1" applyAlignment="1">
      <alignment horizontal="center" vertical="center"/>
    </xf>
    <xf numFmtId="168" fontId="9" fillId="0" borderId="43" xfId="4" applyNumberFormat="1" applyFont="1" applyBorder="1" applyAlignment="1">
      <alignment horizontal="center" vertical="center"/>
    </xf>
    <xf numFmtId="191" fontId="10" fillId="0" borderId="99" xfId="1" applyNumberFormat="1" applyFont="1" applyFill="1" applyBorder="1" applyAlignment="1">
      <alignment horizontal="right" vertical="center"/>
    </xf>
    <xf numFmtId="191" fontId="10" fillId="0" borderId="77" xfId="1" applyNumberFormat="1" applyFont="1" applyFill="1" applyBorder="1" applyAlignment="1">
      <alignment horizontal="right" vertical="center"/>
    </xf>
    <xf numFmtId="193" fontId="10" fillId="0" borderId="99" xfId="1" applyNumberFormat="1" applyFont="1" applyFill="1" applyBorder="1" applyAlignment="1">
      <alignment horizontal="right" vertical="center"/>
    </xf>
    <xf numFmtId="193" fontId="10" fillId="0" borderId="77" xfId="1" applyNumberFormat="1" applyFont="1" applyFill="1" applyBorder="1" applyAlignment="1">
      <alignment horizontal="right" vertical="center"/>
    </xf>
    <xf numFmtId="9" fontId="9" fillId="0" borderId="88" xfId="3" applyFont="1" applyFill="1" applyBorder="1" applyAlignment="1">
      <alignment horizontal="center"/>
    </xf>
    <xf numFmtId="9" fontId="9" fillId="0" borderId="78" xfId="3" applyFont="1" applyFill="1" applyBorder="1" applyAlignment="1">
      <alignment horizontal="center"/>
    </xf>
    <xf numFmtId="9" fontId="9" fillId="0" borderId="92" xfId="3" applyFont="1" applyFill="1" applyBorder="1" applyAlignment="1">
      <alignment horizontal="center"/>
    </xf>
    <xf numFmtId="168" fontId="58" fillId="0" borderId="73" xfId="16" applyNumberFormat="1" applyFont="1" applyBorder="1" applyAlignment="1">
      <alignment horizontal="center"/>
    </xf>
    <xf numFmtId="181" fontId="58" fillId="0" borderId="73" xfId="16" applyNumberFormat="1" applyFont="1" applyBorder="1" applyAlignment="1">
      <alignment horizontal="center"/>
    </xf>
    <xf numFmtId="0" fontId="122" fillId="3" borderId="18" xfId="0" applyFont="1" applyFill="1" applyBorder="1" applyAlignment="1">
      <alignment horizontal="center"/>
    </xf>
    <xf numFmtId="0" fontId="122" fillId="3" borderId="8" xfId="0" applyFont="1" applyFill="1" applyBorder="1" applyAlignment="1">
      <alignment horizontal="center"/>
    </xf>
    <xf numFmtId="0" fontId="122" fillId="3" borderId="20" xfId="0" applyFont="1" applyFill="1" applyBorder="1" applyAlignment="1">
      <alignment horizontal="center"/>
    </xf>
    <xf numFmtId="0" fontId="77" fillId="3" borderId="18" xfId="0" applyFont="1" applyFill="1" applyBorder="1" applyAlignment="1">
      <alignment horizontal="center"/>
    </xf>
    <xf numFmtId="0" fontId="77" fillId="3" borderId="8" xfId="0" applyFont="1" applyFill="1" applyBorder="1" applyAlignment="1">
      <alignment horizontal="center"/>
    </xf>
    <xf numFmtId="0" fontId="77" fillId="3" borderId="20" xfId="0" applyFont="1" applyFill="1" applyBorder="1" applyAlignment="1">
      <alignment horizontal="center"/>
    </xf>
    <xf numFmtId="0" fontId="122" fillId="3" borderId="11" xfId="0" applyFont="1" applyFill="1" applyBorder="1" applyAlignment="1">
      <alignment horizontal="left" vertical="center"/>
    </xf>
    <xf numFmtId="0" fontId="122" fillId="3" borderId="13" xfId="0" applyFont="1" applyFill="1" applyBorder="1" applyAlignment="1">
      <alignment horizontal="left" vertical="center"/>
    </xf>
    <xf numFmtId="0" fontId="122" fillId="0" borderId="11" xfId="0" applyFont="1" applyBorder="1" applyAlignment="1">
      <alignment horizontal="center" vertical="center"/>
    </xf>
    <xf numFmtId="0" fontId="122" fillId="0" borderId="13" xfId="0" applyFont="1" applyBorder="1" applyAlignment="1">
      <alignment horizontal="center" vertical="center"/>
    </xf>
    <xf numFmtId="0" fontId="122" fillId="3" borderId="6" xfId="0" applyFont="1" applyFill="1" applyBorder="1" applyAlignment="1">
      <alignment horizontal="left" vertical="center"/>
    </xf>
    <xf numFmtId="0" fontId="122" fillId="3" borderId="5" xfId="0" applyFont="1" applyFill="1" applyBorder="1" applyAlignment="1">
      <alignment horizontal="left" vertical="center"/>
    </xf>
    <xf numFmtId="0" fontId="122" fillId="3" borderId="9" xfId="0" applyFont="1" applyFill="1" applyBorder="1" applyAlignment="1">
      <alignment horizontal="left" vertical="center"/>
    </xf>
    <xf numFmtId="0" fontId="122" fillId="3" borderId="12" xfId="0" applyFont="1" applyFill="1" applyBorder="1" applyAlignment="1">
      <alignment horizontal="left" vertical="center"/>
    </xf>
    <xf numFmtId="0" fontId="122" fillId="3" borderId="4" xfId="0" applyFont="1" applyFill="1" applyBorder="1" applyAlignment="1">
      <alignment horizontal="left" vertical="center"/>
    </xf>
    <xf numFmtId="0" fontId="122" fillId="3" borderId="17" xfId="0" applyFont="1" applyFill="1" applyBorder="1" applyAlignment="1">
      <alignment horizontal="left" vertical="center"/>
    </xf>
    <xf numFmtId="168" fontId="81" fillId="0" borderId="64" xfId="26" applyNumberFormat="1" applyFont="1" applyBorder="1" applyAlignment="1">
      <alignment horizontal="center" vertical="top" wrapText="1"/>
    </xf>
    <xf numFmtId="168" fontId="81" fillId="0" borderId="91" xfId="26" applyNumberFormat="1" applyFont="1" applyBorder="1" applyAlignment="1">
      <alignment horizontal="center" vertical="top" wrapText="1"/>
    </xf>
    <xf numFmtId="168" fontId="81" fillId="0" borderId="84" xfId="26" applyNumberFormat="1" applyFont="1" applyBorder="1" applyAlignment="1">
      <alignment horizontal="center" vertical="top" wrapText="1"/>
    </xf>
    <xf numFmtId="168" fontId="81" fillId="0" borderId="76" xfId="26" applyNumberFormat="1" applyFont="1" applyBorder="1" applyAlignment="1">
      <alignment horizontal="center" vertical="top" wrapText="1"/>
    </xf>
    <xf numFmtId="168" fontId="81" fillId="0" borderId="80" xfId="26" applyNumberFormat="1" applyFont="1" applyBorder="1" applyAlignment="1">
      <alignment horizontal="center" vertical="top" wrapText="1"/>
    </xf>
    <xf numFmtId="173" fontId="81" fillId="0" borderId="14" xfId="27" applyNumberFormat="1" applyFont="1" applyFill="1" applyBorder="1" applyAlignment="1">
      <alignment horizontal="center"/>
    </xf>
    <xf numFmtId="170" fontId="81" fillId="0" borderId="42" xfId="27" applyNumberFormat="1" applyFont="1" applyFill="1" applyBorder="1" applyAlignment="1">
      <alignment horizontal="right"/>
    </xf>
    <xf numFmtId="170" fontId="81" fillId="0" borderId="0" xfId="27" applyNumberFormat="1" applyFont="1" applyFill="1" applyBorder="1" applyAlignment="1">
      <alignment horizontal="right"/>
    </xf>
    <xf numFmtId="170" fontId="81" fillId="0" borderId="10" xfId="27" applyNumberFormat="1" applyFont="1" applyFill="1" applyBorder="1" applyAlignment="1">
      <alignment horizontal="right"/>
    </xf>
    <xf numFmtId="168" fontId="58" fillId="0" borderId="6" xfId="16" applyNumberFormat="1" applyFont="1" applyBorder="1" applyAlignment="1">
      <alignment horizontal="center"/>
    </xf>
    <xf numFmtId="168" fontId="58" fillId="0" borderId="5" xfId="16" applyNumberFormat="1" applyFont="1" applyBorder="1" applyAlignment="1">
      <alignment horizontal="center"/>
    </xf>
    <xf numFmtId="168" fontId="58" fillId="0" borderId="9" xfId="16" applyNumberFormat="1" applyFont="1" applyBorder="1" applyAlignment="1">
      <alignment horizontal="center"/>
    </xf>
    <xf numFmtId="168" fontId="58" fillId="0" borderId="7" xfId="16" applyNumberFormat="1" applyFont="1" applyBorder="1" applyAlignment="1">
      <alignment horizontal="center"/>
    </xf>
    <xf numFmtId="168" fontId="58" fillId="0" borderId="0" xfId="16" applyNumberFormat="1" applyFont="1" applyAlignment="1">
      <alignment horizontal="center"/>
    </xf>
    <xf numFmtId="168" fontId="58" fillId="0" borderId="10" xfId="16" applyNumberFormat="1" applyFont="1" applyBorder="1" applyAlignment="1">
      <alignment horizontal="center"/>
    </xf>
    <xf numFmtId="181" fontId="58" fillId="0" borderId="7" xfId="16" applyNumberFormat="1" applyFont="1" applyBorder="1" applyAlignment="1">
      <alignment horizontal="center"/>
    </xf>
    <xf numFmtId="181" fontId="58" fillId="0" borderId="0" xfId="16" applyNumberFormat="1" applyFont="1" applyAlignment="1">
      <alignment horizontal="center"/>
    </xf>
    <xf numFmtId="181" fontId="58" fillId="0" borderId="10" xfId="16" applyNumberFormat="1" applyFont="1" applyBorder="1" applyAlignment="1">
      <alignment horizontal="center"/>
    </xf>
    <xf numFmtId="168" fontId="21" fillId="0" borderId="21" xfId="25" applyNumberFormat="1" applyFont="1" applyBorder="1" applyAlignment="1">
      <alignment horizontal="center"/>
    </xf>
    <xf numFmtId="168" fontId="21" fillId="0" borderId="27" xfId="25" applyNumberFormat="1" applyFont="1" applyBorder="1" applyAlignment="1">
      <alignment horizontal="center"/>
    </xf>
    <xf numFmtId="168" fontId="21" fillId="0" borderId="87" xfId="25" applyNumberFormat="1" applyFont="1" applyBorder="1" applyAlignment="1">
      <alignment horizontal="center"/>
    </xf>
    <xf numFmtId="168" fontId="21" fillId="0" borderId="42" xfId="25" applyNumberFormat="1" applyFont="1" applyBorder="1" applyAlignment="1">
      <alignment horizontal="center"/>
    </xf>
    <xf numFmtId="168" fontId="21" fillId="0" borderId="0" xfId="25" applyNumberFormat="1" applyFont="1" applyAlignment="1">
      <alignment horizontal="center"/>
    </xf>
    <xf numFmtId="168" fontId="21" fillId="0" borderId="43" xfId="25" applyNumberFormat="1" applyFont="1" applyBorder="1" applyAlignment="1">
      <alignment horizontal="center"/>
    </xf>
    <xf numFmtId="0" fontId="19" fillId="0" borderId="42" xfId="0" applyFont="1" applyBorder="1" applyAlignment="1">
      <alignment horizontal="left" vertical="top" wrapText="1"/>
    </xf>
    <xf numFmtId="0" fontId="19" fillId="0" borderId="0" xfId="0" applyFont="1" applyAlignment="1">
      <alignment horizontal="left" vertical="top" wrapText="1"/>
    </xf>
    <xf numFmtId="0" fontId="19" fillId="0" borderId="43" xfId="0" applyFont="1" applyBorder="1" applyAlignment="1">
      <alignment horizontal="left" vertical="top" wrapText="1"/>
    </xf>
    <xf numFmtId="168" fontId="9" fillId="0" borderId="0" xfId="4" applyNumberFormat="1" applyFont="1" applyAlignment="1">
      <alignment horizontal="right" wrapText="1"/>
    </xf>
    <xf numFmtId="168" fontId="9" fillId="0" borderId="43" xfId="4" applyNumberFormat="1" applyFont="1" applyBorder="1" applyAlignment="1">
      <alignment horizontal="right" wrapText="1"/>
    </xf>
    <xf numFmtId="0" fontId="3" fillId="0" borderId="7" xfId="38" applyFont="1" applyBorder="1" applyAlignment="1">
      <alignment horizontal="center"/>
    </xf>
    <xf numFmtId="0" fontId="3" fillId="0" borderId="0" xfId="38" applyFont="1" applyAlignment="1">
      <alignment horizontal="center"/>
    </xf>
    <xf numFmtId="0" fontId="3" fillId="0" borderId="75" xfId="38" applyFont="1" applyBorder="1" applyAlignment="1">
      <alignment horizontal="center"/>
    </xf>
    <xf numFmtId="0" fontId="3" fillId="0" borderId="74" xfId="38" applyFont="1" applyBorder="1" applyAlignment="1">
      <alignment horizontal="center"/>
    </xf>
    <xf numFmtId="0" fontId="113" fillId="0" borderId="7" xfId="39" applyFont="1" applyFill="1" applyBorder="1" applyAlignment="1" applyProtection="1">
      <alignment horizontal="center"/>
    </xf>
    <xf numFmtId="0" fontId="113" fillId="0" borderId="0" xfId="39" applyFont="1" applyFill="1" applyBorder="1" applyAlignment="1" applyProtection="1">
      <alignment horizontal="center"/>
    </xf>
    <xf numFmtId="170" fontId="24" fillId="0" borderId="0" xfId="9" applyFont="1" applyAlignment="1">
      <alignment horizontal="center" vertical="top"/>
    </xf>
    <xf numFmtId="170" fontId="24" fillId="0" borderId="0" xfId="9" applyFont="1" applyBorder="1" applyAlignment="1">
      <alignment horizontal="center" vertical="top"/>
    </xf>
    <xf numFmtId="170" fontId="26" fillId="0" borderId="0" xfId="9" applyFont="1" applyBorder="1" applyAlignment="1">
      <alignment horizontal="center" vertical="top"/>
    </xf>
    <xf numFmtId="170" fontId="27" fillId="0" borderId="49" xfId="9" applyFont="1" applyBorder="1" applyAlignment="1">
      <alignment horizontal="center" vertical="top" wrapText="1"/>
    </xf>
    <xf numFmtId="170" fontId="27" fillId="0" borderId="56" xfId="9" applyFont="1" applyBorder="1" applyAlignment="1">
      <alignment horizontal="center" vertical="top" wrapText="1"/>
    </xf>
    <xf numFmtId="170" fontId="27" fillId="0" borderId="50" xfId="9" applyFont="1" applyBorder="1" applyAlignment="1">
      <alignment horizontal="center" vertical="center"/>
    </xf>
    <xf numFmtId="170" fontId="27" fillId="0" borderId="57" xfId="9" applyFont="1" applyBorder="1" applyAlignment="1">
      <alignment horizontal="center" vertical="center"/>
    </xf>
    <xf numFmtId="170" fontId="27" fillId="0" borderId="51" xfId="9" applyFont="1" applyBorder="1" applyAlignment="1">
      <alignment horizontal="center"/>
    </xf>
    <xf numFmtId="170" fontId="27" fillId="0" borderId="52" xfId="9" applyFont="1" applyBorder="1" applyAlignment="1">
      <alignment horizontal="center"/>
    </xf>
    <xf numFmtId="170" fontId="27" fillId="0" borderId="53" xfId="9" applyFont="1" applyBorder="1" applyAlignment="1">
      <alignment horizontal="center"/>
    </xf>
    <xf numFmtId="170" fontId="27" fillId="0" borderId="55" xfId="9" applyFont="1" applyBorder="1" applyAlignment="1">
      <alignment horizontal="center"/>
    </xf>
    <xf numFmtId="170" fontId="27" fillId="0" borderId="54" xfId="9" applyFont="1" applyBorder="1" applyAlignment="1">
      <alignment horizontal="center"/>
    </xf>
    <xf numFmtId="168" fontId="51" fillId="0" borderId="0" xfId="12" applyNumberFormat="1" applyFont="1" applyAlignment="1">
      <alignment horizontal="center"/>
    </xf>
    <xf numFmtId="164" fontId="2" fillId="0" borderId="1" xfId="0" applyNumberFormat="1" applyFont="1" applyBorder="1" applyAlignment="1">
      <alignment horizontal="center"/>
    </xf>
    <xf numFmtId="0" fontId="20" fillId="0" borderId="3" xfId="0" applyFont="1" applyBorder="1" applyAlignment="1">
      <alignment horizontal="center"/>
    </xf>
    <xf numFmtId="0" fontId="20" fillId="0" borderId="22" xfId="0" applyFont="1" applyBorder="1" applyAlignment="1">
      <alignment horizontal="center"/>
    </xf>
    <xf numFmtId="0" fontId="21" fillId="0" borderId="23" xfId="0" applyFont="1" applyBorder="1" applyAlignment="1" applyProtection="1">
      <alignment horizontal="center" vertical="center"/>
      <protection hidden="1"/>
    </xf>
    <xf numFmtId="0" fontId="21" fillId="0" borderId="29" xfId="0" applyFont="1" applyBorder="1" applyAlignment="1" applyProtection="1">
      <alignment horizontal="center" vertical="center"/>
      <protection hidden="1"/>
    </xf>
    <xf numFmtId="14" fontId="22" fillId="0" borderId="24" xfId="0" applyNumberFormat="1" applyFont="1" applyBorder="1" applyAlignment="1" applyProtection="1">
      <alignment horizontal="center" vertical="center"/>
      <protection hidden="1"/>
    </xf>
    <xf numFmtId="14" fontId="22" fillId="0" borderId="25" xfId="0" applyNumberFormat="1" applyFont="1" applyBorder="1" applyAlignment="1" applyProtection="1">
      <alignment horizontal="center" vertical="center"/>
      <protection hidden="1"/>
    </xf>
    <xf numFmtId="14" fontId="22" fillId="0" borderId="26" xfId="0" applyNumberFormat="1" applyFont="1" applyBorder="1" applyAlignment="1" applyProtection="1">
      <alignment horizontal="center" vertical="center"/>
      <protection hidden="1"/>
    </xf>
    <xf numFmtId="14" fontId="22" fillId="0" borderId="24" xfId="0" applyNumberFormat="1" applyFont="1" applyBorder="1" applyAlignment="1" applyProtection="1">
      <alignment horizontal="center"/>
      <protection hidden="1"/>
    </xf>
    <xf numFmtId="0" fontId="22" fillId="0" borderId="25" xfId="0" applyFont="1" applyBorder="1" applyAlignment="1" applyProtection="1">
      <alignment horizontal="center"/>
      <protection hidden="1"/>
    </xf>
    <xf numFmtId="0" fontId="22" fillId="0" borderId="27" xfId="0" applyFont="1" applyBorder="1" applyAlignment="1" applyProtection="1">
      <alignment horizontal="center"/>
      <protection hidden="1"/>
    </xf>
    <xf numFmtId="0" fontId="2" fillId="0" borderId="1" xfId="0" applyFont="1" applyBorder="1" applyAlignment="1">
      <alignment horizontal="left" vertical="center"/>
    </xf>
    <xf numFmtId="173" fontId="18" fillId="0" borderId="11" xfId="20" applyNumberFormat="1" applyFont="1" applyFill="1" applyBorder="1" applyAlignment="1">
      <alignment horizontal="center" wrapText="1"/>
    </xf>
    <xf numFmtId="168" fontId="57" fillId="0" borderId="14" xfId="21" applyNumberFormat="1" applyFont="1" applyBorder="1" applyAlignment="1">
      <alignment horizontal="center" wrapText="1"/>
    </xf>
    <xf numFmtId="168" fontId="57" fillId="0" borderId="13" xfId="21" applyNumberFormat="1" applyFont="1" applyBorder="1" applyAlignment="1">
      <alignment horizontal="center" wrapText="1"/>
    </xf>
    <xf numFmtId="0" fontId="18" fillId="0" borderId="6" xfId="19" applyFont="1" applyBorder="1" applyAlignment="1">
      <alignment horizontal="center"/>
    </xf>
    <xf numFmtId="0" fontId="18" fillId="0" borderId="5" xfId="19" applyFont="1" applyBorder="1" applyAlignment="1">
      <alignment horizontal="center"/>
    </xf>
    <xf numFmtId="0" fontId="18" fillId="0" borderId="9" xfId="19" applyFont="1" applyBorder="1" applyAlignment="1">
      <alignment horizontal="center"/>
    </xf>
    <xf numFmtId="168" fontId="18" fillId="0" borderId="7" xfId="21" applyNumberFormat="1" applyFont="1" applyBorder="1" applyAlignment="1">
      <alignment horizontal="center"/>
    </xf>
    <xf numFmtId="168" fontId="18" fillId="0" borderId="0" xfId="21" applyNumberFormat="1" applyFont="1" applyAlignment="1">
      <alignment horizontal="center"/>
    </xf>
    <xf numFmtId="168" fontId="18" fillId="0" borderId="10" xfId="21" applyNumberFormat="1" applyFont="1" applyBorder="1" applyAlignment="1">
      <alignment horizontal="center"/>
    </xf>
    <xf numFmtId="0" fontId="71" fillId="0" borderId="7" xfId="22" applyFont="1" applyFill="1" applyBorder="1" applyAlignment="1" applyProtection="1">
      <alignment horizontal="center"/>
    </xf>
    <xf numFmtId="0" fontId="71" fillId="0" borderId="0" xfId="22" applyFont="1" applyFill="1" applyBorder="1" applyAlignment="1" applyProtection="1">
      <alignment horizontal="center"/>
    </xf>
    <xf numFmtId="0" fontId="71" fillId="0" borderId="10" xfId="22" applyFont="1" applyFill="1" applyBorder="1" applyAlignment="1" applyProtection="1">
      <alignment horizontal="center"/>
    </xf>
    <xf numFmtId="173" fontId="18" fillId="0" borderId="7" xfId="20" applyNumberFormat="1" applyFont="1" applyFill="1" applyBorder="1" applyAlignment="1">
      <alignment horizontal="center"/>
    </xf>
    <xf numFmtId="173" fontId="18" fillId="0" borderId="0" xfId="20" applyNumberFormat="1" applyFont="1" applyFill="1" applyBorder="1" applyAlignment="1">
      <alignment horizontal="center"/>
    </xf>
    <xf numFmtId="173" fontId="18" fillId="0" borderId="10" xfId="20" applyNumberFormat="1" applyFont="1" applyFill="1" applyBorder="1" applyAlignment="1">
      <alignment horizontal="center"/>
    </xf>
    <xf numFmtId="173" fontId="18" fillId="0" borderId="18" xfId="20" applyNumberFormat="1" applyFont="1" applyFill="1" applyBorder="1" applyAlignment="1">
      <alignment horizontal="center"/>
    </xf>
    <xf numFmtId="173" fontId="18" fillId="0" borderId="20" xfId="20" applyNumberFormat="1" applyFont="1" applyFill="1" applyBorder="1" applyAlignment="1">
      <alignment horizontal="center"/>
    </xf>
    <xf numFmtId="173" fontId="18" fillId="0" borderId="18" xfId="23" applyNumberFormat="1" applyFont="1" applyFill="1" applyBorder="1" applyAlignment="1">
      <alignment horizontal="center"/>
    </xf>
    <xf numFmtId="173" fontId="18" fillId="0" borderId="20" xfId="23" applyNumberFormat="1" applyFont="1" applyFill="1" applyBorder="1" applyAlignment="1">
      <alignment horizontal="center"/>
    </xf>
    <xf numFmtId="0" fontId="2" fillId="0" borderId="73" xfId="0" applyFont="1" applyBorder="1" applyAlignment="1">
      <alignment horizontal="center"/>
    </xf>
    <xf numFmtId="167" fontId="9" fillId="0" borderId="6" xfId="0" applyNumberFormat="1" applyFont="1" applyBorder="1" applyAlignment="1">
      <alignment horizontal="center" vertical="center" wrapText="1"/>
    </xf>
    <xf numFmtId="167" fontId="9" fillId="0" borderId="5" xfId="0" applyNumberFormat="1" applyFont="1" applyBorder="1" applyAlignment="1">
      <alignment horizontal="center" vertical="center" wrapText="1"/>
    </xf>
    <xf numFmtId="0" fontId="9" fillId="0" borderId="12" xfId="0" applyFont="1" applyBorder="1" applyAlignment="1">
      <alignment horizontal="center" vertical="center" wrapText="1"/>
    </xf>
    <xf numFmtId="0" fontId="9" fillId="0" borderId="1" xfId="0" applyFont="1" applyBorder="1" applyAlignment="1">
      <alignment horizontal="left" vertical="center" wrapText="1"/>
    </xf>
    <xf numFmtId="164" fontId="9" fillId="0" borderId="1" xfId="1" applyNumberFormat="1" applyFont="1" applyFill="1" applyBorder="1" applyAlignment="1">
      <alignment horizontal="center" vertical="center" wrapText="1"/>
    </xf>
    <xf numFmtId="0" fontId="2" fillId="3" borderId="99" xfId="0" applyFont="1" applyFill="1" applyBorder="1" applyAlignment="1">
      <alignment horizontal="center"/>
    </xf>
    <xf numFmtId="0" fontId="2" fillId="3" borderId="77" xfId="0" applyFont="1" applyFill="1" applyBorder="1" applyAlignment="1">
      <alignment horizontal="center"/>
    </xf>
    <xf numFmtId="0" fontId="2" fillId="3" borderId="73" xfId="0" applyFont="1" applyFill="1" applyBorder="1" applyAlignment="1">
      <alignment horizontal="center"/>
    </xf>
    <xf numFmtId="0" fontId="63" fillId="0" borderId="73" xfId="0" applyFont="1" applyBorder="1" applyAlignment="1">
      <alignment horizontal="center"/>
    </xf>
    <xf numFmtId="0" fontId="99" fillId="0" borderId="73" xfId="32" applyFont="1" applyBorder="1" applyAlignment="1" applyProtection="1">
      <alignment horizontal="left" shrinkToFit="1"/>
      <protection locked="0"/>
    </xf>
    <xf numFmtId="15" fontId="93" fillId="4" borderId="1" xfId="32" applyNumberFormat="1" applyFont="1" applyFill="1" applyBorder="1" applyAlignment="1" applyProtection="1">
      <alignment horizontal="center" vertical="center" wrapText="1"/>
      <protection locked="0"/>
    </xf>
    <xf numFmtId="0" fontId="96" fillId="0" borderId="0" xfId="32" applyFont="1" applyAlignment="1" applyProtection="1">
      <alignment horizontal="left" vertical="center" wrapText="1"/>
      <protection locked="0"/>
    </xf>
    <xf numFmtId="170" fontId="97" fillId="0" borderId="73" xfId="33" applyFont="1" applyFill="1" applyBorder="1" applyAlignment="1" applyProtection="1">
      <alignment horizontal="left" vertical="center" shrinkToFit="1"/>
      <protection locked="0"/>
    </xf>
    <xf numFmtId="0" fontId="93" fillId="0" borderId="73" xfId="32" applyFont="1" applyBorder="1" applyAlignment="1" applyProtection="1">
      <alignment horizontal="left" shrinkToFit="1"/>
      <protection locked="0"/>
    </xf>
    <xf numFmtId="0" fontId="91" fillId="7" borderId="0" xfId="32" applyFont="1" applyFill="1" applyAlignment="1" applyProtection="1">
      <alignment horizontal="center" vertical="center" shrinkToFit="1"/>
      <protection locked="0"/>
    </xf>
    <xf numFmtId="0" fontId="92" fillId="7" borderId="0" xfId="32" applyFont="1" applyFill="1" applyAlignment="1" applyProtection="1">
      <alignment horizontal="center" vertical="top" wrapText="1"/>
      <protection locked="0"/>
    </xf>
    <xf numFmtId="0" fontId="93" fillId="4" borderId="1" xfId="32" applyFont="1" applyFill="1" applyBorder="1" applyAlignment="1" applyProtection="1">
      <alignment horizontal="center" vertical="center" wrapText="1"/>
      <protection locked="0"/>
    </xf>
    <xf numFmtId="0" fontId="93" fillId="4" borderId="1" xfId="32" applyFont="1" applyFill="1" applyBorder="1" applyAlignment="1" applyProtection="1">
      <alignment horizontal="center" vertical="center" shrinkToFit="1"/>
      <protection locked="0"/>
    </xf>
    <xf numFmtId="170" fontId="93" fillId="4" borderId="1" xfId="33"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3" xfId="0" applyFont="1" applyBorder="1" applyAlignment="1">
      <alignment horizontal="center" vertical="center" wrapText="1"/>
    </xf>
    <xf numFmtId="43" fontId="2" fillId="0" borderId="1" xfId="1" applyFont="1" applyBorder="1" applyAlignment="1">
      <alignment horizontal="center"/>
    </xf>
    <xf numFmtId="0" fontId="2" fillId="0" borderId="1" xfId="0" applyFont="1" applyBorder="1" applyAlignment="1">
      <alignment horizontal="center" vertical="center" wrapText="1"/>
    </xf>
    <xf numFmtId="43" fontId="2" fillId="0" borderId="11" xfId="1" applyFont="1" applyBorder="1" applyAlignment="1">
      <alignment horizontal="center" vertical="center" wrapText="1"/>
    </xf>
    <xf numFmtId="43" fontId="2" fillId="0" borderId="13" xfId="1" applyFont="1" applyBorder="1" applyAlignment="1">
      <alignment horizontal="center" vertical="center" wrapText="1"/>
    </xf>
    <xf numFmtId="0" fontId="49" fillId="0" borderId="0" xfId="0" applyFont="1" applyAlignment="1">
      <alignment horizontal="center"/>
    </xf>
    <xf numFmtId="0" fontId="49" fillId="0" borderId="0" xfId="11" applyFont="1" applyAlignment="1">
      <alignment horizontal="center"/>
    </xf>
    <xf numFmtId="0" fontId="50" fillId="0" borderId="0" xfId="11" applyFont="1" applyAlignment="1">
      <alignment horizontal="center" vertical="center"/>
    </xf>
    <xf numFmtId="0" fontId="2" fillId="4" borderId="1" xfId="11" applyFont="1" applyFill="1" applyBorder="1" applyAlignment="1">
      <alignment horizontal="center" vertical="center"/>
    </xf>
    <xf numFmtId="0" fontId="2" fillId="4" borderId="11" xfId="11" applyFont="1" applyFill="1" applyBorder="1" applyAlignment="1">
      <alignment horizontal="center" vertical="center" wrapText="1" shrinkToFit="1"/>
    </xf>
    <xf numFmtId="0" fontId="2" fillId="4" borderId="13" xfId="11" applyFont="1" applyFill="1" applyBorder="1" applyAlignment="1">
      <alignment horizontal="center" vertical="center" wrapText="1" shrinkToFit="1"/>
    </xf>
    <xf numFmtId="0" fontId="2" fillId="4" borderId="1" xfId="11" applyFont="1" applyFill="1" applyBorder="1" applyAlignment="1">
      <alignment horizontal="center"/>
    </xf>
    <xf numFmtId="0" fontId="2" fillId="0" borderId="99" xfId="0" applyFont="1" applyBorder="1" applyAlignment="1">
      <alignment horizontal="center"/>
    </xf>
    <xf numFmtId="0" fontId="2" fillId="0" borderId="91" xfId="0" applyFont="1" applyBorder="1" applyAlignment="1">
      <alignment horizontal="center"/>
    </xf>
    <xf numFmtId="0" fontId="2" fillId="0" borderId="77" xfId="0" applyFont="1" applyBorder="1" applyAlignment="1">
      <alignment horizontal="center"/>
    </xf>
    <xf numFmtId="15" fontId="93" fillId="4" borderId="73" xfId="32" applyNumberFormat="1" applyFont="1" applyFill="1" applyBorder="1" applyAlignment="1" applyProtection="1">
      <alignment horizontal="center" vertical="center" wrapText="1"/>
      <protection locked="0"/>
    </xf>
    <xf numFmtId="0" fontId="93" fillId="4" borderId="73" xfId="32" applyFont="1" applyFill="1" applyBorder="1" applyAlignment="1" applyProtection="1">
      <alignment horizontal="center" vertical="center" wrapText="1"/>
      <protection locked="0"/>
    </xf>
    <xf numFmtId="0" fontId="93" fillId="4" borderId="73" xfId="32" applyFont="1" applyFill="1" applyBorder="1" applyAlignment="1" applyProtection="1">
      <alignment horizontal="center" vertical="center" shrinkToFit="1"/>
      <protection locked="0"/>
    </xf>
    <xf numFmtId="170" fontId="93" fillId="4" borderId="73" xfId="33" applyFont="1" applyFill="1" applyBorder="1" applyAlignment="1" applyProtection="1">
      <alignment horizontal="center" vertical="center" wrapText="1"/>
      <protection locked="0"/>
    </xf>
    <xf numFmtId="0" fontId="81" fillId="0" borderId="19" xfId="0" applyFont="1" applyBorder="1" applyAlignment="1">
      <alignment horizontal="right"/>
    </xf>
    <xf numFmtId="0" fontId="81" fillId="0" borderId="65" xfId="0" applyFont="1" applyBorder="1" applyAlignment="1">
      <alignment horizontal="right"/>
    </xf>
    <xf numFmtId="0" fontId="81" fillId="0" borderId="15" xfId="0" applyFont="1" applyBorder="1" applyAlignment="1">
      <alignment horizontal="right"/>
    </xf>
    <xf numFmtId="0" fontId="86" fillId="0" borderId="7" xfId="0" applyFont="1" applyBorder="1" applyAlignment="1">
      <alignment horizontal="center"/>
    </xf>
    <xf numFmtId="0" fontId="86" fillId="0" borderId="10" xfId="0" applyFont="1" applyBorder="1" applyAlignment="1">
      <alignment horizontal="center"/>
    </xf>
    <xf numFmtId="0" fontId="86" fillId="0" borderId="66" xfId="0" applyFont="1" applyBorder="1" applyAlignment="1">
      <alignment horizontal="center"/>
    </xf>
    <xf numFmtId="0" fontId="86" fillId="0" borderId="70" xfId="0" applyFont="1" applyBorder="1" applyAlignment="1">
      <alignment horizontal="center"/>
    </xf>
    <xf numFmtId="0" fontId="86" fillId="0" borderId="18" xfId="0" applyFont="1" applyBorder="1" applyAlignment="1">
      <alignment horizontal="center"/>
    </xf>
    <xf numFmtId="0" fontId="86" fillId="0" borderId="8" xfId="0" applyFont="1" applyBorder="1" applyAlignment="1">
      <alignment horizontal="center"/>
    </xf>
    <xf numFmtId="0" fontId="86" fillId="0" borderId="20" xfId="0" applyFont="1" applyBorder="1" applyAlignment="1">
      <alignment horizontal="center"/>
    </xf>
    <xf numFmtId="0" fontId="86" fillId="0" borderId="6" xfId="0" applyFont="1" applyBorder="1" applyAlignment="1">
      <alignment horizontal="center"/>
    </xf>
    <xf numFmtId="0" fontId="86" fillId="0" borderId="9" xfId="0" applyFont="1" applyBorder="1" applyAlignment="1">
      <alignment horizontal="center"/>
    </xf>
    <xf numFmtId="0" fontId="87" fillId="0" borderId="0" xfId="0" applyFont="1" applyAlignment="1">
      <alignment horizontal="center"/>
    </xf>
    <xf numFmtId="0" fontId="88" fillId="0" borderId="0" xfId="0" applyFont="1" applyAlignment="1">
      <alignment horizontal="center"/>
    </xf>
    <xf numFmtId="0" fontId="0" fillId="0" borderId="0" xfId="0" applyFill="1"/>
    <xf numFmtId="164" fontId="0" fillId="0" borderId="0" xfId="0" applyNumberFormat="1" applyFill="1"/>
    <xf numFmtId="0" fontId="75" fillId="0" borderId="0" xfId="0" applyFont="1" applyFill="1"/>
    <xf numFmtId="0" fontId="9" fillId="0" borderId="93" xfId="0" applyFont="1" applyFill="1" applyBorder="1" applyAlignment="1">
      <alignment vertical="center" wrapText="1"/>
    </xf>
    <xf numFmtId="168" fontId="10" fillId="0" borderId="74" xfId="4" applyNumberFormat="1" applyFont="1" applyFill="1" applyBorder="1"/>
    <xf numFmtId="1" fontId="9" fillId="0" borderId="76" xfId="4" applyNumberFormat="1" applyFont="1" applyFill="1" applyBorder="1" applyAlignment="1">
      <alignment horizontal="center" vertical="center" wrapText="1"/>
    </xf>
    <xf numFmtId="0" fontId="10" fillId="0" borderId="90" xfId="0" applyFont="1" applyFill="1" applyBorder="1" applyAlignment="1">
      <alignment vertical="center" wrapText="1"/>
    </xf>
    <xf numFmtId="168" fontId="10" fillId="0" borderId="4" xfId="4" applyNumberFormat="1" applyFont="1" applyFill="1" applyBorder="1"/>
    <xf numFmtId="1" fontId="9" fillId="0" borderId="13" xfId="4" applyNumberFormat="1" applyFont="1" applyFill="1" applyBorder="1" applyAlignment="1">
      <alignment horizontal="center" vertical="center" wrapText="1"/>
    </xf>
    <xf numFmtId="0" fontId="9" fillId="0" borderId="42" xfId="0" applyFont="1" applyFill="1" applyBorder="1" applyAlignment="1">
      <alignment vertical="top" wrapText="1"/>
    </xf>
    <xf numFmtId="168" fontId="10" fillId="0" borderId="0" xfId="4" applyNumberFormat="1" applyFont="1" applyFill="1"/>
    <xf numFmtId="0" fontId="10" fillId="0" borderId="14" xfId="0" applyFont="1" applyFill="1" applyBorder="1" applyAlignment="1">
      <alignment vertical="center" wrapText="1"/>
    </xf>
    <xf numFmtId="0" fontId="10" fillId="0" borderId="42" xfId="0" applyFont="1" applyFill="1" applyBorder="1" applyAlignment="1">
      <alignment vertical="top"/>
    </xf>
    <xf numFmtId="1" fontId="9" fillId="0" borderId="14" xfId="4" applyNumberFormat="1" applyFont="1" applyFill="1" applyBorder="1" applyAlignment="1">
      <alignment horizontal="center" vertical="center"/>
    </xf>
    <xf numFmtId="10" fontId="115" fillId="0" borderId="0" xfId="2" applyNumberFormat="1" applyFont="1" applyFill="1"/>
    <xf numFmtId="0" fontId="10" fillId="0" borderId="42" xfId="0" applyFont="1" applyFill="1" applyBorder="1" applyAlignment="1">
      <alignment vertical="top" wrapText="1"/>
    </xf>
    <xf numFmtId="1" fontId="9" fillId="0" borderId="14" xfId="4" applyNumberFormat="1" applyFont="1" applyFill="1" applyBorder="1" applyAlignment="1">
      <alignment horizontal="center"/>
    </xf>
    <xf numFmtId="10" fontId="75" fillId="0" borderId="0" xfId="0" applyNumberFormat="1" applyFont="1" applyFill="1"/>
    <xf numFmtId="0" fontId="10" fillId="0" borderId="42" xfId="0" applyFont="1" applyFill="1" applyBorder="1" applyAlignment="1">
      <alignment vertical="center" wrapText="1"/>
    </xf>
    <xf numFmtId="0" fontId="10" fillId="0" borderId="42" xfId="0" applyFont="1" applyFill="1" applyBorder="1" applyAlignment="1">
      <alignment horizontal="left" vertical="top" wrapText="1"/>
    </xf>
    <xf numFmtId="164" fontId="106" fillId="0" borderId="0" xfId="0" applyNumberFormat="1" applyFont="1" applyFill="1"/>
    <xf numFmtId="0" fontId="9" fillId="0" borderId="42" xfId="0" applyFont="1" applyFill="1" applyBorder="1" applyAlignment="1">
      <alignment horizontal="left" vertical="top" wrapText="1"/>
    </xf>
    <xf numFmtId="0" fontId="10" fillId="0" borderId="42" xfId="0" applyFont="1" applyFill="1" applyBorder="1" applyAlignment="1">
      <alignment horizontal="left" vertical="top"/>
    </xf>
    <xf numFmtId="168" fontId="10" fillId="0" borderId="10" xfId="4" applyNumberFormat="1" applyFont="1" applyFill="1" applyBorder="1"/>
    <xf numFmtId="1" fontId="9" fillId="0" borderId="0" xfId="4" applyNumberFormat="1" applyFont="1" applyFill="1" applyAlignment="1">
      <alignment horizontal="center"/>
    </xf>
    <xf numFmtId="0" fontId="9" fillId="0" borderId="42" xfId="0" applyFont="1" applyFill="1" applyBorder="1" applyAlignment="1">
      <alignment vertical="center" wrapText="1"/>
    </xf>
    <xf numFmtId="164" fontId="75" fillId="0" borderId="0" xfId="0" applyNumberFormat="1" applyFont="1" applyFill="1"/>
    <xf numFmtId="0" fontId="106" fillId="0" borderId="0" xfId="0" applyFont="1" applyFill="1"/>
    <xf numFmtId="0" fontId="9" fillId="0" borderId="42" xfId="0" applyFont="1" applyFill="1" applyBorder="1" applyAlignment="1">
      <alignment vertical="center"/>
    </xf>
    <xf numFmtId="164" fontId="115" fillId="0" borderId="0" xfId="0" applyNumberFormat="1" applyFont="1" applyFill="1"/>
    <xf numFmtId="164" fontId="9" fillId="0" borderId="42" xfId="0" applyNumberFormat="1" applyFont="1" applyFill="1" applyBorder="1" applyAlignment="1">
      <alignment vertical="center"/>
    </xf>
    <xf numFmtId="180" fontId="75" fillId="0" borderId="0" xfId="0" applyNumberFormat="1" applyFont="1" applyFill="1"/>
    <xf numFmtId="0" fontId="10" fillId="0" borderId="7" xfId="0" applyFont="1" applyFill="1" applyBorder="1" applyAlignment="1">
      <alignment vertical="center" wrapText="1"/>
    </xf>
    <xf numFmtId="0" fontId="9" fillId="0" borderId="90" xfId="0" applyFont="1" applyFill="1" applyBorder="1" applyAlignment="1">
      <alignment vertical="center"/>
    </xf>
    <xf numFmtId="0" fontId="9" fillId="0" borderId="13"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applyAlignment="1">
      <alignment vertical="center" wrapText="1"/>
    </xf>
    <xf numFmtId="0" fontId="10" fillId="0" borderId="42" xfId="4" applyNumberFormat="1" applyFont="1" applyFill="1" applyBorder="1"/>
    <xf numFmtId="0" fontId="10" fillId="0" borderId="0" xfId="4" applyNumberFormat="1" applyFont="1" applyFill="1"/>
    <xf numFmtId="1" fontId="10" fillId="0" borderId="0" xfId="4" applyNumberFormat="1" applyFont="1" applyFill="1"/>
    <xf numFmtId="168" fontId="9" fillId="0" borderId="42" xfId="4" applyNumberFormat="1" applyFont="1" applyFill="1" applyBorder="1"/>
    <xf numFmtId="168" fontId="9" fillId="0" borderId="0" xfId="4" applyNumberFormat="1" applyFont="1" applyFill="1"/>
    <xf numFmtId="1" fontId="9" fillId="0" borderId="0" xfId="4" applyNumberFormat="1" applyFont="1" applyFill="1" applyAlignment="1">
      <alignment horizontal="left"/>
    </xf>
    <xf numFmtId="168" fontId="10" fillId="0" borderId="42" xfId="4" applyNumberFormat="1" applyFont="1" applyFill="1" applyBorder="1" applyAlignment="1">
      <alignment vertical="center"/>
    </xf>
    <xf numFmtId="1" fontId="9" fillId="0" borderId="0" xfId="4" applyNumberFormat="1" applyFont="1" applyFill="1" applyAlignment="1">
      <alignment horizontal="left" wrapText="1"/>
    </xf>
    <xf numFmtId="1" fontId="9" fillId="0" borderId="43" xfId="4" applyNumberFormat="1" applyFont="1" applyFill="1" applyBorder="1" applyAlignment="1">
      <alignment horizontal="left" wrapText="1"/>
    </xf>
    <xf numFmtId="1" fontId="9" fillId="0" borderId="0" xfId="4" applyNumberFormat="1" applyFont="1" applyFill="1" applyAlignment="1">
      <alignment horizontal="left" wrapText="1"/>
    </xf>
    <xf numFmtId="168" fontId="10" fillId="0" borderId="42" xfId="4" applyNumberFormat="1" applyFont="1" applyFill="1" applyBorder="1"/>
    <xf numFmtId="1" fontId="10" fillId="0" borderId="0" xfId="4" applyNumberFormat="1" applyFont="1" applyFill="1" applyAlignment="1">
      <alignment horizontal="left"/>
    </xf>
    <xf numFmtId="1" fontId="10" fillId="0" borderId="78" xfId="4" applyNumberFormat="1" applyFont="1" applyFill="1" applyBorder="1"/>
    <xf numFmtId="167" fontId="9" fillId="0" borderId="21" xfId="0" applyNumberFormat="1" applyFont="1" applyFill="1" applyBorder="1" applyAlignment="1">
      <alignment horizontal="center" vertical="center" wrapText="1"/>
    </xf>
    <xf numFmtId="167" fontId="9" fillId="0" borderId="27" xfId="0" applyNumberFormat="1" applyFont="1" applyFill="1" applyBorder="1" applyAlignment="1">
      <alignment horizontal="center" vertical="center" wrapText="1"/>
    </xf>
    <xf numFmtId="167" fontId="9" fillId="0" borderId="87" xfId="0" applyNumberFormat="1" applyFont="1" applyFill="1" applyBorder="1" applyAlignment="1">
      <alignment horizontal="center" vertical="center" wrapText="1"/>
    </xf>
    <xf numFmtId="167" fontId="9" fillId="0" borderId="0" xfId="0" applyNumberFormat="1" applyFont="1" applyFill="1" applyAlignment="1">
      <alignment horizontal="center" vertical="center" wrapText="1"/>
    </xf>
    <xf numFmtId="0" fontId="9" fillId="0" borderId="90"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0" xfId="0" applyFont="1" applyFill="1" applyAlignment="1">
      <alignment horizontal="center" vertical="center" wrapText="1"/>
    </xf>
    <xf numFmtId="168" fontId="10" fillId="0" borderId="83" xfId="4" applyNumberFormat="1" applyFont="1" applyFill="1" applyBorder="1"/>
    <xf numFmtId="168" fontId="10" fillId="0" borderId="17" xfId="4" applyNumberFormat="1" applyFont="1" applyFill="1" applyBorder="1"/>
    <xf numFmtId="1" fontId="9" fillId="0" borderId="75" xfId="4" applyNumberFormat="1" applyFont="1" applyFill="1" applyBorder="1" applyAlignment="1">
      <alignment horizontal="center"/>
    </xf>
    <xf numFmtId="1" fontId="9" fillId="0" borderId="7" xfId="4" applyNumberFormat="1" applyFont="1" applyFill="1" applyBorder="1" applyAlignment="1">
      <alignment horizontal="center"/>
    </xf>
    <xf numFmtId="0" fontId="10" fillId="0" borderId="42" xfId="0" applyFont="1" applyFill="1" applyBorder="1" applyAlignment="1">
      <alignment vertical="center"/>
    </xf>
    <xf numFmtId="0" fontId="10" fillId="0" borderId="42" xfId="0" applyFont="1" applyFill="1" applyBorder="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10" xfId="0" applyFont="1" applyFill="1" applyBorder="1" applyAlignment="1">
      <alignment horizontal="left" vertical="top" wrapText="1"/>
    </xf>
    <xf numFmtId="0" fontId="9" fillId="0" borderId="0" xfId="0" applyFont="1" applyFill="1" applyAlignment="1">
      <alignment vertical="center"/>
    </xf>
    <xf numFmtId="0" fontId="9" fillId="0" borderId="10"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left" vertical="center" wrapText="1"/>
    </xf>
    <xf numFmtId="0" fontId="10" fillId="0" borderId="0" xfId="0" applyFont="1" applyFill="1" applyAlignment="1">
      <alignment vertical="center"/>
    </xf>
    <xf numFmtId="0" fontId="10" fillId="0" borderId="0" xfId="0" applyFont="1" applyFill="1" applyAlignment="1">
      <alignment vertical="top"/>
    </xf>
    <xf numFmtId="0" fontId="9" fillId="0" borderId="0" xfId="0" applyFont="1" applyFill="1" applyAlignment="1">
      <alignment vertical="top" wrapText="1"/>
    </xf>
    <xf numFmtId="0" fontId="9" fillId="0" borderId="42" xfId="0" applyFont="1" applyFill="1" applyBorder="1" applyAlignment="1">
      <alignment horizontal="left" vertical="top" wrapText="1"/>
    </xf>
    <xf numFmtId="0" fontId="9" fillId="0" borderId="0" xfId="0" applyFont="1" applyFill="1" applyAlignment="1">
      <alignment horizontal="left" vertical="top" wrapText="1"/>
    </xf>
    <xf numFmtId="0" fontId="9" fillId="0" borderId="10" xfId="0" applyFont="1" applyFill="1" applyBorder="1" applyAlignment="1">
      <alignment horizontal="left" vertical="top" wrapText="1"/>
    </xf>
    <xf numFmtId="0" fontId="9" fillId="0" borderId="0" xfId="0" applyFont="1" applyFill="1" applyAlignment="1">
      <alignment horizontal="left" vertical="top" wrapText="1"/>
    </xf>
    <xf numFmtId="0" fontId="9" fillId="0" borderId="7" xfId="0" applyFont="1" applyFill="1" applyBorder="1" applyAlignment="1">
      <alignment horizontal="center" vertical="center" wrapText="1"/>
    </xf>
    <xf numFmtId="0" fontId="9" fillId="0" borderId="4" xfId="0" applyFont="1" applyFill="1" applyBorder="1" applyAlignment="1">
      <alignment vertical="center"/>
    </xf>
    <xf numFmtId="0" fontId="9" fillId="0" borderId="4" xfId="0" applyFont="1" applyFill="1" applyBorder="1" applyAlignment="1">
      <alignment horizontal="left" vertical="center" wrapText="1"/>
    </xf>
    <xf numFmtId="0" fontId="10" fillId="0" borderId="74" xfId="0" applyFont="1" applyFill="1" applyBorder="1" applyAlignment="1">
      <alignment horizontal="center" vertical="center" wrapText="1"/>
    </xf>
    <xf numFmtId="0" fontId="9" fillId="0" borderId="42" xfId="4" applyNumberFormat="1" applyFont="1" applyFill="1" applyBorder="1"/>
    <xf numFmtId="1" fontId="9" fillId="0" borderId="0" xfId="4" applyNumberFormat="1" applyFont="1" applyFill="1"/>
    <xf numFmtId="0" fontId="9" fillId="0" borderId="42" xfId="4" applyNumberFormat="1" applyFont="1" applyFill="1" applyBorder="1" applyAlignment="1">
      <alignment vertical="top"/>
    </xf>
    <xf numFmtId="1" fontId="10" fillId="0" borderId="0" xfId="4" applyNumberFormat="1" applyFont="1" applyFill="1" applyAlignment="1">
      <alignment horizontal="left" wrapText="1"/>
    </xf>
    <xf numFmtId="1" fontId="10" fillId="0" borderId="43" xfId="4" applyNumberFormat="1" applyFont="1" applyFill="1" applyBorder="1" applyAlignment="1">
      <alignment horizontal="left" wrapText="1"/>
    </xf>
    <xf numFmtId="1" fontId="10" fillId="0" borderId="0" xfId="4" applyNumberFormat="1" applyFont="1" applyFill="1" applyAlignment="1">
      <alignment horizontal="left" wrapText="1"/>
    </xf>
    <xf numFmtId="168" fontId="10" fillId="0" borderId="88" xfId="4" applyNumberFormat="1" applyFont="1" applyFill="1" applyBorder="1"/>
    <xf numFmtId="168" fontId="10" fillId="0" borderId="78" xfId="4" applyNumberFormat="1" applyFont="1" applyFill="1" applyBorder="1"/>
    <xf numFmtId="168" fontId="9" fillId="0" borderId="21" xfId="4" applyNumberFormat="1" applyFont="1" applyFill="1" applyBorder="1" applyAlignment="1">
      <alignment horizontal="center" vertical="center"/>
    </xf>
    <xf numFmtId="168" fontId="9" fillId="0" borderId="27" xfId="4" applyNumberFormat="1" applyFont="1" applyFill="1" applyBorder="1" applyAlignment="1">
      <alignment horizontal="center" vertical="center"/>
    </xf>
    <xf numFmtId="168" fontId="9" fillId="0" borderId="87" xfId="4" applyNumberFormat="1" applyFont="1" applyFill="1" applyBorder="1" applyAlignment="1">
      <alignment horizontal="center" vertical="center"/>
    </xf>
    <xf numFmtId="168" fontId="9" fillId="0" borderId="0" xfId="4" applyNumberFormat="1" applyFont="1" applyFill="1" applyAlignment="1">
      <alignment horizontal="center" vertical="center"/>
    </xf>
    <xf numFmtId="0" fontId="9" fillId="0" borderId="42"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43" xfId="0" applyFont="1" applyFill="1" applyBorder="1" applyAlignment="1">
      <alignment horizontal="center" vertical="center" wrapText="1"/>
    </xf>
    <xf numFmtId="168" fontId="9" fillId="0" borderId="93" xfId="4" applyNumberFormat="1" applyFont="1" applyFill="1" applyBorder="1" applyAlignment="1">
      <alignment horizontal="left" vertical="center"/>
    </xf>
    <xf numFmtId="1" fontId="9" fillId="0" borderId="74" xfId="4" applyNumberFormat="1" applyFont="1" applyFill="1" applyBorder="1" applyAlignment="1">
      <alignment horizontal="center"/>
    </xf>
    <xf numFmtId="1" fontId="9" fillId="0" borderId="4" xfId="4" applyNumberFormat="1" applyFont="1" applyFill="1" applyBorder="1"/>
    <xf numFmtId="0" fontId="11" fillId="0" borderId="42" xfId="0" applyFont="1" applyFill="1" applyBorder="1"/>
    <xf numFmtId="0" fontId="12" fillId="0" borderId="0" xfId="0" applyFont="1" applyFill="1"/>
    <xf numFmtId="0" fontId="10" fillId="0" borderId="0" xfId="0" applyFont="1" applyFill="1"/>
    <xf numFmtId="0" fontId="10" fillId="0" borderId="42" xfId="0" applyFont="1" applyFill="1" applyBorder="1"/>
    <xf numFmtId="0" fontId="9" fillId="0" borderId="42" xfId="4" applyNumberFormat="1" applyFont="1" applyFill="1" applyBorder="1" applyAlignment="1">
      <alignment horizontal="left" vertical="top"/>
    </xf>
    <xf numFmtId="0" fontId="13" fillId="0" borderId="0" xfId="0" applyFont="1" applyFill="1"/>
    <xf numFmtId="0" fontId="9" fillId="0" borderId="42" xfId="0" applyFont="1" applyFill="1" applyBorder="1"/>
    <xf numFmtId="0" fontId="9" fillId="0" borderId="0" xfId="0" applyFont="1" applyFill="1"/>
    <xf numFmtId="0" fontId="10" fillId="0" borderId="90" xfId="0" applyFont="1" applyFill="1" applyBorder="1"/>
    <xf numFmtId="0" fontId="10" fillId="0" borderId="4" xfId="0" applyFont="1" applyFill="1" applyBorder="1"/>
    <xf numFmtId="0" fontId="10" fillId="0" borderId="93" xfId="0" applyFont="1" applyFill="1" applyBorder="1"/>
    <xf numFmtId="0" fontId="10" fillId="0" borderId="74" xfId="0" applyFont="1" applyFill="1" applyBorder="1"/>
    <xf numFmtId="0" fontId="10" fillId="0" borderId="0" xfId="4" applyNumberFormat="1" applyFont="1" applyFill="1" applyAlignment="1">
      <alignment horizontal="justify" vertical="top" wrapText="1"/>
    </xf>
    <xf numFmtId="168" fontId="9" fillId="0" borderId="90" xfId="4" applyNumberFormat="1" applyFont="1" applyFill="1" applyBorder="1" applyAlignment="1">
      <alignment horizontal="center"/>
    </xf>
    <xf numFmtId="168" fontId="9" fillId="0" borderId="4" xfId="4" applyNumberFormat="1" applyFont="1" applyFill="1" applyBorder="1" applyAlignment="1">
      <alignment horizontal="center"/>
    </xf>
    <xf numFmtId="168" fontId="9" fillId="0" borderId="62" xfId="4" applyNumberFormat="1" applyFont="1" applyFill="1" applyBorder="1" applyAlignment="1">
      <alignment horizontal="center"/>
    </xf>
    <xf numFmtId="168" fontId="9" fillId="0" borderId="0" xfId="4" applyNumberFormat="1" applyFont="1" applyFill="1" applyAlignment="1">
      <alignment horizontal="center"/>
    </xf>
    <xf numFmtId="0" fontId="10" fillId="0" borderId="42" xfId="4" applyNumberFormat="1" applyFont="1" applyFill="1" applyBorder="1" applyAlignment="1">
      <alignment horizontal="justify" vertical="top" wrapText="1"/>
    </xf>
    <xf numFmtId="0" fontId="10" fillId="0" borderId="0" xfId="4" applyNumberFormat="1" applyFont="1" applyFill="1" applyAlignment="1">
      <alignment horizontal="justify" vertical="top" wrapText="1"/>
    </xf>
    <xf numFmtId="9" fontId="10" fillId="0" borderId="42" xfId="4" applyNumberFormat="1" applyFont="1" applyFill="1" applyBorder="1" applyAlignment="1">
      <alignment horizontal="left" vertical="top" wrapText="1"/>
    </xf>
    <xf numFmtId="9" fontId="10" fillId="0" borderId="0" xfId="4" applyNumberFormat="1" applyFont="1" applyFill="1" applyAlignment="1">
      <alignment horizontal="left" vertical="top" wrapText="1"/>
    </xf>
    <xf numFmtId="0" fontId="10" fillId="0" borderId="42" xfId="4" applyNumberFormat="1" applyFont="1" applyFill="1" applyBorder="1" applyAlignment="1">
      <alignment horizontal="justify" vertical="top" wrapText="1"/>
    </xf>
    <xf numFmtId="168" fontId="10" fillId="0" borderId="0" xfId="4" applyNumberFormat="1" applyFont="1" applyFill="1" applyAlignment="1">
      <alignment horizontal="justify" vertical="top" wrapText="1"/>
    </xf>
    <xf numFmtId="0" fontId="10" fillId="0" borderId="42" xfId="4" applyNumberFormat="1" applyFont="1" applyFill="1" applyBorder="1" applyAlignment="1">
      <alignment horizontal="left" vertical="top"/>
    </xf>
    <xf numFmtId="0" fontId="10" fillId="0" borderId="0" xfId="4" applyNumberFormat="1" applyFont="1" applyFill="1" applyAlignment="1">
      <alignment horizontal="left" vertical="top"/>
    </xf>
    <xf numFmtId="0" fontId="10" fillId="0" borderId="10" xfId="4" applyNumberFormat="1" applyFont="1" applyFill="1" applyBorder="1" applyAlignment="1">
      <alignment horizontal="left" vertical="top"/>
    </xf>
    <xf numFmtId="0" fontId="10" fillId="0" borderId="42" xfId="4" applyNumberFormat="1" applyFont="1" applyFill="1" applyBorder="1" applyAlignment="1">
      <alignment vertical="top"/>
    </xf>
    <xf numFmtId="0" fontId="10" fillId="0" borderId="0" xfId="4" applyNumberFormat="1" applyFont="1" applyFill="1" applyAlignment="1">
      <alignment vertical="top"/>
    </xf>
    <xf numFmtId="0" fontId="9" fillId="0" borderId="0" xfId="4" applyNumberFormat="1" applyFont="1" applyFill="1" applyAlignment="1">
      <alignment vertical="top"/>
    </xf>
    <xf numFmtId="0" fontId="11" fillId="0" borderId="42" xfId="4" applyNumberFormat="1" applyFont="1" applyFill="1" applyBorder="1" applyAlignment="1">
      <alignment vertical="top"/>
    </xf>
    <xf numFmtId="0" fontId="9" fillId="0" borderId="103" xfId="4" applyNumberFormat="1" applyFont="1" applyFill="1" applyBorder="1" applyAlignment="1">
      <alignment horizontal="left" vertical="center"/>
    </xf>
    <xf numFmtId="168" fontId="9" fillId="0" borderId="99" xfId="4" applyNumberFormat="1" applyFont="1" applyFill="1" applyBorder="1" applyAlignment="1">
      <alignment horizontal="center" vertical="center" wrapText="1"/>
    </xf>
    <xf numFmtId="168" fontId="9" fillId="0" borderId="91" xfId="4" applyNumberFormat="1" applyFont="1" applyFill="1" applyBorder="1" applyAlignment="1">
      <alignment horizontal="center" vertical="center" wrapText="1"/>
    </xf>
    <xf numFmtId="168" fontId="9" fillId="0" borderId="84" xfId="4" applyNumberFormat="1" applyFont="1" applyFill="1" applyBorder="1" applyAlignment="1">
      <alignment horizontal="center" vertical="center" wrapText="1"/>
    </xf>
    <xf numFmtId="168" fontId="9" fillId="0" borderId="0" xfId="4" applyNumberFormat="1" applyFont="1" applyFill="1" applyAlignment="1">
      <alignment horizontal="center" vertical="center" wrapText="1"/>
    </xf>
    <xf numFmtId="0" fontId="9" fillId="0" borderId="99" xfId="4" applyNumberFormat="1" applyFont="1" applyFill="1" applyBorder="1" applyAlignment="1">
      <alignment horizontal="center" vertical="top"/>
    </xf>
    <xf numFmtId="0" fontId="9" fillId="0" borderId="77" xfId="4" applyNumberFormat="1" applyFont="1" applyFill="1" applyBorder="1" applyAlignment="1">
      <alignment horizontal="center" vertical="top"/>
    </xf>
    <xf numFmtId="1" fontId="9" fillId="0" borderId="73" xfId="4" applyNumberFormat="1" applyFont="1" applyFill="1" applyBorder="1"/>
    <xf numFmtId="0" fontId="10" fillId="0" borderId="103" xfId="4" applyNumberFormat="1" applyFont="1" applyFill="1" applyBorder="1" applyAlignment="1">
      <alignment vertical="top" wrapText="1"/>
    </xf>
    <xf numFmtId="0" fontId="0" fillId="0" borderId="91" xfId="0" applyFill="1" applyBorder="1" applyAlignment="1">
      <alignment horizontal="center" vertical="center" wrapText="1"/>
    </xf>
    <xf numFmtId="0" fontId="0" fillId="0" borderId="84" xfId="0" applyFill="1" applyBorder="1" applyAlignment="1">
      <alignment horizontal="center" vertical="center" wrapText="1"/>
    </xf>
    <xf numFmtId="0" fontId="0" fillId="0" borderId="0" xfId="0" applyFill="1" applyAlignment="1">
      <alignment horizontal="center" vertical="center" wrapText="1"/>
    </xf>
    <xf numFmtId="0" fontId="10" fillId="0" borderId="42" xfId="4" applyNumberFormat="1" applyFont="1" applyFill="1" applyBorder="1" applyAlignment="1">
      <alignment horizontal="left" vertical="top" wrapText="1"/>
    </xf>
    <xf numFmtId="0" fontId="10" fillId="0" borderId="0" xfId="4" applyNumberFormat="1" applyFont="1" applyFill="1" applyAlignment="1">
      <alignment horizontal="left" vertical="top" wrapText="1"/>
    </xf>
    <xf numFmtId="0" fontId="10" fillId="0" borderId="43" xfId="4" applyNumberFormat="1" applyFont="1" applyFill="1" applyBorder="1" applyAlignment="1">
      <alignment horizontal="left" vertical="top" wrapText="1"/>
    </xf>
    <xf numFmtId="0" fontId="10" fillId="0" borderId="0" xfId="4" applyNumberFormat="1" applyFont="1" applyFill="1" applyAlignment="1">
      <alignment horizontal="left" vertical="top" wrapText="1"/>
    </xf>
    <xf numFmtId="0" fontId="10" fillId="0" borderId="88" xfId="4" applyNumberFormat="1" applyFont="1" applyFill="1" applyBorder="1" applyAlignment="1">
      <alignment horizontal="left" vertical="top" wrapText="1"/>
    </xf>
    <xf numFmtId="0" fontId="10" fillId="0" borderId="78" xfId="4" applyNumberFormat="1" applyFont="1" applyFill="1" applyBorder="1" applyAlignment="1">
      <alignment horizontal="left" vertical="top" wrapText="1"/>
    </xf>
    <xf numFmtId="0" fontId="10" fillId="0" borderId="92" xfId="4" applyNumberFormat="1" applyFont="1" applyFill="1" applyBorder="1" applyAlignment="1">
      <alignment horizontal="left" vertical="top" wrapText="1"/>
    </xf>
    <xf numFmtId="0" fontId="11" fillId="0" borderId="42" xfId="0" applyFont="1" applyFill="1" applyBorder="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vertical="top" wrapText="1"/>
    </xf>
    <xf numFmtId="0" fontId="9" fillId="0" borderId="42" xfId="4" applyNumberFormat="1" applyFont="1" applyFill="1" applyBorder="1" applyAlignment="1">
      <alignment horizontal="justify" vertical="top" wrapText="1"/>
    </xf>
    <xf numFmtId="0" fontId="9" fillId="0" borderId="0" xfId="4" applyNumberFormat="1" applyFont="1" applyFill="1" applyAlignment="1">
      <alignment horizontal="justify" vertical="top" wrapText="1"/>
    </xf>
    <xf numFmtId="169" fontId="10" fillId="0" borderId="0" xfId="4" applyNumberFormat="1" applyFont="1" applyFill="1" applyAlignment="1">
      <alignment vertical="top"/>
    </xf>
    <xf numFmtId="43" fontId="56" fillId="0" borderId="0" xfId="1" applyFont="1" applyFill="1"/>
    <xf numFmtId="0" fontId="56" fillId="0" borderId="0" xfId="0" applyFont="1" applyFill="1"/>
    <xf numFmtId="0" fontId="0" fillId="0" borderId="42" xfId="0" applyFill="1" applyBorder="1"/>
    <xf numFmtId="0" fontId="0" fillId="0" borderId="43" xfId="0" applyFill="1" applyBorder="1"/>
    <xf numFmtId="0" fontId="10" fillId="0" borderId="42" xfId="4" applyNumberFormat="1" applyFont="1" applyFill="1" applyBorder="1" applyAlignment="1">
      <alignment horizontal="left"/>
    </xf>
    <xf numFmtId="0" fontId="10" fillId="0" borderId="0" xfId="4" applyNumberFormat="1" applyFont="1" applyFill="1" applyAlignment="1">
      <alignment horizontal="left"/>
    </xf>
    <xf numFmtId="1" fontId="10" fillId="0" borderId="0" xfId="4" applyNumberFormat="1" applyFont="1" applyFill="1" applyAlignment="1">
      <alignment wrapText="1"/>
    </xf>
    <xf numFmtId="0" fontId="11" fillId="0" borderId="42" xfId="4" applyNumberFormat="1" applyFont="1" applyFill="1" applyBorder="1"/>
    <xf numFmtId="0" fontId="11" fillId="0" borderId="0" xfId="4" applyNumberFormat="1" applyFont="1" applyFill="1"/>
    <xf numFmtId="0" fontId="10" fillId="0" borderId="42" xfId="4" applyNumberFormat="1" applyFont="1" applyFill="1" applyBorder="1" applyAlignment="1">
      <alignment horizontal="left" wrapText="1"/>
    </xf>
    <xf numFmtId="0" fontId="10" fillId="0" borderId="0" xfId="4" applyNumberFormat="1" applyFont="1" applyFill="1" applyAlignment="1">
      <alignment horizontal="left" wrapText="1"/>
    </xf>
    <xf numFmtId="0" fontId="9" fillId="0" borderId="42" xfId="4" applyNumberFormat="1" applyFont="1" applyFill="1" applyBorder="1" applyAlignment="1">
      <alignment horizontal="left"/>
    </xf>
    <xf numFmtId="0" fontId="9" fillId="0" borderId="93" xfId="4" applyNumberFormat="1" applyFont="1" applyFill="1" applyBorder="1" applyAlignment="1">
      <alignment horizontal="left" vertical="center"/>
    </xf>
    <xf numFmtId="0" fontId="9" fillId="0" borderId="74" xfId="4" applyNumberFormat="1" applyFont="1" applyFill="1" applyBorder="1" applyAlignment="1">
      <alignment horizontal="left" vertical="center"/>
    </xf>
    <xf numFmtId="0" fontId="9" fillId="0" borderId="74" xfId="4" applyNumberFormat="1" applyFont="1" applyFill="1" applyBorder="1" applyAlignment="1">
      <alignment horizontal="left" vertical="center"/>
    </xf>
    <xf numFmtId="14" fontId="9" fillId="0" borderId="74" xfId="4" applyNumberFormat="1" applyFont="1" applyFill="1" applyBorder="1" applyAlignment="1">
      <alignment horizontal="center"/>
    </xf>
    <xf numFmtId="14" fontId="9" fillId="0" borderId="75" xfId="4" applyNumberFormat="1" applyFont="1" applyFill="1" applyBorder="1" applyAlignment="1">
      <alignment horizontal="center"/>
    </xf>
    <xf numFmtId="14" fontId="9" fillId="0" borderId="80" xfId="4" applyNumberFormat="1" applyFont="1" applyFill="1" applyBorder="1" applyAlignment="1">
      <alignment horizontal="center"/>
    </xf>
    <xf numFmtId="14" fontId="9" fillId="0" borderId="0" xfId="4" applyNumberFormat="1" applyFont="1" applyFill="1" applyAlignment="1">
      <alignment horizontal="center"/>
    </xf>
    <xf numFmtId="0" fontId="9" fillId="0" borderId="90" xfId="4" applyNumberFormat="1" applyFont="1" applyFill="1" applyBorder="1" applyAlignment="1">
      <alignment horizontal="left" vertical="center"/>
    </xf>
    <xf numFmtId="0" fontId="9" fillId="0" borderId="4" xfId="4" applyNumberFormat="1" applyFont="1" applyFill="1" applyBorder="1" applyAlignment="1">
      <alignment horizontal="left" vertical="center"/>
    </xf>
    <xf numFmtId="0" fontId="9" fillId="0" borderId="4" xfId="4" applyNumberFormat="1" applyFont="1" applyFill="1" applyBorder="1" applyAlignment="1">
      <alignment horizontal="left" vertical="center"/>
    </xf>
    <xf numFmtId="170" fontId="9" fillId="0" borderId="4" xfId="4" applyNumberFormat="1" applyFont="1" applyFill="1" applyBorder="1" applyAlignment="1">
      <alignment horizontal="center" vertical="center" wrapText="1"/>
    </xf>
    <xf numFmtId="0" fontId="9" fillId="0" borderId="6" xfId="4" applyNumberFormat="1" applyFont="1" applyFill="1" applyBorder="1" applyAlignment="1">
      <alignment horizontal="left" vertical="center"/>
    </xf>
    <xf numFmtId="0" fontId="9" fillId="0" borderId="5" xfId="4" applyNumberFormat="1" applyFont="1" applyFill="1" applyBorder="1" applyAlignment="1">
      <alignment horizontal="left" vertical="center"/>
    </xf>
    <xf numFmtId="1" fontId="9" fillId="0" borderId="5" xfId="4" applyNumberFormat="1" applyFont="1" applyFill="1" applyBorder="1" applyAlignment="1">
      <alignment horizontal="center"/>
    </xf>
    <xf numFmtId="164" fontId="9" fillId="0" borderId="11" xfId="1" applyNumberFormat="1" applyFont="1" applyFill="1" applyBorder="1" applyAlignment="1">
      <alignment horizontal="center"/>
    </xf>
    <xf numFmtId="0" fontId="9" fillId="0" borderId="12" xfId="4" applyNumberFormat="1" applyFont="1" applyFill="1" applyBorder="1" applyAlignment="1">
      <alignment horizontal="left" vertical="center"/>
    </xf>
    <xf numFmtId="164" fontId="9" fillId="0" borderId="13" xfId="1" applyNumberFormat="1" applyFont="1" applyFill="1" applyBorder="1" applyAlignment="1">
      <alignment horizontal="center" vertical="center"/>
    </xf>
    <xf numFmtId="9" fontId="10" fillId="0" borderId="7" xfId="3" applyFont="1" applyFill="1" applyBorder="1" applyAlignment="1">
      <alignment horizontal="left"/>
    </xf>
    <xf numFmtId="9" fontId="10" fillId="0" borderId="0" xfId="3" applyFont="1" applyFill="1" applyBorder="1" applyAlignment="1">
      <alignment horizontal="left"/>
    </xf>
    <xf numFmtId="2" fontId="10" fillId="0" borderId="0" xfId="4" applyNumberFormat="1" applyFont="1" applyFill="1" applyAlignment="1">
      <alignment horizontal="center"/>
    </xf>
    <xf numFmtId="1" fontId="10" fillId="0" borderId="4" xfId="4" applyNumberFormat="1" applyFont="1" applyFill="1" applyBorder="1"/>
    <xf numFmtId="9" fontId="10" fillId="0" borderId="12" xfId="3" applyFont="1" applyFill="1" applyBorder="1" applyAlignment="1">
      <alignment horizontal="left"/>
    </xf>
    <xf numFmtId="9" fontId="10" fillId="0" borderId="4" xfId="3" applyFont="1" applyFill="1" applyBorder="1" applyAlignment="1">
      <alignment horizontal="left"/>
    </xf>
    <xf numFmtId="2" fontId="10" fillId="0" borderId="4" xfId="4" applyNumberFormat="1" applyFont="1" applyFill="1" applyBorder="1" applyAlignment="1">
      <alignment horizontal="center"/>
    </xf>
    <xf numFmtId="0" fontId="9" fillId="0" borderId="42" xfId="4" applyNumberFormat="1" applyFont="1" applyFill="1" applyBorder="1" applyAlignment="1">
      <alignment horizontal="left" vertical="top" wrapText="1"/>
    </xf>
    <xf numFmtId="0" fontId="9" fillId="0" borderId="0" xfId="4" applyNumberFormat="1" applyFont="1" applyFill="1" applyAlignment="1">
      <alignment horizontal="left" vertical="top" wrapText="1"/>
    </xf>
    <xf numFmtId="1" fontId="10" fillId="0" borderId="91" xfId="4" applyNumberFormat="1" applyFont="1" applyFill="1" applyBorder="1"/>
    <xf numFmtId="10" fontId="75" fillId="0" borderId="0" xfId="2" applyNumberFormat="1" applyFont="1" applyFill="1"/>
    <xf numFmtId="1" fontId="10" fillId="0" borderId="74" xfId="4" applyNumberFormat="1" applyFont="1" applyFill="1" applyBorder="1"/>
    <xf numFmtId="168" fontId="9" fillId="0" borderId="21" xfId="4" applyNumberFormat="1" applyFont="1" applyFill="1" applyBorder="1" applyAlignment="1">
      <alignment horizontal="center"/>
    </xf>
    <xf numFmtId="168" fontId="9" fillId="0" borderId="27" xfId="4" applyNumberFormat="1" applyFont="1" applyFill="1" applyBorder="1" applyAlignment="1">
      <alignment horizontal="center"/>
    </xf>
    <xf numFmtId="168" fontId="9" fillId="0" borderId="87" xfId="4" applyNumberFormat="1" applyFont="1" applyFill="1" applyBorder="1" applyAlignment="1">
      <alignment horizontal="center"/>
    </xf>
    <xf numFmtId="168" fontId="9" fillId="0" borderId="42" xfId="4" applyNumberFormat="1" applyFont="1" applyFill="1" applyBorder="1" applyAlignment="1">
      <alignment horizontal="center"/>
    </xf>
    <xf numFmtId="168" fontId="9" fillId="0" borderId="0" xfId="4" applyNumberFormat="1" applyFont="1" applyFill="1" applyAlignment="1">
      <alignment horizontal="center"/>
    </xf>
    <xf numFmtId="168" fontId="9" fillId="0" borderId="43" xfId="4" applyNumberFormat="1" applyFont="1" applyFill="1" applyBorder="1" applyAlignment="1">
      <alignment horizontal="center"/>
    </xf>
    <xf numFmtId="1" fontId="9" fillId="0" borderId="73" xfId="4" applyNumberFormat="1" applyFont="1" applyFill="1" applyBorder="1" applyAlignment="1">
      <alignment vertical="center" wrapText="1"/>
    </xf>
    <xf numFmtId="1" fontId="9" fillId="0" borderId="73" xfId="4" applyNumberFormat="1" applyFont="1" applyFill="1" applyBorder="1" applyAlignment="1">
      <alignment horizontal="center" vertical="center" wrapText="1"/>
    </xf>
    <xf numFmtId="1" fontId="9" fillId="0" borderId="91" xfId="4" applyNumberFormat="1" applyFont="1" applyFill="1" applyBorder="1"/>
    <xf numFmtId="0" fontId="14" fillId="0" borderId="42" xfId="0" applyFont="1" applyFill="1" applyBorder="1"/>
    <xf numFmtId="0" fontId="10" fillId="0" borderId="10" xfId="4" applyNumberFormat="1" applyFont="1" applyFill="1" applyBorder="1" applyAlignment="1">
      <alignment horizontal="left" vertical="top" wrapText="1"/>
    </xf>
    <xf numFmtId="0" fontId="10" fillId="0" borderId="42" xfId="4" quotePrefix="1" applyNumberFormat="1" applyFont="1" applyFill="1" applyBorder="1" applyAlignment="1">
      <alignment horizontal="left" vertical="top" wrapText="1"/>
    </xf>
    <xf numFmtId="0" fontId="10" fillId="0" borderId="0" xfId="4" quotePrefix="1" applyNumberFormat="1" applyFont="1" applyFill="1" applyAlignment="1">
      <alignment horizontal="left" vertical="top" wrapText="1"/>
    </xf>
    <xf numFmtId="0" fontId="10" fillId="0" borderId="10" xfId="4" quotePrefix="1" applyNumberFormat="1" applyFont="1" applyFill="1" applyBorder="1" applyAlignment="1">
      <alignment horizontal="left" vertical="top" wrapText="1"/>
    </xf>
    <xf numFmtId="0" fontId="10" fillId="0" borderId="0" xfId="4" applyNumberFormat="1" applyFont="1" applyFill="1" applyAlignment="1">
      <alignment vertical="top" wrapText="1"/>
    </xf>
    <xf numFmtId="0" fontId="9" fillId="0" borderId="88" xfId="4" applyNumberFormat="1" applyFont="1" applyFill="1" applyBorder="1" applyAlignment="1">
      <alignment horizontal="center"/>
    </xf>
    <xf numFmtId="0" fontId="9" fillId="0" borderId="78" xfId="4" applyNumberFormat="1" applyFont="1" applyFill="1" applyBorder="1" applyAlignment="1">
      <alignment horizontal="center"/>
    </xf>
    <xf numFmtId="1" fontId="10" fillId="0" borderId="98" xfId="4" applyNumberFormat="1" applyFont="1" applyFill="1" applyBorder="1"/>
    <xf numFmtId="43" fontId="75" fillId="0" borderId="0" xfId="1" applyFont="1" applyFill="1"/>
    <xf numFmtId="168" fontId="9" fillId="0" borderId="42" xfId="4" applyNumberFormat="1" applyFont="1" applyFill="1" applyBorder="1" applyAlignment="1">
      <alignment horizontal="left" vertical="center"/>
    </xf>
    <xf numFmtId="169" fontId="10" fillId="0" borderId="0" xfId="4" applyNumberFormat="1" applyFont="1" applyFill="1" applyAlignment="1">
      <alignment horizontal="justify" vertical="top" wrapText="1"/>
    </xf>
    <xf numFmtId="0" fontId="14" fillId="0" borderId="42" xfId="4" applyNumberFormat="1" applyFont="1" applyFill="1" applyBorder="1" applyAlignment="1">
      <alignment horizontal="left"/>
    </xf>
    <xf numFmtId="0" fontId="10" fillId="0" borderId="42" xfId="4" applyNumberFormat="1" applyFont="1" applyFill="1" applyBorder="1" applyAlignment="1">
      <alignment horizontal="left" vertical="top"/>
    </xf>
    <xf numFmtId="0" fontId="9" fillId="0" borderId="0" xfId="4" applyNumberFormat="1" applyFont="1" applyFill="1" applyAlignment="1">
      <alignment horizontal="left"/>
    </xf>
    <xf numFmtId="0" fontId="10" fillId="0" borderId="90" xfId="4" applyNumberFormat="1" applyFont="1" applyFill="1" applyBorder="1" applyAlignment="1">
      <alignment vertical="top"/>
    </xf>
    <xf numFmtId="0" fontId="9" fillId="0" borderId="4" xfId="4" applyNumberFormat="1" applyFont="1" applyFill="1" applyBorder="1" applyAlignment="1">
      <alignment horizontal="left"/>
    </xf>
    <xf numFmtId="0" fontId="9" fillId="0" borderId="73" xfId="4" applyNumberFormat="1" applyFont="1" applyFill="1" applyBorder="1" applyAlignment="1">
      <alignment horizontal="left" vertical="center"/>
    </xf>
    <xf numFmtId="168" fontId="9" fillId="0" borderId="99" xfId="4" applyNumberFormat="1" applyFont="1" applyFill="1" applyBorder="1" applyAlignment="1">
      <alignment horizontal="center"/>
    </xf>
    <xf numFmtId="168" fontId="9" fillId="0" borderId="91" xfId="4" applyNumberFormat="1" applyFont="1" applyFill="1" applyBorder="1" applyAlignment="1">
      <alignment horizontal="center"/>
    </xf>
    <xf numFmtId="168" fontId="9" fillId="0" borderId="84" xfId="4" applyNumberFormat="1" applyFont="1" applyFill="1" applyBorder="1" applyAlignment="1">
      <alignment horizontal="center"/>
    </xf>
    <xf numFmtId="0" fontId="9" fillId="0" borderId="77" xfId="4" applyNumberFormat="1" applyFont="1" applyFill="1" applyBorder="1" applyAlignment="1">
      <alignment vertical="top"/>
    </xf>
    <xf numFmtId="0" fontId="10" fillId="0" borderId="101" xfId="4" applyNumberFormat="1" applyFont="1" applyFill="1" applyBorder="1" applyAlignment="1">
      <alignment vertical="top" wrapText="1"/>
    </xf>
    <xf numFmtId="0" fontId="0" fillId="0" borderId="77" xfId="0" applyFill="1" applyBorder="1"/>
    <xf numFmtId="0" fontId="10" fillId="0" borderId="101" xfId="4" applyNumberFormat="1" applyFont="1" applyFill="1" applyBorder="1" applyAlignment="1">
      <alignment vertical="top"/>
    </xf>
    <xf numFmtId="0" fontId="0" fillId="0" borderId="91" xfId="0" applyFill="1" applyBorder="1"/>
    <xf numFmtId="0" fontId="10" fillId="0" borderId="91" xfId="4" applyNumberFormat="1" applyFont="1" applyFill="1" applyBorder="1" applyAlignment="1">
      <alignment vertical="top"/>
    </xf>
    <xf numFmtId="0" fontId="9" fillId="0" borderId="101" xfId="4" applyNumberFormat="1" applyFont="1" applyFill="1" applyBorder="1" applyAlignment="1">
      <alignment horizontal="left" vertical="center"/>
    </xf>
    <xf numFmtId="0" fontId="0" fillId="0" borderId="83" xfId="0" applyFill="1" applyBorder="1" applyAlignment="1">
      <alignment horizontal="center"/>
    </xf>
    <xf numFmtId="0" fontId="0" fillId="0" borderId="17" xfId="0" applyFill="1" applyBorder="1" applyAlignment="1">
      <alignment horizontal="center"/>
    </xf>
    <xf numFmtId="0" fontId="9" fillId="0" borderId="73" xfId="4" applyNumberFormat="1" applyFont="1" applyFill="1" applyBorder="1" applyAlignment="1">
      <alignment vertical="top"/>
    </xf>
    <xf numFmtId="0" fontId="10" fillId="0" borderId="42" xfId="4" applyNumberFormat="1" applyFont="1" applyFill="1" applyBorder="1" applyAlignment="1">
      <alignment horizontal="left" vertical="top" wrapText="1"/>
    </xf>
    <xf numFmtId="0" fontId="10" fillId="0" borderId="43" xfId="4" applyNumberFormat="1" applyFont="1" applyFill="1" applyBorder="1" applyAlignment="1">
      <alignment horizontal="left" vertical="top" wrapText="1"/>
    </xf>
    <xf numFmtId="0" fontId="11" fillId="0" borderId="103" xfId="4" applyNumberFormat="1" applyFont="1" applyFill="1" applyBorder="1" applyAlignment="1">
      <alignment horizontal="left" vertical="center" wrapText="1"/>
    </xf>
    <xf numFmtId="0" fontId="11" fillId="0" borderId="73" xfId="4" applyNumberFormat="1" applyFont="1" applyFill="1" applyBorder="1" applyAlignment="1">
      <alignment horizontal="left" vertical="center" wrapText="1"/>
    </xf>
    <xf numFmtId="0" fontId="10" fillId="0" borderId="101" xfId="4" applyNumberFormat="1" applyFont="1" applyFill="1" applyBorder="1" applyAlignment="1">
      <alignment horizontal="left" vertical="top"/>
    </xf>
    <xf numFmtId="0" fontId="10" fillId="0" borderId="91" xfId="4" applyNumberFormat="1" applyFont="1" applyFill="1" applyBorder="1" applyAlignment="1">
      <alignment horizontal="left" vertical="top"/>
    </xf>
    <xf numFmtId="0" fontId="10" fillId="0" borderId="77" xfId="4" applyNumberFormat="1" applyFont="1" applyFill="1" applyBorder="1" applyAlignment="1">
      <alignment horizontal="left" vertical="top"/>
    </xf>
    <xf numFmtId="164" fontId="9" fillId="0" borderId="0" xfId="1" applyNumberFormat="1" applyFont="1" applyFill="1" applyBorder="1" applyAlignment="1">
      <alignment horizontal="left" vertical="top"/>
    </xf>
    <xf numFmtId="0" fontId="10" fillId="0" borderId="101" xfId="4" applyNumberFormat="1" applyFont="1" applyFill="1" applyBorder="1" applyAlignment="1">
      <alignment horizontal="left" vertical="top"/>
    </xf>
    <xf numFmtId="0" fontId="10" fillId="0" borderId="91" xfId="4" applyNumberFormat="1" applyFont="1" applyFill="1" applyBorder="1" applyAlignment="1">
      <alignment horizontal="left" vertical="top"/>
    </xf>
    <xf numFmtId="0" fontId="10" fillId="0" borderId="77" xfId="4" applyNumberFormat="1" applyFont="1" applyFill="1" applyBorder="1" applyAlignment="1">
      <alignment horizontal="left" vertical="top"/>
    </xf>
    <xf numFmtId="0" fontId="9" fillId="0" borderId="103" xfId="4" applyNumberFormat="1" applyFont="1" applyFill="1" applyBorder="1" applyAlignment="1">
      <alignment horizontal="left" vertical="top" wrapText="1"/>
    </xf>
    <xf numFmtId="0" fontId="9" fillId="0" borderId="73" xfId="4" applyNumberFormat="1" applyFont="1" applyFill="1" applyBorder="1" applyAlignment="1">
      <alignment horizontal="left" vertical="top" wrapText="1"/>
    </xf>
    <xf numFmtId="164" fontId="9" fillId="0" borderId="0" xfId="1" applyNumberFormat="1" applyFont="1" applyFill="1" applyBorder="1" applyAlignment="1">
      <alignment horizontal="left" vertical="center" wrapText="1"/>
    </xf>
    <xf numFmtId="0" fontId="9" fillId="0" borderId="33" xfId="4" applyNumberFormat="1" applyFont="1" applyFill="1" applyBorder="1" applyAlignment="1">
      <alignment horizontal="left" vertical="top" wrapText="1"/>
    </xf>
    <xf numFmtId="0" fontId="9" fillId="0" borderId="30" xfId="4" applyNumberFormat="1" applyFont="1" applyFill="1" applyBorder="1" applyAlignment="1">
      <alignment horizontal="left" vertical="top" wrapText="1"/>
    </xf>
    <xf numFmtId="168" fontId="9" fillId="0" borderId="42" xfId="4" applyNumberFormat="1" applyFont="1" applyFill="1" applyBorder="1" applyAlignment="1">
      <alignment horizontal="center"/>
    </xf>
    <xf numFmtId="168" fontId="9" fillId="0" borderId="43" xfId="4" applyNumberFormat="1" applyFont="1" applyFill="1" applyBorder="1" applyAlignment="1">
      <alignment horizontal="center"/>
    </xf>
    <xf numFmtId="1" fontId="9" fillId="0" borderId="83" xfId="4" applyNumberFormat="1" applyFont="1" applyFill="1" applyBorder="1" applyAlignment="1">
      <alignment horizontal="center"/>
    </xf>
    <xf numFmtId="0" fontId="9" fillId="0" borderId="42" xfId="4" applyNumberFormat="1" applyFont="1" applyFill="1" applyBorder="1" applyAlignment="1">
      <alignment horizontal="center" wrapText="1"/>
    </xf>
    <xf numFmtId="9" fontId="10" fillId="0" borderId="42" xfId="4" applyNumberFormat="1" applyFont="1" applyFill="1" applyBorder="1" applyAlignment="1">
      <alignment vertical="top"/>
    </xf>
    <xf numFmtId="0" fontId="9" fillId="0" borderId="0" xfId="4" applyNumberFormat="1" applyFont="1" applyFill="1" applyAlignment="1">
      <alignment horizontal="left" vertical="top"/>
    </xf>
    <xf numFmtId="168" fontId="10" fillId="0" borderId="42" xfId="6" quotePrefix="1" applyNumberFormat="1" applyFont="1" applyFill="1" applyBorder="1"/>
    <xf numFmtId="168" fontId="9" fillId="0" borderId="42" xfId="6" applyNumberFormat="1" applyFont="1" applyFill="1" applyBorder="1"/>
    <xf numFmtId="168" fontId="10" fillId="0" borderId="42" xfId="6" applyNumberFormat="1" applyFont="1" applyFill="1" applyBorder="1"/>
    <xf numFmtId="0" fontId="0" fillId="0" borderId="73" xfId="0" applyFill="1" applyBorder="1"/>
    <xf numFmtId="43" fontId="0" fillId="0" borderId="73" xfId="1" applyFont="1" applyFill="1" applyBorder="1"/>
    <xf numFmtId="180" fontId="0" fillId="0" borderId="73" xfId="1" applyNumberFormat="1" applyFont="1" applyFill="1" applyBorder="1"/>
    <xf numFmtId="43" fontId="0" fillId="0" borderId="73" xfId="0" applyNumberFormat="1" applyFill="1" applyBorder="1"/>
    <xf numFmtId="170" fontId="10" fillId="0" borderId="0" xfId="0" applyNumberFormat="1" applyFont="1" applyFill="1"/>
    <xf numFmtId="0" fontId="10" fillId="0" borderId="10" xfId="0" applyFont="1" applyFill="1" applyBorder="1"/>
    <xf numFmtId="1" fontId="10" fillId="0" borderId="10" xfId="4" applyNumberFormat="1" applyFont="1" applyFill="1" applyBorder="1"/>
    <xf numFmtId="168" fontId="10" fillId="0" borderId="90" xfId="4" applyNumberFormat="1" applyFont="1" applyFill="1" applyBorder="1"/>
    <xf numFmtId="1" fontId="10" fillId="0" borderId="17" xfId="4" applyNumberFormat="1" applyFont="1" applyFill="1" applyBorder="1"/>
    <xf numFmtId="43" fontId="57" fillId="0" borderId="0" xfId="1" applyFont="1" applyFill="1"/>
    <xf numFmtId="0" fontId="9" fillId="0" borderId="17" xfId="0" applyFont="1" applyFill="1" applyBorder="1"/>
    <xf numFmtId="0" fontId="9" fillId="0" borderId="78" xfId="0" applyFont="1" applyFill="1" applyBorder="1"/>
    <xf numFmtId="168" fontId="9" fillId="0" borderId="21" xfId="0" applyNumberFormat="1" applyFont="1" applyFill="1" applyBorder="1" applyAlignment="1">
      <alignment horizontal="center"/>
    </xf>
    <xf numFmtId="168" fontId="9" fillId="0" borderId="27" xfId="0" applyNumberFormat="1" applyFont="1" applyFill="1" applyBorder="1" applyAlignment="1">
      <alignment horizontal="center"/>
    </xf>
    <xf numFmtId="168" fontId="9" fillId="0" borderId="87" xfId="0" applyNumberFormat="1" applyFont="1" applyFill="1" applyBorder="1" applyAlignment="1">
      <alignment horizontal="center"/>
    </xf>
    <xf numFmtId="168" fontId="9" fillId="0" borderId="0" xfId="0" applyNumberFormat="1" applyFont="1" applyFill="1" applyAlignment="1">
      <alignment horizontal="center"/>
    </xf>
    <xf numFmtId="168" fontId="9" fillId="0" borderId="42" xfId="0" applyNumberFormat="1" applyFont="1" applyFill="1" applyBorder="1" applyAlignment="1">
      <alignment horizontal="center"/>
    </xf>
    <xf numFmtId="168" fontId="9" fillId="0" borderId="0" xfId="0" applyNumberFormat="1" applyFont="1" applyFill="1" applyAlignment="1">
      <alignment horizontal="center"/>
    </xf>
    <xf numFmtId="168" fontId="9" fillId="0" borderId="43" xfId="0" applyNumberFormat="1" applyFont="1" applyFill="1" applyBorder="1" applyAlignment="1">
      <alignment horizontal="center"/>
    </xf>
    <xf numFmtId="168" fontId="9" fillId="0" borderId="42" xfId="0" applyNumberFormat="1" applyFont="1" applyFill="1" applyBorder="1" applyAlignment="1">
      <alignment horizontal="center"/>
    </xf>
    <xf numFmtId="168" fontId="9" fillId="0" borderId="43" xfId="0" applyNumberFormat="1" applyFont="1" applyFill="1" applyBorder="1" applyAlignment="1">
      <alignment horizontal="center"/>
    </xf>
    <xf numFmtId="164" fontId="10" fillId="0" borderId="0" xfId="0" applyNumberFormat="1" applyFont="1" applyFill="1"/>
    <xf numFmtId="169" fontId="10" fillId="0" borderId="0" xfId="0" applyNumberFormat="1" applyFont="1" applyFill="1"/>
    <xf numFmtId="0" fontId="9" fillId="0" borderId="10" xfId="0" applyFont="1" applyFill="1" applyBorder="1" applyAlignment="1">
      <alignment horizontal="right"/>
    </xf>
    <xf numFmtId="168" fontId="9" fillId="0" borderId="90" xfId="4" applyNumberFormat="1" applyFont="1" applyFill="1" applyBorder="1" applyAlignment="1">
      <alignment horizontal="center"/>
    </xf>
    <xf numFmtId="168" fontId="9" fillId="0" borderId="4" xfId="4" applyNumberFormat="1" applyFont="1" applyFill="1" applyBorder="1" applyAlignment="1">
      <alignment horizontal="center"/>
    </xf>
    <xf numFmtId="168" fontId="9" fillId="0" borderId="62" xfId="4" applyNumberFormat="1" applyFont="1" applyFill="1" applyBorder="1" applyAlignment="1">
      <alignment horizontal="center"/>
    </xf>
    <xf numFmtId="168" fontId="10" fillId="0" borderId="98" xfId="4" applyNumberFormat="1" applyFont="1" applyFill="1" applyBorder="1"/>
    <xf numFmtId="168" fontId="9" fillId="0" borderId="73" xfId="4" applyNumberFormat="1" applyFont="1" applyFill="1" applyBorder="1" applyAlignment="1">
      <alignment horizontal="center"/>
    </xf>
    <xf numFmtId="168" fontId="9" fillId="0" borderId="14" xfId="4" applyNumberFormat="1" applyFont="1" applyFill="1" applyBorder="1"/>
    <xf numFmtId="0" fontId="9" fillId="0" borderId="14" xfId="4" applyNumberFormat="1" applyFont="1" applyFill="1" applyBorder="1" applyAlignment="1">
      <alignment horizontal="center"/>
    </xf>
    <xf numFmtId="0" fontId="9" fillId="0" borderId="0" xfId="4" applyNumberFormat="1" applyFont="1" applyFill="1" applyAlignment="1">
      <alignment horizontal="center"/>
    </xf>
    <xf numFmtId="0" fontId="9" fillId="0" borderId="17" xfId="4" applyNumberFormat="1" applyFont="1" applyFill="1" applyBorder="1" applyAlignment="1">
      <alignment horizontal="center"/>
    </xf>
    <xf numFmtId="0" fontId="9" fillId="0" borderId="10" xfId="4" applyNumberFormat="1" applyFont="1" applyFill="1" applyBorder="1" applyAlignment="1">
      <alignment horizontal="center"/>
    </xf>
    <xf numFmtId="168" fontId="9" fillId="0" borderId="93" xfId="4" applyNumberFormat="1" applyFont="1" applyFill="1" applyBorder="1"/>
    <xf numFmtId="0" fontId="10" fillId="0" borderId="0" xfId="0" applyFont="1" applyFill="1" applyAlignment="1">
      <alignment vertical="top" wrapText="1"/>
    </xf>
    <xf numFmtId="168" fontId="11" fillId="0" borderId="90" xfId="0" applyNumberFormat="1" applyFont="1" applyFill="1" applyBorder="1" applyAlignment="1">
      <alignment horizontal="left" vertical="top"/>
    </xf>
    <xf numFmtId="168" fontId="11" fillId="0" borderId="4" xfId="0" applyNumberFormat="1" applyFont="1" applyFill="1" applyBorder="1" applyAlignment="1">
      <alignment horizontal="left" vertical="top"/>
    </xf>
    <xf numFmtId="1" fontId="9" fillId="0" borderId="74" xfId="4" applyNumberFormat="1" applyFont="1" applyFill="1" applyBorder="1"/>
    <xf numFmtId="1" fontId="9" fillId="0" borderId="83" xfId="4" applyNumberFormat="1" applyFont="1" applyFill="1" applyBorder="1"/>
    <xf numFmtId="168" fontId="9" fillId="0" borderId="90" xfId="4" applyNumberFormat="1" applyFont="1" applyFill="1" applyBorder="1"/>
    <xf numFmtId="1" fontId="9" fillId="0" borderId="17" xfId="4" applyNumberFormat="1" applyFont="1" applyFill="1" applyBorder="1"/>
    <xf numFmtId="168" fontId="9" fillId="0" borderId="93" xfId="4" applyNumberFormat="1" applyFont="1" applyFill="1" applyBorder="1" applyAlignment="1">
      <alignment horizontal="left" wrapText="1"/>
    </xf>
    <xf numFmtId="168" fontId="9" fillId="0" borderId="74" xfId="4" applyNumberFormat="1" applyFont="1" applyFill="1" applyBorder="1" applyAlignment="1">
      <alignment horizontal="left" wrapText="1"/>
    </xf>
    <xf numFmtId="168" fontId="9" fillId="0" borderId="83" xfId="4" applyNumberFormat="1" applyFont="1" applyFill="1" applyBorder="1" applyAlignment="1">
      <alignment horizontal="left" wrapText="1"/>
    </xf>
    <xf numFmtId="1" fontId="9" fillId="0" borderId="10" xfId="4" applyNumberFormat="1" applyFont="1" applyFill="1" applyBorder="1"/>
    <xf numFmtId="168" fontId="9" fillId="0" borderId="0" xfId="4" applyNumberFormat="1" applyFont="1" applyFill="1" applyAlignment="1">
      <alignment wrapText="1"/>
    </xf>
    <xf numFmtId="168" fontId="9" fillId="0" borderId="10" xfId="4" applyNumberFormat="1" applyFont="1" applyFill="1" applyBorder="1" applyAlignment="1">
      <alignment horizontal="left" wrapText="1"/>
    </xf>
    <xf numFmtId="168" fontId="10" fillId="0" borderId="42" xfId="4" applyNumberFormat="1" applyFont="1" applyFill="1" applyBorder="1" applyAlignment="1">
      <alignment vertical="top"/>
    </xf>
    <xf numFmtId="168" fontId="9" fillId="0" borderId="42" xfId="4" applyNumberFormat="1" applyFont="1" applyFill="1" applyBorder="1" applyAlignment="1">
      <alignment vertical="top"/>
    </xf>
    <xf numFmtId="168" fontId="9" fillId="0" borderId="93" xfId="4" applyNumberFormat="1" applyFont="1" applyFill="1" applyBorder="1" applyAlignment="1">
      <alignment horizontal="center"/>
    </xf>
    <xf numFmtId="168" fontId="9" fillId="0" borderId="74" xfId="4" applyNumberFormat="1" applyFont="1" applyFill="1" applyBorder="1" applyAlignment="1">
      <alignment horizontal="center"/>
    </xf>
    <xf numFmtId="0" fontId="10" fillId="0" borderId="0" xfId="0" applyFont="1" applyFill="1" applyAlignment="1">
      <alignment horizontal="justify" vertical="top"/>
    </xf>
    <xf numFmtId="0" fontId="10" fillId="0" borderId="43" xfId="0" applyFont="1" applyFill="1" applyBorder="1" applyAlignment="1">
      <alignment horizontal="left" vertical="top" wrapText="1"/>
    </xf>
    <xf numFmtId="0" fontId="10" fillId="0" borderId="43" xfId="4" applyNumberFormat="1" applyFont="1" applyFill="1" applyBorder="1" applyAlignment="1">
      <alignment horizontal="left" wrapText="1"/>
    </xf>
    <xf numFmtId="0" fontId="10" fillId="0" borderId="0" xfId="4" applyNumberFormat="1" applyFont="1" applyFill="1" applyAlignment="1">
      <alignment horizontal="left" wrapText="1"/>
    </xf>
    <xf numFmtId="0" fontId="10" fillId="0" borderId="88" xfId="4" applyNumberFormat="1" applyFont="1" applyFill="1" applyBorder="1" applyAlignment="1">
      <alignment horizontal="left" wrapText="1"/>
    </xf>
    <xf numFmtId="0" fontId="10" fillId="0" borderId="78" xfId="4" applyNumberFormat="1" applyFont="1" applyFill="1" applyBorder="1" applyAlignment="1">
      <alignment horizontal="left" wrapText="1"/>
    </xf>
    <xf numFmtId="0" fontId="10" fillId="0" borderId="92" xfId="4" applyNumberFormat="1" applyFont="1" applyFill="1" applyBorder="1" applyAlignment="1">
      <alignment horizontal="left" wrapText="1"/>
    </xf>
    <xf numFmtId="1" fontId="10" fillId="0" borderId="83" xfId="4" applyNumberFormat="1" applyFont="1" applyFill="1" applyBorder="1"/>
    <xf numFmtId="43" fontId="0" fillId="0" borderId="0" xfId="0" applyNumberFormat="1" applyFill="1"/>
    <xf numFmtId="0" fontId="9" fillId="0" borderId="0" xfId="0" applyFont="1" applyFill="1" applyAlignment="1">
      <alignment horizontal="center" vertical="center"/>
    </xf>
    <xf numFmtId="0" fontId="9" fillId="0" borderId="0" xfId="0" applyFont="1" applyFill="1" applyAlignment="1">
      <alignment horizontal="right"/>
    </xf>
    <xf numFmtId="0" fontId="0" fillId="0" borderId="14" xfId="0" applyFill="1" applyBorder="1"/>
    <xf numFmtId="0" fontId="0" fillId="0" borderId="63" xfId="0" applyFill="1" applyBorder="1"/>
    <xf numFmtId="0" fontId="10" fillId="0" borderId="0" xfId="0" applyFont="1" applyFill="1" applyAlignment="1">
      <alignment horizontal="justify" vertical="top" wrapText="1"/>
    </xf>
    <xf numFmtId="0" fontId="10" fillId="0" borderId="42" xfId="0" applyFont="1" applyFill="1" applyBorder="1" applyAlignment="1">
      <alignment horizontal="left" wrapText="1"/>
    </xf>
    <xf numFmtId="0" fontId="10" fillId="0" borderId="0" xfId="0" applyFont="1" applyFill="1" applyAlignment="1">
      <alignment horizontal="left" wrapText="1"/>
    </xf>
    <xf numFmtId="0" fontId="10" fillId="0" borderId="42" xfId="0" applyFont="1" applyFill="1" applyBorder="1" applyAlignment="1">
      <alignment horizontal="left" wrapText="1"/>
    </xf>
    <xf numFmtId="0" fontId="10" fillId="0" borderId="0" xfId="0" applyFont="1" applyFill="1" applyAlignment="1">
      <alignment horizontal="left" wrapText="1"/>
    </xf>
    <xf numFmtId="0" fontId="9" fillId="0" borderId="42" xfId="0" applyFont="1" applyFill="1" applyBorder="1" applyAlignment="1">
      <alignment horizontal="left"/>
    </xf>
    <xf numFmtId="0" fontId="10" fillId="0" borderId="90" xfId="0" applyFont="1" applyFill="1" applyBorder="1" applyAlignment="1">
      <alignment horizontal="left" wrapText="1"/>
    </xf>
    <xf numFmtId="0" fontId="10" fillId="0" borderId="4" xfId="0" applyFont="1" applyFill="1" applyBorder="1" applyAlignment="1">
      <alignment horizontal="left" wrapText="1"/>
    </xf>
    <xf numFmtId="0" fontId="10" fillId="0" borderId="17" xfId="0" applyFont="1" applyFill="1" applyBorder="1" applyAlignment="1">
      <alignment horizontal="left" wrapText="1"/>
    </xf>
    <xf numFmtId="0" fontId="10" fillId="0" borderId="42" xfId="0" applyFont="1" applyFill="1" applyBorder="1" applyAlignment="1">
      <alignment horizontal="left" vertical="center" wrapText="1"/>
    </xf>
    <xf numFmtId="0" fontId="10" fillId="0" borderId="42" xfId="0" applyFont="1" applyFill="1" applyBorder="1" applyAlignment="1">
      <alignment horizontal="justify" vertical="top" wrapText="1"/>
    </xf>
    <xf numFmtId="0" fontId="10" fillId="0" borderId="43" xfId="0" applyFont="1" applyFill="1" applyBorder="1" applyAlignment="1">
      <alignment horizontal="left" vertical="top" wrapText="1"/>
    </xf>
    <xf numFmtId="0" fontId="11" fillId="0" borderId="42" xfId="0" applyFont="1" applyFill="1" applyBorder="1" applyAlignment="1">
      <alignment horizontal="left" vertical="top" wrapText="1"/>
    </xf>
    <xf numFmtId="168" fontId="11" fillId="0" borderId="42" xfId="4" applyNumberFormat="1" applyFont="1" applyFill="1" applyBorder="1"/>
    <xf numFmtId="168" fontId="14" fillId="0" borderId="74" xfId="4" applyNumberFormat="1" applyFont="1" applyFill="1" applyBorder="1"/>
    <xf numFmtId="168" fontId="14" fillId="0" borderId="83" xfId="4" applyNumberFormat="1" applyFont="1" applyFill="1" applyBorder="1"/>
    <xf numFmtId="168" fontId="14" fillId="0" borderId="90" xfId="4" applyNumberFormat="1" applyFont="1" applyFill="1" applyBorder="1"/>
    <xf numFmtId="168" fontId="14" fillId="0" borderId="4" xfId="4" applyNumberFormat="1" applyFont="1" applyFill="1" applyBorder="1"/>
    <xf numFmtId="168" fontId="14" fillId="0" borderId="17" xfId="4" applyNumberFormat="1" applyFont="1" applyFill="1" applyBorder="1"/>
    <xf numFmtId="168" fontId="10" fillId="0" borderId="42" xfId="4" applyNumberFormat="1" applyFont="1" applyFill="1" applyBorder="1" applyAlignment="1">
      <alignment horizontal="left" wrapText="1"/>
    </xf>
    <xf numFmtId="168" fontId="10" fillId="0" borderId="0" xfId="4" applyNumberFormat="1" applyFont="1" applyFill="1" applyAlignment="1">
      <alignment horizontal="left" wrapText="1"/>
    </xf>
    <xf numFmtId="168" fontId="10" fillId="0" borderId="10" xfId="4" applyNumberFormat="1" applyFont="1" applyFill="1" applyBorder="1" applyAlignment="1">
      <alignment horizontal="left" wrapText="1"/>
    </xf>
    <xf numFmtId="14" fontId="0" fillId="0" borderId="0" xfId="0" applyNumberFormat="1" applyFill="1"/>
    <xf numFmtId="168" fontId="14" fillId="0" borderId="42" xfId="4" applyNumberFormat="1" applyFont="1" applyFill="1" applyBorder="1" applyAlignment="1">
      <alignment wrapText="1"/>
    </xf>
    <xf numFmtId="168" fontId="14" fillId="0" borderId="0" xfId="4" applyNumberFormat="1" applyFont="1" applyFill="1" applyAlignment="1">
      <alignment wrapText="1"/>
    </xf>
    <xf numFmtId="168" fontId="11" fillId="0" borderId="42" xfId="4" applyNumberFormat="1" applyFont="1" applyFill="1" applyBorder="1" applyAlignment="1">
      <alignment wrapText="1"/>
    </xf>
    <xf numFmtId="168" fontId="10" fillId="0" borderId="93" xfId="4" applyNumberFormat="1" applyFont="1" applyFill="1" applyBorder="1" applyAlignment="1">
      <alignment wrapText="1"/>
    </xf>
    <xf numFmtId="168" fontId="14" fillId="0" borderId="74" xfId="4" applyNumberFormat="1" applyFont="1" applyFill="1" applyBorder="1" applyAlignment="1">
      <alignment wrapText="1"/>
    </xf>
    <xf numFmtId="168" fontId="10" fillId="0" borderId="42" xfId="4" applyNumberFormat="1" applyFont="1" applyFill="1" applyBorder="1" applyAlignment="1">
      <alignment wrapText="1"/>
    </xf>
    <xf numFmtId="168" fontId="9" fillId="0" borderId="104" xfId="4" applyNumberFormat="1" applyFont="1" applyFill="1" applyBorder="1" applyAlignment="1">
      <alignment wrapText="1"/>
    </xf>
    <xf numFmtId="168" fontId="14" fillId="0" borderId="102" xfId="4" applyNumberFormat="1" applyFont="1" applyFill="1" applyBorder="1" applyAlignment="1">
      <alignment wrapText="1"/>
    </xf>
    <xf numFmtId="164" fontId="10" fillId="0" borderId="0" xfId="4" applyFont="1" applyFill="1" applyAlignment="1">
      <alignment horizontal="center"/>
    </xf>
    <xf numFmtId="168" fontId="9" fillId="0" borderId="42" xfId="4" applyNumberFormat="1" applyFont="1" applyFill="1" applyBorder="1" applyAlignment="1">
      <alignment wrapText="1"/>
    </xf>
    <xf numFmtId="0" fontId="9" fillId="0" borderId="103" xfId="37" applyFont="1" applyFill="1" applyBorder="1" applyAlignment="1">
      <alignment vertical="center"/>
    </xf>
    <xf numFmtId="15" fontId="9" fillId="0" borderId="73" xfId="37" applyNumberFormat="1" applyFont="1" applyFill="1" applyBorder="1" applyAlignment="1">
      <alignment horizontal="center" vertical="center"/>
    </xf>
    <xf numFmtId="0" fontId="9" fillId="0" borderId="73" xfId="37" applyFont="1" applyFill="1" applyBorder="1" applyAlignment="1">
      <alignment horizontal="center" vertical="center"/>
    </xf>
    <xf numFmtId="0" fontId="9" fillId="0" borderId="99" xfId="37" applyFont="1" applyFill="1" applyBorder="1" applyAlignment="1">
      <alignment horizontal="center" vertical="center" wrapText="1"/>
    </xf>
    <xf numFmtId="0" fontId="9" fillId="0" borderId="100" xfId="37" applyFont="1" applyFill="1" applyBorder="1" applyAlignment="1">
      <alignment horizontal="center" vertical="center"/>
    </xf>
    <xf numFmtId="0" fontId="9" fillId="0" borderId="0" xfId="37" applyFont="1" applyFill="1" applyAlignment="1">
      <alignment horizontal="center" vertical="center"/>
    </xf>
    <xf numFmtId="0" fontId="75" fillId="0" borderId="0" xfId="0" applyFont="1" applyFill="1" applyAlignment="1">
      <alignment vertical="center"/>
    </xf>
    <xf numFmtId="0" fontId="0" fillId="0" borderId="0" xfId="0" applyFill="1" applyAlignment="1">
      <alignment vertical="center"/>
    </xf>
    <xf numFmtId="164" fontId="0" fillId="0" borderId="0" xfId="1" applyNumberFormat="1" applyFont="1" applyFill="1" applyAlignment="1">
      <alignment vertical="center"/>
    </xf>
    <xf numFmtId="0" fontId="10" fillId="0" borderId="82" xfId="37" applyFont="1" applyFill="1" applyBorder="1"/>
    <xf numFmtId="170" fontId="10" fillId="0" borderId="7" xfId="28" applyFont="1" applyFill="1" applyBorder="1" applyAlignment="1">
      <alignment vertical="center"/>
    </xf>
    <xf numFmtId="0" fontId="10" fillId="0" borderId="76" xfId="37" applyFont="1" applyFill="1" applyBorder="1" applyAlignment="1">
      <alignment vertical="center"/>
    </xf>
    <xf numFmtId="0" fontId="10" fillId="0" borderId="14" xfId="37" applyFont="1" applyFill="1" applyBorder="1" applyAlignment="1">
      <alignment vertical="center"/>
    </xf>
    <xf numFmtId="0" fontId="10" fillId="0" borderId="7" xfId="37" applyFont="1" applyFill="1" applyBorder="1"/>
    <xf numFmtId="0" fontId="10" fillId="0" borderId="14" xfId="37" applyFont="1" applyFill="1" applyBorder="1"/>
    <xf numFmtId="0" fontId="10" fillId="0" borderId="63" xfId="37" applyFont="1" applyFill="1" applyBorder="1"/>
    <xf numFmtId="0" fontId="10" fillId="0" borderId="0" xfId="37" applyFont="1" applyFill="1"/>
    <xf numFmtId="0" fontId="9" fillId="0" borderId="82" xfId="37" applyFont="1" applyFill="1" applyBorder="1" applyAlignment="1">
      <alignment vertical="center" wrapText="1"/>
    </xf>
    <xf numFmtId="10" fontId="10" fillId="0" borderId="14" xfId="2" applyNumberFormat="1" applyFont="1" applyFill="1" applyBorder="1" applyAlignment="1">
      <alignment vertical="center"/>
    </xf>
    <xf numFmtId="0" fontId="10" fillId="0" borderId="7" xfId="37" applyFont="1" applyFill="1" applyBorder="1" applyAlignment="1">
      <alignment wrapText="1"/>
    </xf>
    <xf numFmtId="0" fontId="10" fillId="0" borderId="14" xfId="37" applyFont="1" applyFill="1" applyBorder="1" applyAlignment="1">
      <alignment horizontal="center" vertical="center" wrapText="1"/>
    </xf>
    <xf numFmtId="0" fontId="10" fillId="0" borderId="63" xfId="37" applyFont="1" applyFill="1" applyBorder="1" applyAlignment="1">
      <alignment horizontal="center" vertical="center" wrapText="1"/>
    </xf>
    <xf numFmtId="0" fontId="10" fillId="0" borderId="0" xfId="37" applyFont="1" applyFill="1" applyAlignment="1">
      <alignment horizontal="center" vertical="center" wrapText="1"/>
    </xf>
    <xf numFmtId="0" fontId="10" fillId="0" borderId="82" xfId="37" applyFont="1" applyFill="1" applyBorder="1" applyAlignment="1">
      <alignment vertical="center" wrapText="1"/>
    </xf>
    <xf numFmtId="173" fontId="10" fillId="0" borderId="7" xfId="28" applyNumberFormat="1" applyFont="1" applyFill="1" applyBorder="1" applyAlignment="1">
      <alignment vertical="center"/>
    </xf>
    <xf numFmtId="10" fontId="10" fillId="0" borderId="14" xfId="37" applyNumberFormat="1" applyFont="1" applyFill="1" applyBorder="1" applyAlignment="1">
      <alignment vertical="center"/>
    </xf>
    <xf numFmtId="0" fontId="10" fillId="0" borderId="7" xfId="37" applyFont="1" applyFill="1" applyBorder="1" applyAlignment="1">
      <alignment vertical="center" wrapText="1"/>
    </xf>
    <xf numFmtId="173" fontId="10" fillId="0" borderId="7" xfId="28" applyNumberFormat="1" applyFont="1" applyFill="1" applyBorder="1" applyAlignment="1">
      <alignment vertical="center" wrapText="1"/>
    </xf>
    <xf numFmtId="43" fontId="10" fillId="0" borderId="7" xfId="1" applyFont="1" applyFill="1" applyBorder="1"/>
    <xf numFmtId="173" fontId="10" fillId="0" borderId="14" xfId="28" applyNumberFormat="1" applyFont="1" applyFill="1" applyBorder="1" applyAlignment="1">
      <alignment vertical="center"/>
    </xf>
    <xf numFmtId="0" fontId="9" fillId="0" borderId="58" xfId="37" applyFont="1" applyFill="1" applyBorder="1" applyAlignment="1">
      <alignment vertical="center" wrapText="1"/>
    </xf>
    <xf numFmtId="10" fontId="10" fillId="0" borderId="13" xfId="2" applyNumberFormat="1" applyFont="1" applyFill="1" applyBorder="1" applyAlignment="1">
      <alignment vertical="center"/>
    </xf>
    <xf numFmtId="0" fontId="10" fillId="0" borderId="12" xfId="37" applyFont="1" applyFill="1" applyBorder="1" applyAlignment="1">
      <alignment vertical="top" wrapText="1"/>
    </xf>
    <xf numFmtId="0" fontId="10" fillId="0" borderId="13" xfId="37" applyFont="1" applyFill="1" applyBorder="1" applyAlignment="1">
      <alignment horizontal="center" vertical="center" wrapText="1"/>
    </xf>
    <xf numFmtId="0" fontId="10" fillId="0" borderId="35" xfId="37" applyFont="1" applyFill="1" applyBorder="1" applyAlignment="1">
      <alignment horizontal="center" vertical="center" wrapText="1"/>
    </xf>
    <xf numFmtId="0" fontId="9" fillId="0" borderId="42" xfId="37" applyFont="1" applyFill="1" applyBorder="1" applyAlignment="1">
      <alignment vertical="center" wrapText="1"/>
    </xf>
    <xf numFmtId="173" fontId="10" fillId="0" borderId="74" xfId="28" applyNumberFormat="1" applyFont="1" applyFill="1" applyBorder="1" applyAlignment="1">
      <alignment vertical="top"/>
    </xf>
    <xf numFmtId="0" fontId="10" fillId="0" borderId="74" xfId="37" applyFont="1" applyFill="1" applyBorder="1" applyAlignment="1">
      <alignment vertical="top"/>
    </xf>
    <xf numFmtId="0" fontId="10" fillId="0" borderId="74" xfId="37" applyFont="1" applyFill="1" applyBorder="1"/>
    <xf numFmtId="0" fontId="10" fillId="0" borderId="74" xfId="37" applyFont="1" applyFill="1" applyBorder="1" applyAlignment="1">
      <alignment vertical="top" wrapText="1"/>
    </xf>
    <xf numFmtId="0" fontId="10" fillId="0" borderId="95" xfId="37" applyFont="1" applyFill="1" applyBorder="1" applyAlignment="1">
      <alignment vertical="top" wrapText="1"/>
    </xf>
    <xf numFmtId="0" fontId="10" fillId="0" borderId="0" xfId="37" applyFont="1" applyFill="1" applyAlignment="1">
      <alignment vertical="top" wrapText="1"/>
    </xf>
    <xf numFmtId="168" fontId="10" fillId="0" borderId="0" xfId="4" applyNumberFormat="1" applyFont="1" applyFill="1" applyAlignment="1">
      <alignment vertical="top"/>
    </xf>
    <xf numFmtId="168" fontId="9" fillId="0" borderId="88" xfId="4" applyNumberFormat="1" applyFont="1" applyFill="1" applyBorder="1"/>
    <xf numFmtId="1" fontId="10" fillId="0" borderId="78" xfId="4" applyNumberFormat="1" applyFont="1" applyFill="1" applyBorder="1" applyAlignment="1">
      <alignment horizontal="left"/>
    </xf>
  </cellXfs>
  <cellStyles count="43">
    <cellStyle name="Accent1" xfId="36" builtinId="29"/>
    <cellStyle name="Comma" xfId="1" builtinId="3"/>
    <cellStyle name="Comma 10 10" xfId="28" xr:uid="{00000000-0005-0000-0000-000002000000}"/>
    <cellStyle name="Comma 11 2 2" xfId="33" xr:uid="{00000000-0005-0000-0000-000003000000}"/>
    <cellStyle name="Comma 13" xfId="13" xr:uid="{00000000-0005-0000-0000-000004000000}"/>
    <cellStyle name="Comma 16" xfId="20" xr:uid="{00000000-0005-0000-0000-000005000000}"/>
    <cellStyle name="Comma 2" xfId="9" xr:uid="{00000000-0005-0000-0000-000006000000}"/>
    <cellStyle name="Comma 2 2" xfId="34" xr:uid="{00000000-0005-0000-0000-000007000000}"/>
    <cellStyle name="Comma 2 3" xfId="42" xr:uid="{96A1954C-B50C-4ACF-AAA2-DC969286297A}"/>
    <cellStyle name="Comma 2 8 6" xfId="31" xr:uid="{00000000-0005-0000-0000-000008000000}"/>
    <cellStyle name="Comma 20" xfId="27" xr:uid="{00000000-0005-0000-0000-000009000000}"/>
    <cellStyle name="Comma 26" xfId="17" xr:uid="{00000000-0005-0000-0000-00000A000000}"/>
    <cellStyle name="Comma 3" xfId="15" xr:uid="{00000000-0005-0000-0000-00000B000000}"/>
    <cellStyle name="Comma 3 29" xfId="18" xr:uid="{00000000-0005-0000-0000-00000C000000}"/>
    <cellStyle name="Comma 34" xfId="41" xr:uid="{A2DBDCE0-2BB3-4BE7-B8C0-CB2B86FB86BD}"/>
    <cellStyle name="Comma 38" xfId="8" xr:uid="{00000000-0005-0000-0000-00000D000000}"/>
    <cellStyle name="Comma_BALANCE SHEET 240605 SUSHIL" xfId="23" xr:uid="{00000000-0005-0000-0000-00000E000000}"/>
    <cellStyle name="Hyperlink 2" xfId="22" xr:uid="{00000000-0005-0000-0000-00000F000000}"/>
    <cellStyle name="Hyperlink 3" xfId="39" xr:uid="{D5A2FE5F-FA0B-49E4-B863-8A1C4E08B547}"/>
    <cellStyle name="Hyperlink 4" xfId="7" xr:uid="{00000000-0005-0000-0000-000010000000}"/>
    <cellStyle name="Normal" xfId="0" builtinId="0"/>
    <cellStyle name="Normal 10" xfId="14" xr:uid="{00000000-0005-0000-0000-000012000000}"/>
    <cellStyle name="Normal 10 2" xfId="11" xr:uid="{00000000-0005-0000-0000-000013000000}"/>
    <cellStyle name="Normal 13" xfId="21" xr:uid="{00000000-0005-0000-0000-000014000000}"/>
    <cellStyle name="Normal 18" xfId="26" xr:uid="{00000000-0005-0000-0000-000015000000}"/>
    <cellStyle name="Normal 2" xfId="10" xr:uid="{00000000-0005-0000-0000-000016000000}"/>
    <cellStyle name="Normal 2 2" xfId="37" xr:uid="{00000000-0005-0000-0000-000017000000}"/>
    <cellStyle name="Normal 22" xfId="16" xr:uid="{00000000-0005-0000-0000-000018000000}"/>
    <cellStyle name="Normal 25" xfId="40" xr:uid="{460CBA17-6A12-4D18-8C76-C62916F5E93D}"/>
    <cellStyle name="Normal 4" xfId="25" xr:uid="{00000000-0005-0000-0000-000019000000}"/>
    <cellStyle name="Normal 4 8" xfId="35" xr:uid="{00000000-0005-0000-0000-00001A000000}"/>
    <cellStyle name="Normal 6" xfId="4" xr:uid="{00000000-0005-0000-0000-00001B000000}"/>
    <cellStyle name="Normal 6 25" xfId="6" xr:uid="{00000000-0005-0000-0000-00001C000000}"/>
    <cellStyle name="Normal 8 9" xfId="32" xr:uid="{00000000-0005-0000-0000-00001D000000}"/>
    <cellStyle name="Normal_BAL30.9-1" xfId="24" xr:uid="{00000000-0005-0000-0000-00001E000000}"/>
    <cellStyle name="Normal_BALANCE SHEET 240605 SUSHIL (FINAL)" xfId="12" xr:uid="{00000000-0005-0000-0000-00001F000000}"/>
    <cellStyle name="Normal_BALANCESHEET 31.03.2003(FINAL)" xfId="19" xr:uid="{00000000-0005-0000-0000-000020000000}"/>
    <cellStyle name="Normal_Final Balance Sheet 25.10.04" xfId="30" xr:uid="{00000000-0005-0000-0000-000021000000}"/>
    <cellStyle name="Normal_HPML TA" xfId="38" xr:uid="{4FD22B42-B4F6-426E-8A10-26DEF1DFDC7C}"/>
    <cellStyle name="Normal_Kaygaon revised 310307sushil-1507071" xfId="29" xr:uid="{00000000-0005-0000-0000-000022000000}"/>
    <cellStyle name="Percent" xfId="2" builtinId="5"/>
    <cellStyle name="Percent 2 2" xfId="3" xr:uid="{00000000-0005-0000-0000-000024000000}"/>
    <cellStyle name="Percent 3" xfId="5" xr:uid="{00000000-0005-0000-0000-000025000000}"/>
  </cellStyles>
  <dxfs count="267">
    <dxf>
      <font>
        <color rgb="FF9C0006"/>
      </font>
      <fill>
        <patternFill>
          <bgColor rgb="FFFFC7CE"/>
        </patternFill>
      </fill>
    </dxf>
    <dxf>
      <font>
        <color rgb="FFFF0000"/>
      </font>
    </dxf>
    <dxf>
      <font>
        <color rgb="FFFF0000"/>
      </font>
    </dxf>
    <dxf>
      <font>
        <color rgb="FFFF0000"/>
      </font>
    </dxf>
    <dxf>
      <font>
        <color rgb="FFFF0000"/>
      </font>
    </dxf>
    <dxf>
      <fill>
        <patternFill>
          <bgColor theme="5" tint="0.3999450666829432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externalLink" Target="externalLinks/externalLink38.xml"/><Relationship Id="rId89" Type="http://schemas.openxmlformats.org/officeDocument/2006/relationships/externalLink" Target="externalLinks/externalLink43.xml"/><Relationship Id="rId112" Type="http://schemas.openxmlformats.org/officeDocument/2006/relationships/externalLink" Target="externalLinks/externalLink66.xml"/><Relationship Id="rId16" Type="http://schemas.openxmlformats.org/officeDocument/2006/relationships/worksheet" Target="worksheets/sheet16.xml"/><Relationship Id="rId107" Type="http://schemas.openxmlformats.org/officeDocument/2006/relationships/externalLink" Target="externalLinks/externalLink6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102" Type="http://schemas.openxmlformats.org/officeDocument/2006/relationships/externalLink" Target="externalLinks/externalLink56.xml"/><Relationship Id="rId123" Type="http://schemas.openxmlformats.org/officeDocument/2006/relationships/externalLink" Target="externalLinks/externalLink77.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44.xml"/><Relationship Id="rId95" Type="http://schemas.openxmlformats.org/officeDocument/2006/relationships/externalLink" Target="externalLinks/externalLink4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2.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113" Type="http://schemas.openxmlformats.org/officeDocument/2006/relationships/externalLink" Target="externalLinks/externalLink67.xml"/><Relationship Id="rId118" Type="http://schemas.openxmlformats.org/officeDocument/2006/relationships/externalLink" Target="externalLinks/externalLink72.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3.xml"/><Relationship Id="rId103" Type="http://schemas.openxmlformats.org/officeDocument/2006/relationships/externalLink" Target="externalLinks/externalLink57.xml"/><Relationship Id="rId108" Type="http://schemas.openxmlformats.org/officeDocument/2006/relationships/externalLink" Target="externalLinks/externalLink62.xml"/><Relationship Id="rId124" Type="http://schemas.openxmlformats.org/officeDocument/2006/relationships/externalLink" Target="externalLinks/externalLink78.xml"/><Relationship Id="rId129" Type="http://schemas.openxmlformats.org/officeDocument/2006/relationships/styles" Target="styles.xml"/><Relationship Id="rId54" Type="http://schemas.openxmlformats.org/officeDocument/2006/relationships/externalLink" Target="externalLinks/externalLink8.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91" Type="http://schemas.openxmlformats.org/officeDocument/2006/relationships/externalLink" Target="externalLinks/externalLink45.xml"/><Relationship Id="rId96"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3.xml"/><Relationship Id="rId114" Type="http://schemas.openxmlformats.org/officeDocument/2006/relationships/externalLink" Target="externalLinks/externalLink68.xml"/><Relationship Id="rId119" Type="http://schemas.openxmlformats.org/officeDocument/2006/relationships/externalLink" Target="externalLinks/externalLink73.xml"/><Relationship Id="rId44" Type="http://schemas.openxmlformats.org/officeDocument/2006/relationships/worksheet" Target="worksheets/sheet44.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3.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externalLink" Target="externalLinks/externalLink51.xml"/><Relationship Id="rId104" Type="http://schemas.openxmlformats.org/officeDocument/2006/relationships/externalLink" Target="externalLinks/externalLink58.xml"/><Relationship Id="rId120" Type="http://schemas.openxmlformats.org/officeDocument/2006/relationships/externalLink" Target="externalLinks/externalLink74.xml"/><Relationship Id="rId125"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110" Type="http://schemas.openxmlformats.org/officeDocument/2006/relationships/externalLink" Target="externalLinks/externalLink64.xml"/><Relationship Id="rId115" Type="http://schemas.openxmlformats.org/officeDocument/2006/relationships/externalLink" Target="externalLinks/externalLink69.xml"/><Relationship Id="rId131" Type="http://schemas.openxmlformats.org/officeDocument/2006/relationships/calcChain" Target="calcChain.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0.xml"/><Relationship Id="rId77" Type="http://schemas.openxmlformats.org/officeDocument/2006/relationships/externalLink" Target="externalLinks/externalLink31.xml"/><Relationship Id="rId100" Type="http://schemas.openxmlformats.org/officeDocument/2006/relationships/externalLink" Target="externalLinks/externalLink54.xml"/><Relationship Id="rId105" Type="http://schemas.openxmlformats.org/officeDocument/2006/relationships/externalLink" Target="externalLinks/externalLink59.xml"/><Relationship Id="rId126" Type="http://schemas.openxmlformats.org/officeDocument/2006/relationships/externalLink" Target="externalLinks/externalLink80.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93" Type="http://schemas.openxmlformats.org/officeDocument/2006/relationships/externalLink" Target="externalLinks/externalLink47.xml"/><Relationship Id="rId98" Type="http://schemas.openxmlformats.org/officeDocument/2006/relationships/externalLink" Target="externalLinks/externalLink52.xml"/><Relationship Id="rId121"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1.xml"/><Relationship Id="rId116" Type="http://schemas.openxmlformats.org/officeDocument/2006/relationships/externalLink" Target="externalLinks/externalLink7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6.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111" Type="http://schemas.openxmlformats.org/officeDocument/2006/relationships/externalLink" Target="externalLinks/externalLink65.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1.xml"/><Relationship Id="rId106" Type="http://schemas.openxmlformats.org/officeDocument/2006/relationships/externalLink" Target="externalLinks/externalLink60.xml"/><Relationship Id="rId12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6.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94" Type="http://schemas.openxmlformats.org/officeDocument/2006/relationships/externalLink" Target="externalLinks/externalLink48.xml"/><Relationship Id="rId99" Type="http://schemas.openxmlformats.org/officeDocument/2006/relationships/externalLink" Target="externalLinks/externalLink53.xml"/><Relationship Id="rId101" Type="http://schemas.openxmlformats.org/officeDocument/2006/relationships/externalLink" Target="externalLinks/externalLink55.xml"/><Relationship Id="rId122"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24</xdr:col>
      <xdr:colOff>878543</xdr:colOff>
      <xdr:row>487</xdr:row>
      <xdr:rowOff>152398</xdr:rowOff>
    </xdr:from>
    <xdr:to>
      <xdr:col>25</xdr:col>
      <xdr:colOff>482081</xdr:colOff>
      <xdr:row>498</xdr:row>
      <xdr:rowOff>20309</xdr:rowOff>
    </xdr:to>
    <xdr:pic>
      <xdr:nvPicPr>
        <xdr:cNvPr id="2" name="Picture 1">
          <a:extLst>
            <a:ext uri="{FF2B5EF4-FFF2-40B4-BE49-F238E27FC236}">
              <a16:creationId xmlns:a16="http://schemas.microsoft.com/office/drawing/2014/main" id="{6B461F0F-F0A3-AC1F-91E6-38ABC0132D24}"/>
            </a:ext>
          </a:extLst>
        </xdr:cNvPr>
        <xdr:cNvPicPr>
          <a:picLocks noChangeAspect="1"/>
        </xdr:cNvPicPr>
      </xdr:nvPicPr>
      <xdr:blipFill>
        <a:blip xmlns:r="http://schemas.openxmlformats.org/officeDocument/2006/relationships" r:embed="rId1"/>
        <a:stretch>
          <a:fillRect/>
        </a:stretch>
      </xdr:blipFill>
      <xdr:spPr>
        <a:xfrm>
          <a:off x="21093955" y="117545222"/>
          <a:ext cx="5952564" cy="2434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878543</xdr:colOff>
      <xdr:row>489</xdr:row>
      <xdr:rowOff>152398</xdr:rowOff>
    </xdr:from>
    <xdr:to>
      <xdr:col>25</xdr:col>
      <xdr:colOff>482081</xdr:colOff>
      <xdr:row>500</xdr:row>
      <xdr:rowOff>20309</xdr:rowOff>
    </xdr:to>
    <xdr:pic>
      <xdr:nvPicPr>
        <xdr:cNvPr id="2" name="Picture 1">
          <a:extLst>
            <a:ext uri="{FF2B5EF4-FFF2-40B4-BE49-F238E27FC236}">
              <a16:creationId xmlns:a16="http://schemas.microsoft.com/office/drawing/2014/main" id="{EE59D4C2-940D-4C9C-B45C-4C5DBDF3EC4C}"/>
            </a:ext>
          </a:extLst>
        </xdr:cNvPr>
        <xdr:cNvPicPr>
          <a:picLocks noChangeAspect="1"/>
        </xdr:cNvPicPr>
      </xdr:nvPicPr>
      <xdr:blipFill>
        <a:blip xmlns:r="http://schemas.openxmlformats.org/officeDocument/2006/relationships" r:embed="rId1"/>
        <a:stretch>
          <a:fillRect/>
        </a:stretch>
      </xdr:blipFill>
      <xdr:spPr>
        <a:xfrm>
          <a:off x="40411103" y="124815598"/>
          <a:ext cx="609378" cy="2397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236220</xdr:colOff>
      <xdr:row>0</xdr:row>
      <xdr:rowOff>30480</xdr:rowOff>
    </xdr:from>
    <xdr:to>
      <xdr:col>12</xdr:col>
      <xdr:colOff>503366</xdr:colOff>
      <xdr:row>21</xdr:row>
      <xdr:rowOff>53707</xdr:rowOff>
    </xdr:to>
    <xdr:pic>
      <xdr:nvPicPr>
        <xdr:cNvPr id="2" name="Picture 1">
          <a:extLst>
            <a:ext uri="{FF2B5EF4-FFF2-40B4-BE49-F238E27FC236}">
              <a16:creationId xmlns:a16="http://schemas.microsoft.com/office/drawing/2014/main" id="{45F3F581-76E4-06BD-6ABB-8026818A2A41}"/>
            </a:ext>
          </a:extLst>
        </xdr:cNvPr>
        <xdr:cNvPicPr>
          <a:picLocks noChangeAspect="1"/>
        </xdr:cNvPicPr>
      </xdr:nvPicPr>
      <xdr:blipFill>
        <a:blip xmlns:r="http://schemas.openxmlformats.org/officeDocument/2006/relationships" r:embed="rId1"/>
        <a:stretch>
          <a:fillRect/>
        </a:stretch>
      </xdr:blipFill>
      <xdr:spPr>
        <a:xfrm>
          <a:off x="5318760" y="30480"/>
          <a:ext cx="5143946" cy="42294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nil\c\My%20Documents\wellknown\6YrAnly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de1\c\Audit-2002\BS%20sept,%2001\Amol\AMOL%20-%20sept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uditor\D\BACKUP%20OF%20SANJAY%20SIR%20AS%20ON%2019-7-06\My%20Documents\BS%202005-2006\Lucky\Audits\Par%20Computer%20Sciences%20Ltd%20New\Par%20Computer%20Sciences%20Ltd\Capital%20Gain%20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YCLOUD-25CEDT\server\KSP-2006\FA2006\FAINDIAN\AUG'06\FA_INDIAN_CCCO-31.12.2005\Indian%20FA%20Books%2031-12-%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e\KSP-2006\FA2006\FAINDIAN\AUG'06\FA_INDIAN_CCCO-31.12.2005\Indian%20FA%20Books%2031-12-%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spl\KSP-2006\FA2006\FAINDIAN\AUG'06\FA_INDIAN_CCCO-31.12.2005\Indian%20FA%20Books%2031-12-%20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rak-pc\KSP-2006\FA2006\FAINDIAN\AUG'06\FA_INDIAN_CCCO-31.12.2005\Indian%20FA%20Books%2031-12-%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4.71.78\c\Documents%20and%20Settings\Praveen\Desktop\FINANCIALS%20-%20APR02-MAR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rak-pc\word\Documents%20and%20Settings\deepakjain\Desktop\FSD\BGFL%20financial%20stat%20Marchr%20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finalisation07\ABNL%2007\BGFL%20financial%20stat%20March%202007-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finalisation07\ABNL%2007\BSHEETMarch%2007%20(Worl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URAV\DATA\WINDOWS\TEMP\WINDOWS\TEMP\BAL59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YCLOUD-25CEDT\server\Audit%20Year%20Wise\Audit%202012\Amol%20Group\March%202012\Balance%20sheet%20(amol%20group)with%20workings\Amol\Working\Working\shyam\shyam\TDS%202006-07\eTDSRPUForm26Q_ver3.22Oct_Dec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spl\Audit%20Year%20Wise\Audit%202012\Amol%20Group\March%202012\Balance%20sheet%20(amol%20group)with%20workings\Amol\Working\Working\shyam\shyam\TDS%202006-07\eTDSRPUForm26Q_ver3.22Oct_Dec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rak-pc\Audit%20Year%20Wise\Audit%202012\Amol%20Group\March%202012\Balance%20sheet%20(amol%20group)with%20workings\Amol\Working\Working\shyam\shyam\TDS%202006-07\eTDSRPUForm26Q_ver3.22Oct_De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rchana\c\My%20Documents\archana\BKL\B2-039A%20Mann's%20Project%20Management%20Services%20Ltd\Datat%20Sent%20by%20Client\M758%20records\BRP\BRP2%2031%20MPMS%202004-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4.71.78\c\Documents%20and%20Settings\sivaguru\Local%20Settings\Temporary%20Internet%20Files\Content.IE5\OFXNYAJL\PP_Master%20Templ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enith\Malpani%20Auditor\WINDOWS\Temporary%20Internet%20Files\Content.IE5\6Y3HDB9J\Finalisation%20in%20excel_22-09-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etu\PURU\Documents%20and%20Settings\Administrator\Desktop\Ernst%20&amp;Young\Financials\Purushothaman%20K%20.%20Gopalakrishnan\Andersen%20India%20Data\Client\Dystar\Financials\GRP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server\client%20data\Sturgess%20Hutchinson%20H2\H2-098%20E%20Taylor%20Skip%20Hire%20&amp;%20Recylcing%20Ltd\Final%20Repo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YCLOUD-25CEDT\server\Common\Users\acer\Favorites\Downloads\client%20data\Sturgess%20Hutchinson%20H2\H2-098%20E%20Taylor%20Skip%20Hire%20&amp;%20Recylcing%20Ltd\Final%20Repor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spl\Common\Users\acer\Favorites\Downloads\client%20data\Sturgess%20Hutchinson%20H2\H2-098%20E%20Taylor%20Skip%20Hire%20&amp;%20Recylcing%20Ltd\Final%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ternet\c\Audit-2007\Navratna-2007\Navratna%20Sushil%20Final\Navratna%20BS%20prov%20sushi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rak-pc\Common\Users\acer\Favorites\Downloads\client%20data\Sturgess%20Hutchinson%20H2\H2-098%20E%20Taylor%20Skip%20Hire%20&amp;%20Recylcing%20Ltd\Final%20Repo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rchana\c\My%20Documents\archana\B2-032%20Cassel%20Consulting%20Ltd\workings%202004-05\data%20sent%20by%20client\BRP2.31%20Cassel%208.1.04%20to%2031.12.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server\client%20data\My%20Documents\archana\B2-036%20R280%20Rick%20Smith%20Associates%20Limited\Data%20sent%20by%20client\r280%20brp\BRP%201.5.04%20to%2030.4.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YCLOUD-25CEDT\server\Common\Users\acer\Favorites\Downloads\client%20data\My%20Documents\archana\B2-036%20R280%20Rick%20Smith%20Associates%20Limited\Data%20sent%20by%20client\r280%20brp\BRP%201.5.04%20to%2030.4.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spl\Common\Users\acer\Favorites\Downloads\client%20data\My%20Documents\archana\B2-036%20R280%20Rick%20Smith%20Associates%20Limited\Data%20sent%20by%20client\r280%20brp\BRP%201.5.04%20to%203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rak-pc\Common\Users\acer\Favorites\Downloads\client%20data\My%20Documents\archana\B2-036%20R280%20Rick%20Smith%20Associates%20Limited\Data%20sent%20by%20client\r280%20brp\BRP%201.5.04%20to%2030.4.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is-ddc\c\Emails\Dipak\CarbonblackMi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nil\FORMATS\Report%20Format-0506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inod\C\Documents%20and%20Settings\Administrator\Desktop\ETDS\ETDS%202007\Q3\BALAN\BALAN%2026Q.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nternet\C\Audit%20Folder%2031.03.2008\Audit%20March%202008\Pradeep%20Audit\TDS%20ANNEXTURE%20FINAL\eTDS%2007-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spl\c\WINDOWS\TEMP\Bal-sh-31.03.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ppl\HAT\Documents%20and%20Settings\Administrator\Desktop\Ashish%20Dec05\Exlpla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BACKUP\DEEPAK%20JAIN\FSD\BGFL%20financial%20stat%20Marchr%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AMLESHVIKAMSEY\Data\DATA\EXCEL\ST\ST99\GAUTA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YCLOUD-25CEDT\server\finance\finance%20data\NA%20-%20ASKA\MIS_%20JAN%202017%20ONWARDS\MIS%20REPORT%20April%2016%20~DEC%2016.xls_%20ASD.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mspl\finance\finance%20data\NA%20-%20ASKA\MIS_%20JAN%202017%20ONWARDS\MIS%20REPORT%20April%2016%20~DEC%2016.xls_%20ASD.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rak-pc\finance\finance%20data\NA%20-%20ASKA\MIS_%20JAN%202017%20ONWARDS\MIS%20REPORT%20April%2016%20~DEC%2016.xls_%20AS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gfl\data1\user\manish\june2003qtrly\deftax.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user\manish\December%2004\Dec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YCLOUD-25CEDT\server\0607\canara%20bank\Loan%20amortization-c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mspl\0607\canara%20bank\Loan%20amortization-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vi\c\FIN2\RAVI\TAXAUDIT\DEPIT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rak-pc\0607\canara%20bank\Loan%20amortization-c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JMERA\DATA\My%20Documents\Finalisation\BS%20WORK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AURAV\DATA\WINDOWS\DESKTOP\HLL-FILTER-gaurav.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JMERA\DATA\DATA\Audit-2001\Ajit\AMOL\FINAL%20FOLDER\amol-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JMERA\DATA\DATA\Audit-2001\Ajit\AMOL\FINAL%20FOLDER\mai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mp1\c\WINDOWS\TEMP\prov.%20balsheet31.3.03%20uw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ixed-Asset-Register_CA2013-V3.0-TAXGURU.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ct-old\d\Audit\Tax%20Audit%202006\P&amp;%20Q.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ril-hyperion\d\WINDOWS\Temporary%20Internet%20Files\OLK80A6\RAJNI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mp1\c\backup%20c\Annual%20Report\Audit\Stock\Copy%20of%20stock%20work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ak-pc\word\Documents%20and%20Settings\administrator\Local%20Settings\Temporary%20Internet%20Files\Content.IE5\7C88GHDK\march2002-tax%20account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spl\c\CHANVIM%20GROUP\CHANVIM%20PLASTICS\Audit%202003\Annual%20Report\prov.%20balsheet31.3.03%20uw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ILSERVER\Mahesh\Audit\audit_01-02\BS_PL_rep\TB_01_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1.4\kdocicai$\SHAILENDRA%20Dwivedi\block\Annual%20Report\2006-2007\NUVO\New%20Folder\BS%20March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achine2\d\Documents%20and%20Settings\abc\Local%20Settings\Temporary%20Internet%20Files\Content.IE5\87U5HPI7\N%20Backup\Audit-2006\Amol\AUDIT310306\AMOL\BALANCE_SHEET_3132006-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rathmes\d\J%20VISH\Documents%20and%20Settings\deepali\Local%20Settings\Temporary%20Internet%20Files\Content.IE5\EFQJADAR\Documents%20and%20Settings\oprater\Local%20Settings\Temporary%20Internet%20Files\Content.IE5\A1GJI501\Documents%20"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spl\c\Audit-2003\Ramanuj\Annual%20Report\final%20balsheet%20ramanuj.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data\Documents%20and%20Settings\administrator\Local%20Settings\Temporary%20Internet%20Files\Content.IE5\7C88GHDK\march2002-tax%20accoun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rak-pc\Audit%20Year%20Wise\Audit%202012\Annapurna\WORKINGS\audit%202012\Annual%20report\Annapurna_Final_March_2012%202209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server\Audit%20Year%20Wise\Audit%202013\Annapurna\Annapurna%20New\MARCH%202013\FINAL%20SET\Final%20Set\Annapurna%20%20BS%20Final%2016.08.13%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gfl\DATA1\Audit-F.Y.2003-04\24a%20&amp;%2024b%20-%20Site%20-%2014.08.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spl\Audit%20Reports\2021-22\Hardoli%20Paper%20Mills%20Ltd\Q2\Draft%20BS%20PL%20HY%20-%20Hardoli.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spl\Audit%20Reports\2021-22\Hardoli%20Paper%20Mills%20Ltd\Quaterly%20Results\Q4.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mspl\Audit%20Reports\2022-23\Hardoli%20Paper%20Mills%20Ltd\Q4%20Final\BSPL\March%2023%20BSPL%2025052023.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mspl\e\Q4%20FInal\Working\Division%20I%20Amended%20Sch%20III%20to%20CA%20201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rak-server-pc\d\Audit%20Reports\2020-21\Hardoli%20Paper%20Mills%20Pvt%20Ltd\Audit%202021\FInal\FInal%20BS20202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udit%20Reports\2019-20\Hardoli%20Paper%20Mills%20Limited\Final%201920\Bsheet\BS30062020%20Final.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rak-pc\Hardoli%20Paper%20Mills%20Ltd%20Final\BS\FINAL%20BAL%20SHEET%20HARDOLI.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rak-pc\Hardoli%20Paper%20Mills%20Ltd%20Final\Final%20_HPML%20BS%20March%202017.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YCLOUD-25CEDT\server\Audit%20Reports\2022-23\Hardoli%20Paper%20Mills%20Ltd\Q4%20Final\BSPL\Previous%20Year\FInal%20BSPL%20March22.xlsx" TargetMode="External"/></Relationships>
</file>

<file path=xl/externalLinks/_rels/externalLink79.xml.rels><?xml version="1.0" encoding="UTF-8" standalone="yes"?>
<Relationships xmlns="http://schemas.openxmlformats.org/package/2006/relationships"><Relationship Id="rId2" Type="http://schemas.openxmlformats.org/officeDocument/2006/relationships/externalLinkPath" Target="file:///Y:\Audit%20Reports\2022-23\Hardoli%20Paper%20Mills%20Ltd\Q4%20Final\BSPL\Final%20Financial%20Statements\Fixed%20Asset%20Register08052023.xlsx" TargetMode="External"/><Relationship Id="rId1" Type="http://schemas.openxmlformats.org/officeDocument/2006/relationships/externalLinkPath" Target="file:///Y:\Audit%20Reports\2022-23\Hardoli%20Paper%20Mills%20Ltd\Q4%20Final\BSPL\Final%20Financial%20Statements\Fixed%20Asset%20Register0805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rak-pc\word\Documents%20and%20Settings\Praveen\Desktop\FINANCIALS%20-%20APR02-MAR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mspl\Q4%20FInal\BSPL\Fixed%20Asset%20Register%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k-pc\word\Backup\Balance%20Sheet%202006-07\WINDOWS\Temporary%20Internet%20Files\OLKB086\P_SEG_C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wpl"/>
      <sheetName val="wtil"/>
      <sheetName val="combined"/>
      <sheetName val="Bal Sht &amp; P&amp;L"/>
      <sheetName val="Challan"/>
      <sheetName val="Bal_Sht_&amp;_P&amp;L1"/>
      <sheetName val="Bal_Sht_&amp;_P&amp;L"/>
      <sheetName val="Bal_Sht_&amp;_P&amp;L2"/>
    </sheetNames>
    <sheetDataSet>
      <sheetData sheetId="0" refreshError="1"/>
      <sheetData sheetId="1">
        <row r="2">
          <cell r="B2" t="str">
            <v>WELLKNOWN  POLYESTERS LTD.</v>
          </cell>
        </row>
        <row r="3">
          <cell r="B3" t="str">
            <v>-</v>
          </cell>
          <cell r="C3" t="str">
            <v>-</v>
          </cell>
          <cell r="D3" t="str">
            <v>-</v>
          </cell>
          <cell r="E3">
            <v>0</v>
          </cell>
          <cell r="F3">
            <v>0</v>
          </cell>
          <cell r="G3">
            <v>0</v>
          </cell>
          <cell r="H3">
            <v>0</v>
          </cell>
        </row>
        <row r="4">
          <cell r="B4" t="str">
            <v>BALANCE    SHEET     FOR    LAST    SIX  YEARS</v>
          </cell>
        </row>
        <row r="6">
          <cell r="B6" t="str">
            <v>-</v>
          </cell>
          <cell r="C6" t="str">
            <v>-</v>
          </cell>
          <cell r="D6" t="str">
            <v>-</v>
          </cell>
          <cell r="E6" t="str">
            <v>-</v>
          </cell>
          <cell r="F6" t="str">
            <v>-</v>
          </cell>
          <cell r="G6" t="str">
            <v>-</v>
          </cell>
          <cell r="H6" t="str">
            <v>-</v>
          </cell>
        </row>
        <row r="7">
          <cell r="B7" t="str">
            <v>PARTICULARS</v>
          </cell>
          <cell r="C7" t="str">
            <v>1997-98</v>
          </cell>
          <cell r="D7" t="str">
            <v>1998-99</v>
          </cell>
          <cell r="E7" t="str">
            <v>1999-00</v>
          </cell>
          <cell r="F7" t="str">
            <v>2000-01</v>
          </cell>
          <cell r="G7" t="str">
            <v>2001-02</v>
          </cell>
          <cell r="H7" t="str">
            <v>2002-03</v>
          </cell>
        </row>
        <row r="8">
          <cell r="B8" t="str">
            <v>-</v>
          </cell>
          <cell r="C8" t="str">
            <v>-</v>
          </cell>
          <cell r="D8" t="str">
            <v>-</v>
          </cell>
          <cell r="E8" t="str">
            <v>-</v>
          </cell>
          <cell r="F8" t="str">
            <v>-</v>
          </cell>
          <cell r="G8" t="str">
            <v>-</v>
          </cell>
          <cell r="H8" t="str">
            <v>-</v>
          </cell>
        </row>
        <row r="9">
          <cell r="B9" t="str">
            <v>SOURCES OF  FUNDS</v>
          </cell>
        </row>
        <row r="11">
          <cell r="B11" t="str">
            <v>Shareholders' Funds</v>
          </cell>
        </row>
        <row r="13">
          <cell r="B13" t="str">
            <v>a. Share  Capital</v>
          </cell>
          <cell r="C13">
            <v>32.729999999999997</v>
          </cell>
          <cell r="D13">
            <v>35.229999999999997</v>
          </cell>
          <cell r="E13">
            <v>35.229999999999997</v>
          </cell>
          <cell r="F13">
            <v>32.729999999999997</v>
          </cell>
          <cell r="G13">
            <v>32.729999999999997</v>
          </cell>
          <cell r="H13">
            <v>50.73</v>
          </cell>
        </row>
        <row r="14">
          <cell r="B14" t="str">
            <v xml:space="preserve">    Growth  %</v>
          </cell>
          <cell r="D14">
            <v>7.6382523678582351E-2</v>
          </cell>
          <cell r="E14">
            <v>0</v>
          </cell>
          <cell r="F14">
            <v>-7.0962248084019311E-2</v>
          </cell>
          <cell r="G14">
            <v>0</v>
          </cell>
          <cell r="H14">
            <v>0.54995417048579287</v>
          </cell>
        </row>
        <row r="16">
          <cell r="B16" t="str">
            <v>b. Share Application  Money</v>
          </cell>
          <cell r="C16">
            <v>0</v>
          </cell>
          <cell r="D16">
            <v>0</v>
          </cell>
          <cell r="E16">
            <v>0</v>
          </cell>
          <cell r="F16">
            <v>0</v>
          </cell>
          <cell r="G16">
            <v>0</v>
          </cell>
          <cell r="H16">
            <v>0</v>
          </cell>
        </row>
        <row r="17">
          <cell r="C17">
            <v>0</v>
          </cell>
          <cell r="D17">
            <v>0</v>
          </cell>
          <cell r="E17">
            <v>0</v>
          </cell>
          <cell r="F17">
            <v>0</v>
          </cell>
          <cell r="G17">
            <v>0</v>
          </cell>
          <cell r="H17">
            <v>0</v>
          </cell>
        </row>
        <row r="18">
          <cell r="B18" t="str">
            <v>c. Reserves and Surplus</v>
          </cell>
          <cell r="C18">
            <v>138.5</v>
          </cell>
          <cell r="D18">
            <v>219.18</v>
          </cell>
          <cell r="E18">
            <v>282.08999999999997</v>
          </cell>
          <cell r="F18">
            <v>258.01</v>
          </cell>
          <cell r="G18">
            <v>367.36700000000002</v>
          </cell>
          <cell r="H18">
            <v>868.21699999999998</v>
          </cell>
        </row>
        <row r="19">
          <cell r="B19" t="str">
            <v xml:space="preserve">    Growth  %</v>
          </cell>
          <cell r="D19">
            <v>0.58252707581227436</v>
          </cell>
          <cell r="E19">
            <v>0.28702436353681887</v>
          </cell>
          <cell r="F19">
            <v>-8.5362827466411384E-2</v>
          </cell>
          <cell r="G19">
            <v>0.42384791287159423</v>
          </cell>
          <cell r="H19">
            <v>1.3633505459118536</v>
          </cell>
        </row>
        <row r="21">
          <cell r="C21" t="str">
            <v>-</v>
          </cell>
          <cell r="D21" t="str">
            <v>-</v>
          </cell>
          <cell r="E21" t="str">
            <v>-</v>
          </cell>
          <cell r="F21" t="str">
            <v>-</v>
          </cell>
          <cell r="G21" t="str">
            <v>-</v>
          </cell>
          <cell r="H21" t="str">
            <v>-</v>
          </cell>
        </row>
        <row r="22">
          <cell r="C22">
            <v>171.23</v>
          </cell>
          <cell r="D22">
            <v>254.41</v>
          </cell>
          <cell r="E22">
            <v>317.32</v>
          </cell>
          <cell r="F22">
            <v>290.74</v>
          </cell>
          <cell r="G22">
            <v>400.09700000000004</v>
          </cell>
          <cell r="H22">
            <v>918.947</v>
          </cell>
        </row>
        <row r="23">
          <cell r="C23" t="str">
            <v>-</v>
          </cell>
          <cell r="D23" t="str">
            <v>-</v>
          </cell>
          <cell r="E23" t="str">
            <v>-</v>
          </cell>
          <cell r="F23" t="str">
            <v>-</v>
          </cell>
          <cell r="G23" t="str">
            <v>-</v>
          </cell>
          <cell r="H23" t="str">
            <v>-</v>
          </cell>
        </row>
        <row r="24">
          <cell r="B24" t="str">
            <v>Loan  Funds</v>
          </cell>
          <cell r="C24">
            <v>0</v>
          </cell>
          <cell r="D24">
            <v>0</v>
          </cell>
          <cell r="E24">
            <v>0</v>
          </cell>
          <cell r="F24">
            <v>0</v>
          </cell>
          <cell r="G24">
            <v>0</v>
          </cell>
          <cell r="H24">
            <v>0</v>
          </cell>
        </row>
        <row r="26">
          <cell r="B26" t="str">
            <v>a. Secured  Loans</v>
          </cell>
          <cell r="C26">
            <v>312.99</v>
          </cell>
          <cell r="D26">
            <v>373.2</v>
          </cell>
          <cell r="E26">
            <v>445.56</v>
          </cell>
          <cell r="F26">
            <v>184.79</v>
          </cell>
          <cell r="G26">
            <v>395.6</v>
          </cell>
          <cell r="H26">
            <v>852.10500000000002</v>
          </cell>
        </row>
        <row r="27">
          <cell r="B27" t="str">
            <v xml:space="preserve">    Growth  %</v>
          </cell>
          <cell r="D27">
            <v>0.19237036327039195</v>
          </cell>
          <cell r="E27">
            <v>0.19389067524115761</v>
          </cell>
          <cell r="F27">
            <v>-0.58526348864350475</v>
          </cell>
          <cell r="G27">
            <v>1.1408084853076468</v>
          </cell>
          <cell r="H27">
            <v>1.1539560161779574</v>
          </cell>
        </row>
        <row r="29">
          <cell r="B29" t="str">
            <v>b.  Unsecured  Loans</v>
          </cell>
          <cell r="C29">
            <v>18.25</v>
          </cell>
          <cell r="D29">
            <v>115.25</v>
          </cell>
          <cell r="E29">
            <v>30.5</v>
          </cell>
          <cell r="F29">
            <v>0</v>
          </cell>
          <cell r="G29">
            <v>0</v>
          </cell>
          <cell r="H29">
            <v>13.885</v>
          </cell>
        </row>
        <row r="30">
          <cell r="C30" t="str">
            <v>-</v>
          </cell>
          <cell r="D30" t="str">
            <v>-</v>
          </cell>
          <cell r="E30" t="str">
            <v>-</v>
          </cell>
          <cell r="F30" t="str">
            <v>-</v>
          </cell>
          <cell r="G30" t="str">
            <v>-</v>
          </cell>
          <cell r="H30" t="str">
            <v>-</v>
          </cell>
        </row>
        <row r="31">
          <cell r="C31">
            <v>331.24</v>
          </cell>
          <cell r="D31">
            <v>488.45</v>
          </cell>
          <cell r="E31">
            <v>476.06</v>
          </cell>
          <cell r="F31">
            <v>184.79</v>
          </cell>
          <cell r="G31">
            <v>395.6</v>
          </cell>
          <cell r="H31">
            <v>865.99</v>
          </cell>
        </row>
        <row r="32">
          <cell r="C32" t="str">
            <v>-</v>
          </cell>
          <cell r="D32" t="str">
            <v>-</v>
          </cell>
          <cell r="E32" t="str">
            <v>-</v>
          </cell>
          <cell r="F32" t="str">
            <v>-</v>
          </cell>
          <cell r="G32" t="str">
            <v>-</v>
          </cell>
          <cell r="H32" t="str">
            <v>-</v>
          </cell>
        </row>
        <row r="34">
          <cell r="C34" t="str">
            <v>-</v>
          </cell>
          <cell r="D34" t="str">
            <v>-</v>
          </cell>
          <cell r="E34" t="str">
            <v>-</v>
          </cell>
          <cell r="F34" t="str">
            <v>-</v>
          </cell>
          <cell r="G34" t="str">
            <v>-</v>
          </cell>
          <cell r="H34" t="str">
            <v>-</v>
          </cell>
        </row>
        <row r="35">
          <cell r="B35" t="str">
            <v>TOTAL</v>
          </cell>
          <cell r="C35">
            <v>502.47</v>
          </cell>
          <cell r="D35">
            <v>742.86</v>
          </cell>
          <cell r="E35">
            <v>793.38</v>
          </cell>
          <cell r="F35">
            <v>475.53</v>
          </cell>
          <cell r="G35">
            <v>795.69700000000012</v>
          </cell>
          <cell r="H35">
            <v>1784.9369999999999</v>
          </cell>
        </row>
        <row r="36">
          <cell r="C36" t="str">
            <v>=</v>
          </cell>
          <cell r="D36" t="str">
            <v>=</v>
          </cell>
          <cell r="E36" t="str">
            <v>=</v>
          </cell>
          <cell r="F36" t="str">
            <v>=</v>
          </cell>
          <cell r="G36" t="str">
            <v>=</v>
          </cell>
          <cell r="H36" t="str">
            <v>=</v>
          </cell>
        </row>
        <row r="38">
          <cell r="B38" t="str">
            <v>APPLICATION  OF  FUNDS</v>
          </cell>
        </row>
        <row r="40">
          <cell r="B40" t="str">
            <v>Fixed  Assets</v>
          </cell>
        </row>
        <row r="42">
          <cell r="B42" t="str">
            <v>Gross  Block</v>
          </cell>
          <cell r="C42">
            <v>314.74</v>
          </cell>
          <cell r="D42">
            <v>452.29</v>
          </cell>
          <cell r="E42">
            <v>453.95</v>
          </cell>
          <cell r="F42">
            <v>460.74</v>
          </cell>
          <cell r="G42">
            <v>813.14</v>
          </cell>
          <cell r="H42">
            <v>1436.258</v>
          </cell>
        </row>
        <row r="43">
          <cell r="B43" t="str">
            <v>Growth  %</v>
          </cell>
          <cell r="D43">
            <v>0.43702738768507343</v>
          </cell>
          <cell r="E43">
            <v>3.6702115899090587E-3</v>
          </cell>
          <cell r="F43">
            <v>1.4957594448727879E-2</v>
          </cell>
          <cell r="G43">
            <v>0.76485653513912399</v>
          </cell>
          <cell r="H43">
            <v>0.76631084438104147</v>
          </cell>
        </row>
        <row r="44">
          <cell r="B44">
            <v>0</v>
          </cell>
        </row>
        <row r="45">
          <cell r="B45" t="str">
            <v>Less: Depreciation</v>
          </cell>
          <cell r="C45">
            <v>15.99</v>
          </cell>
          <cell r="D45">
            <v>33.44</v>
          </cell>
          <cell r="E45">
            <v>57.4</v>
          </cell>
          <cell r="F45">
            <v>190.97</v>
          </cell>
          <cell r="G45">
            <v>265.17</v>
          </cell>
          <cell r="H45">
            <v>325.17399999999998</v>
          </cell>
        </row>
        <row r="46">
          <cell r="C46" t="str">
            <v>-</v>
          </cell>
          <cell r="D46" t="str">
            <v>-</v>
          </cell>
          <cell r="E46" t="str">
            <v>-</v>
          </cell>
          <cell r="F46" t="str">
            <v>-</v>
          </cell>
          <cell r="G46" t="str">
            <v>-</v>
          </cell>
          <cell r="H46" t="str">
            <v>-</v>
          </cell>
        </row>
        <row r="47">
          <cell r="B47" t="str">
            <v>Net  Block</v>
          </cell>
          <cell r="C47">
            <v>298.75</v>
          </cell>
          <cell r="D47">
            <v>418.85</v>
          </cell>
          <cell r="E47">
            <v>396.55</v>
          </cell>
          <cell r="F47">
            <v>269.77</v>
          </cell>
          <cell r="G47">
            <v>547.97</v>
          </cell>
          <cell r="H47">
            <v>1111.0840000000001</v>
          </cell>
        </row>
        <row r="49">
          <cell r="B49" t="str">
            <v>Investments</v>
          </cell>
          <cell r="C49">
            <v>44.5</v>
          </cell>
          <cell r="D49">
            <v>56.4</v>
          </cell>
          <cell r="E49">
            <v>0.4</v>
          </cell>
          <cell r="F49">
            <v>0.4</v>
          </cell>
          <cell r="G49">
            <v>0.4</v>
          </cell>
          <cell r="H49">
            <v>173</v>
          </cell>
        </row>
        <row r="50">
          <cell r="B50" t="str">
            <v>Growth  %</v>
          </cell>
          <cell r="D50">
            <v>0.26741573033707861</v>
          </cell>
          <cell r="E50">
            <v>-0.99290780141843971</v>
          </cell>
          <cell r="F50">
            <v>0</v>
          </cell>
          <cell r="G50">
            <v>0</v>
          </cell>
          <cell r="H50">
            <v>431.49999999999994</v>
          </cell>
        </row>
        <row r="52">
          <cell r="B52" t="str">
            <v>Current Assets, Loans &amp; Advances</v>
          </cell>
        </row>
        <row r="54">
          <cell r="B54" t="str">
            <v>a. Inventories</v>
          </cell>
          <cell r="C54">
            <v>45.33</v>
          </cell>
          <cell r="D54">
            <v>53.25</v>
          </cell>
          <cell r="E54">
            <v>41.57</v>
          </cell>
          <cell r="F54">
            <v>58.55</v>
          </cell>
          <cell r="G54">
            <v>130.61000000000001</v>
          </cell>
          <cell r="H54">
            <v>288.3</v>
          </cell>
        </row>
        <row r="56">
          <cell r="B56" t="str">
            <v>b. Sundry  Debtors</v>
          </cell>
          <cell r="C56">
            <v>52.62</v>
          </cell>
          <cell r="D56">
            <v>41.46</v>
          </cell>
          <cell r="E56">
            <v>105.17</v>
          </cell>
          <cell r="F56">
            <v>100.47</v>
          </cell>
          <cell r="G56">
            <v>87.53</v>
          </cell>
          <cell r="H56">
            <v>95.6</v>
          </cell>
        </row>
        <row r="58">
          <cell r="B58" t="str">
            <v>c.  Cash &amp; Bank Balances</v>
          </cell>
          <cell r="C58">
            <v>25.15</v>
          </cell>
          <cell r="D58">
            <v>37.33</v>
          </cell>
          <cell r="E58">
            <v>23.84</v>
          </cell>
          <cell r="F58">
            <v>11.56</v>
          </cell>
          <cell r="G58">
            <v>1.54</v>
          </cell>
          <cell r="H58">
            <v>2.4700000000000002</v>
          </cell>
        </row>
        <row r="60">
          <cell r="B60" t="str">
            <v>d.  Loans &amp;  Advances</v>
          </cell>
          <cell r="C60">
            <v>40.089999999999996</v>
          </cell>
          <cell r="D60">
            <v>135.42000000000002</v>
          </cell>
          <cell r="E60">
            <v>257.35000000000002</v>
          </cell>
          <cell r="F60">
            <v>61.674999999999997</v>
          </cell>
          <cell r="G60">
            <v>112.2</v>
          </cell>
          <cell r="H60">
            <v>75.19</v>
          </cell>
        </row>
        <row r="62">
          <cell r="B62" t="str">
            <v>e.  Deposits</v>
          </cell>
          <cell r="C62">
            <v>31.54</v>
          </cell>
          <cell r="D62">
            <v>31.63</v>
          </cell>
          <cell r="E62">
            <v>1.63</v>
          </cell>
          <cell r="F62">
            <v>1.645</v>
          </cell>
          <cell r="G62">
            <v>1.81</v>
          </cell>
          <cell r="H62">
            <v>106.12</v>
          </cell>
        </row>
        <row r="64">
          <cell r="B64" t="str">
            <v>f. Trade  Investments</v>
          </cell>
          <cell r="C64">
            <v>0</v>
          </cell>
          <cell r="D64">
            <v>0</v>
          </cell>
          <cell r="E64">
            <v>0</v>
          </cell>
          <cell r="F64">
            <v>0</v>
          </cell>
          <cell r="G64">
            <v>0</v>
          </cell>
          <cell r="H64">
            <v>0</v>
          </cell>
        </row>
        <row r="65">
          <cell r="C65" t="str">
            <v>-</v>
          </cell>
          <cell r="D65" t="str">
            <v>-</v>
          </cell>
          <cell r="E65" t="str">
            <v>-</v>
          </cell>
          <cell r="F65" t="str">
            <v>-</v>
          </cell>
          <cell r="G65" t="str">
            <v>-</v>
          </cell>
          <cell r="H65" t="str">
            <v>-</v>
          </cell>
        </row>
        <row r="66">
          <cell r="C66">
            <v>194.73</v>
          </cell>
          <cell r="D66">
            <v>299.09000000000003</v>
          </cell>
          <cell r="E66">
            <v>429.56000000000006</v>
          </cell>
          <cell r="F66">
            <v>233.9</v>
          </cell>
          <cell r="G66">
            <v>333.69</v>
          </cell>
          <cell r="H66">
            <v>567.68000000000006</v>
          </cell>
        </row>
        <row r="68">
          <cell r="B68" t="str">
            <v>Less: Current  Liabilities</v>
          </cell>
          <cell r="C68">
            <v>35.5</v>
          </cell>
          <cell r="D68">
            <v>31.48</v>
          </cell>
          <cell r="E68">
            <v>33.119999999999997</v>
          </cell>
          <cell r="F68">
            <v>28.53</v>
          </cell>
          <cell r="G68">
            <v>86.375</v>
          </cell>
          <cell r="H68">
            <v>66.83</v>
          </cell>
        </row>
        <row r="69">
          <cell r="C69" t="str">
            <v>-</v>
          </cell>
          <cell r="D69" t="str">
            <v>-</v>
          </cell>
          <cell r="E69" t="str">
            <v>-</v>
          </cell>
          <cell r="F69" t="str">
            <v>-</v>
          </cell>
          <cell r="G69" t="str">
            <v>-</v>
          </cell>
          <cell r="H69" t="str">
            <v>-</v>
          </cell>
        </row>
        <row r="70">
          <cell r="B70" t="str">
            <v>Net  Current  Assets</v>
          </cell>
          <cell r="C70">
            <v>159.22999999999999</v>
          </cell>
          <cell r="D70">
            <v>267.61</v>
          </cell>
          <cell r="E70">
            <v>396.44000000000005</v>
          </cell>
          <cell r="F70">
            <v>205.37</v>
          </cell>
          <cell r="G70">
            <v>247.315</v>
          </cell>
          <cell r="H70">
            <v>500.85000000000008</v>
          </cell>
        </row>
        <row r="72">
          <cell r="B72" t="str">
            <v>Miscellaneous Expenditure</v>
          </cell>
          <cell r="C72">
            <v>0</v>
          </cell>
          <cell r="D72">
            <v>0</v>
          </cell>
          <cell r="E72">
            <v>0</v>
          </cell>
          <cell r="F72">
            <v>0</v>
          </cell>
          <cell r="G72">
            <v>0</v>
          </cell>
          <cell r="H72">
            <v>0</v>
          </cell>
        </row>
        <row r="74">
          <cell r="B74" t="str">
            <v>(to the extent not written off or adjusted)</v>
          </cell>
        </row>
        <row r="76">
          <cell r="B76" t="str">
            <v>Preliminary  Expenses</v>
          </cell>
          <cell r="C76">
            <v>0</v>
          </cell>
          <cell r="D76">
            <v>0</v>
          </cell>
          <cell r="E76">
            <v>0</v>
          </cell>
          <cell r="F76">
            <v>0</v>
          </cell>
          <cell r="G76">
            <v>0</v>
          </cell>
          <cell r="H76">
            <v>0</v>
          </cell>
        </row>
        <row r="78">
          <cell r="B78" t="str">
            <v>Deferred  Revenue  Expenditure</v>
          </cell>
          <cell r="C78">
            <v>0</v>
          </cell>
          <cell r="D78">
            <v>0</v>
          </cell>
          <cell r="E78">
            <v>0</v>
          </cell>
          <cell r="F78">
            <v>0</v>
          </cell>
          <cell r="G78">
            <v>0</v>
          </cell>
          <cell r="H78">
            <v>0</v>
          </cell>
        </row>
        <row r="80">
          <cell r="C80" t="str">
            <v>-</v>
          </cell>
          <cell r="D80" t="str">
            <v>-</v>
          </cell>
          <cell r="E80" t="str">
            <v>-</v>
          </cell>
          <cell r="F80" t="str">
            <v>-</v>
          </cell>
          <cell r="G80" t="str">
            <v>-</v>
          </cell>
          <cell r="H80" t="str">
            <v>-</v>
          </cell>
        </row>
        <row r="81">
          <cell r="B81" t="str">
            <v>TOTAL….</v>
          </cell>
          <cell r="C81">
            <v>502.48</v>
          </cell>
          <cell r="D81">
            <v>742.86</v>
          </cell>
          <cell r="E81">
            <v>793.3900000000001</v>
          </cell>
          <cell r="F81">
            <v>475.53999999999996</v>
          </cell>
          <cell r="G81">
            <v>795.68499999999995</v>
          </cell>
          <cell r="H81">
            <v>1784.9340000000002</v>
          </cell>
        </row>
        <row r="82">
          <cell r="C82" t="str">
            <v>=</v>
          </cell>
          <cell r="D82" t="str">
            <v>=</v>
          </cell>
          <cell r="E82" t="str">
            <v>=</v>
          </cell>
          <cell r="F82" t="str">
            <v>=</v>
          </cell>
          <cell r="G82" t="str">
            <v>=</v>
          </cell>
          <cell r="H82" t="str">
            <v>=</v>
          </cell>
        </row>
        <row r="87">
          <cell r="B87" t="str">
            <v>PROFIT  AND  LOSS  ACCOUNT  FOR  LAST SIX YEARS</v>
          </cell>
        </row>
        <row r="89">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row>
        <row r="90">
          <cell r="B90" t="str">
            <v>PARTICULARS</v>
          </cell>
          <cell r="C90" t="str">
            <v>%</v>
          </cell>
          <cell r="D90" t="str">
            <v>1997-98</v>
          </cell>
          <cell r="E90" t="str">
            <v>%</v>
          </cell>
          <cell r="F90" t="str">
            <v>1998-99</v>
          </cell>
          <cell r="G90" t="str">
            <v>%</v>
          </cell>
          <cell r="H90" t="str">
            <v>1999-00</v>
          </cell>
          <cell r="I90" t="str">
            <v>%</v>
          </cell>
          <cell r="J90" t="str">
            <v>2000-01</v>
          </cell>
          <cell r="K90" t="str">
            <v>%</v>
          </cell>
          <cell r="L90" t="str">
            <v>2001-02</v>
          </cell>
          <cell r="M90" t="str">
            <v>%</v>
          </cell>
          <cell r="N90" t="str">
            <v>2002-03</v>
          </cell>
        </row>
        <row r="91">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row>
        <row r="92">
          <cell r="B92" t="str">
            <v>INCOME</v>
          </cell>
        </row>
        <row r="94">
          <cell r="B94" t="str">
            <v>Sales</v>
          </cell>
          <cell r="D94">
            <v>1364.28</v>
          </cell>
          <cell r="F94">
            <v>1093.98</v>
          </cell>
          <cell r="H94">
            <v>2217.7800000000002</v>
          </cell>
          <cell r="J94">
            <v>2628.58</v>
          </cell>
          <cell r="L94">
            <v>3089.9</v>
          </cell>
          <cell r="N94">
            <v>4555.9579999999996</v>
          </cell>
        </row>
        <row r="96">
          <cell r="B96" t="str">
            <v xml:space="preserve">Other  Income </v>
          </cell>
          <cell r="D96">
            <v>0</v>
          </cell>
          <cell r="F96">
            <v>0.04</v>
          </cell>
          <cell r="H96">
            <v>3.14</v>
          </cell>
          <cell r="J96">
            <v>0.33</v>
          </cell>
          <cell r="L96">
            <v>0.09</v>
          </cell>
          <cell r="N96">
            <v>0.09</v>
          </cell>
        </row>
        <row r="98">
          <cell r="B98" t="str">
            <v>Increase/(Decrease)  in Stocks</v>
          </cell>
          <cell r="D98">
            <v>15.22</v>
          </cell>
          <cell r="F98">
            <v>12.21</v>
          </cell>
          <cell r="H98">
            <v>1.32</v>
          </cell>
          <cell r="J98">
            <v>8.74</v>
          </cell>
          <cell r="L98">
            <v>21.32</v>
          </cell>
          <cell r="N98">
            <v>210.63900000000001</v>
          </cell>
        </row>
        <row r="99">
          <cell r="C99" t="str">
            <v>-</v>
          </cell>
          <cell r="D99" t="str">
            <v>-</v>
          </cell>
          <cell r="E99" t="str">
            <v>-</v>
          </cell>
          <cell r="F99" t="str">
            <v>-</v>
          </cell>
          <cell r="G99" t="str">
            <v>-</v>
          </cell>
          <cell r="H99" t="str">
            <v>-</v>
          </cell>
          <cell r="I99" t="str">
            <v>-</v>
          </cell>
          <cell r="J99" t="str">
            <v>-</v>
          </cell>
          <cell r="K99" t="str">
            <v>-</v>
          </cell>
          <cell r="L99" t="str">
            <v>-</v>
          </cell>
          <cell r="M99" t="str">
            <v>-</v>
          </cell>
          <cell r="N99" t="str">
            <v>-</v>
          </cell>
        </row>
        <row r="100">
          <cell r="B100" t="str">
            <v>TOTAL  INCOME</v>
          </cell>
          <cell r="C100">
            <v>1</v>
          </cell>
          <cell r="D100">
            <v>1379.5</v>
          </cell>
          <cell r="E100">
            <v>1</v>
          </cell>
          <cell r="F100">
            <v>1106.23</v>
          </cell>
          <cell r="G100">
            <v>1</v>
          </cell>
          <cell r="H100">
            <v>2222.2400000000002</v>
          </cell>
          <cell r="I100">
            <v>1</v>
          </cell>
          <cell r="J100">
            <v>2637.6499999999996</v>
          </cell>
          <cell r="K100">
            <v>1</v>
          </cell>
          <cell r="L100">
            <v>3111.3100000000004</v>
          </cell>
          <cell r="M100">
            <v>1</v>
          </cell>
          <cell r="N100">
            <v>4766.6869999999999</v>
          </cell>
        </row>
        <row r="101">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row>
        <row r="103">
          <cell r="B103" t="str">
            <v>EXPENDITURE</v>
          </cell>
        </row>
        <row r="105">
          <cell r="B105" t="str">
            <v>Raw  Material  Consumed   Including</v>
          </cell>
          <cell r="C105">
            <v>0.7819479159115621</v>
          </cell>
          <cell r="D105">
            <v>1078.69715</v>
          </cell>
          <cell r="E105">
            <v>0.75757842401670539</v>
          </cell>
          <cell r="F105">
            <v>838.05597999999998</v>
          </cell>
          <cell r="G105">
            <v>0.81363849089207274</v>
          </cell>
          <cell r="H105">
            <v>1808.1</v>
          </cell>
          <cell r="I105">
            <v>0.81777339677364336</v>
          </cell>
          <cell r="J105">
            <v>2157</v>
          </cell>
          <cell r="K105">
            <v>0.81512610443832323</v>
          </cell>
          <cell r="L105">
            <v>2536.1099999999997</v>
          </cell>
          <cell r="M105">
            <v>0.81766371486107647</v>
          </cell>
          <cell r="N105">
            <v>3897.547</v>
          </cell>
        </row>
        <row r="106">
          <cell r="B106" t="str">
            <v>Excise  Duty</v>
          </cell>
        </row>
        <row r="107">
          <cell r="C107">
            <v>0</v>
          </cell>
          <cell r="E107">
            <v>0</v>
          </cell>
          <cell r="G107">
            <v>0</v>
          </cell>
          <cell r="I107">
            <v>0</v>
          </cell>
          <cell r="K107">
            <v>0</v>
          </cell>
          <cell r="M107">
            <v>0</v>
          </cell>
        </row>
        <row r="108">
          <cell r="B108" t="str">
            <v>Power &amp; Fuel</v>
          </cell>
          <cell r="C108">
            <v>4.4102935846321134E-2</v>
          </cell>
          <cell r="D108">
            <v>60.84</v>
          </cell>
          <cell r="E108">
            <v>5.2819034016434195E-2</v>
          </cell>
          <cell r="F108">
            <v>58.43</v>
          </cell>
          <cell r="G108">
            <v>5.3342573259413925E-2</v>
          </cell>
          <cell r="H108">
            <v>118.54</v>
          </cell>
          <cell r="I108">
            <v>4.1286751464371704E-2</v>
          </cell>
          <cell r="J108">
            <v>108.9</v>
          </cell>
          <cell r="K108">
            <v>5.245378956131018E-2</v>
          </cell>
          <cell r="L108">
            <v>163.19999999999999</v>
          </cell>
          <cell r="M108">
            <v>4.1888632503036177E-2</v>
          </cell>
          <cell r="N108">
            <v>199.67</v>
          </cell>
        </row>
        <row r="109">
          <cell r="G109">
            <v>0</v>
          </cell>
          <cell r="I109">
            <v>0</v>
          </cell>
          <cell r="K109">
            <v>0</v>
          </cell>
          <cell r="M109">
            <v>0</v>
          </cell>
        </row>
        <row r="110">
          <cell r="B110" t="str">
            <v>Other  Manufacturing   Expenses</v>
          </cell>
          <cell r="C110">
            <v>2.0674157303370782E-2</v>
          </cell>
          <cell r="D110">
            <v>28.519999999999996</v>
          </cell>
          <cell r="E110">
            <v>3.52458349529483E-2</v>
          </cell>
          <cell r="F110">
            <v>38.99</v>
          </cell>
          <cell r="G110">
            <v>4.5868133054935555E-2</v>
          </cell>
          <cell r="H110">
            <v>101.92999999999999</v>
          </cell>
          <cell r="I110">
            <v>5.6815726119841529E-2</v>
          </cell>
          <cell r="J110">
            <v>149.85999999999999</v>
          </cell>
          <cell r="K110">
            <v>3.9562113707730835E-2</v>
          </cell>
          <cell r="L110">
            <v>123.09000000000003</v>
          </cell>
          <cell r="M110">
            <v>5.1957680460244196E-2</v>
          </cell>
          <cell r="N110">
            <v>247.66600000000003</v>
          </cell>
        </row>
        <row r="111">
          <cell r="C111">
            <v>0</v>
          </cell>
          <cell r="E111">
            <v>0</v>
          </cell>
          <cell r="G111">
            <v>0</v>
          </cell>
          <cell r="I111">
            <v>0</v>
          </cell>
          <cell r="K111">
            <v>0</v>
          </cell>
          <cell r="M111">
            <v>0</v>
          </cell>
        </row>
        <row r="112">
          <cell r="B112" t="str">
            <v>Payment  To  Employees</v>
          </cell>
          <cell r="C112">
            <v>1.1888365349764406E-2</v>
          </cell>
          <cell r="D112">
            <v>16.399999999999999</v>
          </cell>
          <cell r="E112">
            <v>1.317085958616201E-2</v>
          </cell>
          <cell r="F112">
            <v>14.57</v>
          </cell>
          <cell r="G112">
            <v>5.1524587803297569E-3</v>
          </cell>
          <cell r="H112">
            <v>11.45</v>
          </cell>
          <cell r="I112">
            <v>5.5124827024055512E-3</v>
          </cell>
          <cell r="J112">
            <v>14.54</v>
          </cell>
          <cell r="K112">
            <v>6.6885009851155933E-3</v>
          </cell>
          <cell r="L112">
            <v>20.81</v>
          </cell>
          <cell r="M112">
            <v>1.1678971159633516E-2</v>
          </cell>
          <cell r="N112">
            <v>55.67</v>
          </cell>
        </row>
        <row r="113">
          <cell r="C113">
            <v>0</v>
          </cell>
          <cell r="E113">
            <v>0</v>
          </cell>
          <cell r="G113">
            <v>0</v>
          </cell>
          <cell r="I113">
            <v>0</v>
          </cell>
          <cell r="K113">
            <v>0</v>
          </cell>
          <cell r="M113">
            <v>0</v>
          </cell>
        </row>
        <row r="114">
          <cell r="B114" t="str">
            <v xml:space="preserve"> Administration   Exp.</v>
          </cell>
          <cell r="C114">
            <v>8.4475824574121051E-3</v>
          </cell>
          <cell r="D114">
            <v>11.65344</v>
          </cell>
          <cell r="E114">
            <v>8.2442168445983188E-3</v>
          </cell>
          <cell r="F114">
            <v>9.1199999999999992</v>
          </cell>
          <cell r="G114">
            <v>3.3344733242134062E-3</v>
          </cell>
          <cell r="H114">
            <v>7.410000000000001</v>
          </cell>
          <cell r="I114">
            <v>7.0289841336037768E-3</v>
          </cell>
          <cell r="J114">
            <v>18.54</v>
          </cell>
          <cell r="K114">
            <v>8.7165856182765452E-3</v>
          </cell>
          <cell r="L114">
            <v>27.12</v>
          </cell>
          <cell r="M114">
            <v>5.0683000583004508E-3</v>
          </cell>
          <cell r="N114">
            <v>24.158999999999999</v>
          </cell>
        </row>
        <row r="115">
          <cell r="G115">
            <v>0</v>
          </cell>
          <cell r="I115">
            <v>0</v>
          </cell>
          <cell r="K115">
            <v>0</v>
          </cell>
          <cell r="M115">
            <v>0</v>
          </cell>
        </row>
        <row r="116">
          <cell r="B116" t="str">
            <v>Selling  &amp;  Distribution   Exp.</v>
          </cell>
          <cell r="C116">
            <v>6.1664081188836537E-3</v>
          </cell>
          <cell r="D116">
            <v>8.5065600000000003</v>
          </cell>
          <cell r="E116">
            <v>7.1775308932138879E-3</v>
          </cell>
          <cell r="F116">
            <v>7.9399999999999995</v>
          </cell>
          <cell r="G116">
            <v>5.1749586003311968E-4</v>
          </cell>
          <cell r="H116">
            <v>1.1499999999999999</v>
          </cell>
          <cell r="I116">
            <v>0</v>
          </cell>
          <cell r="J116">
            <v>0</v>
          </cell>
          <cell r="K116">
            <v>0</v>
          </cell>
          <cell r="L116">
            <v>0</v>
          </cell>
          <cell r="M116">
            <v>0</v>
          </cell>
          <cell r="N116">
            <v>0</v>
          </cell>
        </row>
        <row r="117">
          <cell r="C117">
            <v>0</v>
          </cell>
          <cell r="E117">
            <v>0</v>
          </cell>
          <cell r="G117">
            <v>0</v>
          </cell>
          <cell r="I117">
            <v>0</v>
          </cell>
          <cell r="K117">
            <v>0</v>
          </cell>
          <cell r="M117">
            <v>0</v>
          </cell>
        </row>
        <row r="118">
          <cell r="B118" t="str">
            <v>Interest &amp; Finance Expenses</v>
          </cell>
          <cell r="C118">
            <v>4.29720913374411E-2</v>
          </cell>
          <cell r="D118">
            <v>59.28</v>
          </cell>
          <cell r="E118">
            <v>4.2757835169901372E-2</v>
          </cell>
          <cell r="F118">
            <v>47.3</v>
          </cell>
          <cell r="G118">
            <v>3.2512239902080776E-2</v>
          </cell>
          <cell r="H118">
            <v>72.25</v>
          </cell>
          <cell r="I118">
            <v>1.9987488863192616E-2</v>
          </cell>
          <cell r="J118">
            <v>52.72</v>
          </cell>
          <cell r="K118">
            <v>1.4428006209603028E-2</v>
          </cell>
          <cell r="L118">
            <v>44.89</v>
          </cell>
          <cell r="M118">
            <v>1.3872528236068365E-2</v>
          </cell>
          <cell r="N118">
            <v>66.126000000000005</v>
          </cell>
        </row>
        <row r="119">
          <cell r="C119">
            <v>0</v>
          </cell>
          <cell r="E119">
            <v>0</v>
          </cell>
          <cell r="G119">
            <v>0</v>
          </cell>
          <cell r="I119">
            <v>0</v>
          </cell>
          <cell r="K119">
            <v>0</v>
          </cell>
          <cell r="M119">
            <v>0</v>
          </cell>
        </row>
        <row r="120">
          <cell r="B120" t="str">
            <v>Depreciation</v>
          </cell>
          <cell r="C120">
            <v>1.1591156216020297E-2</v>
          </cell>
          <cell r="D120">
            <v>15.99</v>
          </cell>
          <cell r="E120">
            <v>1.5774296484456215E-2</v>
          </cell>
          <cell r="F120">
            <v>17.45</v>
          </cell>
          <cell r="G120">
            <v>1.0781913744690041E-2</v>
          </cell>
          <cell r="H120">
            <v>23.96</v>
          </cell>
          <cell r="I120">
            <v>1.7832161204102137E-2</v>
          </cell>
          <cell r="J120">
            <v>47.034999999999997</v>
          </cell>
          <cell r="K120">
            <v>2.3851368073255316E-2</v>
          </cell>
          <cell r="L120">
            <v>74.209000000000003</v>
          </cell>
          <cell r="M120">
            <v>1.2587358893084443E-2</v>
          </cell>
          <cell r="N120">
            <v>60</v>
          </cell>
        </row>
        <row r="121">
          <cell r="C121">
            <v>0</v>
          </cell>
          <cell r="E121">
            <v>0</v>
          </cell>
          <cell r="G121">
            <v>0</v>
          </cell>
          <cell r="I121">
            <v>0</v>
          </cell>
          <cell r="K121">
            <v>0</v>
          </cell>
          <cell r="M121">
            <v>0</v>
          </cell>
        </row>
        <row r="122">
          <cell r="B122" t="str">
            <v>Preliminary Expenses w/off</v>
          </cell>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E123">
            <v>0</v>
          </cell>
          <cell r="G123">
            <v>0</v>
          </cell>
          <cell r="I123">
            <v>0</v>
          </cell>
          <cell r="K123">
            <v>0</v>
          </cell>
          <cell r="M123">
            <v>0</v>
          </cell>
        </row>
        <row r="124">
          <cell r="C124">
            <v>0</v>
          </cell>
          <cell r="D124" t="str">
            <v>-</v>
          </cell>
          <cell r="E124">
            <v>0</v>
          </cell>
          <cell r="F124" t="str">
            <v>-</v>
          </cell>
          <cell r="G124">
            <v>0</v>
          </cell>
          <cell r="H124" t="str">
            <v>-</v>
          </cell>
          <cell r="I124">
            <v>0</v>
          </cell>
          <cell r="J124" t="str">
            <v>-</v>
          </cell>
          <cell r="K124">
            <v>0</v>
          </cell>
          <cell r="L124" t="str">
            <v>-</v>
          </cell>
          <cell r="M124">
            <v>0</v>
          </cell>
          <cell r="N124" t="str">
            <v>-</v>
          </cell>
        </row>
        <row r="125">
          <cell r="B125" t="str">
            <v>TOTAL  EXPENDITURE</v>
          </cell>
          <cell r="C125">
            <v>0.92779061254077566</v>
          </cell>
          <cell r="D125">
            <v>1279.88715</v>
          </cell>
          <cell r="E125">
            <v>0.93276803196441971</v>
          </cell>
          <cell r="F125">
            <v>1031.85598</v>
          </cell>
          <cell r="G125">
            <v>0.96514777881776936</v>
          </cell>
          <cell r="H125">
            <v>2144.79</v>
          </cell>
          <cell r="I125">
            <v>0.96623699126116058</v>
          </cell>
          <cell r="J125">
            <v>2548.5949999999998</v>
          </cell>
          <cell r="K125">
            <v>0.96082646859361454</v>
          </cell>
          <cell r="L125">
            <v>2989.4289999999992</v>
          </cell>
          <cell r="M125">
            <v>0.95471718617144352</v>
          </cell>
          <cell r="N125">
            <v>4550.8379999999997</v>
          </cell>
        </row>
        <row r="126">
          <cell r="C126">
            <v>0</v>
          </cell>
          <cell r="D126" t="str">
            <v>-</v>
          </cell>
          <cell r="E126">
            <v>0</v>
          </cell>
          <cell r="F126" t="str">
            <v>-</v>
          </cell>
          <cell r="G126">
            <v>0</v>
          </cell>
          <cell r="H126" t="str">
            <v>-</v>
          </cell>
          <cell r="I126">
            <v>0</v>
          </cell>
          <cell r="J126" t="str">
            <v>-</v>
          </cell>
          <cell r="K126">
            <v>0</v>
          </cell>
          <cell r="L126" t="str">
            <v>-</v>
          </cell>
          <cell r="M126">
            <v>0</v>
          </cell>
          <cell r="N126" t="str">
            <v>-</v>
          </cell>
        </row>
        <row r="127">
          <cell r="B127" t="str">
            <v>Profit/ Loss Before Tax</v>
          </cell>
          <cell r="C127">
            <v>7.2209387459224339E-2</v>
          </cell>
          <cell r="D127">
            <v>99.61284999999998</v>
          </cell>
          <cell r="E127">
            <v>6.7231968035580278E-2</v>
          </cell>
          <cell r="F127">
            <v>74.374019999999973</v>
          </cell>
          <cell r="G127">
            <v>3.4852221182230664E-2</v>
          </cell>
          <cell r="H127">
            <v>77.450000000000273</v>
          </cell>
          <cell r="I127">
            <v>3.3763008738839438E-2</v>
          </cell>
          <cell r="J127">
            <v>89.054999999999836</v>
          </cell>
          <cell r="K127">
            <v>3.9173531406385478E-2</v>
          </cell>
          <cell r="L127">
            <v>121.88100000000122</v>
          </cell>
          <cell r="M127">
            <v>4.528281382855643E-2</v>
          </cell>
          <cell r="N127">
            <v>215.84900000000016</v>
          </cell>
        </row>
        <row r="128">
          <cell r="C128">
            <v>0</v>
          </cell>
          <cell r="E128">
            <v>0</v>
          </cell>
          <cell r="G128">
            <v>0</v>
          </cell>
          <cell r="I128">
            <v>0</v>
          </cell>
          <cell r="K128">
            <v>0</v>
          </cell>
          <cell r="M128">
            <v>0</v>
          </cell>
        </row>
        <row r="129">
          <cell r="B129" t="str">
            <v>Less: Provision For  Taxation</v>
          </cell>
          <cell r="C129">
            <v>0</v>
          </cell>
          <cell r="D129">
            <v>0</v>
          </cell>
          <cell r="E129">
            <v>0</v>
          </cell>
          <cell r="F129">
            <v>0</v>
          </cell>
          <cell r="G129">
            <v>0</v>
          </cell>
          <cell r="H129">
            <v>0</v>
          </cell>
          <cell r="I129">
            <v>8.3407578715902425E-5</v>
          </cell>
          <cell r="J129">
            <v>0.22</v>
          </cell>
          <cell r="K129">
            <v>2.9730242245227891E-3</v>
          </cell>
          <cell r="L129">
            <v>9.25</v>
          </cell>
          <cell r="M129">
            <v>0</v>
          </cell>
          <cell r="N129">
            <v>0</v>
          </cell>
        </row>
        <row r="130">
          <cell r="C130">
            <v>0</v>
          </cell>
          <cell r="E130">
            <v>0</v>
          </cell>
          <cell r="G130">
            <v>0</v>
          </cell>
          <cell r="I130">
            <v>0</v>
          </cell>
          <cell r="K130">
            <v>0</v>
          </cell>
          <cell r="M130">
            <v>0</v>
          </cell>
        </row>
        <row r="131">
          <cell r="B131" t="str">
            <v xml:space="preserve"> Add: ( Depreciation written  back) / written off </v>
          </cell>
          <cell r="C131">
            <v>0</v>
          </cell>
          <cell r="D131">
            <v>0</v>
          </cell>
          <cell r="E131">
            <v>0</v>
          </cell>
          <cell r="F131">
            <v>0</v>
          </cell>
          <cell r="G131">
            <v>0</v>
          </cell>
          <cell r="H131">
            <v>0</v>
          </cell>
          <cell r="I131">
            <v>-3.2801925956817628E-2</v>
          </cell>
          <cell r="J131">
            <v>-86.52</v>
          </cell>
          <cell r="K131">
            <v>0</v>
          </cell>
          <cell r="L131">
            <v>0</v>
          </cell>
          <cell r="M131">
            <v>-3.566418353040592E-3</v>
          </cell>
          <cell r="N131">
            <v>-17</v>
          </cell>
        </row>
        <row r="132">
          <cell r="C132">
            <v>0</v>
          </cell>
          <cell r="D132" t="str">
            <v>-</v>
          </cell>
          <cell r="E132">
            <v>0</v>
          </cell>
          <cell r="F132" t="str">
            <v>-</v>
          </cell>
          <cell r="G132">
            <v>0</v>
          </cell>
          <cell r="H132" t="str">
            <v>-</v>
          </cell>
          <cell r="I132">
            <v>0</v>
          </cell>
          <cell r="J132" t="str">
            <v>-</v>
          </cell>
          <cell r="K132">
            <v>0</v>
          </cell>
          <cell r="L132" t="str">
            <v>-</v>
          </cell>
          <cell r="M132">
            <v>0</v>
          </cell>
          <cell r="N132" t="str">
            <v>-</v>
          </cell>
        </row>
        <row r="133">
          <cell r="B133" t="str">
            <v>Profit/Loss After  Taxation</v>
          </cell>
          <cell r="C133">
            <v>7.2209387459224339E-2</v>
          </cell>
          <cell r="D133">
            <v>99.61284999999998</v>
          </cell>
          <cell r="E133">
            <v>6.7231968035580278E-2</v>
          </cell>
          <cell r="F133">
            <v>74.374019999999973</v>
          </cell>
          <cell r="G133">
            <v>3.4852221182230664E-2</v>
          </cell>
          <cell r="H133">
            <v>77.450000000000273</v>
          </cell>
          <cell r="I133">
            <v>8.7767520330591308E-4</v>
          </cell>
          <cell r="J133">
            <v>2.3149999999998414</v>
          </cell>
          <cell r="K133">
            <v>3.6200507181862691E-2</v>
          </cell>
          <cell r="L133">
            <v>112.63100000000122</v>
          </cell>
          <cell r="M133">
            <v>4.1716395475515838E-2</v>
          </cell>
          <cell r="N133">
            <v>198.84900000000016</v>
          </cell>
        </row>
        <row r="134">
          <cell r="I134">
            <v>0</v>
          </cell>
        </row>
        <row r="135">
          <cell r="B135" t="str">
            <v xml:space="preserve">Balance  b/f from Previous Year </v>
          </cell>
          <cell r="D135">
            <v>0</v>
          </cell>
          <cell r="F135">
            <v>71.61284999999998</v>
          </cell>
          <cell r="H135">
            <v>119.78686999999996</v>
          </cell>
          <cell r="J135">
            <v>170.70687000000024</v>
          </cell>
          <cell r="L135">
            <v>168.6078700000001</v>
          </cell>
          <cell r="N135">
            <v>267.96887000000135</v>
          </cell>
        </row>
        <row r="136">
          <cell r="C136">
            <v>0</v>
          </cell>
          <cell r="D136" t="str">
            <v>-</v>
          </cell>
          <cell r="E136">
            <v>0</v>
          </cell>
          <cell r="F136" t="str">
            <v>-</v>
          </cell>
          <cell r="G136">
            <v>0</v>
          </cell>
          <cell r="H136" t="str">
            <v>-</v>
          </cell>
          <cell r="I136">
            <v>0</v>
          </cell>
          <cell r="J136" t="str">
            <v>-</v>
          </cell>
          <cell r="K136">
            <v>0</v>
          </cell>
          <cell r="L136" t="str">
            <v>-</v>
          </cell>
          <cell r="M136">
            <v>0</v>
          </cell>
          <cell r="N136" t="str">
            <v>-</v>
          </cell>
        </row>
        <row r="137">
          <cell r="B137" t="str">
            <v>BALANCE AVAILABLE FOR APPROPRIATION</v>
          </cell>
          <cell r="D137">
            <v>99.61284999999998</v>
          </cell>
          <cell r="F137">
            <v>145.98686999999995</v>
          </cell>
          <cell r="H137">
            <v>197.23687000000024</v>
          </cell>
          <cell r="J137">
            <v>173.02187000000009</v>
          </cell>
          <cell r="L137">
            <v>281.23887000000133</v>
          </cell>
          <cell r="N137">
            <v>466.81787000000151</v>
          </cell>
        </row>
        <row r="138">
          <cell r="C138">
            <v>0</v>
          </cell>
          <cell r="D138" t="str">
            <v>=</v>
          </cell>
          <cell r="E138">
            <v>0</v>
          </cell>
          <cell r="F138" t="str">
            <v>=</v>
          </cell>
          <cell r="G138">
            <v>0</v>
          </cell>
          <cell r="H138" t="str">
            <v>=</v>
          </cell>
          <cell r="I138">
            <v>0</v>
          </cell>
          <cell r="J138" t="str">
            <v>=</v>
          </cell>
          <cell r="K138">
            <v>0</v>
          </cell>
          <cell r="L138" t="str">
            <v>=</v>
          </cell>
          <cell r="M138">
            <v>0</v>
          </cell>
          <cell r="N138" t="str">
            <v>=</v>
          </cell>
        </row>
        <row r="139">
          <cell r="B139" t="str">
            <v>APPROPRIATIONS</v>
          </cell>
        </row>
        <row r="141">
          <cell r="B141" t="str">
            <v>Total  Dividend</v>
          </cell>
          <cell r="C141">
            <v>0.54995417048579287</v>
          </cell>
          <cell r="D141">
            <v>18</v>
          </cell>
          <cell r="E141">
            <v>0.4598353675844451</v>
          </cell>
          <cell r="F141">
            <v>16.2</v>
          </cell>
          <cell r="G141">
            <v>0.41243258586432019</v>
          </cell>
          <cell r="H141">
            <v>14.53</v>
          </cell>
          <cell r="I141">
            <v>0</v>
          </cell>
          <cell r="J141">
            <v>0</v>
          </cell>
          <cell r="K141">
            <v>9.9908340971585713E-2</v>
          </cell>
          <cell r="L141">
            <v>3.27</v>
          </cell>
          <cell r="M141">
            <v>0</v>
          </cell>
          <cell r="N141">
            <v>0</v>
          </cell>
        </row>
        <row r="142">
          <cell r="B142" t="str">
            <v>Interim  Dividend</v>
          </cell>
          <cell r="D142">
            <v>8.18</v>
          </cell>
          <cell r="F142">
            <v>14.73</v>
          </cell>
          <cell r="H142">
            <v>13.09</v>
          </cell>
          <cell r="J142">
            <v>0</v>
          </cell>
          <cell r="L142">
            <v>3.27</v>
          </cell>
          <cell r="N142">
            <v>0</v>
          </cell>
        </row>
        <row r="144">
          <cell r="B144" t="str">
            <v xml:space="preserve">Proposed Dividend </v>
          </cell>
          <cell r="C144">
            <v>0</v>
          </cell>
          <cell r="D144">
            <v>8.18</v>
          </cell>
          <cell r="F144">
            <v>0</v>
          </cell>
          <cell r="H144">
            <v>0</v>
          </cell>
          <cell r="J144">
            <v>0</v>
          </cell>
          <cell r="L144">
            <v>0</v>
          </cell>
          <cell r="N144">
            <v>0</v>
          </cell>
        </row>
        <row r="146">
          <cell r="B146" t="str">
            <v xml:space="preserve"> Tax  on Dividends</v>
          </cell>
          <cell r="D146">
            <v>1.64</v>
          </cell>
          <cell r="F146">
            <v>1.47</v>
          </cell>
          <cell r="H146">
            <v>1.44</v>
          </cell>
          <cell r="J146">
            <v>0</v>
          </cell>
          <cell r="L146">
            <v>0</v>
          </cell>
          <cell r="N146">
            <v>0</v>
          </cell>
        </row>
        <row r="148">
          <cell r="B148" t="str">
            <v>Transfer to  Reserves</v>
          </cell>
          <cell r="D148">
            <v>10</v>
          </cell>
          <cell r="F148">
            <v>10</v>
          </cell>
          <cell r="H148">
            <v>12</v>
          </cell>
          <cell r="J148">
            <v>4.4139999999999997</v>
          </cell>
          <cell r="L148">
            <v>10</v>
          </cell>
          <cell r="N148">
            <v>0</v>
          </cell>
        </row>
        <row r="150">
          <cell r="B150" t="str">
            <v>Balance Carried  to Balance Sheet</v>
          </cell>
          <cell r="D150">
            <v>71.61284999999998</v>
          </cell>
          <cell r="F150">
            <v>119.78686999999996</v>
          </cell>
          <cell r="H150">
            <v>170.70687000000024</v>
          </cell>
          <cell r="J150">
            <v>168.6078700000001</v>
          </cell>
          <cell r="L150">
            <v>267.96887000000135</v>
          </cell>
          <cell r="N150">
            <v>466.81787000000151</v>
          </cell>
        </row>
        <row r="151">
          <cell r="C151">
            <v>0</v>
          </cell>
          <cell r="D151" t="str">
            <v>-</v>
          </cell>
          <cell r="E151">
            <v>0</v>
          </cell>
          <cell r="F151" t="str">
            <v>-</v>
          </cell>
          <cell r="G151">
            <v>0</v>
          </cell>
          <cell r="H151" t="str">
            <v>-</v>
          </cell>
          <cell r="I151">
            <v>0</v>
          </cell>
          <cell r="J151" t="str">
            <v>-</v>
          </cell>
          <cell r="K151">
            <v>0</v>
          </cell>
          <cell r="L151" t="str">
            <v>-</v>
          </cell>
          <cell r="M151">
            <v>0</v>
          </cell>
          <cell r="N151" t="str">
            <v>-</v>
          </cell>
        </row>
        <row r="152">
          <cell r="D152">
            <v>99.61284999999998</v>
          </cell>
          <cell r="F152">
            <v>145.98686999999995</v>
          </cell>
          <cell r="H152">
            <v>197.23687000000024</v>
          </cell>
          <cell r="J152">
            <v>173.02187000000009</v>
          </cell>
          <cell r="L152">
            <v>281.23887000000133</v>
          </cell>
          <cell r="N152">
            <v>466.81787000000151</v>
          </cell>
        </row>
        <row r="153">
          <cell r="C153">
            <v>0</v>
          </cell>
          <cell r="D153" t="str">
            <v>=</v>
          </cell>
          <cell r="E153">
            <v>0</v>
          </cell>
          <cell r="F153" t="str">
            <v>=</v>
          </cell>
          <cell r="G153">
            <v>0</v>
          </cell>
          <cell r="H153" t="str">
            <v>=</v>
          </cell>
          <cell r="I153">
            <v>0</v>
          </cell>
          <cell r="J153" t="str">
            <v>=</v>
          </cell>
          <cell r="K153">
            <v>0</v>
          </cell>
          <cell r="L153" t="str">
            <v>=</v>
          </cell>
          <cell r="M153">
            <v>0</v>
          </cell>
          <cell r="N153" t="str">
            <v>=</v>
          </cell>
        </row>
        <row r="176">
          <cell r="B176" t="str">
            <v>DETAILS  FOR  CALCULATING RATIOS</v>
          </cell>
        </row>
        <row r="178">
          <cell r="B178" t="str">
            <v>-</v>
          </cell>
          <cell r="C178" t="str">
            <v>-</v>
          </cell>
          <cell r="D178" t="str">
            <v>-</v>
          </cell>
          <cell r="E178" t="str">
            <v>-</v>
          </cell>
          <cell r="F178" t="str">
            <v>-</v>
          </cell>
          <cell r="G178" t="str">
            <v>-</v>
          </cell>
          <cell r="H178" t="str">
            <v>-</v>
          </cell>
        </row>
        <row r="179">
          <cell r="B179" t="str">
            <v>PARTICULARS</v>
          </cell>
          <cell r="C179" t="str">
            <v>1997-98</v>
          </cell>
          <cell r="D179" t="str">
            <v>1998-99</v>
          </cell>
          <cell r="E179" t="str">
            <v>1999-00</v>
          </cell>
          <cell r="F179" t="str">
            <v>2000-01</v>
          </cell>
          <cell r="G179" t="str">
            <v>2001-02</v>
          </cell>
          <cell r="H179" t="str">
            <v>2002-03</v>
          </cell>
        </row>
        <row r="180">
          <cell r="B180" t="str">
            <v>-</v>
          </cell>
          <cell r="C180" t="str">
            <v>-</v>
          </cell>
          <cell r="D180" t="str">
            <v>-</v>
          </cell>
          <cell r="E180" t="str">
            <v>-</v>
          </cell>
          <cell r="F180" t="str">
            <v>-</v>
          </cell>
          <cell r="G180" t="str">
            <v>-</v>
          </cell>
          <cell r="H180" t="str">
            <v>-</v>
          </cell>
        </row>
        <row r="181">
          <cell r="B181" t="str">
            <v>Total  Share  Capital</v>
          </cell>
          <cell r="C181">
            <v>32.729999999999997</v>
          </cell>
          <cell r="D181">
            <v>35.229999999999997</v>
          </cell>
          <cell r="E181">
            <v>35.229999999999997</v>
          </cell>
          <cell r="F181">
            <v>32.729999999999997</v>
          </cell>
          <cell r="G181">
            <v>32.729999999999997</v>
          </cell>
          <cell r="H181">
            <v>50.73</v>
          </cell>
        </row>
        <row r="183">
          <cell r="B183" t="str">
            <v>Total  Dividend</v>
          </cell>
          <cell r="C183">
            <v>18</v>
          </cell>
          <cell r="D183">
            <v>16.2</v>
          </cell>
          <cell r="E183">
            <v>14.53</v>
          </cell>
          <cell r="F183">
            <v>0</v>
          </cell>
          <cell r="G183">
            <v>3.27</v>
          </cell>
          <cell r="H183">
            <v>0</v>
          </cell>
        </row>
        <row r="185">
          <cell r="B185" t="str">
            <v>Loan  Funds</v>
          </cell>
          <cell r="C185">
            <v>331.24</v>
          </cell>
          <cell r="D185">
            <v>488.45</v>
          </cell>
          <cell r="E185">
            <v>476.06</v>
          </cell>
          <cell r="F185">
            <v>184.79</v>
          </cell>
          <cell r="G185">
            <v>395.6</v>
          </cell>
          <cell r="H185">
            <v>865.99</v>
          </cell>
        </row>
        <row r="187">
          <cell r="B187" t="str">
            <v>Term  Loans</v>
          </cell>
          <cell r="C187">
            <v>199.57999999999998</v>
          </cell>
          <cell r="D187">
            <v>237.06</v>
          </cell>
          <cell r="E187">
            <v>273.65999999999997</v>
          </cell>
          <cell r="F187">
            <v>133.68</v>
          </cell>
          <cell r="G187">
            <v>349.63</v>
          </cell>
          <cell r="H187">
            <v>754.39699999999993</v>
          </cell>
        </row>
        <row r="189">
          <cell r="B189" t="str">
            <v>Unsecured  Loan</v>
          </cell>
          <cell r="C189">
            <v>18.25</v>
          </cell>
          <cell r="D189">
            <v>115.25</v>
          </cell>
          <cell r="E189">
            <v>30.5</v>
          </cell>
          <cell r="F189">
            <v>0</v>
          </cell>
          <cell r="G189">
            <v>0</v>
          </cell>
          <cell r="H189">
            <v>13.885</v>
          </cell>
        </row>
        <row r="191">
          <cell r="B191" t="str">
            <v>Working  Capital  Loan</v>
          </cell>
          <cell r="C191">
            <v>113.41</v>
          </cell>
          <cell r="D191">
            <v>136.13999999999999</v>
          </cell>
          <cell r="E191">
            <v>171.9</v>
          </cell>
          <cell r="F191">
            <v>51.11</v>
          </cell>
          <cell r="G191">
            <v>45.97</v>
          </cell>
          <cell r="H191">
            <v>95.296999999999997</v>
          </cell>
        </row>
        <row r="193">
          <cell r="B193" t="str">
            <v>Debt</v>
          </cell>
          <cell r="C193">
            <v>199.58</v>
          </cell>
          <cell r="D193">
            <v>237.06</v>
          </cell>
          <cell r="E193">
            <v>273.65999999999997</v>
          </cell>
          <cell r="F193">
            <v>133.68</v>
          </cell>
          <cell r="G193">
            <v>349.63</v>
          </cell>
          <cell r="H193">
            <v>756.80799999999999</v>
          </cell>
        </row>
        <row r="195">
          <cell r="B195" t="str">
            <v>Current  Assets:</v>
          </cell>
        </row>
        <row r="197">
          <cell r="B197" t="str">
            <v>a. Inventories</v>
          </cell>
          <cell r="C197">
            <v>45.33</v>
          </cell>
          <cell r="D197">
            <v>53.25</v>
          </cell>
          <cell r="E197">
            <v>41.57</v>
          </cell>
          <cell r="F197">
            <v>58.55</v>
          </cell>
          <cell r="G197">
            <v>130.61000000000001</v>
          </cell>
          <cell r="H197">
            <v>288.3</v>
          </cell>
        </row>
        <row r="199">
          <cell r="B199" t="str">
            <v>b. Sundry  Debtors</v>
          </cell>
          <cell r="C199">
            <v>52.62</v>
          </cell>
          <cell r="D199">
            <v>41.46</v>
          </cell>
          <cell r="E199">
            <v>105.17</v>
          </cell>
          <cell r="F199">
            <v>100.47</v>
          </cell>
          <cell r="G199">
            <v>87.53</v>
          </cell>
          <cell r="H199">
            <v>95.6</v>
          </cell>
        </row>
        <row r="201">
          <cell r="B201" t="str">
            <v>c.  Cash &amp; Bank Balances</v>
          </cell>
          <cell r="C201">
            <v>25.15</v>
          </cell>
          <cell r="D201">
            <v>37.33</v>
          </cell>
          <cell r="E201">
            <v>23.84</v>
          </cell>
          <cell r="F201">
            <v>11.56</v>
          </cell>
          <cell r="G201">
            <v>1.54</v>
          </cell>
          <cell r="H201">
            <v>2.4700000000000002</v>
          </cell>
        </row>
        <row r="203">
          <cell r="B203" t="str">
            <v>d.  Loans &amp;  Advances</v>
          </cell>
          <cell r="C203">
            <v>40.089999999999996</v>
          </cell>
          <cell r="D203">
            <v>135.42000000000002</v>
          </cell>
          <cell r="E203">
            <v>257.35000000000002</v>
          </cell>
          <cell r="F203">
            <v>61.674999999999997</v>
          </cell>
          <cell r="G203">
            <v>112.2</v>
          </cell>
          <cell r="H203">
            <v>75.19</v>
          </cell>
        </row>
        <row r="205">
          <cell r="B205" t="str">
            <v>e.  Deposits</v>
          </cell>
          <cell r="C205">
            <v>31.54</v>
          </cell>
          <cell r="D205">
            <v>31.63</v>
          </cell>
          <cell r="E205">
            <v>1.63</v>
          </cell>
          <cell r="F205">
            <v>1.645</v>
          </cell>
          <cell r="G205">
            <v>1.81</v>
          </cell>
          <cell r="H205">
            <v>106.12</v>
          </cell>
        </row>
        <row r="207">
          <cell r="B207" t="str">
            <v>f. Trade  Investments</v>
          </cell>
          <cell r="C207">
            <v>0</v>
          </cell>
          <cell r="D207">
            <v>0</v>
          </cell>
          <cell r="E207">
            <v>0</v>
          </cell>
          <cell r="F207">
            <v>0</v>
          </cell>
          <cell r="G207">
            <v>0</v>
          </cell>
          <cell r="H207">
            <v>0</v>
          </cell>
        </row>
        <row r="208">
          <cell r="C208" t="str">
            <v>-</v>
          </cell>
          <cell r="D208" t="str">
            <v>-</v>
          </cell>
          <cell r="E208" t="str">
            <v>-</v>
          </cell>
          <cell r="F208" t="str">
            <v>-</v>
          </cell>
          <cell r="G208" t="str">
            <v>-</v>
          </cell>
          <cell r="H208" t="str">
            <v>-</v>
          </cell>
        </row>
        <row r="209">
          <cell r="B209" t="str">
            <v xml:space="preserve">         Total Current  Assets</v>
          </cell>
          <cell r="C209">
            <v>194.73</v>
          </cell>
          <cell r="D209">
            <v>299.09000000000003</v>
          </cell>
          <cell r="E209">
            <v>429.56000000000006</v>
          </cell>
          <cell r="F209">
            <v>233.9</v>
          </cell>
          <cell r="G209">
            <v>333.69</v>
          </cell>
          <cell r="H209">
            <v>567.68000000000006</v>
          </cell>
        </row>
        <row r="211">
          <cell r="B211" t="str">
            <v>Current Liabilities</v>
          </cell>
          <cell r="C211">
            <v>35.5</v>
          </cell>
          <cell r="D211">
            <v>31.48</v>
          </cell>
          <cell r="E211">
            <v>33.119999999999997</v>
          </cell>
          <cell r="F211">
            <v>28.53</v>
          </cell>
          <cell r="G211">
            <v>86.375</v>
          </cell>
          <cell r="H211">
            <v>66.83</v>
          </cell>
        </row>
        <row r="212">
          <cell r="C212" t="str">
            <v>-</v>
          </cell>
          <cell r="D212" t="str">
            <v>-</v>
          </cell>
          <cell r="E212" t="str">
            <v>-</v>
          </cell>
          <cell r="F212" t="str">
            <v>-</v>
          </cell>
          <cell r="G212" t="str">
            <v>-</v>
          </cell>
          <cell r="H212" t="str">
            <v>-</v>
          </cell>
        </row>
        <row r="213">
          <cell r="B213" t="str">
            <v xml:space="preserve">         Total  Current Liabilities</v>
          </cell>
          <cell r="C213">
            <v>140.72999999999999</v>
          </cell>
          <cell r="D213">
            <v>167.61999999999998</v>
          </cell>
          <cell r="E213">
            <v>205.02</v>
          </cell>
          <cell r="F213">
            <v>79.64</v>
          </cell>
          <cell r="G213">
            <v>132.345</v>
          </cell>
          <cell r="H213">
            <v>162.12700000000001</v>
          </cell>
        </row>
        <row r="214">
          <cell r="C214" t="str">
            <v>-</v>
          </cell>
          <cell r="D214" t="str">
            <v>-</v>
          </cell>
          <cell r="E214" t="str">
            <v>-</v>
          </cell>
          <cell r="F214" t="str">
            <v>-</v>
          </cell>
          <cell r="G214" t="str">
            <v>-</v>
          </cell>
          <cell r="H214" t="str">
            <v>-</v>
          </cell>
        </row>
        <row r="215">
          <cell r="B215" t="str">
            <v xml:space="preserve">Working  Capital  </v>
          </cell>
          <cell r="C215">
            <v>54</v>
          </cell>
          <cell r="D215">
            <v>131.47000000000006</v>
          </cell>
          <cell r="E215">
            <v>224.54000000000005</v>
          </cell>
          <cell r="F215">
            <v>154.26</v>
          </cell>
          <cell r="G215">
            <v>201.345</v>
          </cell>
          <cell r="H215">
            <v>405.55300000000005</v>
          </cell>
        </row>
        <row r="217">
          <cell r="B217" t="str">
            <v>L.T. Funds</v>
          </cell>
          <cell r="C217">
            <v>389.06000000000006</v>
          </cell>
          <cell r="D217">
            <v>606.72</v>
          </cell>
          <cell r="E217">
            <v>621.48</v>
          </cell>
          <cell r="F217">
            <v>424.41999999999996</v>
          </cell>
          <cell r="G217">
            <v>749.72700000000009</v>
          </cell>
          <cell r="H217">
            <v>1689.6399999999999</v>
          </cell>
        </row>
        <row r="219">
          <cell r="B219" t="str">
            <v>Turnover</v>
          </cell>
          <cell r="C219">
            <v>1364.28</v>
          </cell>
          <cell r="D219">
            <v>1093.98</v>
          </cell>
          <cell r="E219">
            <v>2217.7800000000002</v>
          </cell>
          <cell r="F219">
            <v>2628.58</v>
          </cell>
          <cell r="G219">
            <v>3089.9</v>
          </cell>
          <cell r="H219">
            <v>4555.9579999999996</v>
          </cell>
        </row>
        <row r="221">
          <cell r="B221" t="str">
            <v>Gross  Profit</v>
          </cell>
          <cell r="C221">
            <v>255.88285000000005</v>
          </cell>
          <cell r="D221">
            <v>214.57402000000008</v>
          </cell>
          <cell r="E221">
            <v>297.62000000000046</v>
          </cell>
          <cell r="F221">
            <v>315.91999999999967</v>
          </cell>
          <cell r="G221">
            <v>431.21000000000055</v>
          </cell>
          <cell r="H221">
            <v>565.71399999999971</v>
          </cell>
        </row>
        <row r="223">
          <cell r="B223" t="str">
            <v>Net Profit for the Year</v>
          </cell>
          <cell r="C223">
            <v>99.61284999999998</v>
          </cell>
          <cell r="D223">
            <v>74.374019999999973</v>
          </cell>
          <cell r="E223">
            <v>77.450000000000273</v>
          </cell>
          <cell r="F223">
            <v>89.054999999999836</v>
          </cell>
          <cell r="G223">
            <v>121.88100000000122</v>
          </cell>
          <cell r="H223">
            <v>215.84900000000016</v>
          </cell>
        </row>
        <row r="225">
          <cell r="B225" t="str">
            <v>Interest  &amp;  Finance  Charges</v>
          </cell>
          <cell r="C225">
            <v>59.28</v>
          </cell>
          <cell r="D225">
            <v>47.3</v>
          </cell>
          <cell r="E225">
            <v>72.25</v>
          </cell>
          <cell r="F225">
            <v>52.72</v>
          </cell>
          <cell r="G225">
            <v>44.89</v>
          </cell>
          <cell r="H225">
            <v>66.126000000000005</v>
          </cell>
        </row>
        <row r="227">
          <cell r="B227" t="str">
            <v>PBIT</v>
          </cell>
          <cell r="C227">
            <v>158.89284999999998</v>
          </cell>
          <cell r="D227">
            <v>121.67401999999997</v>
          </cell>
          <cell r="E227">
            <v>149.70000000000027</v>
          </cell>
          <cell r="F227">
            <v>141.77499999999984</v>
          </cell>
          <cell r="G227">
            <v>166.77100000000121</v>
          </cell>
          <cell r="H227">
            <v>281.97500000000014</v>
          </cell>
        </row>
        <row r="229">
          <cell r="B229" t="str">
            <v xml:space="preserve">F.G.Inventory </v>
          </cell>
          <cell r="C229">
            <v>0</v>
          </cell>
          <cell r="D229">
            <v>0</v>
          </cell>
          <cell r="E229">
            <v>0</v>
          </cell>
          <cell r="F229">
            <v>0</v>
          </cell>
          <cell r="G229">
            <v>0</v>
          </cell>
          <cell r="H229">
            <v>0</v>
          </cell>
        </row>
        <row r="231">
          <cell r="B231" t="str">
            <v>R.M.Inventory</v>
          </cell>
          <cell r="C231">
            <v>0</v>
          </cell>
          <cell r="D231">
            <v>0</v>
          </cell>
          <cell r="E231">
            <v>0</v>
          </cell>
          <cell r="F231">
            <v>0</v>
          </cell>
          <cell r="G231">
            <v>0</v>
          </cell>
          <cell r="H231">
            <v>0</v>
          </cell>
        </row>
        <row r="232">
          <cell r="B232" t="str">
            <v>=</v>
          </cell>
          <cell r="C232" t="str">
            <v>=</v>
          </cell>
          <cell r="D232" t="str">
            <v>=</v>
          </cell>
          <cell r="E232" t="str">
            <v>=</v>
          </cell>
          <cell r="F232" t="str">
            <v>=</v>
          </cell>
          <cell r="G232" t="str">
            <v>=</v>
          </cell>
          <cell r="H232" t="str">
            <v>=</v>
          </cell>
        </row>
        <row r="236">
          <cell r="B236" t="str">
            <v>CALCULATION  OF  VARIOUS  RATIOS</v>
          </cell>
        </row>
        <row r="237">
          <cell r="H237" t="str">
            <v>(RS.IN LACS)</v>
          </cell>
        </row>
        <row r="238">
          <cell r="B238" t="str">
            <v>-</v>
          </cell>
          <cell r="C238" t="str">
            <v>-</v>
          </cell>
          <cell r="D238" t="str">
            <v>-</v>
          </cell>
          <cell r="E238" t="str">
            <v>-</v>
          </cell>
          <cell r="F238" t="str">
            <v>-</v>
          </cell>
          <cell r="G238" t="str">
            <v>-</v>
          </cell>
          <cell r="H238" t="str">
            <v>-</v>
          </cell>
        </row>
        <row r="239">
          <cell r="B239" t="str">
            <v>PARTICULARS</v>
          </cell>
          <cell r="C239" t="str">
            <v>1997-98</v>
          </cell>
          <cell r="D239" t="str">
            <v>1998-99</v>
          </cell>
          <cell r="E239" t="str">
            <v>1999-00</v>
          </cell>
          <cell r="F239" t="str">
            <v>2000-01</v>
          </cell>
          <cell r="G239" t="str">
            <v>2001-02</v>
          </cell>
          <cell r="H239" t="str">
            <v>2002-03</v>
          </cell>
        </row>
        <row r="240">
          <cell r="B240" t="str">
            <v>-</v>
          </cell>
          <cell r="C240" t="str">
            <v>-</v>
          </cell>
          <cell r="D240" t="str">
            <v>-</v>
          </cell>
          <cell r="E240" t="str">
            <v>-</v>
          </cell>
          <cell r="F240" t="str">
            <v>-</v>
          </cell>
          <cell r="G240" t="str">
            <v>-</v>
          </cell>
          <cell r="H240" t="str">
            <v>-</v>
          </cell>
        </row>
        <row r="241">
          <cell r="B241" t="str">
            <v>NET PROFIT AFTER TAX</v>
          </cell>
          <cell r="C241">
            <v>99.61284999999998</v>
          </cell>
          <cell r="D241">
            <v>74.374019999999973</v>
          </cell>
          <cell r="E241">
            <v>77.450000000000273</v>
          </cell>
          <cell r="F241">
            <v>2.3149999999998414</v>
          </cell>
          <cell r="G241">
            <v>112.63100000000122</v>
          </cell>
          <cell r="H241">
            <v>198.84900000000016</v>
          </cell>
        </row>
        <row r="243">
          <cell r="B243" t="str">
            <v>CASH PROFIT</v>
          </cell>
          <cell r="C243">
            <v>115.60284999999998</v>
          </cell>
          <cell r="D243">
            <v>91.824019999999976</v>
          </cell>
          <cell r="E243">
            <v>101.41000000000028</v>
          </cell>
          <cell r="F243">
            <v>49.349999999999838</v>
          </cell>
          <cell r="G243">
            <v>186.84000000000123</v>
          </cell>
          <cell r="H243">
            <v>258.84900000000016</v>
          </cell>
        </row>
        <row r="245">
          <cell r="B245" t="str">
            <v>CASH PROFIT RATIO</v>
          </cell>
          <cell r="C245">
            <v>8.3800543675244636</v>
          </cell>
          <cell r="D245">
            <v>8.3006264520036499</v>
          </cell>
          <cell r="E245">
            <v>4.56341349269207</v>
          </cell>
          <cell r="F245">
            <v>1.8709836407408049</v>
          </cell>
          <cell r="G245">
            <v>6.0051875255118006</v>
          </cell>
          <cell r="H245">
            <v>5.4303754368600279</v>
          </cell>
        </row>
        <row r="247">
          <cell r="B247" t="str">
            <v>EQUITY SHARE CAPITAL</v>
          </cell>
          <cell r="C247">
            <v>32.729999999999997</v>
          </cell>
          <cell r="D247">
            <v>32.729999999999997</v>
          </cell>
          <cell r="E247">
            <v>32.729999999999997</v>
          </cell>
          <cell r="F247">
            <v>32.729999999999997</v>
          </cell>
          <cell r="G247">
            <v>32.729999999999997</v>
          </cell>
          <cell r="H247">
            <v>32.729999999999997</v>
          </cell>
        </row>
        <row r="249">
          <cell r="B249" t="str">
            <v>PREFERENCE SHARE CAPITAL</v>
          </cell>
          <cell r="C249">
            <v>0</v>
          </cell>
          <cell r="D249">
            <v>2.5</v>
          </cell>
          <cell r="E249">
            <v>2.5</v>
          </cell>
          <cell r="H249">
            <v>18</v>
          </cell>
        </row>
        <row r="251">
          <cell r="B251" t="str">
            <v>RESERVES &amp; SURPLUS</v>
          </cell>
          <cell r="C251">
            <v>138.5</v>
          </cell>
          <cell r="D251">
            <v>219.18</v>
          </cell>
          <cell r="E251">
            <v>282.08999999999997</v>
          </cell>
          <cell r="F251">
            <v>258.01</v>
          </cell>
          <cell r="G251">
            <v>367.36700000000002</v>
          </cell>
          <cell r="H251">
            <v>868.21699999999998</v>
          </cell>
        </row>
        <row r="253">
          <cell r="B253" t="str">
            <v>NET  WORTH</v>
          </cell>
          <cell r="C253">
            <v>171.23</v>
          </cell>
          <cell r="D253">
            <v>254.41</v>
          </cell>
          <cell r="E253">
            <v>317.32</v>
          </cell>
          <cell r="F253">
            <v>290.74</v>
          </cell>
          <cell r="G253">
            <v>400.09700000000004</v>
          </cell>
          <cell r="H253">
            <v>918.947</v>
          </cell>
        </row>
        <row r="255">
          <cell r="B255" t="str">
            <v>UNSECURED  LOAN</v>
          </cell>
          <cell r="C255">
            <v>18.25</v>
          </cell>
          <cell r="D255">
            <v>115.25</v>
          </cell>
          <cell r="E255">
            <v>30.5</v>
          </cell>
          <cell r="F255">
            <v>0</v>
          </cell>
          <cell r="G255">
            <v>0</v>
          </cell>
          <cell r="H255">
            <v>13.885</v>
          </cell>
        </row>
        <row r="257">
          <cell r="B257" t="str">
            <v>TERM LOANS</v>
          </cell>
          <cell r="C257">
            <v>199.57999999999998</v>
          </cell>
          <cell r="D257">
            <v>237.06</v>
          </cell>
          <cell r="E257">
            <v>273.65999999999997</v>
          </cell>
          <cell r="F257">
            <v>133.68</v>
          </cell>
          <cell r="G257">
            <v>349.63</v>
          </cell>
          <cell r="H257">
            <v>754.39699999999993</v>
          </cell>
        </row>
        <row r="259">
          <cell r="B259" t="str">
            <v>EQUITY SHARES OF Rs.10 EACH</v>
          </cell>
          <cell r="C259">
            <v>327299.99999999994</v>
          </cell>
          <cell r="D259">
            <v>327299.99999999994</v>
          </cell>
          <cell r="E259">
            <v>327299.99999999994</v>
          </cell>
          <cell r="F259">
            <v>327299.99999999994</v>
          </cell>
          <cell r="G259">
            <v>327299.99999999994</v>
          </cell>
          <cell r="H259">
            <v>327299.99999999994</v>
          </cell>
        </row>
        <row r="261">
          <cell r="B261" t="str">
            <v>EPS</v>
          </cell>
          <cell r="C261">
            <v>30.434723495264286</v>
          </cell>
          <cell r="D261">
            <v>22.723501374885423</v>
          </cell>
          <cell r="E261">
            <v>23.663305835624897</v>
          </cell>
          <cell r="F261">
            <v>0.7073021692636241</v>
          </cell>
          <cell r="G261">
            <v>34.412160097770006</v>
          </cell>
          <cell r="H261">
            <v>60.754353803849746</v>
          </cell>
        </row>
        <row r="263">
          <cell r="B263" t="str">
            <v>CASH  EPS</v>
          </cell>
          <cell r="C263">
            <v>35.32014970974641</v>
          </cell>
          <cell r="D263">
            <v>28.055001527650468</v>
          </cell>
          <cell r="E263">
            <v>30.983806904980234</v>
          </cell>
          <cell r="F263">
            <v>15.077910174152107</v>
          </cell>
          <cell r="G263">
            <v>57.085242896425683</v>
          </cell>
          <cell r="H263">
            <v>79.086159486709505</v>
          </cell>
        </row>
        <row r="265">
          <cell r="B265" t="str">
            <v>DIVIDEND %</v>
          </cell>
          <cell r="C265">
            <v>0.54995417048579287</v>
          </cell>
          <cell r="D265">
            <v>0.4598353675844451</v>
          </cell>
          <cell r="E265">
            <v>0.41243258586432019</v>
          </cell>
          <cell r="F265">
            <v>0</v>
          </cell>
          <cell r="G265">
            <v>9.9908340971585713E-2</v>
          </cell>
          <cell r="H265">
            <v>0</v>
          </cell>
        </row>
        <row r="267">
          <cell r="B267" t="str">
            <v>NET  WORTH</v>
          </cell>
          <cell r="C267">
            <v>171.23</v>
          </cell>
          <cell r="D267">
            <v>254.41</v>
          </cell>
          <cell r="E267">
            <v>317.32</v>
          </cell>
          <cell r="F267">
            <v>290.74</v>
          </cell>
          <cell r="G267">
            <v>400.09700000000004</v>
          </cell>
          <cell r="H267">
            <v>918.947</v>
          </cell>
        </row>
        <row r="269">
          <cell r="B269" t="str">
            <v>BOOK VALUE PER SHARE</v>
          </cell>
          <cell r="C269">
            <v>52.315918117934622</v>
          </cell>
          <cell r="D269">
            <v>77.729911396272556</v>
          </cell>
          <cell r="E269">
            <v>96.950809654751012</v>
          </cell>
          <cell r="F269">
            <v>88.829819737244136</v>
          </cell>
          <cell r="G269">
            <v>122.24167430491906</v>
          </cell>
          <cell r="H269">
            <v>280.76596394744888</v>
          </cell>
        </row>
        <row r="271">
          <cell r="B271" t="str">
            <v>DEBT -EQUITY RATIO</v>
          </cell>
          <cell r="C271">
            <v>1.0533037787629302</v>
          </cell>
          <cell r="D271">
            <v>0.64129199805226433</v>
          </cell>
          <cell r="E271">
            <v>0.78678626875970326</v>
          </cell>
          <cell r="F271">
            <v>0.45979225424778153</v>
          </cell>
          <cell r="G271">
            <v>0.87386308820111114</v>
          </cell>
          <cell r="H271">
            <v>0.81130149909094029</v>
          </cell>
        </row>
        <row r="273">
          <cell r="B273" t="str">
            <v>CURRENT  RATIO</v>
          </cell>
          <cell r="C273">
            <v>1.3837134939245364</v>
          </cell>
          <cell r="D273">
            <v>1.7843336117408428</v>
          </cell>
          <cell r="E273">
            <v>2.09521022339284</v>
          </cell>
          <cell r="F273">
            <v>2.9369663485685584</v>
          </cell>
          <cell r="G273">
            <v>2.521364615210246</v>
          </cell>
          <cell r="H273">
            <v>3.5014525649645032</v>
          </cell>
        </row>
        <row r="275">
          <cell r="B275" t="str">
            <v>LIQUID  RATIO</v>
          </cell>
          <cell r="C275">
            <v>1.0616073331912173</v>
          </cell>
          <cell r="D275">
            <v>1.4666507576661501</v>
          </cell>
          <cell r="E275">
            <v>1.8924495171202811</v>
          </cell>
          <cell r="F275">
            <v>2.2017830236062284</v>
          </cell>
          <cell r="G275">
            <v>1.5344742906796629</v>
          </cell>
          <cell r="H275">
            <v>1.7232169842160778</v>
          </cell>
        </row>
        <row r="276">
          <cell r="B276" t="str">
            <v>=</v>
          </cell>
          <cell r="C276" t="str">
            <v>=</v>
          </cell>
          <cell r="D276" t="str">
            <v>=</v>
          </cell>
          <cell r="E276" t="str">
            <v>=</v>
          </cell>
          <cell r="F276" t="str">
            <v>=</v>
          </cell>
          <cell r="G276" t="str">
            <v>=</v>
          </cell>
          <cell r="H276" t="str">
            <v>=</v>
          </cell>
        </row>
        <row r="278">
          <cell r="H278" t="str">
            <v>(RS.IN LACS)</v>
          </cell>
        </row>
        <row r="279">
          <cell r="B279" t="str">
            <v>-</v>
          </cell>
          <cell r="C279" t="str">
            <v>-</v>
          </cell>
          <cell r="D279" t="str">
            <v>-</v>
          </cell>
          <cell r="E279" t="str">
            <v>-</v>
          </cell>
          <cell r="F279" t="str">
            <v>-</v>
          </cell>
          <cell r="G279" t="str">
            <v>-</v>
          </cell>
          <cell r="H279" t="str">
            <v>-</v>
          </cell>
        </row>
        <row r="280">
          <cell r="B280" t="str">
            <v>PARTICULARS</v>
          </cell>
          <cell r="C280" t="str">
            <v>1997-98</v>
          </cell>
          <cell r="D280" t="str">
            <v>1998-99</v>
          </cell>
          <cell r="E280" t="str">
            <v>1999-00</v>
          </cell>
          <cell r="F280" t="str">
            <v>2000-01</v>
          </cell>
          <cell r="G280" t="str">
            <v>2001-02</v>
          </cell>
          <cell r="H280" t="str">
            <v>2002-03</v>
          </cell>
        </row>
        <row r="281">
          <cell r="B281" t="str">
            <v>-</v>
          </cell>
          <cell r="C281" t="str">
            <v>-</v>
          </cell>
          <cell r="D281" t="str">
            <v>-</v>
          </cell>
          <cell r="E281" t="str">
            <v>-</v>
          </cell>
          <cell r="F281" t="str">
            <v>-</v>
          </cell>
          <cell r="G281" t="str">
            <v>-</v>
          </cell>
          <cell r="H281" t="str">
            <v>-</v>
          </cell>
        </row>
        <row r="282">
          <cell r="B282" t="str">
            <v>FIXED  ASSETS/ L.T.FUNDS</v>
          </cell>
          <cell r="C282">
            <v>0.76787642008944623</v>
          </cell>
          <cell r="D282">
            <v>0.69035139767932485</v>
          </cell>
          <cell r="E282">
            <v>0.63807363068803502</v>
          </cell>
          <cell r="F282">
            <v>0.63562037604259936</v>
          </cell>
          <cell r="G282">
            <v>0.73089271161369396</v>
          </cell>
          <cell r="H282">
            <v>0.65758623138656769</v>
          </cell>
        </row>
        <row r="284">
          <cell r="B284" t="str">
            <v>RETURN  ON NET  WORTH</v>
          </cell>
          <cell r="D284">
            <v>0.34946912884127418</v>
          </cell>
          <cell r="E284">
            <v>0.27093208332604646</v>
          </cell>
          <cell r="F284">
            <v>7.614380159852125E-3</v>
          </cell>
          <cell r="G284">
            <v>0.32607112821114453</v>
          </cell>
          <cell r="H284">
            <v>0.30150472615015139</v>
          </cell>
        </row>
        <row r="286">
          <cell r="B286" t="str">
            <v>RETURN ON  CAPITAL</v>
          </cell>
          <cell r="C286">
            <v>3.0434723495264282</v>
          </cell>
          <cell r="D286">
            <v>2.1110990632983246</v>
          </cell>
          <cell r="E286">
            <v>2.1984104456429261</v>
          </cell>
          <cell r="F286">
            <v>7.0730216926362402E-2</v>
          </cell>
          <cell r="G286">
            <v>3.4412160097770008</v>
          </cell>
          <cell r="H286">
            <v>3.9197516262566561</v>
          </cell>
        </row>
        <row r="288">
          <cell r="B288" t="str">
            <v>GROSS  PROFIT  RATIO</v>
          </cell>
          <cell r="C288">
            <v>0.18755889553464103</v>
          </cell>
          <cell r="D288">
            <v>0.19614071555238677</v>
          </cell>
          <cell r="E288">
            <v>0.13419726032338664</v>
          </cell>
          <cell r="F288">
            <v>0.12018656460902832</v>
          </cell>
          <cell r="G288">
            <v>0.13955467814492395</v>
          </cell>
          <cell r="H288">
            <v>0.12417015257822828</v>
          </cell>
        </row>
        <row r="290">
          <cell r="B290" t="str">
            <v>NET  PROFIT  RATIO</v>
          </cell>
          <cell r="C290">
            <v>7.30149602720849E-2</v>
          </cell>
          <cell r="D290">
            <v>6.79848077661383E-2</v>
          </cell>
          <cell r="E290">
            <v>3.492230969708459E-2</v>
          </cell>
          <cell r="F290">
            <v>8.8070364987934222E-4</v>
          </cell>
          <cell r="G290">
            <v>3.64513414673618E-2</v>
          </cell>
          <cell r="H290">
            <v>4.3645924742941038E-2</v>
          </cell>
        </row>
        <row r="292">
          <cell r="B292" t="str">
            <v>CAPITAL  TURNOVER RATIO</v>
          </cell>
          <cell r="C292">
            <v>41.68285976168653</v>
          </cell>
          <cell r="D292">
            <v>31.052512063582178</v>
          </cell>
          <cell r="E292">
            <v>62.951461822310542</v>
          </cell>
          <cell r="F292">
            <v>80.311029636419192</v>
          </cell>
          <cell r="G292">
            <v>94.405743965780644</v>
          </cell>
          <cell r="H292">
            <v>89.80796372954859</v>
          </cell>
        </row>
        <row r="294">
          <cell r="B294" t="str">
            <v>WORKING  CAP.  TURNOVER</v>
          </cell>
          <cell r="C294">
            <v>25.264444444444443</v>
          </cell>
          <cell r="D294">
            <v>8.3211379021830041</v>
          </cell>
          <cell r="E294">
            <v>9.8769929633918228</v>
          </cell>
          <cell r="F294">
            <v>17.039932581356151</v>
          </cell>
          <cell r="G294">
            <v>15.346296158335196</v>
          </cell>
          <cell r="H294">
            <v>11.233939830305777</v>
          </cell>
        </row>
        <row r="296">
          <cell r="B296" t="str">
            <v>ASSET COVERAGE RATIO</v>
          </cell>
          <cell r="C296">
            <v>1.4968934763002306</v>
          </cell>
          <cell r="D296">
            <v>1.7668522736859869</v>
          </cell>
          <cell r="E296">
            <v>1.4490608784623258</v>
          </cell>
          <cell r="F296">
            <v>2.0180281268701372</v>
          </cell>
          <cell r="G296">
            <v>1.567285416011212</v>
          </cell>
          <cell r="H296">
            <v>1.4728107349313426</v>
          </cell>
        </row>
        <row r="298">
          <cell r="B298" t="str">
            <v>RAW  MATERIAL  TURNOVER</v>
          </cell>
          <cell r="C298" t="e">
            <v>#DIV/0!</v>
          </cell>
          <cell r="D298" t="e">
            <v>#DIV/0!</v>
          </cell>
          <cell r="E298" t="e">
            <v>#DIV/0!</v>
          </cell>
          <cell r="F298" t="e">
            <v>#DIV/0!</v>
          </cell>
          <cell r="G298" t="e">
            <v>#DIV/0!</v>
          </cell>
          <cell r="H298" t="e">
            <v>#DIV/0!</v>
          </cell>
        </row>
        <row r="300">
          <cell r="B300" t="str">
            <v>INT./PBIT (%)</v>
          </cell>
          <cell r="C300">
            <v>0.37308160814032859</v>
          </cell>
          <cell r="D300">
            <v>0.3887436282618098</v>
          </cell>
          <cell r="E300">
            <v>0.48263193052772124</v>
          </cell>
          <cell r="F300">
            <v>0.37185681537647725</v>
          </cell>
          <cell r="G300">
            <v>0.26917149864184825</v>
          </cell>
          <cell r="H300">
            <v>0.23451015160918512</v>
          </cell>
        </row>
        <row r="301">
          <cell r="B301" t="str">
            <v>=</v>
          </cell>
          <cell r="C301" t="str">
            <v>=</v>
          </cell>
          <cell r="D301" t="str">
            <v>=</v>
          </cell>
          <cell r="E301" t="str">
            <v>=</v>
          </cell>
          <cell r="F301" t="str">
            <v>=</v>
          </cell>
          <cell r="G301" t="str">
            <v>=</v>
          </cell>
          <cell r="H301" t="str">
            <v>=</v>
          </cell>
        </row>
        <row r="332">
          <cell r="B332" t="str">
            <v>-</v>
          </cell>
          <cell r="C332" t="str">
            <v>-</v>
          </cell>
          <cell r="D332" t="str">
            <v>-</v>
          </cell>
          <cell r="E332" t="str">
            <v>-</v>
          </cell>
          <cell r="F332" t="str">
            <v>-</v>
          </cell>
          <cell r="G332" t="str">
            <v>-</v>
          </cell>
          <cell r="H332" t="str">
            <v>-</v>
          </cell>
        </row>
        <row r="333">
          <cell r="B333" t="str">
            <v>PARTICULARS</v>
          </cell>
          <cell r="C333" t="str">
            <v>1997-98</v>
          </cell>
          <cell r="D333" t="str">
            <v>1998-99</v>
          </cell>
          <cell r="E333" t="str">
            <v>1999-00</v>
          </cell>
          <cell r="F333" t="str">
            <v>2000-01</v>
          </cell>
          <cell r="G333" t="str">
            <v>2001-02</v>
          </cell>
          <cell r="H333" t="str">
            <v>2002-03</v>
          </cell>
        </row>
        <row r="334">
          <cell r="B334" t="str">
            <v>-</v>
          </cell>
          <cell r="C334" t="str">
            <v>-</v>
          </cell>
          <cell r="D334" t="str">
            <v>-</v>
          </cell>
          <cell r="E334" t="str">
            <v>-</v>
          </cell>
          <cell r="F334" t="str">
            <v>-</v>
          </cell>
          <cell r="G334" t="str">
            <v>-</v>
          </cell>
          <cell r="H334" t="str">
            <v>-</v>
          </cell>
        </row>
        <row r="335">
          <cell r="B335" t="str">
            <v>GROSS REVENUE</v>
          </cell>
          <cell r="C335">
            <v>1379.5</v>
          </cell>
          <cell r="D335">
            <v>1106.23</v>
          </cell>
          <cell r="E335">
            <v>2222.2400000000002</v>
          </cell>
          <cell r="F335">
            <v>2637.6499999999996</v>
          </cell>
          <cell r="G335">
            <v>3111.3100000000004</v>
          </cell>
          <cell r="H335">
            <v>4766.6869999999999</v>
          </cell>
        </row>
        <row r="337">
          <cell r="B337" t="str">
            <v>GROWTH IN QUANTITY</v>
          </cell>
        </row>
        <row r="338">
          <cell r="B338" t="str">
            <v>GROWTH   IN  %</v>
          </cell>
          <cell r="C338" t="e">
            <v>#REF!</v>
          </cell>
          <cell r="D338">
            <v>-0.19809351214208046</v>
          </cell>
          <cell r="E338">
            <v>1.0088408378004576</v>
          </cell>
          <cell r="F338">
            <v>0.18693300453596343</v>
          </cell>
          <cell r="G338">
            <v>0.17957651697533822</v>
          </cell>
          <cell r="H338">
            <v>0.5320514509965254</v>
          </cell>
        </row>
        <row r="340">
          <cell r="B340" t="str">
            <v>PROFIT BEFORE TAX</v>
          </cell>
          <cell r="C340">
            <v>99.61284999999998</v>
          </cell>
          <cell r="D340">
            <v>74.374019999999973</v>
          </cell>
          <cell r="E340">
            <v>77.450000000000273</v>
          </cell>
          <cell r="F340">
            <v>89.054999999999836</v>
          </cell>
          <cell r="G340">
            <v>121.88100000000122</v>
          </cell>
          <cell r="H340">
            <v>215.84900000000016</v>
          </cell>
        </row>
        <row r="342">
          <cell r="B342" t="str">
            <v>GROWTH   IN  %</v>
          </cell>
          <cell r="D342">
            <v>-0.25336921893109182</v>
          </cell>
          <cell r="E342">
            <v>4.1358259241604807E-2</v>
          </cell>
          <cell r="F342">
            <v>0.14983860555196285</v>
          </cell>
          <cell r="G342">
            <v>0.36860367188817522</v>
          </cell>
          <cell r="H342">
            <v>0.77098153116562873</v>
          </cell>
        </row>
        <row r="344">
          <cell r="B344" t="str">
            <v>PROFIT AFTER TAX</v>
          </cell>
          <cell r="C344">
            <v>99.61284999999998</v>
          </cell>
          <cell r="D344">
            <v>74.374019999999973</v>
          </cell>
          <cell r="E344">
            <v>77.450000000000273</v>
          </cell>
          <cell r="F344">
            <v>2.3149999999998414</v>
          </cell>
          <cell r="G344">
            <v>112.63100000000122</v>
          </cell>
          <cell r="H344">
            <v>198.84900000000016</v>
          </cell>
        </row>
        <row r="346">
          <cell r="B346" t="str">
            <v>DIVIDEND (%)</v>
          </cell>
          <cell r="C346">
            <v>0.54995417048579287</v>
          </cell>
          <cell r="D346">
            <v>0.4598353675844451</v>
          </cell>
          <cell r="E346">
            <v>0.41243258586432019</v>
          </cell>
          <cell r="F346">
            <v>0</v>
          </cell>
          <cell r="G346">
            <v>9.9908340971585713E-2</v>
          </cell>
          <cell r="H346">
            <v>0</v>
          </cell>
        </row>
        <row r="348">
          <cell r="B348" t="str">
            <v>SHARE CAPITAL</v>
          </cell>
          <cell r="C348">
            <v>32.729999999999997</v>
          </cell>
          <cell r="D348">
            <v>35.229999999999997</v>
          </cell>
          <cell r="E348">
            <v>35.229999999999997</v>
          </cell>
          <cell r="F348">
            <v>32.729999999999997</v>
          </cell>
          <cell r="G348">
            <v>32.729999999999997</v>
          </cell>
          <cell r="H348">
            <v>50.73</v>
          </cell>
        </row>
        <row r="350">
          <cell r="B350" t="str">
            <v>RESERVES</v>
          </cell>
          <cell r="C350">
            <v>138.5</v>
          </cell>
          <cell r="D350">
            <v>219.18</v>
          </cell>
          <cell r="E350">
            <v>282.08999999999997</v>
          </cell>
          <cell r="F350">
            <v>258.01</v>
          </cell>
          <cell r="G350">
            <v>367.36700000000002</v>
          </cell>
          <cell r="H350">
            <v>868.21699999999998</v>
          </cell>
        </row>
        <row r="352">
          <cell r="B352" t="str">
            <v>BORROWINGS</v>
          </cell>
          <cell r="C352">
            <v>312.99</v>
          </cell>
          <cell r="D352">
            <v>373.2</v>
          </cell>
          <cell r="E352">
            <v>445.56</v>
          </cell>
          <cell r="F352">
            <v>184.79</v>
          </cell>
          <cell r="G352">
            <v>395.6</v>
          </cell>
          <cell r="H352">
            <v>852.10500000000002</v>
          </cell>
        </row>
        <row r="354">
          <cell r="B354" t="str">
            <v>CAPITAL EMPLOYED</v>
          </cell>
          <cell r="C354">
            <v>502.47</v>
          </cell>
          <cell r="D354">
            <v>742.86</v>
          </cell>
          <cell r="E354">
            <v>793.38</v>
          </cell>
          <cell r="F354">
            <v>475.53</v>
          </cell>
          <cell r="G354">
            <v>795.69700000000012</v>
          </cell>
          <cell r="H354">
            <v>1784.9369999999999</v>
          </cell>
        </row>
        <row r="356">
          <cell r="B356" t="str">
            <v>NET WORTH</v>
          </cell>
          <cell r="C356">
            <v>171.23</v>
          </cell>
          <cell r="D356">
            <v>254.41</v>
          </cell>
          <cell r="E356">
            <v>317.32</v>
          </cell>
          <cell r="F356">
            <v>290.74</v>
          </cell>
          <cell r="G356">
            <v>400.09700000000004</v>
          </cell>
          <cell r="H356">
            <v>918.947</v>
          </cell>
        </row>
        <row r="358">
          <cell r="B358" t="str">
            <v>GROSS BLOCK</v>
          </cell>
          <cell r="C358">
            <v>314.74</v>
          </cell>
          <cell r="D358">
            <v>452.29</v>
          </cell>
          <cell r="E358">
            <v>453.95</v>
          </cell>
          <cell r="F358">
            <v>460.74</v>
          </cell>
          <cell r="G358">
            <v>813.14</v>
          </cell>
          <cell r="H358">
            <v>1436.258</v>
          </cell>
        </row>
        <row r="360">
          <cell r="B360" t="str">
            <v>NET BLOCK</v>
          </cell>
          <cell r="C360">
            <v>298.75</v>
          </cell>
          <cell r="D360">
            <v>418.85</v>
          </cell>
          <cell r="E360">
            <v>396.55</v>
          </cell>
          <cell r="F360">
            <v>269.77</v>
          </cell>
          <cell r="G360">
            <v>547.97</v>
          </cell>
          <cell r="H360">
            <v>1111.0840000000001</v>
          </cell>
        </row>
        <row r="361">
          <cell r="B361">
            <v>0</v>
          </cell>
        </row>
        <row r="362">
          <cell r="B362" t="str">
            <v>DEBT-EQUITY RATIO</v>
          </cell>
          <cell r="C362">
            <v>1.1655667815219297</v>
          </cell>
          <cell r="D362">
            <v>0.93180299516528442</v>
          </cell>
          <cell r="E362">
            <v>0.86241018530190339</v>
          </cell>
          <cell r="F362">
            <v>0.45979225424778153</v>
          </cell>
          <cell r="G362">
            <v>0.87386308820111114</v>
          </cell>
          <cell r="H362">
            <v>0.82356000944559371</v>
          </cell>
        </row>
        <row r="364">
          <cell r="B364" t="str">
            <v>NUMBER OF SHARES</v>
          </cell>
          <cell r="C364">
            <v>327299.99999999994</v>
          </cell>
          <cell r="D364">
            <v>327299.99999999994</v>
          </cell>
          <cell r="E364">
            <v>327299.99999999994</v>
          </cell>
          <cell r="F364">
            <v>327299.99999999994</v>
          </cell>
          <cell r="G364">
            <v>327299.99999999994</v>
          </cell>
          <cell r="H364">
            <v>327299.99999999994</v>
          </cell>
        </row>
        <row r="366">
          <cell r="B366" t="str">
            <v>BOOK VALUE PER SHARE AT YEAR END</v>
          </cell>
          <cell r="C366">
            <v>52.315918117934622</v>
          </cell>
          <cell r="D366">
            <v>77.729911396272556</v>
          </cell>
          <cell r="E366">
            <v>96.950809654751012</v>
          </cell>
          <cell r="F366">
            <v>88.829819737244136</v>
          </cell>
          <cell r="G366">
            <v>122.24167430491906</v>
          </cell>
          <cell r="H366">
            <v>280.76596394744888</v>
          </cell>
        </row>
        <row r="368">
          <cell r="B368" t="str">
            <v>EARNINGS PER SHARE</v>
          </cell>
          <cell r="C368">
            <v>30.434723495264286</v>
          </cell>
          <cell r="D368">
            <v>22.723501374885423</v>
          </cell>
          <cell r="E368">
            <v>23.663305835624897</v>
          </cell>
          <cell r="F368">
            <v>0.7073021692636241</v>
          </cell>
          <cell r="G368">
            <v>34.412160097770006</v>
          </cell>
          <cell r="H368">
            <v>60.754353803849746</v>
          </cell>
        </row>
        <row r="370">
          <cell r="B370" t="str">
            <v>NET SALES PER SHARE</v>
          </cell>
          <cell r="C370">
            <v>416.82859761686535</v>
          </cell>
          <cell r="D370">
            <v>0</v>
          </cell>
          <cell r="E370">
            <v>334.24381301558213</v>
          </cell>
          <cell r="F370">
            <v>0</v>
          </cell>
          <cell r="G370">
            <v>677.59853345554552</v>
          </cell>
          <cell r="H370">
            <v>0</v>
          </cell>
        </row>
        <row r="372">
          <cell r="B372" t="str">
            <v>DIVIDEND PER SHARE</v>
          </cell>
          <cell r="C372">
            <v>5.49954170485793</v>
          </cell>
          <cell r="D372">
            <v>0.14049354341107398</v>
          </cell>
          <cell r="E372">
            <v>4.9495875343721361</v>
          </cell>
          <cell r="F372">
            <v>0.12601056702240154</v>
          </cell>
          <cell r="G372">
            <v>4.4393522761992061</v>
          </cell>
          <cell r="H372">
            <v>0</v>
          </cell>
        </row>
        <row r="374">
          <cell r="B374" t="str">
            <v>PAY-OUT RATIO</v>
          </cell>
          <cell r="C374">
            <v>0.18069957841784473</v>
          </cell>
          <cell r="D374">
            <v>0.21781799612283972</v>
          </cell>
          <cell r="E374">
            <v>0.18760490639121946</v>
          </cell>
          <cell r="F374">
            <v>0</v>
          </cell>
          <cell r="G374">
            <v>2.9032859514698126E-2</v>
          </cell>
          <cell r="H374">
            <v>0</v>
          </cell>
        </row>
        <row r="376">
          <cell r="B376" t="str">
            <v>CURRENT RATIO</v>
          </cell>
          <cell r="C376">
            <v>1.3837134939245364</v>
          </cell>
          <cell r="D376">
            <v>1.7843336117408428</v>
          </cell>
          <cell r="E376">
            <v>2.09521022339284</v>
          </cell>
          <cell r="F376">
            <v>2.9369663485685584</v>
          </cell>
          <cell r="G376">
            <v>2.521364615210246</v>
          </cell>
          <cell r="H376">
            <v>3.5014525649645032</v>
          </cell>
        </row>
        <row r="378">
          <cell r="B378" t="str">
            <v>LIQUID RATIO</v>
          </cell>
          <cell r="C378">
            <v>1.0616073331912173</v>
          </cell>
          <cell r="D378">
            <v>1.4666507576661501</v>
          </cell>
          <cell r="E378">
            <v>1.8924495171202811</v>
          </cell>
          <cell r="F378">
            <v>2.2017830236062284</v>
          </cell>
          <cell r="G378">
            <v>1.5344742906796629</v>
          </cell>
          <cell r="H378">
            <v>1.7232169842160778</v>
          </cell>
        </row>
        <row r="379">
          <cell r="B379" t="str">
            <v>EVA (ECONOMIC VALUE ADDITION)</v>
          </cell>
          <cell r="C379" t="e">
            <v>#REF!</v>
          </cell>
          <cell r="D379" t="e">
            <v>#REF!</v>
          </cell>
          <cell r="E379" t="e">
            <v>#REF!</v>
          </cell>
          <cell r="F379" t="e">
            <v>#REF!</v>
          </cell>
          <cell r="G379" t="e">
            <v>#REF!</v>
          </cell>
          <cell r="H379" t="e">
            <v>#REF!</v>
          </cell>
        </row>
        <row r="381">
          <cell r="B381" t="str">
            <v>EVA (% OF CAPITAL EMPLOYED)</v>
          </cell>
          <cell r="C381" t="e">
            <v>#REF!</v>
          </cell>
          <cell r="D381" t="e">
            <v>#REF!</v>
          </cell>
          <cell r="E381" t="e">
            <v>#REF!</v>
          </cell>
          <cell r="F381" t="e">
            <v>#REF!</v>
          </cell>
          <cell r="G381" t="e">
            <v>#REF!</v>
          </cell>
          <cell r="H381" t="e">
            <v>#REF!</v>
          </cell>
        </row>
        <row r="383">
          <cell r="B383" t="str">
            <v>RETURN ON NET WORTH</v>
          </cell>
          <cell r="C383">
            <v>0.58174881738013196</v>
          </cell>
          <cell r="D383">
            <v>0.29233921622577719</v>
          </cell>
          <cell r="E383">
            <v>0.24407538131854367</v>
          </cell>
          <cell r="F383">
            <v>7.9624406686381009E-3</v>
          </cell>
          <cell r="G383">
            <v>0.28150923401075545</v>
          </cell>
          <cell r="H383">
            <v>0.21638788744073398</v>
          </cell>
        </row>
        <row r="385">
          <cell r="B385" t="str">
            <v>FIXED ASSETS  PER SHARE</v>
          </cell>
          <cell r="C385">
            <v>91.277115795905914</v>
          </cell>
          <cell r="D385">
            <v>127.97128017109688</v>
          </cell>
          <cell r="E385">
            <v>121.15795905896734</v>
          </cell>
          <cell r="F385">
            <v>82.422853651084651</v>
          </cell>
          <cell r="G385">
            <v>167.42132600061109</v>
          </cell>
          <cell r="H385">
            <v>339.46959975557598</v>
          </cell>
        </row>
        <row r="388">
          <cell r="B388" t="str">
            <v>=</v>
          </cell>
          <cell r="C388" t="str">
            <v>=</v>
          </cell>
          <cell r="D388" t="str">
            <v>=</v>
          </cell>
          <cell r="E388" t="str">
            <v>=</v>
          </cell>
          <cell r="F388" t="str">
            <v>=</v>
          </cell>
          <cell r="G388" t="str">
            <v>=</v>
          </cell>
          <cell r="H388" t="str">
            <v>=</v>
          </cell>
        </row>
      </sheetData>
      <sheetData sheetId="2">
        <row r="2">
          <cell r="B2" t="str">
            <v>WELLKNOWN  TEXTILE  INDUSTRIES  LIMITED</v>
          </cell>
        </row>
        <row r="3">
          <cell r="B3" t="str">
            <v>-</v>
          </cell>
          <cell r="C3" t="str">
            <v>-</v>
          </cell>
          <cell r="D3" t="str">
            <v>-</v>
          </cell>
          <cell r="E3">
            <v>0</v>
          </cell>
          <cell r="F3">
            <v>0</v>
          </cell>
          <cell r="G3">
            <v>0</v>
          </cell>
          <cell r="H3">
            <v>0</v>
          </cell>
        </row>
        <row r="4">
          <cell r="B4" t="str">
            <v>BALANCE    SHEET     FOR    LAST    SIX     YEARS</v>
          </cell>
        </row>
        <row r="5">
          <cell r="G5" t="str">
            <v>(RS.IN LACS)</v>
          </cell>
        </row>
        <row r="6">
          <cell r="B6" t="str">
            <v>-</v>
          </cell>
          <cell r="C6" t="str">
            <v>-</v>
          </cell>
          <cell r="D6" t="str">
            <v>-</v>
          </cell>
          <cell r="E6" t="str">
            <v>-</v>
          </cell>
          <cell r="F6" t="str">
            <v>-</v>
          </cell>
          <cell r="G6" t="str">
            <v>-</v>
          </cell>
          <cell r="H6" t="str">
            <v>-</v>
          </cell>
        </row>
        <row r="7">
          <cell r="B7" t="str">
            <v>PARTICULARS</v>
          </cell>
          <cell r="C7" t="str">
            <v>1997-98</v>
          </cell>
          <cell r="D7" t="str">
            <v>1998-99</v>
          </cell>
          <cell r="E7" t="str">
            <v>1999-00</v>
          </cell>
          <cell r="F7" t="str">
            <v>2000-01</v>
          </cell>
          <cell r="G7" t="str">
            <v>2001-02</v>
          </cell>
          <cell r="H7" t="str">
            <v>2002-03</v>
          </cell>
        </row>
        <row r="8">
          <cell r="B8" t="str">
            <v>-</v>
          </cell>
          <cell r="C8" t="str">
            <v>-</v>
          </cell>
          <cell r="D8" t="str">
            <v>-</v>
          </cell>
          <cell r="E8" t="str">
            <v>-</v>
          </cell>
          <cell r="F8" t="str">
            <v>-</v>
          </cell>
          <cell r="G8" t="str">
            <v>-</v>
          </cell>
          <cell r="H8" t="str">
            <v>-</v>
          </cell>
        </row>
        <row r="9">
          <cell r="B9" t="str">
            <v>SOURCES OF  FUNDS</v>
          </cell>
        </row>
        <row r="11">
          <cell r="B11" t="str">
            <v>Shareholders' Funds</v>
          </cell>
        </row>
        <row r="13">
          <cell r="B13" t="str">
            <v>a. Share  Capital</v>
          </cell>
          <cell r="C13">
            <v>265.87599999999998</v>
          </cell>
          <cell r="D13">
            <v>268.02600000000001</v>
          </cell>
          <cell r="E13">
            <v>248.03</v>
          </cell>
          <cell r="F13">
            <v>235.80600000000001</v>
          </cell>
          <cell r="G13">
            <v>220.01</v>
          </cell>
          <cell r="H13">
            <v>229.01</v>
          </cell>
        </row>
        <row r="14">
          <cell r="B14" t="str">
            <v xml:space="preserve">    Growth  %</v>
          </cell>
          <cell r="C14">
            <v>0</v>
          </cell>
          <cell r="D14">
            <v>8.0864764025336405E-3</v>
          </cell>
          <cell r="E14">
            <v>-7.4604702528859174E-2</v>
          </cell>
          <cell r="F14">
            <v>-4.9284360762810911E-2</v>
          </cell>
          <cell r="G14">
            <v>-6.6987269195864479E-2</v>
          </cell>
          <cell r="H14">
            <v>4.0907231489477752E-2</v>
          </cell>
        </row>
        <row r="16">
          <cell r="B16" t="str">
            <v>b. Share Application  Money</v>
          </cell>
          <cell r="C16">
            <v>0</v>
          </cell>
          <cell r="D16">
            <v>69.95</v>
          </cell>
          <cell r="E16">
            <v>119.49</v>
          </cell>
          <cell r="F16">
            <v>25.75</v>
          </cell>
          <cell r="G16">
            <v>91.35</v>
          </cell>
          <cell r="H16">
            <v>3.2</v>
          </cell>
        </row>
        <row r="17">
          <cell r="C17">
            <v>0</v>
          </cell>
          <cell r="D17">
            <v>0</v>
          </cell>
          <cell r="E17">
            <v>0</v>
          </cell>
          <cell r="F17">
            <v>0</v>
          </cell>
          <cell r="G17">
            <v>0</v>
          </cell>
          <cell r="H17">
            <v>0</v>
          </cell>
        </row>
        <row r="18">
          <cell r="B18" t="str">
            <v>c. Reserves and Surplus</v>
          </cell>
          <cell r="C18">
            <v>101.946</v>
          </cell>
          <cell r="D18">
            <v>226.69499999999999</v>
          </cell>
          <cell r="E18">
            <v>250.63</v>
          </cell>
          <cell r="F18">
            <v>189.11</v>
          </cell>
          <cell r="G18">
            <v>223.72</v>
          </cell>
          <cell r="H18">
            <v>446.13900000000001</v>
          </cell>
        </row>
        <row r="19">
          <cell r="B19" t="str">
            <v xml:space="preserve">    Growth  %</v>
          </cell>
          <cell r="C19">
            <v>0</v>
          </cell>
          <cell r="D19">
            <v>1.223677240892237</v>
          </cell>
          <cell r="E19">
            <v>0.10558239043648956</v>
          </cell>
          <cell r="F19">
            <v>-0.24546143717831059</v>
          </cell>
          <cell r="G19">
            <v>0.1830151763523874</v>
          </cell>
          <cell r="H19">
            <v>0.99418469515465768</v>
          </cell>
        </row>
        <row r="21">
          <cell r="C21" t="str">
            <v>-</v>
          </cell>
          <cell r="D21" t="str">
            <v>-</v>
          </cell>
          <cell r="E21" t="str">
            <v>-</v>
          </cell>
          <cell r="F21" t="str">
            <v>-</v>
          </cell>
          <cell r="G21" t="str">
            <v>-</v>
          </cell>
          <cell r="H21" t="str">
            <v>-</v>
          </cell>
        </row>
        <row r="22">
          <cell r="C22">
            <v>367.822</v>
          </cell>
          <cell r="D22">
            <v>564.67100000000005</v>
          </cell>
          <cell r="E22">
            <v>618.15</v>
          </cell>
          <cell r="F22">
            <v>450.66600000000005</v>
          </cell>
          <cell r="G22">
            <v>535.08000000000004</v>
          </cell>
          <cell r="H22">
            <v>678.34899999999993</v>
          </cell>
        </row>
        <row r="23">
          <cell r="C23" t="str">
            <v>-</v>
          </cell>
          <cell r="D23" t="str">
            <v>-</v>
          </cell>
          <cell r="E23" t="str">
            <v>-</v>
          </cell>
          <cell r="F23" t="str">
            <v>-</v>
          </cell>
          <cell r="G23" t="str">
            <v>-</v>
          </cell>
          <cell r="H23" t="str">
            <v>-</v>
          </cell>
        </row>
        <row r="24">
          <cell r="B24" t="str">
            <v>Loan  Funds</v>
          </cell>
          <cell r="C24">
            <v>0</v>
          </cell>
          <cell r="D24">
            <v>0</v>
          </cell>
          <cell r="E24">
            <v>0</v>
          </cell>
          <cell r="F24">
            <v>0</v>
          </cell>
          <cell r="G24">
            <v>0</v>
          </cell>
          <cell r="H24">
            <v>0</v>
          </cell>
        </row>
        <row r="26">
          <cell r="B26" t="str">
            <v>a. Secured  Loans</v>
          </cell>
          <cell r="C26">
            <v>384.58</v>
          </cell>
          <cell r="D26">
            <v>449.11799999999999</v>
          </cell>
          <cell r="E26">
            <v>755.16</v>
          </cell>
          <cell r="F26">
            <v>655.49</v>
          </cell>
          <cell r="G26">
            <v>382.80700000000002</v>
          </cell>
          <cell r="H26">
            <v>364.95400000000001</v>
          </cell>
        </row>
        <row r="27">
          <cell r="B27" t="str">
            <v xml:space="preserve">    Growth  %</v>
          </cell>
          <cell r="C27">
            <v>0</v>
          </cell>
          <cell r="D27">
            <v>0.16781423890997976</v>
          </cell>
          <cell r="E27">
            <v>0.68142893404405969</v>
          </cell>
          <cell r="F27">
            <v>-0.13198527464378404</v>
          </cell>
          <cell r="G27">
            <v>-0.41599871851591935</v>
          </cell>
          <cell r="H27">
            <v>-4.6637078214348246E-2</v>
          </cell>
        </row>
        <row r="29">
          <cell r="B29" t="str">
            <v>b.  Unsecured  Loans</v>
          </cell>
          <cell r="C29">
            <v>71.117000000000004</v>
          </cell>
          <cell r="D29">
            <v>194.89</v>
          </cell>
          <cell r="E29">
            <v>86.25</v>
          </cell>
          <cell r="F29">
            <v>13.775</v>
          </cell>
          <cell r="G29">
            <v>17.29</v>
          </cell>
          <cell r="H29">
            <v>84.9</v>
          </cell>
        </row>
        <row r="30">
          <cell r="C30" t="str">
            <v>-</v>
          </cell>
          <cell r="D30" t="str">
            <v>-</v>
          </cell>
          <cell r="E30" t="str">
            <v>-</v>
          </cell>
          <cell r="F30" t="str">
            <v>-</v>
          </cell>
          <cell r="G30" t="str">
            <v>-</v>
          </cell>
          <cell r="H30" t="str">
            <v>-</v>
          </cell>
        </row>
        <row r="31">
          <cell r="C31">
            <v>455.697</v>
          </cell>
          <cell r="D31">
            <v>644.00800000000004</v>
          </cell>
          <cell r="E31">
            <v>841.41</v>
          </cell>
          <cell r="F31">
            <v>669.26499999999999</v>
          </cell>
          <cell r="G31">
            <v>400.09700000000004</v>
          </cell>
          <cell r="H31">
            <v>449.85400000000004</v>
          </cell>
        </row>
        <row r="32">
          <cell r="C32" t="str">
            <v>-</v>
          </cell>
          <cell r="D32" t="str">
            <v>-</v>
          </cell>
          <cell r="E32" t="str">
            <v>-</v>
          </cell>
          <cell r="F32" t="str">
            <v>-</v>
          </cell>
          <cell r="G32" t="str">
            <v>-</v>
          </cell>
          <cell r="H32" t="str">
            <v>-</v>
          </cell>
        </row>
        <row r="34">
          <cell r="C34" t="str">
            <v>-</v>
          </cell>
          <cell r="D34" t="str">
            <v>-</v>
          </cell>
          <cell r="E34" t="str">
            <v>-</v>
          </cell>
          <cell r="F34" t="str">
            <v>-</v>
          </cell>
          <cell r="G34" t="str">
            <v>-</v>
          </cell>
          <cell r="H34" t="str">
            <v>-</v>
          </cell>
        </row>
        <row r="35">
          <cell r="B35" t="str">
            <v>TOTAL</v>
          </cell>
          <cell r="C35">
            <v>823.51900000000001</v>
          </cell>
          <cell r="D35">
            <v>1208.6790000000001</v>
          </cell>
          <cell r="E35">
            <v>1459.56</v>
          </cell>
          <cell r="F35">
            <v>1119.931</v>
          </cell>
          <cell r="G35">
            <v>935.17700000000013</v>
          </cell>
          <cell r="H35">
            <v>1128.203</v>
          </cell>
        </row>
        <row r="36">
          <cell r="C36" t="str">
            <v>=</v>
          </cell>
          <cell r="D36" t="str">
            <v>=</v>
          </cell>
          <cell r="E36" t="str">
            <v>=</v>
          </cell>
          <cell r="F36" t="str">
            <v>=</v>
          </cell>
          <cell r="G36" t="str">
            <v>=</v>
          </cell>
          <cell r="H36" t="str">
            <v>=</v>
          </cell>
        </row>
        <row r="38">
          <cell r="B38" t="str">
            <v>APPLICATION  OF  FUNDS</v>
          </cell>
        </row>
        <row r="40">
          <cell r="B40" t="str">
            <v>Fixed  Assets</v>
          </cell>
        </row>
        <row r="42">
          <cell r="B42" t="str">
            <v>Gross  Block</v>
          </cell>
          <cell r="C42">
            <v>692.09</v>
          </cell>
          <cell r="D42">
            <v>1022.12</v>
          </cell>
          <cell r="E42">
            <v>1194.46</v>
          </cell>
          <cell r="F42">
            <v>1227.2090000000001</v>
          </cell>
          <cell r="G42">
            <v>1191.136</v>
          </cell>
          <cell r="H42">
            <v>1191.6199999999999</v>
          </cell>
        </row>
        <row r="43">
          <cell r="B43" t="str">
            <v>Growth  %</v>
          </cell>
          <cell r="C43">
            <v>0</v>
          </cell>
          <cell r="D43">
            <v>0.4768599459607854</v>
          </cell>
          <cell r="E43">
            <v>0.16861033929479907</v>
          </cell>
          <cell r="F43">
            <v>2.7417410377911376E-2</v>
          </cell>
          <cell r="G43">
            <v>-2.939434114319573E-2</v>
          </cell>
          <cell r="H43">
            <v>4.0633479300426116E-4</v>
          </cell>
        </row>
        <row r="44">
          <cell r="B44">
            <v>0</v>
          </cell>
        </row>
        <row r="45">
          <cell r="B45" t="str">
            <v>Less: Depreciation</v>
          </cell>
          <cell r="C45">
            <v>114.96</v>
          </cell>
          <cell r="D45">
            <v>151.69999999999999</v>
          </cell>
          <cell r="E45">
            <v>199.53</v>
          </cell>
          <cell r="F45">
            <v>459.92</v>
          </cell>
          <cell r="G45">
            <v>602.54999999999995</v>
          </cell>
          <cell r="H45">
            <v>677.55</v>
          </cell>
        </row>
        <row r="46">
          <cell r="C46" t="str">
            <v>-</v>
          </cell>
          <cell r="D46" t="str">
            <v>-</v>
          </cell>
          <cell r="E46" t="str">
            <v>-</v>
          </cell>
          <cell r="F46" t="str">
            <v>-</v>
          </cell>
          <cell r="G46" t="str">
            <v>-</v>
          </cell>
          <cell r="H46" t="str">
            <v>-</v>
          </cell>
        </row>
        <row r="47">
          <cell r="B47" t="str">
            <v>Net  Block</v>
          </cell>
          <cell r="C47">
            <v>577.13</v>
          </cell>
          <cell r="D47">
            <v>870.42000000000007</v>
          </cell>
          <cell r="E47">
            <v>994.93000000000006</v>
          </cell>
          <cell r="F47">
            <v>767.28899999999999</v>
          </cell>
          <cell r="G47">
            <v>588.58600000000001</v>
          </cell>
          <cell r="H47">
            <v>514.06999999999994</v>
          </cell>
        </row>
        <row r="49">
          <cell r="B49" t="str">
            <v>Investments</v>
          </cell>
          <cell r="C49">
            <v>21.13</v>
          </cell>
          <cell r="D49">
            <v>56.418999999999997</v>
          </cell>
          <cell r="E49">
            <v>56.41</v>
          </cell>
          <cell r="F49">
            <v>49.79</v>
          </cell>
          <cell r="G49">
            <v>49.79</v>
          </cell>
          <cell r="H49">
            <v>249.79</v>
          </cell>
        </row>
        <row r="50">
          <cell r="B50" t="str">
            <v>Growth  %</v>
          </cell>
          <cell r="C50">
            <v>0</v>
          </cell>
          <cell r="D50">
            <v>1.6700899195456698</v>
          </cell>
          <cell r="E50">
            <v>-1.5952072883249156E-4</v>
          </cell>
          <cell r="F50">
            <v>-0.11735507888672217</v>
          </cell>
          <cell r="G50">
            <v>0</v>
          </cell>
          <cell r="H50">
            <v>4.0168708576019281</v>
          </cell>
        </row>
        <row r="52">
          <cell r="B52" t="str">
            <v>Current Assets, Loans &amp; Advances</v>
          </cell>
        </row>
        <row r="54">
          <cell r="B54" t="str">
            <v>a. Inventories</v>
          </cell>
          <cell r="C54">
            <v>59.53</v>
          </cell>
          <cell r="D54">
            <v>75.837000000000003</v>
          </cell>
          <cell r="E54">
            <v>114.19</v>
          </cell>
          <cell r="F54">
            <v>169.51</v>
          </cell>
          <cell r="G54">
            <v>144.63300000000001</v>
          </cell>
          <cell r="H54">
            <v>117.34699999999999</v>
          </cell>
        </row>
        <row r="56">
          <cell r="B56" t="str">
            <v>b. Sundry  Debtors</v>
          </cell>
          <cell r="C56">
            <v>52.31</v>
          </cell>
          <cell r="D56">
            <v>38.17</v>
          </cell>
          <cell r="E56">
            <v>84.45</v>
          </cell>
          <cell r="F56">
            <v>97.71</v>
          </cell>
          <cell r="G56">
            <v>126.718</v>
          </cell>
          <cell r="H56">
            <v>50.72</v>
          </cell>
        </row>
        <row r="58">
          <cell r="B58" t="str">
            <v>c.  Cash &amp; Bank Balances</v>
          </cell>
          <cell r="C58">
            <v>0.48</v>
          </cell>
          <cell r="D58">
            <v>0.54800000000000004</v>
          </cell>
          <cell r="E58">
            <v>5.32</v>
          </cell>
          <cell r="F58">
            <v>27.18</v>
          </cell>
          <cell r="G58">
            <v>1.7090000000000001</v>
          </cell>
          <cell r="H58">
            <v>1.8939999999999999</v>
          </cell>
        </row>
        <row r="60">
          <cell r="B60" t="str">
            <v>d.  Loans &amp;  Advances</v>
          </cell>
          <cell r="C60">
            <v>85.944000000000003</v>
          </cell>
          <cell r="D60">
            <v>200.56800000000001</v>
          </cell>
          <cell r="E60">
            <v>228.04</v>
          </cell>
          <cell r="F60">
            <v>12.129999999999999</v>
          </cell>
          <cell r="G60">
            <v>33.356999999999999</v>
          </cell>
          <cell r="H60">
            <v>61.322999999999993</v>
          </cell>
        </row>
        <row r="62">
          <cell r="B62" t="str">
            <v>e.  Deposits</v>
          </cell>
          <cell r="C62">
            <v>26.745999999999999</v>
          </cell>
          <cell r="D62">
            <v>2.82</v>
          </cell>
          <cell r="E62">
            <v>6.84</v>
          </cell>
          <cell r="F62">
            <v>6.84</v>
          </cell>
          <cell r="G62">
            <v>6.88</v>
          </cell>
          <cell r="H62">
            <v>8.1999999999999993</v>
          </cell>
        </row>
        <row r="64">
          <cell r="B64" t="str">
            <v>f. Trade  Investments</v>
          </cell>
          <cell r="C64">
            <v>29.998999999999999</v>
          </cell>
          <cell r="D64">
            <v>58.198999999999998</v>
          </cell>
          <cell r="E64">
            <v>58.198999999999998</v>
          </cell>
          <cell r="F64">
            <v>58.198999999999998</v>
          </cell>
          <cell r="G64">
            <v>58.198999999999998</v>
          </cell>
          <cell r="H64">
            <v>178.19900000000001</v>
          </cell>
        </row>
        <row r="65">
          <cell r="C65" t="str">
            <v>-</v>
          </cell>
          <cell r="D65" t="str">
            <v>-</v>
          </cell>
          <cell r="E65" t="str">
            <v>-</v>
          </cell>
          <cell r="F65" t="str">
            <v>-</v>
          </cell>
          <cell r="G65" t="str">
            <v>-</v>
          </cell>
          <cell r="H65" t="str">
            <v>-</v>
          </cell>
        </row>
        <row r="66">
          <cell r="C66">
            <v>255.00900000000001</v>
          </cell>
          <cell r="D66">
            <v>376.14200000000005</v>
          </cell>
          <cell r="E66">
            <v>497.03899999999999</v>
          </cell>
          <cell r="F66">
            <v>371.56899999999996</v>
          </cell>
          <cell r="G66">
            <v>371.49600000000004</v>
          </cell>
          <cell r="H66">
            <v>417.68299999999999</v>
          </cell>
        </row>
        <row r="68">
          <cell r="B68" t="str">
            <v>Less: Current  Liabilities</v>
          </cell>
          <cell r="C68">
            <v>35.774999999999999</v>
          </cell>
          <cell r="D68">
            <v>99.53</v>
          </cell>
          <cell r="E68">
            <v>93.27</v>
          </cell>
          <cell r="F68">
            <v>72.38</v>
          </cell>
          <cell r="G68">
            <v>77.563999999999993</v>
          </cell>
          <cell r="H68">
            <v>56.210999999999999</v>
          </cell>
        </row>
        <row r="69">
          <cell r="C69" t="str">
            <v>-</v>
          </cell>
          <cell r="D69" t="str">
            <v>-</v>
          </cell>
          <cell r="E69" t="str">
            <v>-</v>
          </cell>
          <cell r="F69" t="str">
            <v>-</v>
          </cell>
          <cell r="G69" t="str">
            <v>-</v>
          </cell>
          <cell r="H69" t="str">
            <v>-</v>
          </cell>
        </row>
        <row r="70">
          <cell r="B70" t="str">
            <v>Net  Current  Assets</v>
          </cell>
          <cell r="C70">
            <v>219.23400000000001</v>
          </cell>
          <cell r="D70">
            <v>276.61200000000008</v>
          </cell>
          <cell r="E70">
            <v>403.76900000000001</v>
          </cell>
          <cell r="F70">
            <v>299.18899999999996</v>
          </cell>
          <cell r="G70">
            <v>293.93200000000002</v>
          </cell>
          <cell r="H70">
            <v>361.47199999999998</v>
          </cell>
        </row>
        <row r="72">
          <cell r="B72" t="str">
            <v>Miscellaneous Expenditure</v>
          </cell>
          <cell r="C72">
            <v>6.0209999999999999</v>
          </cell>
          <cell r="D72">
            <v>5.23</v>
          </cell>
          <cell r="E72">
            <v>4.4405000000000001</v>
          </cell>
          <cell r="F72">
            <v>3.6559999999999997</v>
          </cell>
          <cell r="G72">
            <v>2.8719999999999999</v>
          </cell>
          <cell r="H72">
            <v>2.8719999999999999</v>
          </cell>
        </row>
        <row r="74">
          <cell r="B74" t="str">
            <v>(to the extent not written off or adjusted)</v>
          </cell>
        </row>
        <row r="76">
          <cell r="B76" t="str">
            <v>Preliminary  Expenses</v>
          </cell>
          <cell r="C76">
            <v>4</v>
          </cell>
          <cell r="D76">
            <v>3.44</v>
          </cell>
          <cell r="E76">
            <v>2.8759999999999999</v>
          </cell>
          <cell r="F76">
            <v>2.3159999999999998</v>
          </cell>
          <cell r="G76">
            <v>1.7549999999999999</v>
          </cell>
          <cell r="H76">
            <v>1.7549999999999999</v>
          </cell>
        </row>
        <row r="78">
          <cell r="B78" t="str">
            <v>Deferred  Revenue  Expenditure</v>
          </cell>
          <cell r="C78">
            <v>2.0209999999999999</v>
          </cell>
          <cell r="D78">
            <v>1.79</v>
          </cell>
          <cell r="E78">
            <v>1.5645</v>
          </cell>
          <cell r="F78">
            <v>1.34</v>
          </cell>
          <cell r="G78">
            <v>1.117</v>
          </cell>
          <cell r="H78">
            <v>1.117</v>
          </cell>
        </row>
        <row r="80">
          <cell r="C80" t="str">
            <v>-</v>
          </cell>
          <cell r="D80" t="str">
            <v>-</v>
          </cell>
          <cell r="E80" t="str">
            <v>-</v>
          </cell>
          <cell r="F80" t="str">
            <v>-</v>
          </cell>
          <cell r="G80" t="str">
            <v>-</v>
          </cell>
          <cell r="H80" t="str">
            <v>-</v>
          </cell>
        </row>
        <row r="81">
          <cell r="B81" t="str">
            <v>TOTAL….</v>
          </cell>
          <cell r="C81">
            <v>823.51499999999999</v>
          </cell>
          <cell r="D81">
            <v>1208.681</v>
          </cell>
          <cell r="E81">
            <v>1459.5495000000001</v>
          </cell>
          <cell r="F81">
            <v>1119.924</v>
          </cell>
          <cell r="G81">
            <v>935.18</v>
          </cell>
          <cell r="H81">
            <v>1128.204</v>
          </cell>
        </row>
        <row r="82">
          <cell r="C82" t="str">
            <v>=</v>
          </cell>
          <cell r="D82" t="str">
            <v>=</v>
          </cell>
          <cell r="E82" t="str">
            <v>=</v>
          </cell>
          <cell r="F82" t="str">
            <v>=</v>
          </cell>
          <cell r="G82" t="str">
            <v>=</v>
          </cell>
          <cell r="H82" t="str">
            <v>=</v>
          </cell>
        </row>
        <row r="86">
          <cell r="B86" t="str">
            <v>PROFIT  AND  LOSS  ACCOUNT  FOR  LAST SIX  YEARS</v>
          </cell>
        </row>
        <row r="87">
          <cell r="L87" t="str">
            <v>(RS.IN LACS)</v>
          </cell>
        </row>
        <row r="88">
          <cell r="B88" t="str">
            <v>-</v>
          </cell>
          <cell r="C88" t="str">
            <v>-</v>
          </cell>
          <cell r="D88" t="str">
            <v>-</v>
          </cell>
          <cell r="E88" t="str">
            <v>-</v>
          </cell>
          <cell r="F88" t="str">
            <v>-</v>
          </cell>
          <cell r="G88" t="str">
            <v>-</v>
          </cell>
          <cell r="H88" t="str">
            <v>-</v>
          </cell>
          <cell r="I88" t="str">
            <v>-</v>
          </cell>
          <cell r="J88" t="str">
            <v>-</v>
          </cell>
          <cell r="K88" t="str">
            <v>-</v>
          </cell>
          <cell r="L88" t="str">
            <v>-</v>
          </cell>
          <cell r="M88" t="str">
            <v>-</v>
          </cell>
          <cell r="N88" t="str">
            <v>-</v>
          </cell>
        </row>
        <row r="89">
          <cell r="B89" t="str">
            <v>PARTICULARS</v>
          </cell>
          <cell r="C89" t="str">
            <v>%</v>
          </cell>
          <cell r="D89" t="str">
            <v>1997-98</v>
          </cell>
          <cell r="E89" t="str">
            <v>%</v>
          </cell>
          <cell r="F89" t="str">
            <v>1998-99</v>
          </cell>
          <cell r="G89" t="str">
            <v>%</v>
          </cell>
          <cell r="H89" t="str">
            <v>1999-00</v>
          </cell>
          <cell r="I89" t="str">
            <v>%</v>
          </cell>
          <cell r="J89" t="str">
            <v>2000-01</v>
          </cell>
          <cell r="K89" t="str">
            <v>%</v>
          </cell>
          <cell r="L89" t="str">
            <v>2001-02</v>
          </cell>
          <cell r="M89" t="str">
            <v>%</v>
          </cell>
          <cell r="N89" t="str">
            <v>2002-03</v>
          </cell>
        </row>
        <row r="90">
          <cell r="B90" t="str">
            <v>-</v>
          </cell>
          <cell r="C90" t="str">
            <v>-</v>
          </cell>
          <cell r="D90" t="str">
            <v>-</v>
          </cell>
          <cell r="E90" t="str">
            <v>-</v>
          </cell>
          <cell r="F90" t="str">
            <v>-</v>
          </cell>
          <cell r="G90" t="str">
            <v>-</v>
          </cell>
          <cell r="H90" t="str">
            <v>-</v>
          </cell>
          <cell r="I90" t="str">
            <v>-</v>
          </cell>
          <cell r="J90" t="str">
            <v>-</v>
          </cell>
          <cell r="K90" t="str">
            <v>-</v>
          </cell>
          <cell r="L90" t="str">
            <v>-</v>
          </cell>
          <cell r="M90" t="str">
            <v>-</v>
          </cell>
          <cell r="N90" t="str">
            <v>-</v>
          </cell>
        </row>
        <row r="91">
          <cell r="B91" t="str">
            <v>INCOME</v>
          </cell>
        </row>
        <row r="93">
          <cell r="B93" t="str">
            <v>Sales</v>
          </cell>
          <cell r="D93">
            <v>1485.4159999999999</v>
          </cell>
          <cell r="F93">
            <v>1881.23</v>
          </cell>
          <cell r="H93">
            <v>2279.5500000000002</v>
          </cell>
          <cell r="J93">
            <v>3320.87</v>
          </cell>
          <cell r="L93">
            <v>3040.25</v>
          </cell>
          <cell r="N93">
            <v>2565.75</v>
          </cell>
        </row>
        <row r="95">
          <cell r="B95" t="str">
            <v xml:space="preserve">Other  Income </v>
          </cell>
          <cell r="D95">
            <v>3.6259999999999999</v>
          </cell>
          <cell r="F95">
            <v>9.74</v>
          </cell>
          <cell r="H95">
            <v>5.09</v>
          </cell>
          <cell r="J95">
            <v>12.201000000000001</v>
          </cell>
          <cell r="L95">
            <v>1.774</v>
          </cell>
          <cell r="N95">
            <v>0.71</v>
          </cell>
        </row>
        <row r="97">
          <cell r="B97" t="str">
            <v>Increase/(Decrease)  in Stocks</v>
          </cell>
          <cell r="D97">
            <v>-9.4079999999999995</v>
          </cell>
          <cell r="F97">
            <v>10.08</v>
          </cell>
          <cell r="H97">
            <v>46.665999999999997</v>
          </cell>
          <cell r="J97">
            <v>28.847999999999999</v>
          </cell>
          <cell r="L97">
            <v>-57.044800000000002</v>
          </cell>
          <cell r="N97">
            <v>31.184000000000001</v>
          </cell>
        </row>
        <row r="98">
          <cell r="C98" t="str">
            <v>-</v>
          </cell>
          <cell r="D98" t="str">
            <v>-</v>
          </cell>
          <cell r="E98" t="str">
            <v>-</v>
          </cell>
          <cell r="F98" t="str">
            <v>-</v>
          </cell>
          <cell r="G98" t="str">
            <v>-</v>
          </cell>
          <cell r="H98" t="str">
            <v>-</v>
          </cell>
          <cell r="I98" t="str">
            <v>-</v>
          </cell>
          <cell r="J98" t="str">
            <v>-</v>
          </cell>
          <cell r="K98" t="str">
            <v>-</v>
          </cell>
          <cell r="L98" t="str">
            <v>-</v>
          </cell>
          <cell r="M98" t="str">
            <v>-</v>
          </cell>
          <cell r="N98" t="str">
            <v>-</v>
          </cell>
        </row>
        <row r="99">
          <cell r="B99" t="str">
            <v>TOTAL  INCOME</v>
          </cell>
          <cell r="C99">
            <v>1</v>
          </cell>
          <cell r="D99">
            <v>1479.634</v>
          </cell>
          <cell r="E99">
            <v>1</v>
          </cell>
          <cell r="F99">
            <v>1901.05</v>
          </cell>
          <cell r="G99">
            <v>1</v>
          </cell>
          <cell r="H99">
            <v>2331.3060000000005</v>
          </cell>
          <cell r="I99">
            <v>1</v>
          </cell>
          <cell r="J99">
            <v>3361.9189999999999</v>
          </cell>
          <cell r="K99">
            <v>1</v>
          </cell>
          <cell r="L99">
            <v>2984.9791999999998</v>
          </cell>
          <cell r="M99">
            <v>1</v>
          </cell>
          <cell r="N99">
            <v>2597.6440000000002</v>
          </cell>
        </row>
        <row r="100">
          <cell r="C100" t="str">
            <v>-</v>
          </cell>
          <cell r="D100" t="str">
            <v>-</v>
          </cell>
          <cell r="E100" t="str">
            <v>-</v>
          </cell>
          <cell r="F100" t="str">
            <v>-</v>
          </cell>
          <cell r="G100" t="str">
            <v>-</v>
          </cell>
          <cell r="H100" t="str">
            <v>-</v>
          </cell>
          <cell r="I100" t="str">
            <v>-</v>
          </cell>
          <cell r="J100" t="str">
            <v>-</v>
          </cell>
          <cell r="K100" t="str">
            <v>-</v>
          </cell>
          <cell r="L100" t="str">
            <v>-</v>
          </cell>
          <cell r="M100" t="str">
            <v>-</v>
          </cell>
          <cell r="N100" t="str">
            <v>-</v>
          </cell>
        </row>
        <row r="102">
          <cell r="B102" t="str">
            <v>EXPENDITURE</v>
          </cell>
        </row>
        <row r="104">
          <cell r="B104" t="str">
            <v>Raw  Material  Consumed   Including</v>
          </cell>
          <cell r="C104">
            <v>0.79153831285304344</v>
          </cell>
          <cell r="D104">
            <v>1171.1870000000001</v>
          </cell>
          <cell r="E104">
            <v>0.95888375098166168</v>
          </cell>
          <cell r="F104">
            <v>1418.797</v>
          </cell>
          <cell r="G104">
            <v>1.2344039134002056</v>
          </cell>
          <cell r="H104">
            <v>1826.4659999999999</v>
          </cell>
          <cell r="I104">
            <v>1.7425687703851087</v>
          </cell>
          <cell r="J104">
            <v>2578.364</v>
          </cell>
          <cell r="K104">
            <v>1.514670519871806</v>
          </cell>
          <cell r="L104">
            <v>2241.1579999999999</v>
          </cell>
          <cell r="M104">
            <v>1.3701428866868428</v>
          </cell>
          <cell r="N104">
            <v>2027.31</v>
          </cell>
        </row>
        <row r="105">
          <cell r="B105" t="str">
            <v>Excise  Duty</v>
          </cell>
        </row>
        <row r="106">
          <cell r="C106">
            <v>0</v>
          </cell>
          <cell r="E106">
            <v>0</v>
          </cell>
          <cell r="G106">
            <v>0</v>
          </cell>
          <cell r="I106">
            <v>0</v>
          </cell>
          <cell r="K106">
            <v>0</v>
          </cell>
          <cell r="M106">
            <v>0</v>
          </cell>
        </row>
        <row r="107">
          <cell r="B107" t="str">
            <v>Power &amp; Fuel</v>
          </cell>
          <cell r="C107">
            <v>4.054989274374609E-2</v>
          </cell>
          <cell r="D107">
            <v>59.999000000000002</v>
          </cell>
          <cell r="E107">
            <v>0.10227529240339166</v>
          </cell>
          <cell r="F107">
            <v>151.33000000000001</v>
          </cell>
          <cell r="G107">
            <v>9.7365970233179291E-2</v>
          </cell>
          <cell r="H107">
            <v>144.066</v>
          </cell>
          <cell r="I107">
            <v>0.11339155493858616</v>
          </cell>
          <cell r="J107">
            <v>167.77799999999999</v>
          </cell>
          <cell r="K107">
            <v>0.10498542207059314</v>
          </cell>
          <cell r="L107">
            <v>155.34</v>
          </cell>
          <cell r="M107">
            <v>8.5830009313113922E-2</v>
          </cell>
          <cell r="N107">
            <v>126.997</v>
          </cell>
        </row>
        <row r="109">
          <cell r="B109" t="str">
            <v>Other  Manufacturing   Expenses</v>
          </cell>
          <cell r="C109">
            <v>3.8521688471608515E-2</v>
          </cell>
          <cell r="D109">
            <v>56.997999999999998</v>
          </cell>
          <cell r="E109">
            <v>5.6162537492379865E-2</v>
          </cell>
          <cell r="F109">
            <v>83.1</v>
          </cell>
          <cell r="G109">
            <v>7.3072800435783444E-2</v>
          </cell>
          <cell r="H109">
            <v>108.12100000000001</v>
          </cell>
          <cell r="I109">
            <v>0.11925787052744125</v>
          </cell>
          <cell r="J109">
            <v>176.458</v>
          </cell>
          <cell r="K109">
            <v>0.10323904425013213</v>
          </cell>
          <cell r="L109">
            <v>152.756</v>
          </cell>
          <cell r="M109">
            <v>7.973120379769591E-2</v>
          </cell>
          <cell r="N109">
            <v>117.973</v>
          </cell>
        </row>
        <row r="110">
          <cell r="C110">
            <v>0</v>
          </cell>
          <cell r="E110">
            <v>0</v>
          </cell>
          <cell r="G110">
            <v>0</v>
          </cell>
          <cell r="I110">
            <v>0</v>
          </cell>
          <cell r="K110">
            <v>0</v>
          </cell>
          <cell r="M110">
            <v>0</v>
          </cell>
        </row>
        <row r="111">
          <cell r="B111" t="str">
            <v>Payment  To  Employees</v>
          </cell>
          <cell r="C111">
            <v>1.094595014713098E-2</v>
          </cell>
          <cell r="D111">
            <v>16.196000000000002</v>
          </cell>
          <cell r="E111">
            <v>2.0376660714744321E-2</v>
          </cell>
          <cell r="F111">
            <v>30.15</v>
          </cell>
          <cell r="G111">
            <v>1.8149758656532629E-2</v>
          </cell>
          <cell r="H111">
            <v>26.855</v>
          </cell>
          <cell r="I111">
            <v>2.1387721558169114E-2</v>
          </cell>
          <cell r="J111">
            <v>31.646000000000001</v>
          </cell>
          <cell r="K111">
            <v>2.3781556790395463E-2</v>
          </cell>
          <cell r="L111">
            <v>35.188000000000002</v>
          </cell>
          <cell r="M111">
            <v>2.5146759266142842E-2</v>
          </cell>
          <cell r="N111">
            <v>37.207999999999998</v>
          </cell>
        </row>
        <row r="112">
          <cell r="C112">
            <v>0</v>
          </cell>
          <cell r="E112">
            <v>0</v>
          </cell>
          <cell r="G112">
            <v>0</v>
          </cell>
          <cell r="I112">
            <v>0</v>
          </cell>
          <cell r="K112">
            <v>0</v>
          </cell>
          <cell r="M112">
            <v>0</v>
          </cell>
        </row>
        <row r="113">
          <cell r="B113" t="str">
            <v xml:space="preserve"> Administration   Exp.</v>
          </cell>
          <cell r="C113">
            <v>2.0258388223033535E-2</v>
          </cell>
          <cell r="D113">
            <v>29.975000000000001</v>
          </cell>
          <cell r="E113">
            <v>2.8574633997326366E-2</v>
          </cell>
          <cell r="F113">
            <v>42.28</v>
          </cell>
          <cell r="G113">
            <v>1.0943246775891875E-2</v>
          </cell>
          <cell r="H113">
            <v>16.192</v>
          </cell>
          <cell r="I113">
            <v>1.3677030941435516E-2</v>
          </cell>
          <cell r="J113">
            <v>20.236999999999998</v>
          </cell>
          <cell r="K113">
            <v>2.9901989275726293E-2</v>
          </cell>
          <cell r="L113">
            <v>44.244</v>
          </cell>
          <cell r="M113">
            <v>1.4313674868244445E-2</v>
          </cell>
          <cell r="N113">
            <v>21.179000000000002</v>
          </cell>
        </row>
        <row r="115">
          <cell r="B115" t="str">
            <v>Selling  &amp;  Distribution   Exp.</v>
          </cell>
          <cell r="C115">
            <v>1.3719609038451402E-4</v>
          </cell>
          <cell r="D115">
            <v>0.20300000000000001</v>
          </cell>
          <cell r="E115">
            <v>8.6169958246431208E-4</v>
          </cell>
          <cell r="F115">
            <v>1.2749999999999999</v>
          </cell>
          <cell r="G115">
            <v>9.7726870293599619E-4</v>
          </cell>
          <cell r="H115">
            <v>1.446</v>
          </cell>
          <cell r="I115">
            <v>7.7944951251458141E-3</v>
          </cell>
          <cell r="J115">
            <v>11.533000000000001</v>
          </cell>
          <cell r="K115">
            <v>6.8327708068346626E-3</v>
          </cell>
          <cell r="L115">
            <v>10.11</v>
          </cell>
          <cell r="M115">
            <v>1.3516856195518623E-4</v>
          </cell>
          <cell r="N115">
            <v>0.2</v>
          </cell>
        </row>
        <row r="116">
          <cell r="C116">
            <v>0</v>
          </cell>
          <cell r="E116">
            <v>0</v>
          </cell>
          <cell r="G116">
            <v>0</v>
          </cell>
          <cell r="I116">
            <v>0</v>
          </cell>
          <cell r="K116">
            <v>0</v>
          </cell>
          <cell r="M116">
            <v>0</v>
          </cell>
        </row>
        <row r="117">
          <cell r="B117" t="str">
            <v>Interest &amp; Finance Expenses</v>
          </cell>
          <cell r="C117">
            <v>3.3738073064014482E-2</v>
          </cell>
          <cell r="D117">
            <v>49.92</v>
          </cell>
          <cell r="E117">
            <v>4.8403862036152184E-2</v>
          </cell>
          <cell r="F117">
            <v>71.62</v>
          </cell>
          <cell r="G117">
            <v>6.6931416823349563E-2</v>
          </cell>
          <cell r="H117">
            <v>99.034000000000006</v>
          </cell>
          <cell r="I117">
            <v>7.4020332055089302E-2</v>
          </cell>
          <cell r="J117">
            <v>109.523</v>
          </cell>
          <cell r="K117">
            <v>4.1868462065618929E-2</v>
          </cell>
          <cell r="L117">
            <v>61.95</v>
          </cell>
          <cell r="M117">
            <v>2.5919923440526505E-2</v>
          </cell>
          <cell r="N117">
            <v>38.351999999999997</v>
          </cell>
        </row>
        <row r="118">
          <cell r="C118">
            <v>0</v>
          </cell>
          <cell r="E118">
            <v>0</v>
          </cell>
          <cell r="G118">
            <v>0</v>
          </cell>
          <cell r="I118">
            <v>0</v>
          </cell>
          <cell r="K118">
            <v>0</v>
          </cell>
          <cell r="M118">
            <v>0</v>
          </cell>
        </row>
        <row r="119">
          <cell r="B119" t="str">
            <v>Depreciation</v>
          </cell>
          <cell r="C119">
            <v>1.8428205894160311E-2</v>
          </cell>
          <cell r="D119">
            <v>27.266999999999999</v>
          </cell>
          <cell r="E119">
            <v>2.4833844045216585E-2</v>
          </cell>
          <cell r="F119">
            <v>36.744999999999997</v>
          </cell>
          <cell r="G119">
            <v>3.2323534063153456E-2</v>
          </cell>
          <cell r="H119">
            <v>47.826999999999998</v>
          </cell>
          <cell r="I119">
            <v>6.7954642837350324E-2</v>
          </cell>
          <cell r="J119">
            <v>100.548</v>
          </cell>
          <cell r="K119">
            <v>0.12006753021355282</v>
          </cell>
          <cell r="L119">
            <v>177.65600000000001</v>
          </cell>
          <cell r="M119">
            <v>5.0688210733194829E-2</v>
          </cell>
          <cell r="N119">
            <v>75</v>
          </cell>
        </row>
        <row r="120">
          <cell r="C120">
            <v>0</v>
          </cell>
          <cell r="E120">
            <v>0</v>
          </cell>
          <cell r="G120">
            <v>0</v>
          </cell>
          <cell r="I120">
            <v>0</v>
          </cell>
          <cell r="K120">
            <v>0</v>
          </cell>
          <cell r="M120">
            <v>0</v>
          </cell>
        </row>
        <row r="121">
          <cell r="B121" t="str">
            <v>Preliminary Expenses w/off</v>
          </cell>
          <cell r="C121">
            <v>5.2715739162522627E-4</v>
          </cell>
          <cell r="D121">
            <v>0.78</v>
          </cell>
          <cell r="E121">
            <v>5.2715739162522627E-4</v>
          </cell>
          <cell r="F121">
            <v>0.78</v>
          </cell>
          <cell r="G121">
            <v>5.2715739162522627E-4</v>
          </cell>
          <cell r="H121">
            <v>0.78</v>
          </cell>
          <cell r="I121">
            <v>5.2715739162522627E-4</v>
          </cell>
          <cell r="J121">
            <v>0.78</v>
          </cell>
          <cell r="K121">
            <v>5.2715739162522627E-4</v>
          </cell>
          <cell r="L121">
            <v>0.78</v>
          </cell>
          <cell r="M121">
            <v>0</v>
          </cell>
          <cell r="N121">
            <v>0</v>
          </cell>
        </row>
        <row r="122">
          <cell r="C122">
            <v>0</v>
          </cell>
          <cell r="E122">
            <v>0</v>
          </cell>
          <cell r="G122">
            <v>0</v>
          </cell>
          <cell r="I122">
            <v>0</v>
          </cell>
          <cell r="K122">
            <v>0</v>
          </cell>
          <cell r="M122">
            <v>0</v>
          </cell>
        </row>
        <row r="123">
          <cell r="C123">
            <v>0</v>
          </cell>
          <cell r="D123" t="str">
            <v>-</v>
          </cell>
          <cell r="E123">
            <v>0</v>
          </cell>
          <cell r="F123" t="str">
            <v>-</v>
          </cell>
          <cell r="G123">
            <v>0</v>
          </cell>
          <cell r="H123" t="str">
            <v>-</v>
          </cell>
          <cell r="I123">
            <v>0</v>
          </cell>
          <cell r="J123" t="str">
            <v>-</v>
          </cell>
          <cell r="K123">
            <v>0</v>
          </cell>
          <cell r="L123" t="str">
            <v>-</v>
          </cell>
          <cell r="M123">
            <v>0</v>
          </cell>
          <cell r="N123" t="str">
            <v>-</v>
          </cell>
        </row>
        <row r="124">
          <cell r="B124" t="str">
            <v>TOTAL  EXPENDITURE</v>
          </cell>
          <cell r="C124">
            <v>0.95464486487874711</v>
          </cell>
          <cell r="D124">
            <v>1412.5250000000001</v>
          </cell>
          <cell r="E124">
            <v>1.2408994386449621</v>
          </cell>
          <cell r="F124">
            <v>1836.077</v>
          </cell>
          <cell r="G124">
            <v>1.5346950664826571</v>
          </cell>
          <cell r="H124">
            <v>2270.7869999999998</v>
          </cell>
          <cell r="I124">
            <v>2.160579575759952</v>
          </cell>
          <cell r="J124">
            <v>3196.8670000000006</v>
          </cell>
          <cell r="K124">
            <v>1.945874452736285</v>
          </cell>
          <cell r="L124">
            <v>2879.1820000000002</v>
          </cell>
          <cell r="M124">
            <v>1.6519078366677162</v>
          </cell>
          <cell r="N124">
            <v>2444.2189999999996</v>
          </cell>
        </row>
        <row r="125">
          <cell r="C125">
            <v>0</v>
          </cell>
          <cell r="D125" t="str">
            <v>-</v>
          </cell>
          <cell r="E125">
            <v>0</v>
          </cell>
          <cell r="F125" t="str">
            <v>-</v>
          </cell>
          <cell r="G125">
            <v>0</v>
          </cell>
          <cell r="H125" t="str">
            <v>-</v>
          </cell>
          <cell r="I125">
            <v>0</v>
          </cell>
          <cell r="J125" t="str">
            <v>-</v>
          </cell>
          <cell r="K125">
            <v>0</v>
          </cell>
          <cell r="L125" t="str">
            <v>-</v>
          </cell>
          <cell r="M125">
            <v>0</v>
          </cell>
          <cell r="N125" t="str">
            <v>-</v>
          </cell>
        </row>
        <row r="126">
          <cell r="B126" t="str">
            <v>Profit/ Loss Before Tax</v>
          </cell>
          <cell r="C126">
            <v>4.5344997479106267E-2</v>
          </cell>
          <cell r="D126">
            <v>67.093999999999923</v>
          </cell>
          <cell r="E126">
            <v>4.3911534879571543E-2</v>
          </cell>
          <cell r="F126">
            <v>64.972999999999956</v>
          </cell>
          <cell r="G126">
            <v>4.0901331004830038E-2</v>
          </cell>
          <cell r="H126">
            <v>60.519000000000688</v>
          </cell>
          <cell r="I126">
            <v>0.11154920743913645</v>
          </cell>
          <cell r="J126">
            <v>165.05199999999923</v>
          </cell>
          <cell r="K126">
            <v>7.1502276914425816E-2</v>
          </cell>
          <cell r="L126">
            <v>105.79719999999952</v>
          </cell>
          <cell r="M126">
            <v>0.10369118308987266</v>
          </cell>
          <cell r="N126">
            <v>153.42500000000064</v>
          </cell>
        </row>
        <row r="127">
          <cell r="C127">
            <v>0</v>
          </cell>
          <cell r="E127">
            <v>0</v>
          </cell>
          <cell r="G127">
            <v>0</v>
          </cell>
          <cell r="I127">
            <v>0</v>
          </cell>
          <cell r="K127">
            <v>0</v>
          </cell>
          <cell r="M127">
            <v>0</v>
          </cell>
        </row>
        <row r="128">
          <cell r="B128" t="str">
            <v>Less: Provision For  Taxation</v>
          </cell>
          <cell r="C128">
            <v>0</v>
          </cell>
          <cell r="D128">
            <v>0</v>
          </cell>
          <cell r="E128">
            <v>0</v>
          </cell>
          <cell r="F128">
            <v>0</v>
          </cell>
          <cell r="G128">
            <v>3.3994893331729331E-4</v>
          </cell>
          <cell r="H128">
            <v>0.503</v>
          </cell>
          <cell r="I128">
            <v>3.04129264399169E-4</v>
          </cell>
          <cell r="J128">
            <v>0.45</v>
          </cell>
          <cell r="K128">
            <v>5.4067424782074484E-3</v>
          </cell>
          <cell r="L128">
            <v>8</v>
          </cell>
          <cell r="M128">
            <v>0</v>
          </cell>
          <cell r="N128">
            <v>0</v>
          </cell>
        </row>
        <row r="129">
          <cell r="C129">
            <v>0</v>
          </cell>
          <cell r="E129">
            <v>0</v>
          </cell>
          <cell r="G129">
            <v>0</v>
          </cell>
          <cell r="I129">
            <v>0</v>
          </cell>
          <cell r="K129">
            <v>0</v>
          </cell>
          <cell r="M129">
            <v>0</v>
          </cell>
        </row>
        <row r="130">
          <cell r="B130" t="str">
            <v xml:space="preserve"> Add: ( Depreciation written  back) / written off </v>
          </cell>
          <cell r="C130">
            <v>0</v>
          </cell>
          <cell r="D130">
            <v>0</v>
          </cell>
          <cell r="E130">
            <v>0</v>
          </cell>
          <cell r="F130">
            <v>0</v>
          </cell>
          <cell r="G130">
            <v>0</v>
          </cell>
          <cell r="H130">
            <v>0</v>
          </cell>
          <cell r="I130">
            <v>-0.10802671471458482</v>
          </cell>
          <cell r="J130">
            <v>-159.84</v>
          </cell>
          <cell r="K130">
            <v>0</v>
          </cell>
          <cell r="L130">
            <v>0</v>
          </cell>
          <cell r="M130">
            <v>-8.1101137173111727E-3</v>
          </cell>
          <cell r="N130">
            <v>-12</v>
          </cell>
        </row>
        <row r="131">
          <cell r="C131">
            <v>0</v>
          </cell>
          <cell r="D131" t="str">
            <v>-</v>
          </cell>
          <cell r="E131">
            <v>0</v>
          </cell>
          <cell r="F131" t="str">
            <v>-</v>
          </cell>
          <cell r="G131">
            <v>0</v>
          </cell>
          <cell r="H131" t="str">
            <v>-</v>
          </cell>
          <cell r="I131">
            <v>0</v>
          </cell>
          <cell r="J131" t="str">
            <v>-</v>
          </cell>
          <cell r="K131">
            <v>0</v>
          </cell>
          <cell r="L131" t="str">
            <v>-</v>
          </cell>
          <cell r="M131">
            <v>0</v>
          </cell>
          <cell r="N131" t="str">
            <v>-</v>
          </cell>
        </row>
        <row r="132">
          <cell r="B132" t="str">
            <v>Profit/Loss After  Taxation</v>
          </cell>
          <cell r="C132">
            <v>4.5344997479106267E-2</v>
          </cell>
          <cell r="D132">
            <v>67.093999999999923</v>
          </cell>
          <cell r="E132">
            <v>4.3911534879571543E-2</v>
          </cell>
          <cell r="F132">
            <v>64.972999999999956</v>
          </cell>
          <cell r="G132">
            <v>4.056138207151274E-2</v>
          </cell>
          <cell r="H132">
            <v>60.016000000000687</v>
          </cell>
          <cell r="I132">
            <v>3.2183634601524653E-3</v>
          </cell>
          <cell r="J132">
            <v>4.7619999999992331</v>
          </cell>
          <cell r="K132">
            <v>6.6095534436218364E-2</v>
          </cell>
          <cell r="L132">
            <v>97.797199999999521</v>
          </cell>
          <cell r="M132">
            <v>9.5581069372561486E-2</v>
          </cell>
          <cell r="N132">
            <v>141.42500000000064</v>
          </cell>
        </row>
        <row r="134">
          <cell r="B134" t="str">
            <v xml:space="preserve">Balance  b/f from Previous Year </v>
          </cell>
          <cell r="D134">
            <v>94.43</v>
          </cell>
          <cell r="F134">
            <v>62.023999999999944</v>
          </cell>
          <cell r="H134">
            <v>98.301999999999907</v>
          </cell>
          <cell r="J134">
            <v>133.31800000000061</v>
          </cell>
          <cell r="L134">
            <v>117.35999999999984</v>
          </cell>
          <cell r="N134">
            <v>196.61719999999937</v>
          </cell>
        </row>
        <row r="135">
          <cell r="C135">
            <v>0</v>
          </cell>
          <cell r="D135" t="str">
            <v>-</v>
          </cell>
          <cell r="E135">
            <v>0</v>
          </cell>
          <cell r="F135" t="str">
            <v>-</v>
          </cell>
          <cell r="G135">
            <v>0</v>
          </cell>
          <cell r="H135" t="str">
            <v>-</v>
          </cell>
          <cell r="I135">
            <v>0</v>
          </cell>
          <cell r="J135" t="str">
            <v>-</v>
          </cell>
          <cell r="K135">
            <v>0</v>
          </cell>
          <cell r="L135" t="str">
            <v>-</v>
          </cell>
          <cell r="M135">
            <v>0</v>
          </cell>
          <cell r="N135" t="str">
            <v>-</v>
          </cell>
        </row>
        <row r="136">
          <cell r="B136" t="str">
            <v>BALANCE AVAILABLE FOR APPROPRIATION</v>
          </cell>
          <cell r="D136">
            <v>161.52399999999994</v>
          </cell>
          <cell r="F136">
            <v>126.9969999999999</v>
          </cell>
          <cell r="H136">
            <v>158.31800000000061</v>
          </cell>
          <cell r="J136">
            <v>138.07999999999984</v>
          </cell>
          <cell r="L136">
            <v>215.15719999999936</v>
          </cell>
          <cell r="N136">
            <v>338.04219999999998</v>
          </cell>
        </row>
        <row r="137">
          <cell r="C137">
            <v>0</v>
          </cell>
          <cell r="D137" t="str">
            <v>=</v>
          </cell>
          <cell r="E137">
            <v>0</v>
          </cell>
          <cell r="F137" t="str">
            <v>=</v>
          </cell>
          <cell r="G137">
            <v>0</v>
          </cell>
          <cell r="H137" t="str">
            <v>=</v>
          </cell>
          <cell r="I137">
            <v>0</v>
          </cell>
          <cell r="J137" t="str">
            <v>=</v>
          </cell>
          <cell r="K137">
            <v>0</v>
          </cell>
          <cell r="L137" t="str">
            <v>=</v>
          </cell>
          <cell r="M137">
            <v>0</v>
          </cell>
          <cell r="N137" t="str">
            <v>=</v>
          </cell>
        </row>
        <row r="138">
          <cell r="B138" t="str">
            <v>APPROPRIATIONS</v>
          </cell>
        </row>
        <row r="140">
          <cell r="B140" t="str">
            <v>Total  Dividend</v>
          </cell>
          <cell r="C140">
            <v>9.6473544058132368E-2</v>
          </cell>
          <cell r="D140">
            <v>25.65</v>
          </cell>
          <cell r="E140">
            <v>9.4002074425615423E-2</v>
          </cell>
          <cell r="F140">
            <v>25.195</v>
          </cell>
          <cell r="G140">
            <v>0</v>
          </cell>
          <cell r="H140">
            <v>0</v>
          </cell>
          <cell r="I140">
            <v>0</v>
          </cell>
          <cell r="J140">
            <v>0</v>
          </cell>
          <cell r="K140" t="e">
            <v>#DIV/0!</v>
          </cell>
          <cell r="L140">
            <v>0</v>
          </cell>
          <cell r="M140" t="e">
            <v>#DIV/0!</v>
          </cell>
          <cell r="N140">
            <v>0</v>
          </cell>
        </row>
        <row r="141">
          <cell r="B141" t="str">
            <v>Interim  Dividend</v>
          </cell>
          <cell r="D141">
            <v>15.27</v>
          </cell>
          <cell r="F141">
            <v>22.905000000000001</v>
          </cell>
          <cell r="H141">
            <v>0</v>
          </cell>
          <cell r="J141">
            <v>0</v>
          </cell>
          <cell r="L141">
            <v>0</v>
          </cell>
          <cell r="N141">
            <v>0</v>
          </cell>
        </row>
        <row r="143">
          <cell r="B143" t="str">
            <v xml:space="preserve">Proposed Dividend </v>
          </cell>
          <cell r="C143">
            <v>0</v>
          </cell>
          <cell r="D143">
            <v>8.0500000000000007</v>
          </cell>
          <cell r="F143">
            <v>0</v>
          </cell>
          <cell r="H143">
            <v>0</v>
          </cell>
          <cell r="J143">
            <v>0</v>
          </cell>
          <cell r="L143">
            <v>0</v>
          </cell>
          <cell r="N143">
            <v>0</v>
          </cell>
        </row>
        <row r="145">
          <cell r="B145" t="str">
            <v xml:space="preserve"> Tax  on Dividends</v>
          </cell>
          <cell r="D145">
            <v>2.33</v>
          </cell>
          <cell r="F145">
            <v>2.29</v>
          </cell>
          <cell r="H145">
            <v>0</v>
          </cell>
          <cell r="J145">
            <v>0</v>
          </cell>
          <cell r="L145">
            <v>0</v>
          </cell>
          <cell r="N145">
            <v>0</v>
          </cell>
        </row>
        <row r="147">
          <cell r="B147" t="str">
            <v>Transfer to  Reserves</v>
          </cell>
          <cell r="D147">
            <v>73.849999999999994</v>
          </cell>
          <cell r="F147">
            <v>3.5</v>
          </cell>
          <cell r="H147">
            <v>25</v>
          </cell>
          <cell r="J147">
            <v>20.72</v>
          </cell>
          <cell r="L147">
            <v>18.54</v>
          </cell>
          <cell r="N147">
            <v>0</v>
          </cell>
        </row>
        <row r="149">
          <cell r="B149" t="str">
            <v>Balance Carried  to Balance Sheet</v>
          </cell>
          <cell r="D149">
            <v>62.023999999999944</v>
          </cell>
          <cell r="F149">
            <v>98.301999999999907</v>
          </cell>
          <cell r="H149">
            <v>133.31800000000061</v>
          </cell>
          <cell r="J149">
            <v>117.35999999999984</v>
          </cell>
          <cell r="L149">
            <v>196.61719999999937</v>
          </cell>
          <cell r="N149">
            <v>338.04219999999998</v>
          </cell>
        </row>
        <row r="150">
          <cell r="C150">
            <v>0</v>
          </cell>
          <cell r="D150" t="str">
            <v>-</v>
          </cell>
          <cell r="E150">
            <v>0</v>
          </cell>
          <cell r="F150" t="str">
            <v>-</v>
          </cell>
          <cell r="G150">
            <v>0</v>
          </cell>
          <cell r="H150" t="str">
            <v>-</v>
          </cell>
          <cell r="I150">
            <v>0</v>
          </cell>
          <cell r="J150" t="str">
            <v>-</v>
          </cell>
          <cell r="K150">
            <v>0</v>
          </cell>
          <cell r="L150" t="str">
            <v>-</v>
          </cell>
          <cell r="M150">
            <v>0</v>
          </cell>
          <cell r="N150" t="str">
            <v>-</v>
          </cell>
        </row>
        <row r="151">
          <cell r="D151">
            <v>161.52399999999994</v>
          </cell>
          <cell r="F151">
            <v>126.9969999999999</v>
          </cell>
          <cell r="H151">
            <v>158.31800000000061</v>
          </cell>
          <cell r="J151">
            <v>138.07999999999984</v>
          </cell>
          <cell r="L151">
            <v>215.15719999999936</v>
          </cell>
          <cell r="N151">
            <v>338.04219999999998</v>
          </cell>
        </row>
        <row r="152">
          <cell r="C152">
            <v>0</v>
          </cell>
          <cell r="D152" t="str">
            <v>=</v>
          </cell>
          <cell r="E152">
            <v>0</v>
          </cell>
          <cell r="F152" t="str">
            <v>=</v>
          </cell>
          <cell r="G152">
            <v>0</v>
          </cell>
          <cell r="H152" t="str">
            <v>=</v>
          </cell>
          <cell r="I152">
            <v>0</v>
          </cell>
          <cell r="J152" t="str">
            <v>=</v>
          </cell>
          <cell r="K152">
            <v>0</v>
          </cell>
          <cell r="L152" t="str">
            <v>=</v>
          </cell>
          <cell r="M152">
            <v>0</v>
          </cell>
          <cell r="N152" t="str">
            <v>=</v>
          </cell>
        </row>
        <row r="174">
          <cell r="B174" t="str">
            <v>DETAILS  FOR  CALCULATING RATIOS</v>
          </cell>
        </row>
        <row r="175">
          <cell r="G175" t="str">
            <v>(RS.IN LACS)</v>
          </cell>
        </row>
        <row r="176">
          <cell r="B176" t="str">
            <v>-</v>
          </cell>
          <cell r="C176" t="str">
            <v>-</v>
          </cell>
          <cell r="D176" t="str">
            <v>-</v>
          </cell>
          <cell r="E176" t="str">
            <v>-</v>
          </cell>
          <cell r="F176" t="str">
            <v>-</v>
          </cell>
          <cell r="G176" t="str">
            <v>-</v>
          </cell>
          <cell r="H176" t="str">
            <v>-</v>
          </cell>
        </row>
        <row r="177">
          <cell r="B177" t="str">
            <v>PARTICULARS</v>
          </cell>
          <cell r="C177" t="str">
            <v>1997-98</v>
          </cell>
          <cell r="D177" t="str">
            <v>1998-99</v>
          </cell>
          <cell r="E177" t="str">
            <v>1999-00</v>
          </cell>
          <cell r="F177" t="str">
            <v>2000-01</v>
          </cell>
          <cell r="G177" t="str">
            <v>2001-02</v>
          </cell>
          <cell r="H177" t="str">
            <v>2002-03</v>
          </cell>
        </row>
        <row r="178">
          <cell r="B178" t="str">
            <v>-</v>
          </cell>
          <cell r="C178" t="str">
            <v>-</v>
          </cell>
          <cell r="D178" t="str">
            <v>-</v>
          </cell>
          <cell r="E178" t="str">
            <v>-</v>
          </cell>
          <cell r="F178" t="str">
            <v>-</v>
          </cell>
          <cell r="G178" t="str">
            <v>-</v>
          </cell>
          <cell r="H178" t="str">
            <v>-</v>
          </cell>
        </row>
        <row r="179">
          <cell r="B179" t="str">
            <v>Total  Share  Capital</v>
          </cell>
          <cell r="C179">
            <v>265.87599999999998</v>
          </cell>
          <cell r="D179">
            <v>268.02600000000001</v>
          </cell>
          <cell r="E179">
            <v>248.03</v>
          </cell>
          <cell r="F179">
            <v>235.80600000000001</v>
          </cell>
          <cell r="G179">
            <v>220.01</v>
          </cell>
          <cell r="H179">
            <v>229.01</v>
          </cell>
        </row>
        <row r="181">
          <cell r="B181" t="str">
            <v>Total  Dividend</v>
          </cell>
          <cell r="C181">
            <v>25.65</v>
          </cell>
          <cell r="D181">
            <v>25.195</v>
          </cell>
          <cell r="E181">
            <v>0</v>
          </cell>
          <cell r="F181">
            <v>0</v>
          </cell>
          <cell r="G181">
            <v>0</v>
          </cell>
          <cell r="H181">
            <v>0</v>
          </cell>
        </row>
        <row r="183">
          <cell r="B183" t="str">
            <v>Loan  Funds</v>
          </cell>
          <cell r="C183">
            <v>455.697</v>
          </cell>
          <cell r="D183">
            <v>644.00800000000004</v>
          </cell>
          <cell r="E183">
            <v>841.41</v>
          </cell>
          <cell r="F183">
            <v>669.26499999999999</v>
          </cell>
          <cell r="G183">
            <v>400.09700000000004</v>
          </cell>
          <cell r="H183">
            <v>449.85400000000004</v>
          </cell>
        </row>
        <row r="185">
          <cell r="B185" t="str">
            <v>Term  Loans</v>
          </cell>
          <cell r="C185">
            <v>233.88</v>
          </cell>
          <cell r="D185">
            <v>292.82</v>
          </cell>
          <cell r="E185">
            <v>504.47999999999996</v>
          </cell>
          <cell r="F185">
            <v>544.1</v>
          </cell>
          <cell r="G185">
            <v>322.64</v>
          </cell>
          <cell r="H185">
            <v>263.04000000000002</v>
          </cell>
        </row>
        <row r="187">
          <cell r="B187" t="str">
            <v>Unsecured  Loan</v>
          </cell>
          <cell r="C187">
            <v>71.117000000000004</v>
          </cell>
          <cell r="D187">
            <v>194.89</v>
          </cell>
          <cell r="E187">
            <v>86.25</v>
          </cell>
          <cell r="F187">
            <v>13.775</v>
          </cell>
          <cell r="G187">
            <v>17.29</v>
          </cell>
          <cell r="H187">
            <v>84.9</v>
          </cell>
        </row>
        <row r="189">
          <cell r="B189" t="str">
            <v>Working  Capital  Loan</v>
          </cell>
          <cell r="C189">
            <v>150.69999999999999</v>
          </cell>
          <cell r="D189">
            <v>156.30000000000001</v>
          </cell>
          <cell r="E189">
            <v>250.68</v>
          </cell>
          <cell r="F189">
            <v>111.39</v>
          </cell>
          <cell r="G189">
            <v>60.167000000000002</v>
          </cell>
          <cell r="H189">
            <v>101.91</v>
          </cell>
        </row>
        <row r="191">
          <cell r="B191" t="str">
            <v>Debt</v>
          </cell>
          <cell r="C191">
            <v>233.88</v>
          </cell>
          <cell r="D191">
            <v>292.81800000000004</v>
          </cell>
          <cell r="E191">
            <v>504.47999999999996</v>
          </cell>
          <cell r="F191">
            <v>544.1</v>
          </cell>
          <cell r="G191">
            <v>322.64</v>
          </cell>
          <cell r="H191">
            <v>263.0440000000001</v>
          </cell>
        </row>
        <row r="193">
          <cell r="B193" t="str">
            <v>Current  Assets:</v>
          </cell>
        </row>
        <row r="195">
          <cell r="B195" t="str">
            <v>a. Inventories</v>
          </cell>
          <cell r="C195">
            <v>59.53</v>
          </cell>
          <cell r="D195">
            <v>75.837000000000003</v>
          </cell>
          <cell r="E195">
            <v>114.19</v>
          </cell>
          <cell r="F195">
            <v>169.51</v>
          </cell>
          <cell r="G195">
            <v>144.63300000000001</v>
          </cell>
          <cell r="H195">
            <v>117.34699999999999</v>
          </cell>
        </row>
        <row r="197">
          <cell r="B197" t="str">
            <v>b. Sundry  Debtors</v>
          </cell>
          <cell r="C197">
            <v>52.31</v>
          </cell>
          <cell r="D197">
            <v>38.17</v>
          </cell>
          <cell r="E197">
            <v>84.45</v>
          </cell>
          <cell r="F197">
            <v>97.71</v>
          </cell>
          <cell r="G197">
            <v>126.718</v>
          </cell>
          <cell r="H197">
            <v>50.72</v>
          </cell>
        </row>
        <row r="199">
          <cell r="B199" t="str">
            <v>c.  Cash &amp; Bank Balances</v>
          </cell>
          <cell r="C199">
            <v>0.48</v>
          </cell>
          <cell r="D199">
            <v>0.54800000000000004</v>
          </cell>
          <cell r="E199">
            <v>5.32</v>
          </cell>
          <cell r="F199">
            <v>27.18</v>
          </cell>
          <cell r="G199">
            <v>1.7090000000000001</v>
          </cell>
          <cell r="H199">
            <v>1.8939999999999999</v>
          </cell>
        </row>
        <row r="201">
          <cell r="B201" t="str">
            <v>d.  Loans &amp;  Advances</v>
          </cell>
          <cell r="C201">
            <v>85.944000000000003</v>
          </cell>
          <cell r="D201">
            <v>200.56800000000001</v>
          </cell>
          <cell r="E201">
            <v>228.04</v>
          </cell>
          <cell r="F201">
            <v>12.129999999999999</v>
          </cell>
          <cell r="G201">
            <v>33.356999999999999</v>
          </cell>
          <cell r="H201">
            <v>61.322999999999993</v>
          </cell>
        </row>
        <row r="203">
          <cell r="B203" t="str">
            <v>e.  Deposits</v>
          </cell>
          <cell r="C203">
            <v>26.745999999999999</v>
          </cell>
          <cell r="D203">
            <v>2.82</v>
          </cell>
          <cell r="E203">
            <v>6.84</v>
          </cell>
          <cell r="F203">
            <v>6.84</v>
          </cell>
          <cell r="G203">
            <v>6.88</v>
          </cell>
          <cell r="H203">
            <v>8.1999999999999993</v>
          </cell>
        </row>
        <row r="205">
          <cell r="B205" t="str">
            <v>f. Trade  Investments</v>
          </cell>
          <cell r="C205">
            <v>29.998999999999999</v>
          </cell>
          <cell r="D205">
            <v>58.198999999999998</v>
          </cell>
          <cell r="E205">
            <v>58.198999999999998</v>
          </cell>
          <cell r="F205">
            <v>58.198999999999998</v>
          </cell>
          <cell r="G205">
            <v>58.198999999999998</v>
          </cell>
          <cell r="H205">
            <v>178.19900000000001</v>
          </cell>
        </row>
        <row r="206">
          <cell r="C206" t="str">
            <v>-</v>
          </cell>
          <cell r="D206" t="str">
            <v>-</v>
          </cell>
          <cell r="E206" t="str">
            <v>-</v>
          </cell>
          <cell r="F206" t="str">
            <v>-</v>
          </cell>
          <cell r="G206" t="str">
            <v>-</v>
          </cell>
          <cell r="H206" t="str">
            <v>-</v>
          </cell>
        </row>
        <row r="207">
          <cell r="B207" t="str">
            <v xml:space="preserve">         Total Current  Assets</v>
          </cell>
          <cell r="C207">
            <v>255.00900000000001</v>
          </cell>
          <cell r="D207">
            <v>376.14200000000005</v>
          </cell>
          <cell r="E207">
            <v>497.03899999999999</v>
          </cell>
          <cell r="F207">
            <v>371.56899999999996</v>
          </cell>
          <cell r="G207">
            <v>371.49600000000004</v>
          </cell>
          <cell r="H207">
            <v>417.68299999999999</v>
          </cell>
        </row>
        <row r="209">
          <cell r="B209" t="str">
            <v>Current Liabilities</v>
          </cell>
          <cell r="C209">
            <v>35.774999999999999</v>
          </cell>
          <cell r="D209">
            <v>99.53</v>
          </cell>
          <cell r="E209">
            <v>93.27</v>
          </cell>
          <cell r="F209">
            <v>72.38</v>
          </cell>
          <cell r="G209">
            <v>77.563999999999993</v>
          </cell>
          <cell r="H209">
            <v>56.210999999999999</v>
          </cell>
        </row>
        <row r="210">
          <cell r="C210" t="str">
            <v>-</v>
          </cell>
          <cell r="D210" t="str">
            <v>-</v>
          </cell>
          <cell r="E210" t="str">
            <v>-</v>
          </cell>
          <cell r="F210" t="str">
            <v>-</v>
          </cell>
          <cell r="G210" t="str">
            <v>-</v>
          </cell>
          <cell r="H210" t="str">
            <v>-</v>
          </cell>
        </row>
        <row r="211">
          <cell r="B211" t="str">
            <v xml:space="preserve">         Total  Current Liabilities</v>
          </cell>
          <cell r="C211">
            <v>178.42499999999998</v>
          </cell>
          <cell r="D211">
            <v>255.83</v>
          </cell>
          <cell r="E211">
            <v>343.95</v>
          </cell>
          <cell r="F211">
            <v>183.76999999999998</v>
          </cell>
          <cell r="G211">
            <v>137.73099999999999</v>
          </cell>
          <cell r="H211">
            <v>158.12099999999998</v>
          </cell>
        </row>
        <row r="212">
          <cell r="C212" t="str">
            <v>-</v>
          </cell>
          <cell r="D212" t="str">
            <v>-</v>
          </cell>
          <cell r="E212" t="str">
            <v>-</v>
          </cell>
          <cell r="F212" t="str">
            <v>-</v>
          </cell>
          <cell r="G212" t="str">
            <v>-</v>
          </cell>
          <cell r="H212" t="str">
            <v>-</v>
          </cell>
        </row>
        <row r="213">
          <cell r="B213" t="str">
            <v xml:space="preserve">Working  Capital  </v>
          </cell>
          <cell r="C213">
            <v>76.584000000000032</v>
          </cell>
          <cell r="D213">
            <v>120.31200000000004</v>
          </cell>
          <cell r="E213">
            <v>153.089</v>
          </cell>
          <cell r="F213">
            <v>187.79899999999998</v>
          </cell>
          <cell r="G213">
            <v>233.76500000000004</v>
          </cell>
          <cell r="H213">
            <v>259.56200000000001</v>
          </cell>
        </row>
        <row r="215">
          <cell r="B215" t="str">
            <v>L.T. Funds</v>
          </cell>
          <cell r="C215">
            <v>668.81899999999996</v>
          </cell>
          <cell r="D215">
            <v>978.98900000000003</v>
          </cell>
          <cell r="E215">
            <v>1086.5139999999999</v>
          </cell>
          <cell r="F215">
            <v>980.47500000000002</v>
          </cell>
          <cell r="G215">
            <v>781.90500000000009</v>
          </cell>
          <cell r="H215">
            <v>1021.3380000000001</v>
          </cell>
        </row>
        <row r="217">
          <cell r="B217" t="str">
            <v>Turnover</v>
          </cell>
          <cell r="C217">
            <v>1485.4159999999999</v>
          </cell>
          <cell r="D217">
            <v>1881.23</v>
          </cell>
          <cell r="E217">
            <v>2279.5500000000002</v>
          </cell>
          <cell r="F217">
            <v>3320.87</v>
          </cell>
          <cell r="G217">
            <v>3040.25</v>
          </cell>
          <cell r="H217">
            <v>2565.75</v>
          </cell>
        </row>
        <row r="219">
          <cell r="B219" t="str">
            <v>Gross  Profit</v>
          </cell>
          <cell r="C219">
            <v>231.62699999999992</v>
          </cell>
          <cell r="D219">
            <v>359.26299999999992</v>
          </cell>
          <cell r="E219">
            <v>364.77400000000046</v>
          </cell>
          <cell r="F219">
            <v>563.24999999999989</v>
          </cell>
          <cell r="G219">
            <v>554.10320000000002</v>
          </cell>
          <cell r="H219">
            <v>414.44300000000021</v>
          </cell>
        </row>
        <row r="221">
          <cell r="B221" t="str">
            <v>Net Profit for the Year</v>
          </cell>
          <cell r="C221">
            <v>67.093999999999923</v>
          </cell>
          <cell r="D221">
            <v>64.972999999999956</v>
          </cell>
          <cell r="E221">
            <v>60.519000000000688</v>
          </cell>
          <cell r="F221">
            <v>165.05199999999923</v>
          </cell>
          <cell r="G221">
            <v>105.79719999999952</v>
          </cell>
          <cell r="H221">
            <v>153.42500000000064</v>
          </cell>
        </row>
        <row r="223">
          <cell r="B223" t="str">
            <v>Interest  &amp;  Finance  Charges</v>
          </cell>
          <cell r="C223">
            <v>49.92</v>
          </cell>
          <cell r="D223">
            <v>71.62</v>
          </cell>
          <cell r="E223">
            <v>99.034000000000006</v>
          </cell>
          <cell r="F223">
            <v>109.523</v>
          </cell>
          <cell r="G223">
            <v>61.95</v>
          </cell>
          <cell r="H223">
            <v>38.351999999999997</v>
          </cell>
        </row>
        <row r="225">
          <cell r="B225" t="str">
            <v>PBIT</v>
          </cell>
          <cell r="C225">
            <v>117.01399999999992</v>
          </cell>
          <cell r="D225">
            <v>136.59299999999996</v>
          </cell>
          <cell r="E225">
            <v>159.55300000000068</v>
          </cell>
          <cell r="F225">
            <v>274.57499999999925</v>
          </cell>
          <cell r="G225">
            <v>167.74719999999951</v>
          </cell>
          <cell r="H225">
            <v>191.77700000000064</v>
          </cell>
        </row>
        <row r="227">
          <cell r="B227" t="str">
            <v>=</v>
          </cell>
          <cell r="C227" t="str">
            <v>=</v>
          </cell>
          <cell r="D227" t="str">
            <v>=</v>
          </cell>
          <cell r="E227" t="str">
            <v>=</v>
          </cell>
          <cell r="F227" t="str">
            <v>=</v>
          </cell>
          <cell r="G227" t="str">
            <v>=</v>
          </cell>
          <cell r="H227" t="str">
            <v>=</v>
          </cell>
        </row>
        <row r="229">
          <cell r="B229" t="str">
            <v>CALCULATION  OF  VARIOUS  RATIOS</v>
          </cell>
        </row>
        <row r="231">
          <cell r="B231" t="str">
            <v>-</v>
          </cell>
          <cell r="C231" t="str">
            <v>-</v>
          </cell>
          <cell r="D231" t="str">
            <v>-</v>
          </cell>
          <cell r="E231" t="str">
            <v>-</v>
          </cell>
          <cell r="F231" t="str">
            <v>-</v>
          </cell>
          <cell r="G231" t="str">
            <v>-</v>
          </cell>
          <cell r="H231" t="str">
            <v>-</v>
          </cell>
        </row>
        <row r="232">
          <cell r="B232" t="str">
            <v>PARTICULARS</v>
          </cell>
          <cell r="C232" t="str">
            <v>1997-98</v>
          </cell>
          <cell r="D232" t="str">
            <v>1998-99</v>
          </cell>
          <cell r="E232" t="str">
            <v>1999-00</v>
          </cell>
          <cell r="F232" t="str">
            <v>2000-01</v>
          </cell>
          <cell r="G232" t="str">
            <v>2001-02</v>
          </cell>
          <cell r="H232" t="str">
            <v>2002-03</v>
          </cell>
        </row>
        <row r="233">
          <cell r="B233" t="str">
            <v>-</v>
          </cell>
          <cell r="C233" t="str">
            <v>-</v>
          </cell>
          <cell r="D233" t="str">
            <v>-</v>
          </cell>
          <cell r="E233" t="str">
            <v>-</v>
          </cell>
          <cell r="F233" t="str">
            <v>-</v>
          </cell>
          <cell r="G233" t="str">
            <v>-</v>
          </cell>
          <cell r="H233" t="str">
            <v>-</v>
          </cell>
        </row>
        <row r="234">
          <cell r="B234" t="str">
            <v>NET PROFIT AFTER TAX</v>
          </cell>
          <cell r="C234">
            <v>67.093999999999923</v>
          </cell>
          <cell r="D234">
            <v>64.972999999999956</v>
          </cell>
          <cell r="E234">
            <v>60.016000000000687</v>
          </cell>
          <cell r="F234">
            <v>4.7619999999992331</v>
          </cell>
          <cell r="G234">
            <v>97.797199999999521</v>
          </cell>
          <cell r="H234">
            <v>141.42500000000064</v>
          </cell>
        </row>
        <row r="236">
          <cell r="B236" t="str">
            <v>CASH PROFIT</v>
          </cell>
          <cell r="C236">
            <v>95.14099999999992</v>
          </cell>
          <cell r="D236">
            <v>102.49799999999996</v>
          </cell>
          <cell r="E236">
            <v>108.62300000000069</v>
          </cell>
          <cell r="F236">
            <v>106.08999999999924</v>
          </cell>
          <cell r="G236">
            <v>276.2331999999995</v>
          </cell>
          <cell r="H236">
            <v>216.42500000000064</v>
          </cell>
        </row>
        <row r="238">
          <cell r="B238" t="str">
            <v>EQUITY SHARE CAPITAL</v>
          </cell>
          <cell r="C238">
            <v>229.04599999999999</v>
          </cell>
          <cell r="D238">
            <v>229.04600000000002</v>
          </cell>
          <cell r="E238">
            <v>229.05</v>
          </cell>
          <cell r="F238">
            <v>216.82600000000002</v>
          </cell>
          <cell r="G238">
            <v>213.25399999999999</v>
          </cell>
          <cell r="H238">
            <v>213.25399999999999</v>
          </cell>
        </row>
        <row r="240">
          <cell r="B240" t="str">
            <v>PREFERENCE SHARE CAPITAL</v>
          </cell>
          <cell r="C240">
            <v>36.83</v>
          </cell>
          <cell r="D240">
            <v>38.979999999999997</v>
          </cell>
          <cell r="E240">
            <v>18.98</v>
          </cell>
          <cell r="F240">
            <v>18.98</v>
          </cell>
          <cell r="G240">
            <v>6.7560000000000002</v>
          </cell>
          <cell r="H240">
            <v>15.756</v>
          </cell>
        </row>
        <row r="242">
          <cell r="B242" t="str">
            <v>RESERVES &amp; SURPLUS</v>
          </cell>
          <cell r="C242">
            <v>101.946</v>
          </cell>
          <cell r="D242">
            <v>226.69499999999999</v>
          </cell>
          <cell r="E242">
            <v>250.63</v>
          </cell>
          <cell r="F242">
            <v>189.11</v>
          </cell>
          <cell r="G242">
            <v>223.72</v>
          </cell>
          <cell r="H242">
            <v>446.13900000000001</v>
          </cell>
        </row>
        <row r="244">
          <cell r="B244" t="str">
            <v>UNSECURED  LOAN</v>
          </cell>
          <cell r="C244">
            <v>71.117000000000004</v>
          </cell>
          <cell r="D244">
            <v>194.89</v>
          </cell>
          <cell r="E244">
            <v>86.25</v>
          </cell>
          <cell r="F244">
            <v>13.775</v>
          </cell>
          <cell r="G244">
            <v>17.29</v>
          </cell>
          <cell r="H244">
            <v>84.9</v>
          </cell>
        </row>
        <row r="246">
          <cell r="B246" t="str">
            <v>TERM LOANS</v>
          </cell>
          <cell r="C246">
            <v>233.88</v>
          </cell>
          <cell r="D246">
            <v>292.82</v>
          </cell>
          <cell r="E246">
            <v>504.47999999999996</v>
          </cell>
          <cell r="F246">
            <v>544.1</v>
          </cell>
          <cell r="G246">
            <v>322.64</v>
          </cell>
          <cell r="H246">
            <v>263.04000000000002</v>
          </cell>
        </row>
        <row r="248">
          <cell r="B248" t="str">
            <v>EQUITY SHARES OF Rs.10 EACH</v>
          </cell>
          <cell r="C248">
            <v>2290460</v>
          </cell>
          <cell r="D248">
            <v>2290460.0000000005</v>
          </cell>
          <cell r="E248">
            <v>2290500</v>
          </cell>
          <cell r="F248">
            <v>2168260.0000000005</v>
          </cell>
          <cell r="G248">
            <v>2132540</v>
          </cell>
          <cell r="H248">
            <v>2132540</v>
          </cell>
        </row>
        <row r="250">
          <cell r="B250" t="str">
            <v>EPS</v>
          </cell>
          <cell r="C250">
            <v>2.9292805811932943</v>
          </cell>
          <cell r="D250">
            <v>2.8366790950289436</v>
          </cell>
          <cell r="E250">
            <v>2.6202139270901847</v>
          </cell>
          <cell r="F250">
            <v>0.2196231079298254</v>
          </cell>
          <cell r="G250">
            <v>4.5859491498400748</v>
          </cell>
          <cell r="H250">
            <v>6.6317630618886696</v>
          </cell>
        </row>
        <row r="252">
          <cell r="B252" t="str">
            <v>CASH  EPS</v>
          </cell>
          <cell r="C252">
            <v>4.1537944343057687</v>
          </cell>
          <cell r="D252">
            <v>4.4749962889550545</v>
          </cell>
          <cell r="E252">
            <v>4.7423270028378388</v>
          </cell>
          <cell r="F252">
            <v>4.8928634019904997</v>
          </cell>
          <cell r="G252">
            <v>12.953248239188925</v>
          </cell>
          <cell r="H252">
            <v>10.148695921295761</v>
          </cell>
        </row>
        <row r="254">
          <cell r="B254" t="str">
            <v>DIVIDEND %</v>
          </cell>
          <cell r="C254">
            <v>9.6473544058132368E-2</v>
          </cell>
          <cell r="D254">
            <v>9.4002074425615423E-2</v>
          </cell>
          <cell r="E254">
            <v>0</v>
          </cell>
          <cell r="F254">
            <v>0</v>
          </cell>
          <cell r="G254">
            <v>0</v>
          </cell>
          <cell r="H254">
            <v>0</v>
          </cell>
        </row>
        <row r="256">
          <cell r="B256" t="str">
            <v>NET  WORTH</v>
          </cell>
          <cell r="C256">
            <v>363.822</v>
          </cell>
          <cell r="D256">
            <v>491.28100000000001</v>
          </cell>
          <cell r="E256">
            <v>495.78399999999999</v>
          </cell>
          <cell r="F256">
            <v>422.60000000000008</v>
          </cell>
          <cell r="G256">
            <v>441.97500000000002</v>
          </cell>
          <cell r="H256">
            <v>673.39400000000001</v>
          </cell>
        </row>
        <row r="258">
          <cell r="B258" t="str">
            <v>BOOK VALUE PER SHARE</v>
          </cell>
          <cell r="C258">
            <v>15.884232861521268</v>
          </cell>
          <cell r="D258">
            <v>21.449010242484039</v>
          </cell>
          <cell r="E258">
            <v>21.645230299061339</v>
          </cell>
          <cell r="F258">
            <v>19.490282530692813</v>
          </cell>
          <cell r="G258">
            <v>20.725285340485993</v>
          </cell>
          <cell r="H258">
            <v>31.577086479034392</v>
          </cell>
        </row>
        <row r="260">
          <cell r="B260" t="str">
            <v>DEBT -EQUITY RATIO</v>
          </cell>
          <cell r="C260">
            <v>0.53773057831098148</v>
          </cell>
          <cell r="D260">
            <v>0.42674202203240885</v>
          </cell>
          <cell r="E260">
            <v>0.8667534886278121</v>
          </cell>
          <cell r="F260">
            <v>1.2468633629332568</v>
          </cell>
          <cell r="G260">
            <v>0.70251379922267088</v>
          </cell>
          <cell r="H260">
            <v>0.34688920128604483</v>
          </cell>
        </row>
        <row r="262">
          <cell r="B262" t="str">
            <v>CURRENT  RATIO</v>
          </cell>
          <cell r="C262">
            <v>1.4292223623371167</v>
          </cell>
          <cell r="D262">
            <v>1.4702810460071143</v>
          </cell>
          <cell r="E262">
            <v>1.4450908562291032</v>
          </cell>
          <cell r="F262">
            <v>2.0219241443108231</v>
          </cell>
          <cell r="G262">
            <v>2.6972576979764908</v>
          </cell>
          <cell r="H262">
            <v>2.6415403393603634</v>
          </cell>
        </row>
        <row r="264">
          <cell r="B264" t="str">
            <v>LIQUID  RATIO</v>
          </cell>
          <cell r="C264">
            <v>1.0955807762365142</v>
          </cell>
          <cell r="D264">
            <v>1.1738459133018022</v>
          </cell>
          <cell r="E264">
            <v>1.1130949265881669</v>
          </cell>
          <cell r="F264">
            <v>1.0995211405561298</v>
          </cell>
          <cell r="G264">
            <v>1.6471455227944329</v>
          </cell>
          <cell r="H264">
            <v>1.8994061509856379</v>
          </cell>
        </row>
        <row r="265">
          <cell r="B265" t="str">
            <v>=</v>
          </cell>
          <cell r="C265" t="str">
            <v>=</v>
          </cell>
          <cell r="D265" t="str">
            <v>=</v>
          </cell>
          <cell r="E265" t="str">
            <v>=</v>
          </cell>
          <cell r="F265" t="str">
            <v>=</v>
          </cell>
          <cell r="G265" t="str">
            <v>=</v>
          </cell>
          <cell r="H265" t="str">
            <v>=</v>
          </cell>
        </row>
        <row r="267">
          <cell r="C267" t="str">
            <v>(RS.IN LACS)</v>
          </cell>
        </row>
        <row r="268">
          <cell r="B268" t="str">
            <v>-</v>
          </cell>
          <cell r="C268" t="str">
            <v>-</v>
          </cell>
          <cell r="D268" t="str">
            <v>-</v>
          </cell>
          <cell r="E268" t="str">
            <v>-</v>
          </cell>
          <cell r="F268" t="str">
            <v>-</v>
          </cell>
          <cell r="G268" t="str">
            <v>-</v>
          </cell>
          <cell r="H268" t="str">
            <v>-</v>
          </cell>
        </row>
        <row r="269">
          <cell r="B269" t="str">
            <v>PARTICULARS</v>
          </cell>
          <cell r="C269" t="str">
            <v>1997-98</v>
          </cell>
          <cell r="D269" t="str">
            <v>1998-99</v>
          </cell>
          <cell r="E269" t="str">
            <v>1999-00</v>
          </cell>
          <cell r="F269" t="str">
            <v>2000-01</v>
          </cell>
          <cell r="G269" t="str">
            <v>2001-02</v>
          </cell>
          <cell r="H269" t="str">
            <v>2002-03</v>
          </cell>
        </row>
        <row r="270">
          <cell r="B270" t="str">
            <v>-</v>
          </cell>
          <cell r="C270" t="str">
            <v>-</v>
          </cell>
          <cell r="D270" t="str">
            <v>-</v>
          </cell>
          <cell r="E270" t="str">
            <v>-</v>
          </cell>
          <cell r="F270" t="str">
            <v>-</v>
          </cell>
          <cell r="G270" t="str">
            <v>-</v>
          </cell>
          <cell r="H270" t="str">
            <v>-</v>
          </cell>
        </row>
        <row r="271">
          <cell r="B271" t="str">
            <v>FIXED  ASSETS/ L.T.FUNDS</v>
          </cell>
          <cell r="C271">
            <v>0.86290909797718074</v>
          </cell>
          <cell r="D271">
            <v>0.88910089898865063</v>
          </cell>
          <cell r="E271">
            <v>0.91570840320511304</v>
          </cell>
          <cell r="F271">
            <v>0.78256865294882583</v>
          </cell>
          <cell r="G271">
            <v>0.75275896688216593</v>
          </cell>
          <cell r="H271">
            <v>0.50332994562035283</v>
          </cell>
        </row>
        <row r="273">
          <cell r="B273" t="str">
            <v>RETURN  ON NET  WORTH</v>
          </cell>
          <cell r="D273">
            <v>0.1519653187978523</v>
          </cell>
          <cell r="E273">
            <v>0.12160496015966665</v>
          </cell>
          <cell r="F273">
            <v>1.0370389728042372E-2</v>
          </cell>
          <cell r="G273">
            <v>0.2262318480178111</v>
          </cell>
          <cell r="H273">
            <v>0.25359320547729158</v>
          </cell>
        </row>
        <row r="275">
          <cell r="B275" t="str">
            <v>RETURN ON  CAPITAL</v>
          </cell>
          <cell r="C275">
            <v>0.25235071988445718</v>
          </cell>
          <cell r="D275">
            <v>0.24241304948027412</v>
          </cell>
          <cell r="E275">
            <v>0.24197072934725916</v>
          </cell>
          <cell r="F275">
            <v>2.0194566720097167E-2</v>
          </cell>
          <cell r="G275">
            <v>0.44451252215808157</v>
          </cell>
          <cell r="H275">
            <v>0.61754945198899891</v>
          </cell>
        </row>
        <row r="277">
          <cell r="B277" t="str">
            <v>GROSS  PROFIT  RATIO</v>
          </cell>
          <cell r="C277">
            <v>0.15593409522988841</v>
          </cell>
          <cell r="D277">
            <v>0.19097239571982155</v>
          </cell>
          <cell r="E277">
            <v>0.16002017942137722</v>
          </cell>
          <cell r="F277">
            <v>0.16960916868170084</v>
          </cell>
          <cell r="G277">
            <v>0.18225580133212729</v>
          </cell>
          <cell r="H277">
            <v>0.16152898762545073</v>
          </cell>
        </row>
        <row r="279">
          <cell r="B279" t="str">
            <v>NET  PROFIT  RATIO</v>
          </cell>
          <cell r="C279">
            <v>4.5168491520220545E-2</v>
          </cell>
          <cell r="D279">
            <v>3.4537510033329236E-2</v>
          </cell>
          <cell r="E279">
            <v>2.6328003333991656E-2</v>
          </cell>
          <cell r="F279">
            <v>1.4339615823561998E-3</v>
          </cell>
          <cell r="G279">
            <v>3.2167486226461484E-2</v>
          </cell>
          <cell r="H279">
            <v>5.5120335184644112E-2</v>
          </cell>
        </row>
        <row r="281">
          <cell r="B281" t="str">
            <v>CAPITAL  TURNOVER RATIO</v>
          </cell>
          <cell r="C281">
            <v>5.5868750846259161</v>
          </cell>
          <cell r="D281">
            <v>7.0188339937170277</v>
          </cell>
          <cell r="E281">
            <v>9.1906221021650616</v>
          </cell>
          <cell r="F281">
            <v>14.083059803397708</v>
          </cell>
          <cell r="G281">
            <v>13.818690059542748</v>
          </cell>
          <cell r="H281">
            <v>11.203659228854635</v>
          </cell>
        </row>
        <row r="283">
          <cell r="B283" t="str">
            <v>WORKING  CAP.  TURNOVER</v>
          </cell>
          <cell r="C283">
            <v>19.395905149900752</v>
          </cell>
          <cell r="D283">
            <v>15.636262384467047</v>
          </cell>
          <cell r="E283">
            <v>14.890357896387071</v>
          </cell>
          <cell r="F283">
            <v>17.683108003769991</v>
          </cell>
          <cell r="G283">
            <v>13.005582529463348</v>
          </cell>
          <cell r="H283">
            <v>9.884921521640301</v>
          </cell>
        </row>
        <row r="285">
          <cell r="B285" t="str">
            <v>INT./PBIT (%)</v>
          </cell>
          <cell r="C285">
            <v>0.42661561864392322</v>
          </cell>
          <cell r="D285">
            <v>0.52433140790523691</v>
          </cell>
          <cell r="E285">
            <v>0.62069657104535536</v>
          </cell>
          <cell r="F285">
            <v>0.39888190840389803</v>
          </cell>
          <cell r="G285">
            <v>0.3693057171744159</v>
          </cell>
          <cell r="H285">
            <v>0.19998227107525859</v>
          </cell>
        </row>
        <row r="286">
          <cell r="B286" t="str">
            <v>=</v>
          </cell>
          <cell r="C286" t="str">
            <v>=</v>
          </cell>
          <cell r="D286" t="str">
            <v>=</v>
          </cell>
          <cell r="E286" t="str">
            <v>=</v>
          </cell>
          <cell r="F286" t="str">
            <v>=</v>
          </cell>
          <cell r="G286" t="str">
            <v>=</v>
          </cell>
          <cell r="H286" t="str">
            <v>=</v>
          </cell>
        </row>
        <row r="292">
          <cell r="B292" t="str">
            <v>-</v>
          </cell>
          <cell r="C292" t="str">
            <v>-</v>
          </cell>
          <cell r="D292" t="str">
            <v>-</v>
          </cell>
          <cell r="E292" t="str">
            <v>-</v>
          </cell>
          <cell r="F292" t="str">
            <v>-</v>
          </cell>
          <cell r="G292" t="str">
            <v>-</v>
          </cell>
          <cell r="H292" t="str">
            <v>-</v>
          </cell>
        </row>
        <row r="293">
          <cell r="B293" t="str">
            <v>PARTICULARS</v>
          </cell>
          <cell r="C293" t="str">
            <v>1997-98</v>
          </cell>
          <cell r="D293" t="str">
            <v>1998-99</v>
          </cell>
          <cell r="E293" t="str">
            <v>1999-00</v>
          </cell>
          <cell r="F293" t="str">
            <v>2000-01</v>
          </cell>
          <cell r="G293" t="str">
            <v>2001-02</v>
          </cell>
          <cell r="H293" t="str">
            <v>2002-03</v>
          </cell>
        </row>
        <row r="294">
          <cell r="B294" t="str">
            <v>-</v>
          </cell>
          <cell r="C294" t="str">
            <v>-</v>
          </cell>
          <cell r="D294" t="str">
            <v>-</v>
          </cell>
          <cell r="E294" t="str">
            <v>-</v>
          </cell>
          <cell r="F294" t="str">
            <v>-</v>
          </cell>
          <cell r="G294" t="str">
            <v>-</v>
          </cell>
          <cell r="H294" t="str">
            <v>-</v>
          </cell>
        </row>
        <row r="295">
          <cell r="B295" t="str">
            <v>GROSS REVENUE</v>
          </cell>
          <cell r="C295">
            <v>1479.634</v>
          </cell>
          <cell r="D295">
            <v>1901.05</v>
          </cell>
          <cell r="E295">
            <v>2331.3060000000005</v>
          </cell>
          <cell r="F295">
            <v>3361.9189999999999</v>
          </cell>
          <cell r="G295">
            <v>2984.9791999999998</v>
          </cell>
          <cell r="H295">
            <v>2597.6440000000002</v>
          </cell>
        </row>
        <row r="297">
          <cell r="B297" t="str">
            <v>GROWTH IN QUANTITY</v>
          </cell>
        </row>
        <row r="298">
          <cell r="B298" t="str">
            <v>GROWTH   IN  %</v>
          </cell>
          <cell r="C298" t="e">
            <v>#REF!</v>
          </cell>
          <cell r="D298">
            <v>0.28481097352453372</v>
          </cell>
          <cell r="E298">
            <v>0.22632545172404753</v>
          </cell>
          <cell r="F298">
            <v>0.4420753860711546</v>
          </cell>
          <cell r="G298">
            <v>-0.11212042883841047</v>
          </cell>
          <cell r="H298">
            <v>-0.1297614402137206</v>
          </cell>
        </row>
        <row r="300">
          <cell r="B300" t="str">
            <v>PROFIT BEFORE TAX</v>
          </cell>
          <cell r="C300">
            <v>67.093999999999923</v>
          </cell>
          <cell r="D300">
            <v>64.972999999999956</v>
          </cell>
          <cell r="E300">
            <v>60.519000000000688</v>
          </cell>
          <cell r="F300">
            <v>165.05199999999923</v>
          </cell>
          <cell r="G300">
            <v>105.79719999999952</v>
          </cell>
          <cell r="H300">
            <v>153.42500000000064</v>
          </cell>
        </row>
        <row r="302">
          <cell r="B302" t="str">
            <v>GROWTH   IN  %</v>
          </cell>
          <cell r="D302">
            <v>-3.1612364742003296E-2</v>
          </cell>
          <cell r="E302">
            <v>-6.8551552183203357E-2</v>
          </cell>
          <cell r="F302">
            <v>1.7272757315883829</v>
          </cell>
          <cell r="G302">
            <v>-0.35900685844461128</v>
          </cell>
          <cell r="H302">
            <v>0.45018015599657962</v>
          </cell>
        </row>
        <row r="304">
          <cell r="B304" t="str">
            <v>PROFIT AFTER TAX</v>
          </cell>
          <cell r="C304">
            <v>67.093999999999923</v>
          </cell>
          <cell r="D304">
            <v>64.972999999999956</v>
          </cell>
          <cell r="E304">
            <v>60.016000000000687</v>
          </cell>
          <cell r="F304">
            <v>3.2183634601524653E-3</v>
          </cell>
          <cell r="G304">
            <v>4.7619999999992331</v>
          </cell>
          <cell r="H304">
            <v>6.6095534436218364E-2</v>
          </cell>
        </row>
        <row r="306">
          <cell r="B306" t="str">
            <v>DIVIDEND (%)</v>
          </cell>
          <cell r="C306">
            <v>9.6473544058132368E-2</v>
          </cell>
          <cell r="D306">
            <v>9.4002074425615423E-2</v>
          </cell>
          <cell r="E306">
            <v>0</v>
          </cell>
          <cell r="F306">
            <v>0</v>
          </cell>
          <cell r="G306">
            <v>0</v>
          </cell>
          <cell r="H306">
            <v>0</v>
          </cell>
        </row>
        <row r="308">
          <cell r="B308" t="str">
            <v>SHARE CAPITAL</v>
          </cell>
          <cell r="C308">
            <v>265.87599999999998</v>
          </cell>
          <cell r="D308">
            <v>268.02600000000001</v>
          </cell>
          <cell r="E308">
            <v>248.03</v>
          </cell>
          <cell r="F308">
            <v>235.80600000000001</v>
          </cell>
          <cell r="G308">
            <v>220.01</v>
          </cell>
          <cell r="H308">
            <v>229.01</v>
          </cell>
        </row>
        <row r="310">
          <cell r="B310" t="str">
            <v>RESERVES</v>
          </cell>
          <cell r="C310">
            <v>101.946</v>
          </cell>
          <cell r="D310">
            <v>226.69499999999999</v>
          </cell>
          <cell r="E310">
            <v>250.63</v>
          </cell>
          <cell r="F310">
            <v>189.11</v>
          </cell>
          <cell r="G310">
            <v>223.72</v>
          </cell>
          <cell r="H310">
            <v>446.13900000000001</v>
          </cell>
        </row>
        <row r="312">
          <cell r="B312" t="str">
            <v>BORROWINGS</v>
          </cell>
          <cell r="C312">
            <v>384.58</v>
          </cell>
          <cell r="D312">
            <v>449.11799999999999</v>
          </cell>
          <cell r="E312">
            <v>755.16</v>
          </cell>
          <cell r="F312">
            <v>655.49</v>
          </cell>
          <cell r="G312">
            <v>382.80700000000002</v>
          </cell>
          <cell r="H312">
            <v>364.95400000000001</v>
          </cell>
        </row>
        <row r="314">
          <cell r="B314" t="str">
            <v>CAPITAL EMPLOYED</v>
          </cell>
          <cell r="C314">
            <v>823.51900000000001</v>
          </cell>
          <cell r="D314">
            <v>1208.6790000000001</v>
          </cell>
          <cell r="E314">
            <v>1459.56</v>
          </cell>
          <cell r="F314">
            <v>1119.931</v>
          </cell>
          <cell r="G314">
            <v>935.17700000000013</v>
          </cell>
          <cell r="H314">
            <v>1128.203</v>
          </cell>
        </row>
        <row r="316">
          <cell r="B316" t="str">
            <v>NET WORTH</v>
          </cell>
          <cell r="C316">
            <v>363.822</v>
          </cell>
          <cell r="D316">
            <v>491.28100000000001</v>
          </cell>
          <cell r="E316">
            <v>495.78399999999999</v>
          </cell>
          <cell r="F316">
            <v>422.60000000000008</v>
          </cell>
          <cell r="G316">
            <v>441.97500000000002</v>
          </cell>
          <cell r="H316">
            <v>673.39400000000001</v>
          </cell>
        </row>
        <row r="318">
          <cell r="B318" t="str">
            <v>GROSS BLOCK</v>
          </cell>
          <cell r="C318">
            <v>692.09</v>
          </cell>
          <cell r="D318">
            <v>1022.12</v>
          </cell>
          <cell r="E318">
            <v>1194.46</v>
          </cell>
          <cell r="F318">
            <v>1227.2090000000001</v>
          </cell>
          <cell r="G318">
            <v>1191.136</v>
          </cell>
          <cell r="H318">
            <v>1191.6199999999999</v>
          </cell>
        </row>
        <row r="320">
          <cell r="B320" t="str">
            <v>NET BLOCK</v>
          </cell>
          <cell r="C320">
            <v>577.13</v>
          </cell>
          <cell r="D320">
            <v>870.42000000000007</v>
          </cell>
          <cell r="E320">
            <v>994.93000000000006</v>
          </cell>
          <cell r="F320">
            <v>767.28899999999999</v>
          </cell>
          <cell r="G320">
            <v>588.58600000000001</v>
          </cell>
          <cell r="H320">
            <v>514.06999999999994</v>
          </cell>
        </row>
        <row r="321">
          <cell r="B321">
            <v>0</v>
          </cell>
        </row>
        <row r="322">
          <cell r="B322" t="str">
            <v>DEBT-EQUITY RATIO</v>
          </cell>
          <cell r="C322">
            <v>0.64284182924616984</v>
          </cell>
          <cell r="D322">
            <v>0.59602956352881553</v>
          </cell>
          <cell r="E322">
            <v>1.0175398964064994</v>
          </cell>
          <cell r="F322">
            <v>1.2875059157595834</v>
          </cell>
          <cell r="G322">
            <v>0.7299960405000282</v>
          </cell>
          <cell r="H322">
            <v>0.39062421108593198</v>
          </cell>
        </row>
        <row r="324">
          <cell r="B324" t="str">
            <v>NUMBER OF SHARES</v>
          </cell>
          <cell r="C324">
            <v>2290460</v>
          </cell>
          <cell r="D324">
            <v>2290460.0000000005</v>
          </cell>
          <cell r="E324">
            <v>2290500</v>
          </cell>
          <cell r="F324">
            <v>2168260.0000000005</v>
          </cell>
          <cell r="G324">
            <v>2132540</v>
          </cell>
          <cell r="H324">
            <v>2132540</v>
          </cell>
        </row>
        <row r="326">
          <cell r="B326" t="str">
            <v>BOOK VALUE PER SHARE AT YEAR END</v>
          </cell>
          <cell r="C326">
            <v>15.884232861521268</v>
          </cell>
          <cell r="D326">
            <v>21.449010242484039</v>
          </cell>
          <cell r="E326">
            <v>21.645230299061339</v>
          </cell>
          <cell r="F326">
            <v>19.490282530692813</v>
          </cell>
          <cell r="G326">
            <v>20.725285340485993</v>
          </cell>
          <cell r="H326">
            <v>31.577086479034392</v>
          </cell>
        </row>
        <row r="328">
          <cell r="B328" t="str">
            <v>EARNINGS PER SHARE</v>
          </cell>
          <cell r="C328">
            <v>2.9292805811932943</v>
          </cell>
          <cell r="D328">
            <v>2.8366790950289436</v>
          </cell>
          <cell r="E328">
            <v>2.6202139270901847</v>
          </cell>
          <cell r="F328">
            <v>0.2196231079298254</v>
          </cell>
          <cell r="G328">
            <v>4.5859491498400748</v>
          </cell>
          <cell r="H328">
            <v>6.6317630618886696</v>
          </cell>
        </row>
        <row r="330">
          <cell r="B330" t="str">
            <v>NET SALES PER SHARE</v>
          </cell>
          <cell r="C330">
            <v>64.852300411271102</v>
          </cell>
          <cell r="D330">
            <v>0</v>
          </cell>
          <cell r="E330">
            <v>82.131848941279202</v>
          </cell>
          <cell r="F330">
            <v>0</v>
          </cell>
          <cell r="G330">
            <v>106.89365732881916</v>
          </cell>
          <cell r="H330">
            <v>0</v>
          </cell>
        </row>
        <row r="332">
          <cell r="B332" t="str">
            <v>DIVIDEND PER SHARE</v>
          </cell>
          <cell r="C332">
            <v>1.1198623857216454</v>
          </cell>
          <cell r="D332">
            <v>4.1040696814445745E-3</v>
          </cell>
          <cell r="E332">
            <v>1.0999781707050862</v>
          </cell>
          <cell r="F332">
            <v>0</v>
          </cell>
          <cell r="G332">
            <v>0</v>
          </cell>
          <cell r="H332">
            <v>0</v>
          </cell>
        </row>
        <row r="334">
          <cell r="B334" t="str">
            <v>PAY-OUT RATIO</v>
          </cell>
          <cell r="C334">
            <v>0.38229946045846169</v>
          </cell>
          <cell r="D334">
            <v>0.38777646099148905</v>
          </cell>
          <cell r="E334">
            <v>0</v>
          </cell>
          <cell r="F334">
            <v>0</v>
          </cell>
          <cell r="G334">
            <v>0</v>
          </cell>
          <cell r="H334">
            <v>0</v>
          </cell>
        </row>
        <row r="336">
          <cell r="B336" t="str">
            <v>CURRENT RATIO</v>
          </cell>
          <cell r="C336">
            <v>1.4292223623371167</v>
          </cell>
          <cell r="D336">
            <v>1.4702810460071143</v>
          </cell>
          <cell r="E336">
            <v>1.4450908562291032</v>
          </cell>
          <cell r="F336">
            <v>2.0219241443108231</v>
          </cell>
          <cell r="G336">
            <v>2.6972576979764908</v>
          </cell>
          <cell r="H336">
            <v>2.6415403393603634</v>
          </cell>
        </row>
        <row r="338">
          <cell r="B338" t="str">
            <v>LIQUID RATIO</v>
          </cell>
          <cell r="C338">
            <v>1.0955807762365142</v>
          </cell>
          <cell r="D338">
            <v>1.1738459133018022</v>
          </cell>
          <cell r="E338">
            <v>1.1130949265881669</v>
          </cell>
          <cell r="F338">
            <v>1.0995211405561298</v>
          </cell>
          <cell r="G338">
            <v>1.6471455227944329</v>
          </cell>
          <cell r="H338">
            <v>1.8994061509856379</v>
          </cell>
        </row>
        <row r="339">
          <cell r="B339" t="str">
            <v>EVA (ECONOMIC VALUE ADDITION)</v>
          </cell>
          <cell r="C339" t="e">
            <v>#REF!</v>
          </cell>
          <cell r="D339" t="e">
            <v>#REF!</v>
          </cell>
          <cell r="E339" t="e">
            <v>#REF!</v>
          </cell>
          <cell r="F339" t="e">
            <v>#REF!</v>
          </cell>
          <cell r="G339" t="e">
            <v>#REF!</v>
          </cell>
          <cell r="H339" t="e">
            <v>#REF!</v>
          </cell>
        </row>
        <row r="341">
          <cell r="B341" t="str">
            <v>EVA (% OF CAPITAL EMPLOYED)</v>
          </cell>
          <cell r="C341" t="e">
            <v>#REF!</v>
          </cell>
          <cell r="D341" t="e">
            <v>#REF!</v>
          </cell>
          <cell r="E341" t="e">
            <v>#REF!</v>
          </cell>
          <cell r="F341" t="e">
            <v>#REF!</v>
          </cell>
          <cell r="G341" t="e">
            <v>#REF!</v>
          </cell>
          <cell r="H341" t="e">
            <v>#REF!</v>
          </cell>
        </row>
        <row r="343">
          <cell r="B343" t="str">
            <v>SOLVENCY RATIO</v>
          </cell>
          <cell r="C343">
            <v>2.6400735302966414</v>
          </cell>
          <cell r="D343">
            <v>2.2234587162502883</v>
          </cell>
          <cell r="E343">
            <v>2.2371533127645913</v>
          </cell>
          <cell r="F343">
            <v>3.9468833547162023</v>
          </cell>
          <cell r="G343">
            <v>4.2496658045333788</v>
          </cell>
          <cell r="H343">
            <v>3.3046907048016805</v>
          </cell>
        </row>
        <row r="345">
          <cell r="B345" t="str">
            <v>RETURN ON NET WORTH</v>
          </cell>
          <cell r="C345">
            <v>0.18441435647102133</v>
          </cell>
          <cell r="D345">
            <v>0.13225221410964388</v>
          </cell>
          <cell r="E345">
            <v>0.12105271650557639</v>
          </cell>
          <cell r="F345">
            <v>7.6156257930725622E-6</v>
          </cell>
          <cell r="G345">
            <v>1.0774365065895656E-2</v>
          </cell>
          <cell r="H345">
            <v>9.815284133244187E-5</v>
          </cell>
        </row>
        <row r="347">
          <cell r="B347" t="str">
            <v>FIXED ASSETS  PER SHARE</v>
          </cell>
          <cell r="C347">
            <v>25.197121975498373</v>
          </cell>
          <cell r="D347">
            <v>38.001973402722591</v>
          </cell>
          <cell r="E347">
            <v>43.437240777122902</v>
          </cell>
          <cell r="F347">
            <v>35.387315174379452</v>
          </cell>
          <cell r="G347">
            <v>27.600232586493103</v>
          </cell>
          <cell r="H347">
            <v>24.105995667138714</v>
          </cell>
        </row>
        <row r="350">
          <cell r="B350" t="str">
            <v>=</v>
          </cell>
          <cell r="C350" t="str">
            <v>=</v>
          </cell>
          <cell r="D350" t="str">
            <v>=</v>
          </cell>
          <cell r="E350" t="str">
            <v>=</v>
          </cell>
          <cell r="F350" t="str">
            <v>=</v>
          </cell>
          <cell r="G350" t="str">
            <v>=</v>
          </cell>
          <cell r="H350" t="str">
            <v>=</v>
          </cell>
        </row>
      </sheetData>
      <sheetData sheetId="3">
        <row r="2">
          <cell r="B2" t="str">
            <v>COMBINED</v>
          </cell>
        </row>
        <row r="3">
          <cell r="B3">
            <v>0</v>
          </cell>
          <cell r="C3">
            <v>0</v>
          </cell>
          <cell r="D3">
            <v>0</v>
          </cell>
          <cell r="E3">
            <v>0</v>
          </cell>
          <cell r="F3">
            <v>0</v>
          </cell>
          <cell r="G3">
            <v>0</v>
          </cell>
          <cell r="H3">
            <v>0</v>
          </cell>
        </row>
        <row r="4">
          <cell r="B4" t="str">
            <v>BALANCE    SHEET     FOR    LAST    SIX  YEARS</v>
          </cell>
        </row>
        <row r="6">
          <cell r="B6" t="str">
            <v>-</v>
          </cell>
          <cell r="C6" t="str">
            <v>-</v>
          </cell>
          <cell r="D6" t="str">
            <v>-</v>
          </cell>
          <cell r="E6" t="str">
            <v>-</v>
          </cell>
          <cell r="F6" t="str">
            <v>-</v>
          </cell>
          <cell r="G6" t="str">
            <v>-</v>
          </cell>
          <cell r="H6" t="str">
            <v>-</v>
          </cell>
        </row>
        <row r="7">
          <cell r="B7" t="str">
            <v>PARTICULARS</v>
          </cell>
          <cell r="C7" t="str">
            <v>1997-98</v>
          </cell>
          <cell r="D7" t="str">
            <v>1998-99</v>
          </cell>
          <cell r="E7" t="str">
            <v>1999-00</v>
          </cell>
          <cell r="F7" t="str">
            <v>2000-01</v>
          </cell>
          <cell r="G7" t="str">
            <v>2001-02</v>
          </cell>
          <cell r="H7" t="str">
            <v>2002-03</v>
          </cell>
        </row>
        <row r="8">
          <cell r="B8" t="str">
            <v>-</v>
          </cell>
          <cell r="C8" t="str">
            <v>-</v>
          </cell>
          <cell r="D8" t="str">
            <v>-</v>
          </cell>
          <cell r="E8" t="str">
            <v>-</v>
          </cell>
          <cell r="F8" t="str">
            <v>-</v>
          </cell>
          <cell r="G8" t="str">
            <v>-</v>
          </cell>
          <cell r="H8" t="str">
            <v>-</v>
          </cell>
        </row>
        <row r="9">
          <cell r="B9" t="str">
            <v>SOURCES OF  FUNDS</v>
          </cell>
        </row>
        <row r="11">
          <cell r="B11" t="str">
            <v>Shareholders' Funds</v>
          </cell>
        </row>
        <row r="13">
          <cell r="B13" t="str">
            <v>a. Share  Capital</v>
          </cell>
          <cell r="C13">
            <v>298.60599999999999</v>
          </cell>
          <cell r="D13">
            <v>303.25600000000003</v>
          </cell>
          <cell r="E13">
            <v>283.26</v>
          </cell>
          <cell r="F13">
            <v>268.536</v>
          </cell>
          <cell r="G13">
            <v>252.73999999999998</v>
          </cell>
          <cell r="H13">
            <v>279.74</v>
          </cell>
        </row>
        <row r="14">
          <cell r="B14" t="str">
            <v xml:space="preserve">    Growth  %</v>
          </cell>
          <cell r="D14">
            <v>1.5572359564108003E-2</v>
          </cell>
          <cell r="E14">
            <v>-6.5937689608779493E-2</v>
          </cell>
          <cell r="F14">
            <v>-5.1980512603261989E-2</v>
          </cell>
          <cell r="G14">
            <v>-5.8822653201060643E-2</v>
          </cell>
          <cell r="H14">
            <v>0.10682915248872371</v>
          </cell>
        </row>
        <row r="16">
          <cell r="B16" t="str">
            <v>b. Share Application  Money</v>
          </cell>
          <cell r="C16">
            <v>0</v>
          </cell>
          <cell r="D16">
            <v>69.95</v>
          </cell>
          <cell r="E16">
            <v>119.49</v>
          </cell>
          <cell r="F16">
            <v>25.75</v>
          </cell>
          <cell r="G16">
            <v>91.35</v>
          </cell>
          <cell r="H16">
            <v>3.2</v>
          </cell>
        </row>
        <row r="17">
          <cell r="C17">
            <v>0</v>
          </cell>
          <cell r="D17">
            <v>0</v>
          </cell>
          <cell r="E17">
            <v>0</v>
          </cell>
          <cell r="F17">
            <v>0</v>
          </cell>
          <cell r="G17">
            <v>0</v>
          </cell>
          <cell r="H17">
            <v>0</v>
          </cell>
        </row>
        <row r="18">
          <cell r="B18" t="str">
            <v>c. Reserves and Surplus</v>
          </cell>
          <cell r="C18">
            <v>240.446</v>
          </cell>
          <cell r="D18">
            <v>445.875</v>
          </cell>
          <cell r="E18">
            <v>532.72</v>
          </cell>
          <cell r="F18">
            <v>447.12</v>
          </cell>
          <cell r="G18">
            <v>591.08699999999999</v>
          </cell>
          <cell r="H18">
            <v>1314.356</v>
          </cell>
        </row>
        <row r="19">
          <cell r="B19" t="str">
            <v xml:space="preserve">    Growth  %</v>
          </cell>
          <cell r="D19">
            <v>0.85436646897848167</v>
          </cell>
          <cell r="E19">
            <v>0.19477432015699472</v>
          </cell>
          <cell r="F19">
            <v>-0.1606847875056315</v>
          </cell>
          <cell r="G19">
            <v>0.32198738593666126</v>
          </cell>
          <cell r="H19">
            <v>1.2236252869712918</v>
          </cell>
        </row>
        <row r="21">
          <cell r="C21" t="str">
            <v>-</v>
          </cell>
          <cell r="D21" t="str">
            <v>-</v>
          </cell>
          <cell r="E21" t="str">
            <v>-</v>
          </cell>
          <cell r="F21" t="str">
            <v>-</v>
          </cell>
          <cell r="G21" t="str">
            <v>-</v>
          </cell>
          <cell r="H21" t="str">
            <v>-</v>
          </cell>
        </row>
        <row r="22">
          <cell r="C22">
            <v>539.05200000000002</v>
          </cell>
          <cell r="D22">
            <v>819.08100000000002</v>
          </cell>
          <cell r="E22">
            <v>935.47</v>
          </cell>
          <cell r="F22">
            <v>741.40599999999995</v>
          </cell>
          <cell r="G22">
            <v>935.17699999999991</v>
          </cell>
          <cell r="H22">
            <v>1597.296</v>
          </cell>
        </row>
        <row r="23">
          <cell r="C23" t="str">
            <v>-</v>
          </cell>
          <cell r="D23" t="str">
            <v>-</v>
          </cell>
          <cell r="E23" t="str">
            <v>-</v>
          </cell>
          <cell r="F23" t="str">
            <v>-</v>
          </cell>
          <cell r="G23" t="str">
            <v>-</v>
          </cell>
          <cell r="H23" t="str">
            <v>-</v>
          </cell>
        </row>
        <row r="24">
          <cell r="B24" t="str">
            <v>Loan  Funds</v>
          </cell>
          <cell r="C24">
            <v>0</v>
          </cell>
          <cell r="D24">
            <v>0</v>
          </cell>
          <cell r="E24">
            <v>0</v>
          </cell>
          <cell r="F24">
            <v>0</v>
          </cell>
          <cell r="G24">
            <v>0</v>
          </cell>
          <cell r="H24">
            <v>0</v>
          </cell>
        </row>
        <row r="26">
          <cell r="B26" t="str">
            <v>a. Secured  Loans</v>
          </cell>
          <cell r="C26">
            <v>697.56999999999994</v>
          </cell>
          <cell r="D26">
            <v>822.31799999999998</v>
          </cell>
          <cell r="E26">
            <v>1200.72</v>
          </cell>
          <cell r="F26">
            <v>840.28</v>
          </cell>
          <cell r="G26">
            <v>778.40700000000004</v>
          </cell>
          <cell r="H26">
            <v>1217.059</v>
          </cell>
        </row>
        <row r="27">
          <cell r="B27" t="str">
            <v xml:space="preserve">    Growth  %</v>
          </cell>
          <cell r="D27">
            <v>0.17883223189070641</v>
          </cell>
          <cell r="E27">
            <v>0.46016504563927829</v>
          </cell>
          <cell r="F27">
            <v>-0.30018655473382638</v>
          </cell>
          <cell r="G27">
            <v>-7.3633788737087563E-2</v>
          </cell>
          <cell r="H27">
            <v>0.56352525092914107</v>
          </cell>
        </row>
        <row r="29">
          <cell r="B29" t="str">
            <v>b.  Unsecured  Loans</v>
          </cell>
          <cell r="C29">
            <v>89.367000000000004</v>
          </cell>
          <cell r="D29">
            <v>310.14</v>
          </cell>
          <cell r="E29">
            <v>116.75</v>
          </cell>
          <cell r="F29">
            <v>13.775</v>
          </cell>
          <cell r="G29">
            <v>17.29</v>
          </cell>
          <cell r="H29">
            <v>98.785000000000011</v>
          </cell>
        </row>
        <row r="30">
          <cell r="C30" t="str">
            <v>-</v>
          </cell>
          <cell r="D30" t="str">
            <v>-</v>
          </cell>
          <cell r="E30" t="str">
            <v>-</v>
          </cell>
          <cell r="F30" t="str">
            <v>-</v>
          </cell>
          <cell r="G30" t="str">
            <v>-</v>
          </cell>
          <cell r="H30" t="str">
            <v>-</v>
          </cell>
        </row>
        <row r="31">
          <cell r="C31">
            <v>786.9369999999999</v>
          </cell>
          <cell r="D31">
            <v>1132.4580000000001</v>
          </cell>
          <cell r="E31">
            <v>1317.47</v>
          </cell>
          <cell r="F31">
            <v>854.05499999999995</v>
          </cell>
          <cell r="G31">
            <v>795.697</v>
          </cell>
          <cell r="H31">
            <v>1315.8440000000001</v>
          </cell>
        </row>
        <row r="32">
          <cell r="C32" t="str">
            <v>-</v>
          </cell>
          <cell r="D32" t="str">
            <v>-</v>
          </cell>
          <cell r="E32" t="str">
            <v>-</v>
          </cell>
          <cell r="F32" t="str">
            <v>-</v>
          </cell>
          <cell r="G32" t="str">
            <v>-</v>
          </cell>
          <cell r="H32" t="str">
            <v>-</v>
          </cell>
        </row>
        <row r="34">
          <cell r="C34" t="str">
            <v>-</v>
          </cell>
          <cell r="D34" t="str">
            <v>-</v>
          </cell>
          <cell r="E34" t="str">
            <v>-</v>
          </cell>
          <cell r="F34" t="str">
            <v>-</v>
          </cell>
          <cell r="G34" t="str">
            <v>-</v>
          </cell>
          <cell r="H34" t="str">
            <v>-</v>
          </cell>
        </row>
        <row r="35">
          <cell r="B35" t="str">
            <v>TOTAL</v>
          </cell>
          <cell r="C35">
            <v>1325.989</v>
          </cell>
          <cell r="D35">
            <v>1951.5390000000002</v>
          </cell>
          <cell r="E35">
            <v>2252.94</v>
          </cell>
          <cell r="F35">
            <v>1595.4609999999998</v>
          </cell>
          <cell r="G35">
            <v>1730.8739999999998</v>
          </cell>
          <cell r="H35">
            <v>2913.1400000000003</v>
          </cell>
        </row>
        <row r="36">
          <cell r="C36" t="str">
            <v>=</v>
          </cell>
          <cell r="D36" t="str">
            <v>=</v>
          </cell>
          <cell r="E36" t="str">
            <v>=</v>
          </cell>
          <cell r="F36" t="str">
            <v>=</v>
          </cell>
          <cell r="G36" t="str">
            <v>=</v>
          </cell>
          <cell r="H36" t="str">
            <v>=</v>
          </cell>
        </row>
        <row r="38">
          <cell r="B38" t="str">
            <v>APPLICATION  OF  FUNDS</v>
          </cell>
        </row>
        <row r="40">
          <cell r="B40" t="str">
            <v>Fixed  Assets</v>
          </cell>
        </row>
        <row r="42">
          <cell r="B42" t="str">
            <v>Gross  Block</v>
          </cell>
          <cell r="C42">
            <v>1006.83</v>
          </cell>
          <cell r="D42">
            <v>1474.41</v>
          </cell>
          <cell r="E42">
            <v>1648.41</v>
          </cell>
          <cell r="F42">
            <v>1687.9490000000001</v>
          </cell>
          <cell r="G42">
            <v>2004.2759999999998</v>
          </cell>
          <cell r="H42">
            <v>2627.8779999999997</v>
          </cell>
        </row>
        <row r="43">
          <cell r="B43" t="str">
            <v>Growth  %</v>
          </cell>
          <cell r="D43">
            <v>0.46440809272667682</v>
          </cell>
          <cell r="E43">
            <v>0.11801330701772234</v>
          </cell>
          <cell r="F43">
            <v>2.3986144223827801E-2</v>
          </cell>
          <cell r="G43">
            <v>0.18740317391105996</v>
          </cell>
          <cell r="H43">
            <v>0.31113579167739369</v>
          </cell>
        </row>
        <row r="44">
          <cell r="B44">
            <v>0</v>
          </cell>
        </row>
        <row r="45">
          <cell r="B45" t="str">
            <v>Less: Depreciation</v>
          </cell>
          <cell r="C45">
            <v>130.94999999999999</v>
          </cell>
          <cell r="D45">
            <v>185.14</v>
          </cell>
          <cell r="E45">
            <v>256.93</v>
          </cell>
          <cell r="F45">
            <v>650.89</v>
          </cell>
          <cell r="G45">
            <v>867.72</v>
          </cell>
          <cell r="H45">
            <v>1002.7239999999999</v>
          </cell>
        </row>
        <row r="46">
          <cell r="C46" t="str">
            <v>-</v>
          </cell>
          <cell r="D46" t="str">
            <v>-</v>
          </cell>
          <cell r="E46" t="str">
            <v>-</v>
          </cell>
          <cell r="F46" t="str">
            <v>-</v>
          </cell>
          <cell r="G46" t="str">
            <v>-</v>
          </cell>
          <cell r="H46" t="str">
            <v>-</v>
          </cell>
        </row>
        <row r="47">
          <cell r="B47" t="str">
            <v>Net  Block</v>
          </cell>
          <cell r="C47">
            <v>875.88000000000011</v>
          </cell>
          <cell r="D47">
            <v>1289.27</v>
          </cell>
          <cell r="E47">
            <v>1391.48</v>
          </cell>
          <cell r="F47">
            <v>1037.0590000000002</v>
          </cell>
          <cell r="G47">
            <v>1136.5559999999998</v>
          </cell>
          <cell r="H47">
            <v>1625.1539999999998</v>
          </cell>
        </row>
        <row r="49">
          <cell r="B49" t="str">
            <v>Investments</v>
          </cell>
          <cell r="C49">
            <v>65.63</v>
          </cell>
          <cell r="D49">
            <v>112.81899999999999</v>
          </cell>
          <cell r="E49">
            <v>56.809999999999995</v>
          </cell>
          <cell r="F49">
            <v>50.19</v>
          </cell>
          <cell r="G49">
            <v>50.19</v>
          </cell>
          <cell r="H49">
            <v>422.78999999999996</v>
          </cell>
        </row>
        <row r="50">
          <cell r="B50" t="str">
            <v>Growth  %</v>
          </cell>
          <cell r="D50">
            <v>0.71901569404235866</v>
          </cell>
          <cell r="E50">
            <v>-0.49645006603497638</v>
          </cell>
          <cell r="F50">
            <v>-0.11652878014434075</v>
          </cell>
          <cell r="G50">
            <v>0</v>
          </cell>
          <cell r="H50">
            <v>7.4237895995218164</v>
          </cell>
        </row>
        <row r="52">
          <cell r="B52" t="str">
            <v>Current Assets, Loans &amp; Advances</v>
          </cell>
        </row>
        <row r="54">
          <cell r="B54" t="str">
            <v>a. Inventories</v>
          </cell>
          <cell r="C54">
            <v>104.86</v>
          </cell>
          <cell r="D54">
            <v>129.08699999999999</v>
          </cell>
          <cell r="E54">
            <v>155.76</v>
          </cell>
          <cell r="F54">
            <v>228.06</v>
          </cell>
          <cell r="G54">
            <v>275.24300000000005</v>
          </cell>
          <cell r="H54">
            <v>405.64699999999999</v>
          </cell>
        </row>
        <row r="56">
          <cell r="B56" t="str">
            <v>b. Sundry  Debtors</v>
          </cell>
          <cell r="C56">
            <v>104.93</v>
          </cell>
          <cell r="D56">
            <v>79.63</v>
          </cell>
          <cell r="E56">
            <v>189.62</v>
          </cell>
          <cell r="F56">
            <v>198.18</v>
          </cell>
          <cell r="G56">
            <v>214.24799999999999</v>
          </cell>
          <cell r="H56">
            <v>146.32</v>
          </cell>
        </row>
        <row r="58">
          <cell r="B58" t="str">
            <v>c.  Cash &amp; Bank Balances</v>
          </cell>
          <cell r="C58">
            <v>25.63</v>
          </cell>
          <cell r="D58">
            <v>37.878</v>
          </cell>
          <cell r="E58">
            <v>29.16</v>
          </cell>
          <cell r="F58">
            <v>38.74</v>
          </cell>
          <cell r="G58">
            <v>3.2490000000000001</v>
          </cell>
          <cell r="H58">
            <v>4.3639999999999999</v>
          </cell>
        </row>
        <row r="60">
          <cell r="B60" t="str">
            <v>d.  Loans &amp;  Advances</v>
          </cell>
          <cell r="C60">
            <v>126.03399999999999</v>
          </cell>
          <cell r="D60">
            <v>335.98800000000006</v>
          </cell>
          <cell r="E60">
            <v>485.39</v>
          </cell>
          <cell r="F60">
            <v>73.804999999999993</v>
          </cell>
          <cell r="G60">
            <v>145.55700000000002</v>
          </cell>
          <cell r="H60">
            <v>136.51299999999998</v>
          </cell>
        </row>
        <row r="62">
          <cell r="B62" t="str">
            <v>e.  Deposits</v>
          </cell>
          <cell r="C62">
            <v>58.286000000000001</v>
          </cell>
          <cell r="D62">
            <v>34.449999999999996</v>
          </cell>
          <cell r="E62">
            <v>8.4699999999999989</v>
          </cell>
          <cell r="F62">
            <v>8.4849999999999994</v>
          </cell>
          <cell r="G62">
            <v>8.69</v>
          </cell>
          <cell r="H62">
            <v>114.32000000000001</v>
          </cell>
        </row>
        <row r="64">
          <cell r="B64" t="str">
            <v>f. Trade  Investments</v>
          </cell>
          <cell r="C64">
            <v>29.998999999999999</v>
          </cell>
          <cell r="D64">
            <v>58.198999999999998</v>
          </cell>
          <cell r="E64">
            <v>58.198999999999998</v>
          </cell>
          <cell r="F64">
            <v>58.198999999999998</v>
          </cell>
          <cell r="G64">
            <v>58.198999999999998</v>
          </cell>
          <cell r="H64">
            <v>178.19900000000001</v>
          </cell>
        </row>
        <row r="65">
          <cell r="C65" t="str">
            <v>-</v>
          </cell>
          <cell r="D65" t="str">
            <v>-</v>
          </cell>
          <cell r="E65" t="str">
            <v>-</v>
          </cell>
          <cell r="F65" t="str">
            <v>-</v>
          </cell>
          <cell r="G65" t="str">
            <v>-</v>
          </cell>
          <cell r="H65" t="str">
            <v>-</v>
          </cell>
        </row>
        <row r="66">
          <cell r="C66">
            <v>449.73900000000003</v>
          </cell>
          <cell r="D66">
            <v>675.23200000000008</v>
          </cell>
          <cell r="E66">
            <v>926.59900000000005</v>
          </cell>
          <cell r="F66">
            <v>605.46899999999994</v>
          </cell>
          <cell r="G66">
            <v>705.18600000000004</v>
          </cell>
          <cell r="H66">
            <v>985.36300000000006</v>
          </cell>
        </row>
        <row r="68">
          <cell r="B68" t="str">
            <v>Less: Current  Liabilities</v>
          </cell>
          <cell r="C68">
            <v>71.275000000000006</v>
          </cell>
          <cell r="D68">
            <v>131.01</v>
          </cell>
          <cell r="E68">
            <v>126.38999999999999</v>
          </cell>
          <cell r="F68">
            <v>100.91</v>
          </cell>
          <cell r="G68">
            <v>163.93899999999999</v>
          </cell>
          <cell r="H68">
            <v>123.041</v>
          </cell>
        </row>
        <row r="69">
          <cell r="C69" t="str">
            <v>-</v>
          </cell>
          <cell r="D69" t="str">
            <v>-</v>
          </cell>
          <cell r="E69" t="str">
            <v>-</v>
          </cell>
          <cell r="F69" t="str">
            <v>-</v>
          </cell>
          <cell r="G69" t="str">
            <v>-</v>
          </cell>
          <cell r="H69" t="str">
            <v>-</v>
          </cell>
        </row>
        <row r="70">
          <cell r="B70" t="str">
            <v>Net  Current  Assets</v>
          </cell>
          <cell r="C70">
            <v>378.46400000000006</v>
          </cell>
          <cell r="D70">
            <v>544.22200000000009</v>
          </cell>
          <cell r="E70">
            <v>800.20900000000006</v>
          </cell>
          <cell r="F70">
            <v>504.55899999999997</v>
          </cell>
          <cell r="G70">
            <v>541.24700000000007</v>
          </cell>
          <cell r="H70">
            <v>862.32200000000012</v>
          </cell>
        </row>
        <row r="72">
          <cell r="B72" t="str">
            <v>Miscellaneous Expenditure</v>
          </cell>
          <cell r="C72">
            <v>6.0209999999999999</v>
          </cell>
          <cell r="D72">
            <v>5.23</v>
          </cell>
          <cell r="E72">
            <v>4.4405000000000001</v>
          </cell>
          <cell r="F72">
            <v>3.6559999999999997</v>
          </cell>
          <cell r="G72">
            <v>2.8719999999999999</v>
          </cell>
          <cell r="H72">
            <v>2.8719999999999999</v>
          </cell>
        </row>
        <row r="74">
          <cell r="B74" t="str">
            <v>(to the extent not written off or adjusted)</v>
          </cell>
        </row>
        <row r="76">
          <cell r="B76" t="str">
            <v>Preliminary  Expenses</v>
          </cell>
          <cell r="C76">
            <v>4</v>
          </cell>
          <cell r="D76">
            <v>3.44</v>
          </cell>
          <cell r="E76">
            <v>2.8759999999999999</v>
          </cell>
          <cell r="F76">
            <v>2.3159999999999998</v>
          </cell>
          <cell r="G76">
            <v>1.7549999999999999</v>
          </cell>
          <cell r="H76">
            <v>1.7549999999999999</v>
          </cell>
        </row>
        <row r="78">
          <cell r="B78" t="str">
            <v>Deferred  Revenue  Expenditure</v>
          </cell>
          <cell r="C78">
            <v>2.0209999999999999</v>
          </cell>
          <cell r="D78">
            <v>1.79</v>
          </cell>
          <cell r="E78">
            <v>1.5645</v>
          </cell>
          <cell r="F78">
            <v>1.34</v>
          </cell>
          <cell r="G78">
            <v>1.117</v>
          </cell>
          <cell r="H78">
            <v>1.117</v>
          </cell>
        </row>
        <row r="80">
          <cell r="C80" t="str">
            <v>-</v>
          </cell>
          <cell r="D80" t="str">
            <v>-</v>
          </cell>
          <cell r="E80" t="str">
            <v>-</v>
          </cell>
          <cell r="F80" t="str">
            <v>-</v>
          </cell>
          <cell r="G80" t="str">
            <v>-</v>
          </cell>
          <cell r="H80" t="str">
            <v>-</v>
          </cell>
        </row>
        <row r="81">
          <cell r="B81" t="str">
            <v>TOTAL….</v>
          </cell>
          <cell r="C81">
            <v>1325.9950000000001</v>
          </cell>
          <cell r="D81">
            <v>1951.5410000000002</v>
          </cell>
          <cell r="E81">
            <v>2252.9395</v>
          </cell>
          <cell r="F81">
            <v>1595.4640000000002</v>
          </cell>
          <cell r="G81">
            <v>1730.865</v>
          </cell>
          <cell r="H81">
            <v>2913.1379999999995</v>
          </cell>
        </row>
        <row r="82">
          <cell r="C82" t="str">
            <v>=</v>
          </cell>
          <cell r="D82" t="str">
            <v>=</v>
          </cell>
          <cell r="E82" t="str">
            <v>=</v>
          </cell>
          <cell r="F82" t="str">
            <v>=</v>
          </cell>
          <cell r="G82" t="str">
            <v>=</v>
          </cell>
          <cell r="H82" t="str">
            <v>=</v>
          </cell>
        </row>
        <row r="87">
          <cell r="B87" t="str">
            <v>PROFIT  AND  LOSS  ACCOUNT  FOR  LAST SIX YEARS</v>
          </cell>
        </row>
        <row r="89">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row>
        <row r="90">
          <cell r="B90" t="str">
            <v>PARTICULARS</v>
          </cell>
          <cell r="C90" t="str">
            <v>%</v>
          </cell>
          <cell r="D90" t="str">
            <v>1997-98</v>
          </cell>
          <cell r="E90" t="str">
            <v>%</v>
          </cell>
          <cell r="F90" t="str">
            <v>1998-99</v>
          </cell>
          <cell r="G90" t="str">
            <v>%</v>
          </cell>
          <cell r="H90" t="str">
            <v>1999-00</v>
          </cell>
          <cell r="I90" t="str">
            <v>%</v>
          </cell>
          <cell r="J90" t="str">
            <v>2000-01</v>
          </cell>
          <cell r="K90" t="str">
            <v>%</v>
          </cell>
          <cell r="L90" t="str">
            <v>2001-02</v>
          </cell>
          <cell r="M90" t="str">
            <v>%</v>
          </cell>
          <cell r="N90" t="str">
            <v>2002-03</v>
          </cell>
        </row>
        <row r="91">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row>
        <row r="92">
          <cell r="B92" t="str">
            <v>INCOME</v>
          </cell>
        </row>
        <row r="94">
          <cell r="B94" t="str">
            <v>Sales</v>
          </cell>
          <cell r="D94">
            <v>2849.6959999999999</v>
          </cell>
          <cell r="F94">
            <v>2975.21</v>
          </cell>
          <cell r="H94">
            <v>4497.33</v>
          </cell>
          <cell r="J94">
            <v>5949.45</v>
          </cell>
          <cell r="L94">
            <v>6130.15</v>
          </cell>
          <cell r="N94">
            <v>7121.7079999999996</v>
          </cell>
        </row>
        <row r="96">
          <cell r="B96" t="str">
            <v xml:space="preserve">Other  Income </v>
          </cell>
          <cell r="D96">
            <v>3.6259999999999999</v>
          </cell>
          <cell r="F96">
            <v>9.7799999999999994</v>
          </cell>
          <cell r="H96">
            <v>8.23</v>
          </cell>
          <cell r="J96">
            <v>12.531000000000001</v>
          </cell>
          <cell r="L96">
            <v>1.8640000000000001</v>
          </cell>
          <cell r="N96">
            <v>0.79999999999999993</v>
          </cell>
        </row>
        <row r="98">
          <cell r="B98" t="str">
            <v>Increase/(Decrease)  in Stocks</v>
          </cell>
          <cell r="D98">
            <v>5.8120000000000012</v>
          </cell>
          <cell r="F98">
            <v>22.29</v>
          </cell>
          <cell r="H98">
            <v>47.985999999999997</v>
          </cell>
          <cell r="J98">
            <v>37.588000000000001</v>
          </cell>
          <cell r="L98">
            <v>-35.724800000000002</v>
          </cell>
          <cell r="N98">
            <v>241.82300000000001</v>
          </cell>
        </row>
        <row r="99">
          <cell r="C99" t="str">
            <v>-</v>
          </cell>
          <cell r="D99" t="str">
            <v>-</v>
          </cell>
          <cell r="E99" t="str">
            <v>-</v>
          </cell>
          <cell r="F99" t="str">
            <v>-</v>
          </cell>
          <cell r="G99" t="str">
            <v>-</v>
          </cell>
          <cell r="H99" t="str">
            <v>-</v>
          </cell>
          <cell r="I99" t="str">
            <v>-</v>
          </cell>
          <cell r="J99" t="str">
            <v>-</v>
          </cell>
          <cell r="K99" t="str">
            <v>-</v>
          </cell>
          <cell r="L99" t="str">
            <v>-</v>
          </cell>
          <cell r="M99" t="str">
            <v>-</v>
          </cell>
          <cell r="N99" t="str">
            <v>-</v>
          </cell>
        </row>
        <row r="100">
          <cell r="B100" t="str">
            <v>TOTAL  INCOME</v>
          </cell>
          <cell r="C100">
            <v>1</v>
          </cell>
          <cell r="D100">
            <v>2859.134</v>
          </cell>
          <cell r="E100">
            <v>1</v>
          </cell>
          <cell r="F100">
            <v>3007.28</v>
          </cell>
          <cell r="G100">
            <v>1</v>
          </cell>
          <cell r="H100">
            <v>4553.5459999999994</v>
          </cell>
          <cell r="I100">
            <v>1</v>
          </cell>
          <cell r="J100">
            <v>5999.5689999999995</v>
          </cell>
          <cell r="K100">
            <v>1</v>
          </cell>
          <cell r="L100">
            <v>6096.2891999999993</v>
          </cell>
          <cell r="M100">
            <v>1</v>
          </cell>
          <cell r="N100">
            <v>7364.3310000000001</v>
          </cell>
        </row>
        <row r="101">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row>
        <row r="103">
          <cell r="B103" t="str">
            <v>EXPENDITURE</v>
          </cell>
        </row>
        <row r="105">
          <cell r="B105" t="str">
            <v>Raw  Material  Consumed   Including</v>
          </cell>
          <cell r="C105">
            <v>0.78691105418633744</v>
          </cell>
          <cell r="D105">
            <v>2249.8841499999999</v>
          </cell>
          <cell r="E105">
            <v>0.75046320262828869</v>
          </cell>
          <cell r="F105">
            <v>2256.8529800000001</v>
          </cell>
          <cell r="G105">
            <v>0.79818365730795304</v>
          </cell>
          <cell r="H105">
            <v>3634.5659999999998</v>
          </cell>
          <cell r="I105">
            <v>0.789284030236172</v>
          </cell>
          <cell r="J105">
            <v>4735.3639999999996</v>
          </cell>
          <cell r="K105">
            <v>0.7836353957748593</v>
          </cell>
          <cell r="L105">
            <v>4777.268</v>
          </cell>
          <cell r="M105">
            <v>0.80453431547278365</v>
          </cell>
          <cell r="N105">
            <v>5924.857</v>
          </cell>
        </row>
        <row r="106">
          <cell r="B106" t="str">
            <v>Excise  Duty</v>
          </cell>
        </row>
        <row r="107">
          <cell r="C107">
            <v>0</v>
          </cell>
          <cell r="E107">
            <v>0</v>
          </cell>
          <cell r="G107">
            <v>0</v>
          </cell>
          <cell r="I107">
            <v>0</v>
          </cell>
          <cell r="K107">
            <v>0</v>
          </cell>
          <cell r="M107">
            <v>0</v>
          </cell>
        </row>
        <row r="108">
          <cell r="B108" t="str">
            <v>Power &amp; Fuel</v>
          </cell>
          <cell r="C108">
            <v>4.2264196081750624E-2</v>
          </cell>
          <cell r="D108">
            <v>120.839</v>
          </cell>
          <cell r="E108">
            <v>6.9750738208613772E-2</v>
          </cell>
          <cell r="F108">
            <v>209.76000000000002</v>
          </cell>
          <cell r="G108">
            <v>5.7670659305956287E-2</v>
          </cell>
          <cell r="H108">
            <v>262.60599999999999</v>
          </cell>
          <cell r="I108">
            <v>4.6116312688461461E-2</v>
          </cell>
          <cell r="J108">
            <v>276.678</v>
          </cell>
          <cell r="K108">
            <v>5.2251458149327953E-2</v>
          </cell>
          <cell r="L108">
            <v>318.53999999999996</v>
          </cell>
          <cell r="M108">
            <v>4.4358000747114705E-2</v>
          </cell>
          <cell r="N108">
            <v>326.66699999999997</v>
          </cell>
        </row>
        <row r="109">
          <cell r="G109">
            <v>0</v>
          </cell>
          <cell r="I109">
            <v>0</v>
          </cell>
          <cell r="K109">
            <v>0</v>
          </cell>
          <cell r="M109">
            <v>0</v>
          </cell>
        </row>
        <row r="110">
          <cell r="B110" t="str">
            <v>Other  Manufacturing   Expenses</v>
          </cell>
          <cell r="C110">
            <v>2.9910455403629212E-2</v>
          </cell>
          <cell r="D110">
            <v>85.518000000000001</v>
          </cell>
          <cell r="E110">
            <v>4.0598148492990344E-2</v>
          </cell>
          <cell r="F110">
            <v>122.09</v>
          </cell>
          <cell r="G110">
            <v>4.6129104658215819E-2</v>
          </cell>
          <cell r="H110">
            <v>210.05099999999999</v>
          </cell>
          <cell r="I110">
            <v>5.4390240365599599E-2</v>
          </cell>
          <cell r="J110">
            <v>326.31799999999998</v>
          </cell>
          <cell r="K110">
            <v>4.5248181467506504E-2</v>
          </cell>
          <cell r="L110">
            <v>275.846</v>
          </cell>
          <cell r="M110">
            <v>4.9649995362783125E-2</v>
          </cell>
          <cell r="N110">
            <v>365.63900000000001</v>
          </cell>
        </row>
        <row r="111">
          <cell r="C111">
            <v>0</v>
          </cell>
          <cell r="E111">
            <v>0</v>
          </cell>
          <cell r="G111">
            <v>0</v>
          </cell>
          <cell r="I111">
            <v>0</v>
          </cell>
          <cell r="K111">
            <v>0</v>
          </cell>
          <cell r="M111">
            <v>0</v>
          </cell>
        </row>
        <row r="112">
          <cell r="B112" t="str">
            <v>Payment  To  Employees</v>
          </cell>
          <cell r="C112">
            <v>1.1400654883611612E-2</v>
          </cell>
          <cell r="D112">
            <v>32.596000000000004</v>
          </cell>
          <cell r="E112">
            <v>1.4870580724109492E-2</v>
          </cell>
          <cell r="F112">
            <v>44.72</v>
          </cell>
          <cell r="G112">
            <v>8.412125407319922E-3</v>
          </cell>
          <cell r="H112">
            <v>38.305</v>
          </cell>
          <cell r="I112">
            <v>7.6982196554452502E-3</v>
          </cell>
          <cell r="J112">
            <v>46.186</v>
          </cell>
          <cell r="K112">
            <v>9.1855878490803896E-3</v>
          </cell>
          <cell r="L112">
            <v>55.998000000000005</v>
          </cell>
          <cell r="M112">
            <v>1.261187200846893E-2</v>
          </cell>
          <cell r="N112">
            <v>92.878</v>
          </cell>
        </row>
        <row r="113">
          <cell r="C113">
            <v>0</v>
          </cell>
          <cell r="E113">
            <v>0</v>
          </cell>
          <cell r="G113">
            <v>0</v>
          </cell>
          <cell r="I113">
            <v>0</v>
          </cell>
          <cell r="K113">
            <v>0</v>
          </cell>
          <cell r="M113">
            <v>0</v>
          </cell>
        </row>
        <row r="114">
          <cell r="B114" t="str">
            <v xml:space="preserve"> Administration   Exp.</v>
          </cell>
          <cell r="C114">
            <v>1.4559807270313318E-2</v>
          </cell>
          <cell r="D114">
            <v>41.628439999999998</v>
          </cell>
          <cell r="E114">
            <v>1.7091857093453219E-2</v>
          </cell>
          <cell r="F114">
            <v>51.4</v>
          </cell>
          <cell r="G114">
            <v>5.1832132584144321E-3</v>
          </cell>
          <cell r="H114">
            <v>23.602</v>
          </cell>
          <cell r="I114">
            <v>6.4632976135452404E-3</v>
          </cell>
          <cell r="J114">
            <v>38.777000000000001</v>
          </cell>
          <cell r="K114">
            <v>1.1706137563158915E-2</v>
          </cell>
          <cell r="L114">
            <v>71.364000000000004</v>
          </cell>
          <cell r="M114">
            <v>6.1564315889657863E-3</v>
          </cell>
          <cell r="N114">
            <v>45.338000000000001</v>
          </cell>
        </row>
        <row r="115">
          <cell r="G115">
            <v>0</v>
          </cell>
          <cell r="I115">
            <v>0</v>
          </cell>
          <cell r="K115">
            <v>0</v>
          </cell>
          <cell r="M115">
            <v>0</v>
          </cell>
        </row>
        <row r="116">
          <cell r="B116" t="str">
            <v>Selling  &amp;  Distribution   Exp.</v>
          </cell>
          <cell r="C116">
            <v>3.0462230871305786E-3</v>
          </cell>
          <cell r="D116">
            <v>8.7095599999999997</v>
          </cell>
          <cell r="E116">
            <v>3.0642307999255137E-3</v>
          </cell>
          <cell r="F116">
            <v>9.2149999999999999</v>
          </cell>
          <cell r="G116">
            <v>5.7010514443029683E-4</v>
          </cell>
          <cell r="H116">
            <v>2.5960000000000001</v>
          </cell>
          <cell r="I116">
            <v>1.9223047522247019E-3</v>
          </cell>
          <cell r="J116">
            <v>11.533000000000001</v>
          </cell>
          <cell r="K116">
            <v>1.6583858915354608E-3</v>
          </cell>
          <cell r="L116">
            <v>10.11</v>
          </cell>
          <cell r="M116">
            <v>2.71579319289152E-5</v>
          </cell>
          <cell r="N116">
            <v>0.2</v>
          </cell>
        </row>
        <row r="117">
          <cell r="C117">
            <v>0</v>
          </cell>
          <cell r="E117">
            <v>0</v>
          </cell>
          <cell r="G117">
            <v>0</v>
          </cell>
          <cell r="I117">
            <v>0</v>
          </cell>
          <cell r="K117">
            <v>0</v>
          </cell>
          <cell r="M117">
            <v>0</v>
          </cell>
        </row>
        <row r="118">
          <cell r="B118" t="str">
            <v>Interest &amp; Finance Expenses</v>
          </cell>
          <cell r="C118">
            <v>3.8193383031365442E-2</v>
          </cell>
          <cell r="D118">
            <v>109.2</v>
          </cell>
          <cell r="E118">
            <v>3.9544039796759863E-2</v>
          </cell>
          <cell r="F118">
            <v>118.92</v>
          </cell>
          <cell r="G118">
            <v>3.7615519860785422E-2</v>
          </cell>
          <cell r="H118">
            <v>171.28399999999999</v>
          </cell>
          <cell r="I118">
            <v>2.7042442548789757E-2</v>
          </cell>
          <cell r="J118">
            <v>162.24299999999999</v>
          </cell>
          <cell r="K118">
            <v>1.7525415296898977E-2</v>
          </cell>
          <cell r="L118">
            <v>106.84</v>
          </cell>
          <cell r="M118">
            <v>1.4187032060346012E-2</v>
          </cell>
          <cell r="N118">
            <v>104.47800000000001</v>
          </cell>
        </row>
        <row r="119">
          <cell r="C119">
            <v>0</v>
          </cell>
          <cell r="E119">
            <v>0</v>
          </cell>
          <cell r="G119">
            <v>0</v>
          </cell>
          <cell r="I119">
            <v>0</v>
          </cell>
          <cell r="K119">
            <v>0</v>
          </cell>
          <cell r="M119">
            <v>0</v>
          </cell>
        </row>
        <row r="120">
          <cell r="B120" t="str">
            <v>Depreciation</v>
          </cell>
          <cell r="C120">
            <v>1.5129406316737865E-2</v>
          </cell>
          <cell r="D120">
            <v>43.256999999999998</v>
          </cell>
          <cell r="E120">
            <v>1.8021268388710061E-2</v>
          </cell>
          <cell r="F120">
            <v>54.194999999999993</v>
          </cell>
          <cell r="G120">
            <v>1.5765076272425932E-2</v>
          </cell>
          <cell r="H120">
            <v>71.787000000000006</v>
          </cell>
          <cell r="I120">
            <v>2.459893369007007E-2</v>
          </cell>
          <cell r="J120">
            <v>147.583</v>
          </cell>
          <cell r="K120">
            <v>4.1314477010047368E-2</v>
          </cell>
          <cell r="L120">
            <v>251.86500000000001</v>
          </cell>
          <cell r="M120">
            <v>1.8331604052017759E-2</v>
          </cell>
          <cell r="N120">
            <v>135</v>
          </cell>
        </row>
        <row r="121">
          <cell r="C121">
            <v>0</v>
          </cell>
          <cell r="E121">
            <v>0</v>
          </cell>
          <cell r="G121">
            <v>0</v>
          </cell>
          <cell r="I121">
            <v>0</v>
          </cell>
          <cell r="K121">
            <v>0</v>
          </cell>
          <cell r="M121">
            <v>0</v>
          </cell>
        </row>
        <row r="122">
          <cell r="B122" t="str">
            <v>Preliminary Expenses w/off</v>
          </cell>
          <cell r="C122">
            <v>2.7280987879546744E-4</v>
          </cell>
          <cell r="D122">
            <v>0.78</v>
          </cell>
          <cell r="E122">
            <v>2.5937059402516557E-4</v>
          </cell>
          <cell r="F122">
            <v>0.78</v>
          </cell>
          <cell r="G122">
            <v>1.7129507421249289E-4</v>
          </cell>
          <cell r="H122">
            <v>0.78</v>
          </cell>
          <cell r="I122">
            <v>1.3000933900418515E-4</v>
          </cell>
          <cell r="J122">
            <v>0.78</v>
          </cell>
          <cell r="K122">
            <v>1.2794668599383377E-4</v>
          </cell>
          <cell r="L122">
            <v>0.78</v>
          </cell>
          <cell r="M122">
            <v>0</v>
          </cell>
          <cell r="N122">
            <v>0</v>
          </cell>
        </row>
        <row r="123">
          <cell r="C123">
            <v>0</v>
          </cell>
          <cell r="E123">
            <v>0</v>
          </cell>
          <cell r="G123">
            <v>0</v>
          </cell>
          <cell r="I123">
            <v>0</v>
          </cell>
          <cell r="K123">
            <v>0</v>
          </cell>
          <cell r="M123">
            <v>0</v>
          </cell>
        </row>
        <row r="124">
          <cell r="C124">
            <v>0</v>
          </cell>
          <cell r="D124" t="str">
            <v>-</v>
          </cell>
          <cell r="E124">
            <v>0</v>
          </cell>
          <cell r="F124" t="str">
            <v>-</v>
          </cell>
          <cell r="G124">
            <v>0</v>
          </cell>
          <cell r="H124" t="str">
            <v>-</v>
          </cell>
          <cell r="I124">
            <v>0</v>
          </cell>
          <cell r="J124" t="str">
            <v>-</v>
          </cell>
          <cell r="K124">
            <v>0</v>
          </cell>
          <cell r="L124" t="str">
            <v>-</v>
          </cell>
          <cell r="M124">
            <v>0</v>
          </cell>
          <cell r="N124" t="str">
            <v>-</v>
          </cell>
        </row>
        <row r="125">
          <cell r="B125" t="str">
            <v>TOTAL  EXPENDITURE</v>
          </cell>
          <cell r="C125">
            <v>0.94168799013967153</v>
          </cell>
          <cell r="D125">
            <v>2692.4121499999997</v>
          </cell>
          <cell r="E125">
            <v>0.95366343672687637</v>
          </cell>
          <cell r="F125">
            <v>2867.932980000001</v>
          </cell>
          <cell r="G125">
            <v>0.96970075628971353</v>
          </cell>
          <cell r="H125">
            <v>4415.5769999999993</v>
          </cell>
          <cell r="I125">
            <v>0.95764579088931223</v>
          </cell>
          <cell r="J125">
            <v>5745.4619999999995</v>
          </cell>
          <cell r="K125">
            <v>0.96265298568840851</v>
          </cell>
          <cell r="L125">
            <v>5868.610999999999</v>
          </cell>
          <cell r="M125">
            <v>0.94985640922440884</v>
          </cell>
          <cell r="N125">
            <v>6995.0569999999998</v>
          </cell>
        </row>
        <row r="126">
          <cell r="C126">
            <v>0</v>
          </cell>
          <cell r="D126" t="str">
            <v>-</v>
          </cell>
          <cell r="E126">
            <v>0</v>
          </cell>
          <cell r="F126" t="str">
            <v>-</v>
          </cell>
          <cell r="G126">
            <v>0</v>
          </cell>
          <cell r="H126" t="str">
            <v>-</v>
          </cell>
          <cell r="I126">
            <v>0</v>
          </cell>
          <cell r="J126" t="str">
            <v>-</v>
          </cell>
          <cell r="K126">
            <v>0</v>
          </cell>
          <cell r="L126" t="str">
            <v>-</v>
          </cell>
          <cell r="M126">
            <v>0</v>
          </cell>
          <cell r="N126" t="str">
            <v>-</v>
          </cell>
        </row>
        <row r="127">
          <cell r="B127" t="str">
            <v>Profit/ Loss Before Tax</v>
          </cell>
          <cell r="C127">
            <v>5.8312009860328459E-2</v>
          </cell>
          <cell r="D127">
            <v>166.72185000000036</v>
          </cell>
          <cell r="E127">
            <v>4.6336563273123632E-2</v>
          </cell>
          <cell r="F127">
            <v>139.34701999999925</v>
          </cell>
          <cell r="G127">
            <v>3.0299243710286462E-2</v>
          </cell>
          <cell r="H127">
            <v>137.96900000000005</v>
          </cell>
          <cell r="I127">
            <v>4.2354209110687782E-2</v>
          </cell>
          <cell r="J127">
            <v>254.10699999999997</v>
          </cell>
          <cell r="K127">
            <v>3.7347014311591438E-2</v>
          </cell>
          <cell r="L127">
            <v>227.67820000000029</v>
          </cell>
          <cell r="M127">
            <v>5.0143590775591204E-2</v>
          </cell>
          <cell r="N127">
            <v>369.27400000000034</v>
          </cell>
        </row>
        <row r="128">
          <cell r="C128">
            <v>0</v>
          </cell>
          <cell r="E128">
            <v>0</v>
          </cell>
          <cell r="G128">
            <v>0</v>
          </cell>
          <cell r="I128">
            <v>0</v>
          </cell>
          <cell r="K128">
            <v>0</v>
          </cell>
          <cell r="M128">
            <v>0</v>
          </cell>
        </row>
        <row r="129">
          <cell r="B129" t="str">
            <v>Less: Provision For  Taxation</v>
          </cell>
          <cell r="C129">
            <v>0</v>
          </cell>
          <cell r="D129">
            <v>0</v>
          </cell>
          <cell r="E129">
            <v>0</v>
          </cell>
          <cell r="F129">
            <v>0</v>
          </cell>
          <cell r="G129">
            <v>1.1046336196010759E-4</v>
          </cell>
          <cell r="H129">
            <v>0.503</v>
          </cell>
          <cell r="I129">
            <v>1.1167468863180006E-4</v>
          </cell>
          <cell r="J129">
            <v>0.67</v>
          </cell>
          <cell r="K129">
            <v>2.8295901710174778E-3</v>
          </cell>
          <cell r="L129">
            <v>17.25</v>
          </cell>
          <cell r="M129">
            <v>0</v>
          </cell>
          <cell r="N129">
            <v>0</v>
          </cell>
        </row>
        <row r="130">
          <cell r="C130">
            <v>0</v>
          </cell>
          <cell r="E130">
            <v>0</v>
          </cell>
          <cell r="G130">
            <v>0</v>
          </cell>
          <cell r="I130">
            <v>0</v>
          </cell>
          <cell r="K130">
            <v>0</v>
          </cell>
          <cell r="M130">
            <v>0</v>
          </cell>
        </row>
        <row r="131">
          <cell r="B131" t="str">
            <v xml:space="preserve"> Add:Depreciation written  OFF</v>
          </cell>
          <cell r="C131">
            <v>0</v>
          </cell>
          <cell r="D131">
            <v>0</v>
          </cell>
          <cell r="E131">
            <v>0</v>
          </cell>
          <cell r="F131">
            <v>0</v>
          </cell>
          <cell r="G131">
            <v>0</v>
          </cell>
          <cell r="H131">
            <v>0</v>
          </cell>
          <cell r="I131">
            <v>-4.1062949688552633E-2</v>
          </cell>
          <cell r="J131">
            <v>-246.36</v>
          </cell>
          <cell r="K131">
            <v>0</v>
          </cell>
          <cell r="L131">
            <v>0</v>
          </cell>
          <cell r="M131">
            <v>-3.9379001296927039E-3</v>
          </cell>
          <cell r="N131">
            <v>-29</v>
          </cell>
        </row>
        <row r="132">
          <cell r="C132">
            <v>0</v>
          </cell>
          <cell r="D132" t="str">
            <v>-</v>
          </cell>
          <cell r="E132">
            <v>0</v>
          </cell>
          <cell r="F132" t="str">
            <v>-</v>
          </cell>
          <cell r="G132">
            <v>0</v>
          </cell>
          <cell r="H132" t="str">
            <v>-</v>
          </cell>
          <cell r="I132">
            <v>0</v>
          </cell>
          <cell r="J132" t="str">
            <v>-</v>
          </cell>
          <cell r="K132">
            <v>0</v>
          </cell>
          <cell r="L132" t="str">
            <v>-</v>
          </cell>
          <cell r="M132">
            <v>0</v>
          </cell>
          <cell r="N132" t="str">
            <v>-</v>
          </cell>
        </row>
        <row r="133">
          <cell r="B133" t="str">
            <v>Profit/Loss After  Taxation</v>
          </cell>
          <cell r="C133">
            <v>5.8312009860328459E-2</v>
          </cell>
          <cell r="D133">
            <v>166.72185000000036</v>
          </cell>
          <cell r="E133">
            <v>4.6336563273123632E-2</v>
          </cell>
          <cell r="F133">
            <v>139.34701999999925</v>
          </cell>
          <cell r="G133">
            <v>3.0188780348326356E-2</v>
          </cell>
          <cell r="H133">
            <v>137.46600000000007</v>
          </cell>
          <cell r="I133">
            <v>1.1795847335033518E-3</v>
          </cell>
          <cell r="J133">
            <v>7.0769999999999698</v>
          </cell>
          <cell r="K133">
            <v>3.451742414057396E-2</v>
          </cell>
          <cell r="L133">
            <v>210.42820000000029</v>
          </cell>
          <cell r="M133">
            <v>4.6205690645898502E-2</v>
          </cell>
          <cell r="N133">
            <v>340.27400000000034</v>
          </cell>
        </row>
        <row r="134">
          <cell r="D134">
            <v>0</v>
          </cell>
          <cell r="F134">
            <v>0</v>
          </cell>
          <cell r="H134">
            <v>0</v>
          </cell>
          <cell r="I134">
            <v>0</v>
          </cell>
          <cell r="J134">
            <v>0</v>
          </cell>
          <cell r="L134">
            <v>0</v>
          </cell>
          <cell r="N134">
            <v>0</v>
          </cell>
        </row>
        <row r="135">
          <cell r="B135" t="str">
            <v xml:space="preserve">Balance  b/f from Previous Year </v>
          </cell>
          <cell r="D135">
            <v>94.43</v>
          </cell>
          <cell r="F135">
            <v>133.65185000000037</v>
          </cell>
          <cell r="H135">
            <v>218.1038699999996</v>
          </cell>
          <cell r="J135">
            <v>304.03986999999972</v>
          </cell>
          <cell r="L135">
            <v>285.98286999999971</v>
          </cell>
          <cell r="N135">
            <v>464.60106999999999</v>
          </cell>
        </row>
        <row r="136">
          <cell r="C136">
            <v>0</v>
          </cell>
          <cell r="D136" t="str">
            <v>-</v>
          </cell>
          <cell r="E136">
            <v>0</v>
          </cell>
          <cell r="F136" t="str">
            <v>-</v>
          </cell>
          <cell r="G136">
            <v>0</v>
          </cell>
          <cell r="H136" t="str">
            <v>-</v>
          </cell>
          <cell r="I136">
            <v>0</v>
          </cell>
          <cell r="J136" t="str">
            <v>-</v>
          </cell>
          <cell r="K136">
            <v>0</v>
          </cell>
          <cell r="L136" t="str">
            <v>-</v>
          </cell>
          <cell r="M136">
            <v>0</v>
          </cell>
          <cell r="N136" t="str">
            <v>-</v>
          </cell>
        </row>
        <row r="137">
          <cell r="B137" t="str">
            <v>BALANCE AVAILABLE FOR APPROPRIATION</v>
          </cell>
          <cell r="D137">
            <v>261.15185000000037</v>
          </cell>
          <cell r="F137">
            <v>272.99886999999961</v>
          </cell>
          <cell r="H137">
            <v>355.5698699999997</v>
          </cell>
          <cell r="J137">
            <v>311.11686999999972</v>
          </cell>
          <cell r="L137">
            <v>496.41107</v>
          </cell>
          <cell r="N137">
            <v>804.87507000000028</v>
          </cell>
        </row>
        <row r="138">
          <cell r="C138">
            <v>0</v>
          </cell>
          <cell r="D138" t="str">
            <v>=</v>
          </cell>
          <cell r="E138">
            <v>0</v>
          </cell>
          <cell r="F138" t="str">
            <v>=</v>
          </cell>
          <cell r="G138">
            <v>0</v>
          </cell>
          <cell r="H138" t="str">
            <v>=</v>
          </cell>
          <cell r="I138">
            <v>0</v>
          </cell>
          <cell r="J138" t="str">
            <v>=</v>
          </cell>
          <cell r="K138">
            <v>0</v>
          </cell>
          <cell r="L138" t="str">
            <v>=</v>
          </cell>
          <cell r="M138">
            <v>0</v>
          </cell>
          <cell r="N138" t="str">
            <v>=</v>
          </cell>
        </row>
        <row r="139">
          <cell r="B139" t="str">
            <v>APPROPRIATIONS</v>
          </cell>
        </row>
        <row r="141">
          <cell r="B141" t="str">
            <v>Total  Dividend</v>
          </cell>
          <cell r="C141">
            <v>0.14617924623081921</v>
          </cell>
          <cell r="D141">
            <v>43.65</v>
          </cell>
          <cell r="E141">
            <v>0.13650183343445801</v>
          </cell>
          <cell r="F141">
            <v>41.395000000000003</v>
          </cell>
          <cell r="G141">
            <v>5.1295629457035939E-2</v>
          </cell>
          <cell r="H141">
            <v>14.53</v>
          </cell>
          <cell r="I141">
            <v>0</v>
          </cell>
          <cell r="J141">
            <v>0</v>
          </cell>
          <cell r="K141">
            <v>1.2938197356967636E-2</v>
          </cell>
          <cell r="L141">
            <v>3.27</v>
          </cell>
          <cell r="M141">
            <v>0</v>
          </cell>
          <cell r="N141">
            <v>0</v>
          </cell>
        </row>
        <row r="142">
          <cell r="B142" t="str">
            <v>Interim  Dividend</v>
          </cell>
          <cell r="D142">
            <v>23.45</v>
          </cell>
          <cell r="F142">
            <v>37.635000000000005</v>
          </cell>
          <cell r="H142">
            <v>13.09</v>
          </cell>
          <cell r="J142">
            <v>0</v>
          </cell>
          <cell r="L142">
            <v>3.27</v>
          </cell>
          <cell r="N142">
            <v>0</v>
          </cell>
        </row>
        <row r="144">
          <cell r="B144" t="str">
            <v xml:space="preserve">Proposed Dividend </v>
          </cell>
          <cell r="C144">
            <v>0</v>
          </cell>
          <cell r="D144">
            <v>16.23</v>
          </cell>
          <cell r="F144">
            <v>0</v>
          </cell>
          <cell r="H144">
            <v>0</v>
          </cell>
          <cell r="J144">
            <v>0</v>
          </cell>
          <cell r="L144">
            <v>0</v>
          </cell>
          <cell r="N144">
            <v>0</v>
          </cell>
        </row>
        <row r="146">
          <cell r="B146" t="str">
            <v xml:space="preserve"> Tax  on Dividends</v>
          </cell>
          <cell r="D146">
            <v>3.9699999999999998</v>
          </cell>
          <cell r="F146">
            <v>3.76</v>
          </cell>
          <cell r="H146">
            <v>1.44</v>
          </cell>
          <cell r="J146">
            <v>0</v>
          </cell>
          <cell r="L146">
            <v>0</v>
          </cell>
          <cell r="N146">
            <v>0</v>
          </cell>
        </row>
        <row r="148">
          <cell r="B148" t="str">
            <v>Transfer to  Reserves</v>
          </cell>
          <cell r="D148">
            <v>83.85</v>
          </cell>
          <cell r="F148">
            <v>13.5</v>
          </cell>
          <cell r="H148">
            <v>37</v>
          </cell>
          <cell r="J148">
            <v>25.134</v>
          </cell>
          <cell r="L148">
            <v>28.54</v>
          </cell>
          <cell r="N148">
            <v>0</v>
          </cell>
        </row>
        <row r="150">
          <cell r="B150" t="str">
            <v>Balance Carried  to Balance Sheet</v>
          </cell>
          <cell r="D150">
            <v>133.65185000000037</v>
          </cell>
          <cell r="F150">
            <v>218.1038699999996</v>
          </cell>
          <cell r="H150">
            <v>304.03986999999972</v>
          </cell>
          <cell r="J150">
            <v>285.98286999999971</v>
          </cell>
          <cell r="L150">
            <v>464.60106999999999</v>
          </cell>
          <cell r="N150">
            <v>804.87507000000028</v>
          </cell>
        </row>
        <row r="151">
          <cell r="C151">
            <v>0</v>
          </cell>
          <cell r="D151" t="str">
            <v>-</v>
          </cell>
          <cell r="E151">
            <v>0</v>
          </cell>
          <cell r="F151" t="str">
            <v>-</v>
          </cell>
          <cell r="G151">
            <v>0</v>
          </cell>
          <cell r="H151" t="str">
            <v>-</v>
          </cell>
          <cell r="I151">
            <v>0</v>
          </cell>
          <cell r="J151" t="str">
            <v>-</v>
          </cell>
          <cell r="K151">
            <v>0</v>
          </cell>
          <cell r="L151" t="str">
            <v>-</v>
          </cell>
          <cell r="M151">
            <v>0</v>
          </cell>
          <cell r="N151" t="str">
            <v>-</v>
          </cell>
        </row>
        <row r="152">
          <cell r="D152">
            <v>261.15185000000037</v>
          </cell>
          <cell r="F152">
            <v>272.99886999999961</v>
          </cell>
          <cell r="H152">
            <v>355.5698699999997</v>
          </cell>
          <cell r="J152">
            <v>311.11686999999972</v>
          </cell>
          <cell r="L152">
            <v>496.41107</v>
          </cell>
          <cell r="N152">
            <v>804.87507000000028</v>
          </cell>
        </row>
        <row r="153">
          <cell r="C153">
            <v>0</v>
          </cell>
          <cell r="D153" t="str">
            <v>=</v>
          </cell>
          <cell r="E153">
            <v>0</v>
          </cell>
          <cell r="F153" t="str">
            <v>=</v>
          </cell>
          <cell r="G153">
            <v>0</v>
          </cell>
          <cell r="H153" t="str">
            <v>=</v>
          </cell>
          <cell r="I153">
            <v>0</v>
          </cell>
          <cell r="J153" t="str">
            <v>=</v>
          </cell>
          <cell r="K153">
            <v>0</v>
          </cell>
          <cell r="L153" t="str">
            <v>=</v>
          </cell>
          <cell r="M153">
            <v>0</v>
          </cell>
          <cell r="N153" t="str">
            <v>=</v>
          </cell>
        </row>
        <row r="176">
          <cell r="B176" t="str">
            <v>DETAILS  FOR  CALCULATING RATIOS</v>
          </cell>
        </row>
        <row r="178">
          <cell r="B178" t="str">
            <v>-</v>
          </cell>
          <cell r="C178" t="str">
            <v>-</v>
          </cell>
          <cell r="D178" t="str">
            <v>-</v>
          </cell>
          <cell r="E178" t="str">
            <v>-</v>
          </cell>
          <cell r="F178" t="str">
            <v>-</v>
          </cell>
          <cell r="G178" t="str">
            <v>-</v>
          </cell>
          <cell r="H178" t="str">
            <v>-</v>
          </cell>
        </row>
        <row r="179">
          <cell r="B179" t="str">
            <v>PARTICULARS</v>
          </cell>
          <cell r="C179" t="str">
            <v>1997-98</v>
          </cell>
          <cell r="D179" t="str">
            <v>1998-99</v>
          </cell>
          <cell r="E179" t="str">
            <v>1999-00</v>
          </cell>
          <cell r="F179" t="str">
            <v>2000-01</v>
          </cell>
          <cell r="G179" t="str">
            <v>2001-02</v>
          </cell>
          <cell r="H179" t="str">
            <v>2002-03</v>
          </cell>
        </row>
        <row r="180">
          <cell r="B180" t="str">
            <v>-</v>
          </cell>
          <cell r="C180" t="str">
            <v>-</v>
          </cell>
          <cell r="D180" t="str">
            <v>-</v>
          </cell>
          <cell r="E180" t="str">
            <v>-</v>
          </cell>
          <cell r="F180" t="str">
            <v>-</v>
          </cell>
          <cell r="G180" t="str">
            <v>-</v>
          </cell>
          <cell r="H180" t="str">
            <v>-</v>
          </cell>
        </row>
        <row r="181">
          <cell r="B181" t="str">
            <v>Total  Share  Capital</v>
          </cell>
          <cell r="C181">
            <v>298.60599999999999</v>
          </cell>
          <cell r="D181">
            <v>303.25600000000003</v>
          </cell>
          <cell r="E181">
            <v>283.26</v>
          </cell>
          <cell r="F181">
            <v>268.536</v>
          </cell>
          <cell r="G181">
            <v>252.73999999999998</v>
          </cell>
          <cell r="H181">
            <v>279.74</v>
          </cell>
        </row>
        <row r="183">
          <cell r="B183" t="str">
            <v>Total  Dividend</v>
          </cell>
          <cell r="C183">
            <v>43.65</v>
          </cell>
          <cell r="D183">
            <v>41.395000000000003</v>
          </cell>
          <cell r="E183">
            <v>14.53</v>
          </cell>
          <cell r="F183">
            <v>0</v>
          </cell>
          <cell r="G183">
            <v>3.27</v>
          </cell>
          <cell r="H183">
            <v>0</v>
          </cell>
        </row>
        <row r="185">
          <cell r="B185" t="str">
            <v>Loan  Funds</v>
          </cell>
          <cell r="C185">
            <v>786.9369999999999</v>
          </cell>
          <cell r="D185">
            <v>1132.4580000000001</v>
          </cell>
          <cell r="E185">
            <v>1317.47</v>
          </cell>
          <cell r="F185">
            <v>854.05499999999995</v>
          </cell>
          <cell r="G185">
            <v>795.697</v>
          </cell>
          <cell r="H185">
            <v>1315.8440000000001</v>
          </cell>
        </row>
        <row r="187">
          <cell r="B187" t="str">
            <v>Term  Loans</v>
          </cell>
          <cell r="C187">
            <v>433.46</v>
          </cell>
          <cell r="D187">
            <v>529.88</v>
          </cell>
          <cell r="E187">
            <v>778.13999999999987</v>
          </cell>
          <cell r="F187">
            <v>677.78</v>
          </cell>
          <cell r="G187">
            <v>672.27</v>
          </cell>
          <cell r="H187">
            <v>1017.4369999999999</v>
          </cell>
        </row>
        <row r="189">
          <cell r="B189" t="str">
            <v>Unsecured  Loan</v>
          </cell>
          <cell r="C189">
            <v>89.367000000000004</v>
          </cell>
          <cell r="D189">
            <v>310.14</v>
          </cell>
          <cell r="E189">
            <v>116.75</v>
          </cell>
          <cell r="F189">
            <v>13.775</v>
          </cell>
          <cell r="G189">
            <v>17.29</v>
          </cell>
          <cell r="H189">
            <v>98.785000000000011</v>
          </cell>
        </row>
        <row r="191">
          <cell r="B191" t="str">
            <v>Working  Capital  Loan</v>
          </cell>
          <cell r="C191">
            <v>264.11</v>
          </cell>
          <cell r="D191">
            <v>292.44</v>
          </cell>
          <cell r="E191">
            <v>422.58000000000004</v>
          </cell>
          <cell r="F191">
            <v>162.5</v>
          </cell>
          <cell r="G191">
            <v>106.137</v>
          </cell>
          <cell r="H191">
            <v>197.20699999999999</v>
          </cell>
        </row>
        <row r="193">
          <cell r="B193" t="str">
            <v>Debt</v>
          </cell>
          <cell r="C193">
            <v>433.45999999999992</v>
          </cell>
          <cell r="D193">
            <v>529.87800000000016</v>
          </cell>
          <cell r="E193">
            <v>778.14</v>
          </cell>
          <cell r="F193">
            <v>677.78</v>
          </cell>
          <cell r="G193">
            <v>672.27</v>
          </cell>
          <cell r="H193">
            <v>1019.852</v>
          </cell>
        </row>
        <row r="195">
          <cell r="B195" t="str">
            <v>Current  Assets:</v>
          </cell>
        </row>
        <row r="197">
          <cell r="B197" t="str">
            <v>a. Inventories</v>
          </cell>
          <cell r="C197">
            <v>104.86</v>
          </cell>
          <cell r="D197">
            <v>129.08699999999999</v>
          </cell>
          <cell r="E197">
            <v>155.76</v>
          </cell>
          <cell r="F197">
            <v>228.06</v>
          </cell>
          <cell r="G197">
            <v>275.24300000000005</v>
          </cell>
          <cell r="H197">
            <v>405.64699999999999</v>
          </cell>
        </row>
        <row r="199">
          <cell r="B199" t="str">
            <v>b. Sundry  Debtors</v>
          </cell>
          <cell r="C199">
            <v>104.93</v>
          </cell>
          <cell r="D199">
            <v>79.63</v>
          </cell>
          <cell r="E199">
            <v>189.62</v>
          </cell>
          <cell r="F199">
            <v>198.18</v>
          </cell>
          <cell r="G199">
            <v>214.24799999999999</v>
          </cell>
          <cell r="H199">
            <v>146.32</v>
          </cell>
        </row>
        <row r="201">
          <cell r="B201" t="str">
            <v>c.  Cash &amp; Bank Balances</v>
          </cell>
          <cell r="C201">
            <v>25.63</v>
          </cell>
          <cell r="D201">
            <v>37.878</v>
          </cell>
          <cell r="E201">
            <v>29.16</v>
          </cell>
          <cell r="F201">
            <v>38.74</v>
          </cell>
          <cell r="G201">
            <v>3.2490000000000001</v>
          </cell>
          <cell r="H201">
            <v>4.3639999999999999</v>
          </cell>
        </row>
        <row r="203">
          <cell r="B203" t="str">
            <v>d.  Loans &amp;  Advances</v>
          </cell>
          <cell r="C203">
            <v>126.03399999999999</v>
          </cell>
          <cell r="D203">
            <v>335.98800000000006</v>
          </cell>
          <cell r="E203">
            <v>485.39</v>
          </cell>
          <cell r="F203">
            <v>73.804999999999993</v>
          </cell>
          <cell r="G203">
            <v>145.55700000000002</v>
          </cell>
          <cell r="H203">
            <v>136.51299999999998</v>
          </cell>
        </row>
        <row r="205">
          <cell r="B205" t="str">
            <v>e.  Deposits</v>
          </cell>
          <cell r="C205">
            <v>58.286000000000001</v>
          </cell>
          <cell r="D205">
            <v>34.449999999999996</v>
          </cell>
          <cell r="E205">
            <v>8.4699999999999989</v>
          </cell>
          <cell r="F205">
            <v>8.4849999999999994</v>
          </cell>
          <cell r="G205">
            <v>8.69</v>
          </cell>
          <cell r="H205">
            <v>114.32000000000001</v>
          </cell>
        </row>
        <row r="207">
          <cell r="B207" t="str">
            <v>f. Trade  Investments</v>
          </cell>
          <cell r="C207">
            <v>29.998999999999999</v>
          </cell>
          <cell r="D207">
            <v>58.198999999999998</v>
          </cell>
          <cell r="E207">
            <v>58.198999999999998</v>
          </cell>
          <cell r="F207">
            <v>58.198999999999998</v>
          </cell>
          <cell r="G207">
            <v>58.198999999999998</v>
          </cell>
          <cell r="H207">
            <v>178.19900000000001</v>
          </cell>
        </row>
        <row r="208">
          <cell r="C208" t="str">
            <v>-</v>
          </cell>
          <cell r="D208" t="str">
            <v>-</v>
          </cell>
          <cell r="E208" t="str">
            <v>-</v>
          </cell>
          <cell r="F208" t="str">
            <v>-</v>
          </cell>
          <cell r="G208" t="str">
            <v>-</v>
          </cell>
          <cell r="H208" t="str">
            <v>-</v>
          </cell>
        </row>
        <row r="209">
          <cell r="B209" t="str">
            <v xml:space="preserve">         Total Current  Assets</v>
          </cell>
          <cell r="C209">
            <v>449.73900000000003</v>
          </cell>
          <cell r="D209">
            <v>675.23200000000008</v>
          </cell>
          <cell r="E209">
            <v>926.59900000000005</v>
          </cell>
          <cell r="F209">
            <v>605.46899999999994</v>
          </cell>
          <cell r="G209">
            <v>705.18600000000004</v>
          </cell>
          <cell r="H209">
            <v>985.36300000000006</v>
          </cell>
        </row>
        <row r="211">
          <cell r="B211" t="str">
            <v>Current Liabilities</v>
          </cell>
          <cell r="C211">
            <v>71.275000000000006</v>
          </cell>
          <cell r="D211">
            <v>131.01</v>
          </cell>
          <cell r="E211">
            <v>126.38999999999999</v>
          </cell>
          <cell r="F211">
            <v>100.91</v>
          </cell>
          <cell r="G211">
            <v>163.93899999999999</v>
          </cell>
          <cell r="H211">
            <v>123.041</v>
          </cell>
        </row>
        <row r="212">
          <cell r="C212" t="str">
            <v>-</v>
          </cell>
          <cell r="D212" t="str">
            <v>-</v>
          </cell>
          <cell r="E212" t="str">
            <v>-</v>
          </cell>
          <cell r="F212" t="str">
            <v>-</v>
          </cell>
          <cell r="G212" t="str">
            <v>-</v>
          </cell>
          <cell r="H212" t="str">
            <v>-</v>
          </cell>
        </row>
        <row r="213">
          <cell r="B213" t="str">
            <v xml:space="preserve">         Total  Current Liabilities</v>
          </cell>
          <cell r="C213">
            <v>319.15499999999997</v>
          </cell>
          <cell r="D213">
            <v>423.45</v>
          </cell>
          <cell r="E213">
            <v>548.97</v>
          </cell>
          <cell r="F213">
            <v>263.40999999999997</v>
          </cell>
          <cell r="G213">
            <v>270.07600000000002</v>
          </cell>
          <cell r="H213">
            <v>320.24799999999999</v>
          </cell>
        </row>
        <row r="214">
          <cell r="C214" t="str">
            <v>-</v>
          </cell>
          <cell r="D214" t="str">
            <v>-</v>
          </cell>
          <cell r="E214" t="str">
            <v>-</v>
          </cell>
          <cell r="F214" t="str">
            <v>-</v>
          </cell>
          <cell r="G214" t="str">
            <v>-</v>
          </cell>
          <cell r="H214" t="str">
            <v>-</v>
          </cell>
        </row>
        <row r="215">
          <cell r="B215" t="str">
            <v xml:space="preserve">Working  Capital  </v>
          </cell>
          <cell r="C215">
            <v>130.58400000000006</v>
          </cell>
          <cell r="D215">
            <v>251.7820000000001</v>
          </cell>
          <cell r="E215">
            <v>377.62900000000002</v>
          </cell>
          <cell r="F215">
            <v>342.05899999999997</v>
          </cell>
          <cell r="G215">
            <v>435.11</v>
          </cell>
          <cell r="H215">
            <v>665.11500000000001</v>
          </cell>
        </row>
        <row r="217">
          <cell r="B217" t="str">
            <v>L.T. Funds</v>
          </cell>
          <cell r="C217">
            <v>1057.8789999999999</v>
          </cell>
          <cell r="D217">
            <v>1585.7090000000001</v>
          </cell>
          <cell r="E217">
            <v>1707.9940000000001</v>
          </cell>
          <cell r="F217">
            <v>1404.895</v>
          </cell>
          <cell r="G217">
            <v>1531.6320000000001</v>
          </cell>
          <cell r="H217">
            <v>2710.9780000000001</v>
          </cell>
        </row>
        <row r="219">
          <cell r="B219" t="str">
            <v>Turnover</v>
          </cell>
          <cell r="C219">
            <v>2849.6959999999999</v>
          </cell>
          <cell r="D219">
            <v>2975.21</v>
          </cell>
          <cell r="E219">
            <v>4497.33</v>
          </cell>
          <cell r="F219">
            <v>5949.45</v>
          </cell>
          <cell r="G219">
            <v>6130.15</v>
          </cell>
          <cell r="H219">
            <v>7121.7079999999996</v>
          </cell>
        </row>
        <row r="221">
          <cell r="B221" t="str">
            <v>Gross  Profit</v>
          </cell>
          <cell r="C221">
            <v>487.50984999999991</v>
          </cell>
          <cell r="D221">
            <v>573.83701999999982</v>
          </cell>
          <cell r="E221">
            <v>662.39400000000012</v>
          </cell>
          <cell r="F221">
            <v>879.17</v>
          </cell>
          <cell r="G221">
            <v>985.3131999999996</v>
          </cell>
          <cell r="H221">
            <v>980.15699999999981</v>
          </cell>
        </row>
        <row r="223">
          <cell r="B223" t="str">
            <v>Net Profit for the Year</v>
          </cell>
          <cell r="C223">
            <v>166.72185000000036</v>
          </cell>
          <cell r="D223">
            <v>139.34701999999925</v>
          </cell>
          <cell r="E223">
            <v>137.96900000000005</v>
          </cell>
          <cell r="F223">
            <v>254.10699999999997</v>
          </cell>
          <cell r="G223">
            <v>227.67820000000029</v>
          </cell>
          <cell r="H223">
            <v>369.27400000000034</v>
          </cell>
        </row>
        <row r="225">
          <cell r="B225" t="str">
            <v>Interest  &amp;  Finance  Charges</v>
          </cell>
          <cell r="C225">
            <v>109.2</v>
          </cell>
          <cell r="D225">
            <v>118.92</v>
          </cell>
          <cell r="E225">
            <v>171.28399999999999</v>
          </cell>
          <cell r="F225">
            <v>162.24299999999999</v>
          </cell>
          <cell r="G225">
            <v>106.84</v>
          </cell>
          <cell r="H225">
            <v>104.47800000000001</v>
          </cell>
        </row>
        <row r="227">
          <cell r="B227" t="str">
            <v>PBIT</v>
          </cell>
          <cell r="C227">
            <v>275.92185000000035</v>
          </cell>
          <cell r="D227">
            <v>258.26701999999926</v>
          </cell>
          <cell r="E227">
            <v>309.25300000000004</v>
          </cell>
          <cell r="F227">
            <v>416.34999999999997</v>
          </cell>
          <cell r="G227">
            <v>334.51820000000032</v>
          </cell>
          <cell r="H227">
            <v>473.75200000000035</v>
          </cell>
        </row>
        <row r="229">
          <cell r="B229" t="str">
            <v xml:space="preserve">F.G.Inventory </v>
          </cell>
          <cell r="C229">
            <v>0</v>
          </cell>
          <cell r="D229">
            <v>0</v>
          </cell>
          <cell r="E229">
            <v>0</v>
          </cell>
          <cell r="F229">
            <v>0</v>
          </cell>
          <cell r="G229">
            <v>0</v>
          </cell>
          <cell r="H229">
            <v>0</v>
          </cell>
        </row>
        <row r="231">
          <cell r="B231" t="str">
            <v>R.M.Inventory</v>
          </cell>
          <cell r="C231">
            <v>0</v>
          </cell>
          <cell r="D231">
            <v>0</v>
          </cell>
          <cell r="E231">
            <v>0</v>
          </cell>
          <cell r="F231">
            <v>0</v>
          </cell>
          <cell r="G231">
            <v>0</v>
          </cell>
          <cell r="H231">
            <v>0</v>
          </cell>
        </row>
        <row r="232">
          <cell r="B232" t="str">
            <v>=</v>
          </cell>
          <cell r="C232" t="str">
            <v>=</v>
          </cell>
          <cell r="D232" t="str">
            <v>=</v>
          </cell>
          <cell r="E232" t="str">
            <v>=</v>
          </cell>
          <cell r="F232" t="str">
            <v>=</v>
          </cell>
          <cell r="G232" t="str">
            <v>=</v>
          </cell>
          <cell r="H232" t="str">
            <v>=</v>
          </cell>
        </row>
        <row r="236">
          <cell r="B236" t="str">
            <v>CALCULATION  OF  VARIOUS  RATIOS</v>
          </cell>
        </row>
        <row r="237">
          <cell r="H237" t="str">
            <v>(RS.IN LACS)</v>
          </cell>
        </row>
        <row r="238">
          <cell r="B238" t="str">
            <v>-</v>
          </cell>
          <cell r="C238" t="str">
            <v>-</v>
          </cell>
          <cell r="D238" t="str">
            <v>-</v>
          </cell>
          <cell r="E238" t="str">
            <v>-</v>
          </cell>
          <cell r="F238" t="str">
            <v>-</v>
          </cell>
          <cell r="G238" t="str">
            <v>-</v>
          </cell>
          <cell r="H238" t="str">
            <v>-</v>
          </cell>
        </row>
        <row r="239">
          <cell r="B239" t="str">
            <v>PARTICULARS</v>
          </cell>
          <cell r="C239" t="str">
            <v>1997-98</v>
          </cell>
          <cell r="D239" t="str">
            <v>1998-99</v>
          </cell>
          <cell r="E239" t="str">
            <v>1999-00</v>
          </cell>
          <cell r="F239" t="str">
            <v>2000-01</v>
          </cell>
          <cell r="G239" t="str">
            <v>2001-02</v>
          </cell>
          <cell r="H239" t="str">
            <v>2002-03</v>
          </cell>
        </row>
        <row r="240">
          <cell r="B240" t="str">
            <v>-</v>
          </cell>
          <cell r="C240" t="str">
            <v>-</v>
          </cell>
          <cell r="D240" t="str">
            <v>-</v>
          </cell>
          <cell r="E240" t="str">
            <v>-</v>
          </cell>
          <cell r="F240" t="str">
            <v>-</v>
          </cell>
          <cell r="G240" t="str">
            <v>-</v>
          </cell>
          <cell r="H240" t="str">
            <v>-</v>
          </cell>
        </row>
        <row r="241">
          <cell r="B241" t="str">
            <v>NET PROFIT AFTER TAX</v>
          </cell>
          <cell r="C241">
            <v>166.72185000000036</v>
          </cell>
          <cell r="D241">
            <v>139.34701999999925</v>
          </cell>
          <cell r="E241">
            <v>137.46600000000007</v>
          </cell>
          <cell r="F241">
            <v>7.0769999999999698</v>
          </cell>
          <cell r="G241">
            <v>210.42820000000029</v>
          </cell>
          <cell r="H241">
            <v>340.27400000000034</v>
          </cell>
        </row>
        <row r="243">
          <cell r="B243" t="str">
            <v>CASH PROFIT</v>
          </cell>
          <cell r="C243">
            <v>210.75885000000036</v>
          </cell>
          <cell r="D243">
            <v>194.32201999999924</v>
          </cell>
          <cell r="E243">
            <v>210.03300000000007</v>
          </cell>
          <cell r="F243">
            <v>155.43999999999997</v>
          </cell>
          <cell r="G243">
            <v>463.07320000000027</v>
          </cell>
          <cell r="H243">
            <v>475.27400000000034</v>
          </cell>
        </row>
        <row r="245">
          <cell r="B245" t="str">
            <v>CASH PROFIT RATIO</v>
          </cell>
          <cell r="C245">
            <v>7.3714226055861793</v>
          </cell>
          <cell r="D245">
            <v>6.4617202255858857</v>
          </cell>
          <cell r="E245">
            <v>4.6125151694964783</v>
          </cell>
          <cell r="F245">
            <v>2.5908527762577607</v>
          </cell>
          <cell r="G245">
            <v>7.5959847836615157</v>
          </cell>
          <cell r="H245">
            <v>6.4537294697916261</v>
          </cell>
        </row>
        <row r="247">
          <cell r="B247" t="str">
            <v>EQUITY SHARE CAPITAL</v>
          </cell>
          <cell r="C247">
            <v>261.77600000000001</v>
          </cell>
          <cell r="D247">
            <v>261.77600000000001</v>
          </cell>
          <cell r="E247">
            <v>261.77999999999997</v>
          </cell>
          <cell r="F247">
            <v>249.55600000000001</v>
          </cell>
          <cell r="G247">
            <v>245.98399999999998</v>
          </cell>
          <cell r="H247">
            <v>245.98400000000001</v>
          </cell>
        </row>
        <row r="249">
          <cell r="B249" t="str">
            <v>PREFERENCE SHARE CAPITAL</v>
          </cell>
          <cell r="C249">
            <v>36.83</v>
          </cell>
          <cell r="D249">
            <v>41.48</v>
          </cell>
          <cell r="E249">
            <v>21.48</v>
          </cell>
          <cell r="F249">
            <v>18.98</v>
          </cell>
          <cell r="G249">
            <v>6.7560000000000002</v>
          </cell>
          <cell r="H249">
            <v>33.756</v>
          </cell>
        </row>
        <row r="251">
          <cell r="B251" t="str">
            <v>RESERVES &amp; SURPLUS</v>
          </cell>
          <cell r="C251">
            <v>240.446</v>
          </cell>
          <cell r="D251">
            <v>445.875</v>
          </cell>
          <cell r="E251">
            <v>532.72</v>
          </cell>
          <cell r="F251">
            <v>447.12</v>
          </cell>
          <cell r="G251">
            <v>591.08699999999999</v>
          </cell>
          <cell r="H251">
            <v>1314.356</v>
          </cell>
        </row>
        <row r="253">
          <cell r="B253" t="str">
            <v>NET  WORTH</v>
          </cell>
          <cell r="C253">
            <v>535.05200000000002</v>
          </cell>
          <cell r="D253">
            <v>745.69100000000003</v>
          </cell>
          <cell r="E253">
            <v>813.10400000000004</v>
          </cell>
          <cell r="F253">
            <v>713.33999999999992</v>
          </cell>
          <cell r="G253">
            <v>842.072</v>
          </cell>
          <cell r="H253">
            <v>1592.3409999999999</v>
          </cell>
        </row>
        <row r="255">
          <cell r="B255" t="str">
            <v>UNSECURED  LOAN</v>
          </cell>
          <cell r="C255">
            <v>89.367000000000004</v>
          </cell>
          <cell r="D255">
            <v>310.14</v>
          </cell>
          <cell r="E255">
            <v>116.75</v>
          </cell>
          <cell r="F255">
            <v>13.775</v>
          </cell>
          <cell r="G255">
            <v>17.29</v>
          </cell>
          <cell r="H255">
            <v>98.785000000000011</v>
          </cell>
        </row>
        <row r="257">
          <cell r="B257" t="str">
            <v>TERM LOANS</v>
          </cell>
          <cell r="C257">
            <v>433.46</v>
          </cell>
          <cell r="D257">
            <v>529.88</v>
          </cell>
          <cell r="E257">
            <v>778.13999999999987</v>
          </cell>
          <cell r="F257">
            <v>677.78</v>
          </cell>
          <cell r="G257">
            <v>672.27</v>
          </cell>
          <cell r="H257">
            <v>1017.4369999999999</v>
          </cell>
        </row>
        <row r="259">
          <cell r="B259" t="str">
            <v>EQUITY SHARES OF Rs.10 EACH</v>
          </cell>
          <cell r="C259">
            <v>2617760</v>
          </cell>
          <cell r="D259">
            <v>2617760</v>
          </cell>
          <cell r="E259">
            <v>2617799.9999999995</v>
          </cell>
          <cell r="F259">
            <v>2495560</v>
          </cell>
          <cell r="G259">
            <v>2459839.9999999995</v>
          </cell>
          <cell r="H259">
            <v>2459840</v>
          </cell>
        </row>
        <row r="261">
          <cell r="B261" t="str">
            <v>EPS</v>
          </cell>
          <cell r="C261">
            <v>6.3688745339527069</v>
          </cell>
          <cell r="D261">
            <v>5.3231396308293828</v>
          </cell>
          <cell r="E261">
            <v>5.2512033004813237</v>
          </cell>
          <cell r="F261">
            <v>0.28358364455272439</v>
          </cell>
          <cell r="G261">
            <v>8.554548263301692</v>
          </cell>
          <cell r="H261">
            <v>13.833176141537674</v>
          </cell>
        </row>
        <row r="263">
          <cell r="B263" t="str">
            <v>CASH  EPS</v>
          </cell>
          <cell r="C263">
            <v>8.0511143114724177</v>
          </cell>
          <cell r="D263">
            <v>7.4232175600513122</v>
          </cell>
          <cell r="E263">
            <v>8.0232638093055275</v>
          </cell>
          <cell r="F263">
            <v>6.2286621038965189</v>
          </cell>
          <cell r="G263">
            <v>18.82533823338105</v>
          </cell>
          <cell r="H263">
            <v>19.321337973201523</v>
          </cell>
        </row>
        <row r="265">
          <cell r="B265" t="str">
            <v>DIVIDEND %</v>
          </cell>
          <cell r="C265">
            <v>0.14617924623081921</v>
          </cell>
          <cell r="D265">
            <v>0.13650183343445801</v>
          </cell>
          <cell r="E265">
            <v>5.1295629457035939E-2</v>
          </cell>
          <cell r="F265">
            <v>0</v>
          </cell>
          <cell r="G265">
            <v>1.2938197356967636E-2</v>
          </cell>
          <cell r="H265">
            <v>0</v>
          </cell>
        </row>
        <row r="267">
          <cell r="B267" t="str">
            <v>NET  WORTH</v>
          </cell>
          <cell r="C267">
            <v>535.05200000000002</v>
          </cell>
          <cell r="D267">
            <v>745.69100000000003</v>
          </cell>
          <cell r="E267">
            <v>813.10400000000004</v>
          </cell>
          <cell r="F267">
            <v>713.33999999999992</v>
          </cell>
          <cell r="G267">
            <v>842.072</v>
          </cell>
          <cell r="H267">
            <v>1592.3409999999999</v>
          </cell>
        </row>
        <row r="269">
          <cell r="B269" t="str">
            <v>BOOK VALUE PER SHARE</v>
          </cell>
          <cell r="C269">
            <v>20.439306888332009</v>
          </cell>
          <cell r="D269">
            <v>28.485842858016017</v>
          </cell>
          <cell r="E269">
            <v>31.060585224234096</v>
          </cell>
          <cell r="F269">
            <v>28.584365833720682</v>
          </cell>
          <cell r="G269">
            <v>34.232795628984</v>
          </cell>
          <cell r="H269">
            <v>64.733519253284754</v>
          </cell>
        </row>
        <row r="271">
          <cell r="B271" t="str">
            <v>DEBT -EQUITY RATIO</v>
          </cell>
          <cell r="C271">
            <v>0.69418131094665592</v>
          </cell>
          <cell r="D271">
            <v>0.50185872549678889</v>
          </cell>
          <cell r="E271">
            <v>0.83684105246630114</v>
          </cell>
          <cell r="F271">
            <v>0.93214965995750343</v>
          </cell>
          <cell r="G271">
            <v>0.78228965209073709</v>
          </cell>
          <cell r="H271">
            <v>0.60306091917456184</v>
          </cell>
        </row>
        <row r="273">
          <cell r="B273" t="str">
            <v>CURRENT  RATIO</v>
          </cell>
          <cell r="C273">
            <v>1.4091554260469052</v>
          </cell>
          <cell r="D273">
            <v>1.5945967646711539</v>
          </cell>
          <cell r="E273">
            <v>1.6878864054502067</v>
          </cell>
          <cell r="F273">
            <v>2.2985801602065221</v>
          </cell>
          <cell r="G273">
            <v>2.611065033546113</v>
          </cell>
          <cell r="H273">
            <v>3.0768747970323003</v>
          </cell>
        </row>
        <row r="275">
          <cell r="B275" t="str">
            <v>LIQUID  RATIO</v>
          </cell>
          <cell r="C275">
            <v>1.0806003352602969</v>
          </cell>
          <cell r="D275">
            <v>1.28975085606329</v>
          </cell>
          <cell r="E275">
            <v>1.4041550540102374</v>
          </cell>
          <cell r="F275">
            <v>1.432781595231768</v>
          </cell>
          <cell r="G275">
            <v>1.5919333817147765</v>
          </cell>
          <cell r="H275">
            <v>1.810209587569634</v>
          </cell>
        </row>
        <row r="276">
          <cell r="B276" t="str">
            <v>=</v>
          </cell>
          <cell r="C276" t="str">
            <v>=</v>
          </cell>
          <cell r="D276" t="str">
            <v>=</v>
          </cell>
          <cell r="E276" t="str">
            <v>=</v>
          </cell>
          <cell r="F276" t="str">
            <v>=</v>
          </cell>
          <cell r="G276" t="str">
            <v>=</v>
          </cell>
          <cell r="H276" t="str">
            <v>=</v>
          </cell>
        </row>
        <row r="278">
          <cell r="H278" t="str">
            <v>(RS.IN LACS)</v>
          </cell>
        </row>
        <row r="279">
          <cell r="B279" t="str">
            <v>-</v>
          </cell>
          <cell r="C279" t="str">
            <v>-</v>
          </cell>
          <cell r="D279" t="str">
            <v>-</v>
          </cell>
          <cell r="E279" t="str">
            <v>-</v>
          </cell>
          <cell r="F279" t="str">
            <v>-</v>
          </cell>
          <cell r="G279" t="str">
            <v>-</v>
          </cell>
          <cell r="H279" t="str">
            <v>-</v>
          </cell>
        </row>
        <row r="280">
          <cell r="B280" t="str">
            <v>PARTICULARS</v>
          </cell>
          <cell r="C280" t="str">
            <v>1997-98</v>
          </cell>
          <cell r="D280" t="str">
            <v>1998-99</v>
          </cell>
          <cell r="E280" t="str">
            <v>1999-00</v>
          </cell>
          <cell r="F280" t="str">
            <v>2000-01</v>
          </cell>
          <cell r="G280" t="str">
            <v>2001-02</v>
          </cell>
          <cell r="H280" t="str">
            <v>2002-03</v>
          </cell>
        </row>
        <row r="281">
          <cell r="B281" t="str">
            <v>-</v>
          </cell>
          <cell r="C281" t="str">
            <v>-</v>
          </cell>
          <cell r="D281" t="str">
            <v>-</v>
          </cell>
          <cell r="E281" t="str">
            <v>-</v>
          </cell>
          <cell r="F281" t="str">
            <v>-</v>
          </cell>
          <cell r="G281" t="str">
            <v>-</v>
          </cell>
          <cell r="H281" t="str">
            <v>-</v>
          </cell>
        </row>
        <row r="282">
          <cell r="B282" t="str">
            <v>FIXED  ASSETS/ L.T.FUNDS</v>
          </cell>
          <cell r="C282">
            <v>0.82795858505556896</v>
          </cell>
          <cell r="D282">
            <v>0.81305586333936419</v>
          </cell>
          <cell r="E282">
            <v>0.81468670264649634</v>
          </cell>
          <cell r="F282">
            <v>0.73817545083440417</v>
          </cell>
          <cell r="G282">
            <v>0.74205553292174609</v>
          </cell>
          <cell r="H282">
            <v>0.59947148224736602</v>
          </cell>
        </row>
        <row r="284">
          <cell r="B284" t="str">
            <v>RETURN  ON NET  WORTH</v>
          </cell>
          <cell r="D284">
            <v>0.21760340677247386</v>
          </cell>
          <cell r="E284">
            <v>0.17637469968790001</v>
          </cell>
          <cell r="F284">
            <v>9.2725314521855638E-3</v>
          </cell>
          <cell r="G284">
            <v>0.27057551311163897</v>
          </cell>
          <cell r="H284">
            <v>0.27955322289192536</v>
          </cell>
        </row>
        <row r="286">
          <cell r="B286" t="str">
            <v>RETURN ON  CAPITAL</v>
          </cell>
          <cell r="C286">
            <v>0.55833389148242285</v>
          </cell>
          <cell r="D286">
            <v>0.45950292821905991</v>
          </cell>
          <cell r="E286">
            <v>0.48529972463461157</v>
          </cell>
          <cell r="F286">
            <v>2.6354008401108117E-2</v>
          </cell>
          <cell r="G286">
            <v>0.83258763947139469</v>
          </cell>
          <cell r="H286">
            <v>1.2163937942375074</v>
          </cell>
        </row>
        <row r="288">
          <cell r="B288" t="str">
            <v>GROSS  PROFIT  RATIO</v>
          </cell>
          <cell r="C288">
            <v>0.17107433564843405</v>
          </cell>
          <cell r="D288">
            <v>0.19287277872822417</v>
          </cell>
          <cell r="E288">
            <v>0.14728605639346015</v>
          </cell>
          <cell r="F288">
            <v>0.14777332358453302</v>
          </cell>
          <cell r="G288">
            <v>0.16073231486994602</v>
          </cell>
          <cell r="H288">
            <v>0.13762948438773392</v>
          </cell>
        </row>
        <row r="290">
          <cell r="B290" t="str">
            <v>NET  PROFIT  RATIO</v>
          </cell>
          <cell r="C290">
            <v>5.8505135284605922E-2</v>
          </cell>
          <cell r="D290">
            <v>4.6836028381189644E-2</v>
          </cell>
          <cell r="E290">
            <v>3.0566135907305017E-2</v>
          </cell>
          <cell r="F290">
            <v>1.1895217204951668E-3</v>
          </cell>
          <cell r="G290">
            <v>3.432676198787963E-2</v>
          </cell>
          <cell r="H290">
            <v>4.7779830344069199E-2</v>
          </cell>
        </row>
        <row r="292">
          <cell r="B292" t="str">
            <v>CAPITAL  TURNOVER RATIO</v>
          </cell>
          <cell r="C292">
            <v>9.543331346322578</v>
          </cell>
          <cell r="D292">
            <v>9.8108858522172682</v>
          </cell>
          <cell r="E292">
            <v>15.877038762973946</v>
          </cell>
          <cell r="F292">
            <v>22.155130038430602</v>
          </cell>
          <cell r="G292">
            <v>24.25476774550922</v>
          </cell>
          <cell r="H292">
            <v>25.458311289054119</v>
          </cell>
        </row>
        <row r="294">
          <cell r="B294" t="str">
            <v>WORKING  CAP.  TURNOVER</v>
          </cell>
          <cell r="C294">
            <v>21.822704159774542</v>
          </cell>
          <cell r="D294">
            <v>11.81661119539919</v>
          </cell>
          <cell r="E294">
            <v>11.909387255745719</v>
          </cell>
          <cell r="F294">
            <v>17.393052075811482</v>
          </cell>
          <cell r="G294">
            <v>14.088736181655213</v>
          </cell>
          <cell r="H294">
            <v>10.707483668237822</v>
          </cell>
        </row>
        <row r="296">
          <cell r="B296" t="str">
            <v>ASSET COVERAGE RATIO</v>
          </cell>
          <cell r="C296">
            <v>2.0206708808194533</v>
          </cell>
          <cell r="D296">
            <v>2.4331358043330567</v>
          </cell>
          <cell r="E296">
            <v>1.7882129179839106</v>
          </cell>
          <cell r="F296">
            <v>1.5300820325179265</v>
          </cell>
          <cell r="G296">
            <v>1.6906243027355079</v>
          </cell>
          <cell r="H296">
            <v>1.5973018476819694</v>
          </cell>
        </row>
        <row r="298">
          <cell r="B298" t="str">
            <v>INT./PBIT (%)</v>
          </cell>
          <cell r="C298">
            <v>0.39576423541665823</v>
          </cell>
          <cell r="D298">
            <v>0.46045368084550764</v>
          </cell>
          <cell r="E298">
            <v>0.55386366502507645</v>
          </cell>
          <cell r="F298">
            <v>0.3896793563107962</v>
          </cell>
          <cell r="G298">
            <v>0.31938471509173461</v>
          </cell>
          <cell r="H298">
            <v>0.22053310592884026</v>
          </cell>
        </row>
        <row r="299">
          <cell r="B299" t="str">
            <v>=</v>
          </cell>
          <cell r="C299" t="str">
            <v>=</v>
          </cell>
          <cell r="D299" t="str">
            <v>=</v>
          </cell>
          <cell r="E299" t="str">
            <v>=</v>
          </cell>
          <cell r="F299" t="str">
            <v>=</v>
          </cell>
          <cell r="G299" t="str">
            <v>=</v>
          </cell>
          <cell r="H299" t="str">
            <v>=</v>
          </cell>
        </row>
        <row r="330">
          <cell r="B330" t="str">
            <v>-</v>
          </cell>
          <cell r="C330" t="str">
            <v>-</v>
          </cell>
          <cell r="D330" t="str">
            <v>-</v>
          </cell>
          <cell r="E330" t="str">
            <v>-</v>
          </cell>
          <cell r="F330" t="str">
            <v>-</v>
          </cell>
          <cell r="G330" t="str">
            <v>-</v>
          </cell>
          <cell r="H330" t="str">
            <v>-</v>
          </cell>
        </row>
        <row r="331">
          <cell r="B331" t="str">
            <v>PARTICULARS</v>
          </cell>
          <cell r="C331" t="str">
            <v>1997-98</v>
          </cell>
          <cell r="D331" t="str">
            <v>1998-99</v>
          </cell>
          <cell r="E331" t="str">
            <v>1999-00</v>
          </cell>
          <cell r="F331" t="str">
            <v>2000-01</v>
          </cell>
          <cell r="G331" t="str">
            <v>2001-02</v>
          </cell>
          <cell r="H331" t="str">
            <v>2002-03</v>
          </cell>
        </row>
        <row r="332">
          <cell r="B332" t="str">
            <v>-</v>
          </cell>
          <cell r="C332" t="str">
            <v>-</v>
          </cell>
          <cell r="D332" t="str">
            <v>-</v>
          </cell>
          <cell r="E332" t="str">
            <v>-</v>
          </cell>
          <cell r="F332" t="str">
            <v>-</v>
          </cell>
          <cell r="G332" t="str">
            <v>-</v>
          </cell>
          <cell r="H332" t="str">
            <v>-</v>
          </cell>
        </row>
        <row r="333">
          <cell r="B333" t="str">
            <v>GROSS REVENUE</v>
          </cell>
          <cell r="C333">
            <v>2859.134</v>
          </cell>
          <cell r="D333">
            <v>3007.28</v>
          </cell>
          <cell r="E333">
            <v>4553.5459999999994</v>
          </cell>
          <cell r="F333">
            <v>5999.5689999999995</v>
          </cell>
          <cell r="G333">
            <v>6096.2891999999993</v>
          </cell>
          <cell r="H333">
            <v>7364.3310000000001</v>
          </cell>
        </row>
        <row r="335">
          <cell r="B335" t="str">
            <v>GROWTH IN QUANTITY</v>
          </cell>
        </row>
        <row r="336">
          <cell r="B336" t="str">
            <v>GROWTH   IN  %</v>
          </cell>
          <cell r="C336" t="e">
            <v>#REF!</v>
          </cell>
          <cell r="D336">
            <v>5.1814990133376114E-2</v>
          </cell>
          <cell r="E336">
            <v>0.51417427043707242</v>
          </cell>
          <cell r="F336">
            <v>0.31755976551022003</v>
          </cell>
          <cell r="G336">
            <v>1.6121191372246865E-2</v>
          </cell>
          <cell r="H336">
            <v>0.20800223847648189</v>
          </cell>
        </row>
        <row r="338">
          <cell r="B338" t="str">
            <v>PROFIT BEFORE TAX</v>
          </cell>
          <cell r="C338">
            <v>166.72185000000036</v>
          </cell>
          <cell r="D338">
            <v>139.34701999999925</v>
          </cell>
          <cell r="E338">
            <v>137.96900000000005</v>
          </cell>
          <cell r="F338">
            <v>254.10699999999997</v>
          </cell>
          <cell r="G338">
            <v>227.67820000000029</v>
          </cell>
          <cell r="H338">
            <v>369.27400000000034</v>
          </cell>
        </row>
        <row r="340">
          <cell r="B340" t="str">
            <v>GROWTH   IN  %</v>
          </cell>
          <cell r="D340">
            <v>-0.16419461516292588</v>
          </cell>
          <cell r="E340">
            <v>-9.889124288407488E-3</v>
          </cell>
          <cell r="F340">
            <v>0.84176880313693569</v>
          </cell>
          <cell r="G340">
            <v>-0.10400657990531424</v>
          </cell>
          <cell r="H340">
            <v>0.62191197927601272</v>
          </cell>
        </row>
        <row r="342">
          <cell r="B342" t="str">
            <v>PROFIT AFTER TAX</v>
          </cell>
          <cell r="C342">
            <v>166.72185000000036</v>
          </cell>
          <cell r="D342">
            <v>139.34701999999925</v>
          </cell>
          <cell r="E342">
            <v>137.46600000000007</v>
          </cell>
          <cell r="F342">
            <v>7.0769999999999698</v>
          </cell>
          <cell r="G342">
            <v>210.42820000000029</v>
          </cell>
          <cell r="H342">
            <v>340.27400000000034</v>
          </cell>
        </row>
        <row r="344">
          <cell r="B344" t="str">
            <v>DIVIDEND (%)</v>
          </cell>
          <cell r="C344">
            <v>0.14617924623081921</v>
          </cell>
          <cell r="D344">
            <v>0.13650183343445801</v>
          </cell>
          <cell r="E344">
            <v>5.1295629457035939E-2</v>
          </cell>
          <cell r="F344">
            <v>0</v>
          </cell>
          <cell r="G344">
            <v>1.2938197356967636E-2</v>
          </cell>
          <cell r="H344">
            <v>0</v>
          </cell>
        </row>
        <row r="346">
          <cell r="B346" t="str">
            <v>SHARE CAPITAL</v>
          </cell>
          <cell r="C346">
            <v>298.60599999999999</v>
          </cell>
          <cell r="D346">
            <v>303.25600000000003</v>
          </cell>
          <cell r="E346">
            <v>283.26</v>
          </cell>
          <cell r="F346">
            <v>268.536</v>
          </cell>
          <cell r="G346">
            <v>252.73999999999998</v>
          </cell>
          <cell r="H346">
            <v>279.74</v>
          </cell>
        </row>
        <row r="348">
          <cell r="B348" t="str">
            <v>RESERVES</v>
          </cell>
          <cell r="C348">
            <v>240.446</v>
          </cell>
          <cell r="D348">
            <v>445.875</v>
          </cell>
          <cell r="E348">
            <v>532.72</v>
          </cell>
          <cell r="F348">
            <v>447.12</v>
          </cell>
          <cell r="G348">
            <v>591.08699999999999</v>
          </cell>
          <cell r="H348">
            <v>1314.356</v>
          </cell>
        </row>
        <row r="350">
          <cell r="B350" t="str">
            <v>BORROWINGS</v>
          </cell>
          <cell r="C350">
            <v>697.56999999999994</v>
          </cell>
          <cell r="D350">
            <v>822.31799999999998</v>
          </cell>
          <cell r="E350">
            <v>1200.72</v>
          </cell>
          <cell r="F350">
            <v>840.28</v>
          </cell>
          <cell r="G350">
            <v>778.40700000000004</v>
          </cell>
          <cell r="H350">
            <v>1217.059</v>
          </cell>
        </row>
        <row r="352">
          <cell r="B352" t="str">
            <v>CAPITAL EMPLOYED</v>
          </cell>
          <cell r="C352">
            <v>1325.989</v>
          </cell>
          <cell r="D352">
            <v>1951.5390000000002</v>
          </cell>
          <cell r="E352">
            <v>2252.94</v>
          </cell>
          <cell r="F352">
            <v>1595.4609999999998</v>
          </cell>
          <cell r="G352">
            <v>1730.8739999999998</v>
          </cell>
          <cell r="H352">
            <v>2913.1400000000003</v>
          </cell>
        </row>
        <row r="354">
          <cell r="B354" t="str">
            <v>NET WORTH</v>
          </cell>
          <cell r="C354">
            <v>535.05200000000002</v>
          </cell>
          <cell r="D354">
            <v>745.69100000000003</v>
          </cell>
          <cell r="E354">
            <v>813.10400000000004</v>
          </cell>
          <cell r="F354">
            <v>713.33999999999992</v>
          </cell>
          <cell r="G354">
            <v>842.072</v>
          </cell>
          <cell r="H354">
            <v>1592.3409999999999</v>
          </cell>
        </row>
        <row r="356">
          <cell r="B356" t="str">
            <v>GROSS BLOCK</v>
          </cell>
          <cell r="C356">
            <v>1006.83</v>
          </cell>
          <cell r="D356">
            <v>1474.41</v>
          </cell>
          <cell r="E356">
            <v>1648.41</v>
          </cell>
          <cell r="F356">
            <v>1687.9490000000001</v>
          </cell>
          <cell r="G356">
            <v>2004.2759999999998</v>
          </cell>
          <cell r="H356">
            <v>2627.8779999999997</v>
          </cell>
        </row>
        <row r="358">
          <cell r="B358" t="str">
            <v>NET BLOCK</v>
          </cell>
          <cell r="C358">
            <v>875.88000000000011</v>
          </cell>
          <cell r="D358">
            <v>1289.27</v>
          </cell>
          <cell r="E358">
            <v>1391.48</v>
          </cell>
          <cell r="F358">
            <v>1037.0590000000002</v>
          </cell>
          <cell r="G358">
            <v>1136.5559999999998</v>
          </cell>
          <cell r="H358">
            <v>1625.1539999999998</v>
          </cell>
        </row>
        <row r="359">
          <cell r="B359">
            <v>0</v>
          </cell>
        </row>
        <row r="360">
          <cell r="B360" t="str">
            <v>DEBT-EQUITY RATIO</v>
          </cell>
          <cell r="C360">
            <v>0.81012686617375484</v>
          </cell>
          <cell r="D360">
            <v>0.71058655663002523</v>
          </cell>
          <cell r="E360">
            <v>0.95699935063657282</v>
          </cell>
          <cell r="F360">
            <v>0.95014999859814397</v>
          </cell>
          <cell r="G360">
            <v>0.79835215991031638</v>
          </cell>
          <cell r="H360">
            <v>0.64047336594360127</v>
          </cell>
        </row>
        <row r="362">
          <cell r="B362" t="str">
            <v>NUMBER OF SHARES</v>
          </cell>
          <cell r="C362">
            <v>2617760</v>
          </cell>
          <cell r="D362">
            <v>2617760</v>
          </cell>
          <cell r="E362">
            <v>2617799.9999999995</v>
          </cell>
          <cell r="F362">
            <v>2495560</v>
          </cell>
          <cell r="G362">
            <v>2459839.9999999995</v>
          </cell>
          <cell r="H362">
            <v>2459840</v>
          </cell>
        </row>
        <row r="364">
          <cell r="B364" t="str">
            <v>BOOK VALUE PER SHARE AT YEAR END</v>
          </cell>
          <cell r="C364">
            <v>20.439306888332009</v>
          </cell>
          <cell r="D364">
            <v>28.485842858016017</v>
          </cell>
          <cell r="E364">
            <v>31.060585224234096</v>
          </cell>
          <cell r="F364">
            <v>28.584365833720682</v>
          </cell>
          <cell r="G364">
            <v>34.232795628984</v>
          </cell>
          <cell r="H364">
            <v>64.733519253284754</v>
          </cell>
        </row>
        <row r="366">
          <cell r="B366" t="str">
            <v>EARNINGS PER SHARE</v>
          </cell>
          <cell r="C366">
            <v>6.3688745339527069</v>
          </cell>
          <cell r="D366">
            <v>5.3231396308293828</v>
          </cell>
          <cell r="E366">
            <v>5.2512033004813237</v>
          </cell>
          <cell r="F366">
            <v>0.28358364455272439</v>
          </cell>
          <cell r="G366">
            <v>8.554548263301692</v>
          </cell>
          <cell r="H366">
            <v>13.833176141537674</v>
          </cell>
        </row>
        <row r="368">
          <cell r="B368" t="str">
            <v>NET SALES PER SHARE</v>
          </cell>
          <cell r="C368">
            <v>108.86009412627591</v>
          </cell>
          <cell r="D368">
            <v>0</v>
          </cell>
          <cell r="E368">
            <v>113.65306746122701</v>
          </cell>
          <cell r="F368">
            <v>0</v>
          </cell>
          <cell r="G368">
            <v>182.83018407701317</v>
          </cell>
          <cell r="H368">
            <v>0</v>
          </cell>
        </row>
        <row r="370">
          <cell r="B370" t="str">
            <v>DIVIDEND PER SHARE</v>
          </cell>
          <cell r="C370">
            <v>1.6674561457123649</v>
          </cell>
          <cell r="D370">
            <v>5.2144517998005168E-3</v>
          </cell>
          <cell r="E370">
            <v>1.5812896325158534</v>
          </cell>
          <cell r="F370">
            <v>2.0554757031301966E-3</v>
          </cell>
          <cell r="G370">
            <v>0.59068882528944988</v>
          </cell>
          <cell r="H370">
            <v>0</v>
          </cell>
        </row>
        <row r="372">
          <cell r="B372" t="str">
            <v>PAY-OUT RATIO</v>
          </cell>
          <cell r="C372">
            <v>0.26181331361186255</v>
          </cell>
          <cell r="D372">
            <v>0.29706412092630491</v>
          </cell>
          <cell r="E372">
            <v>0.10569886371902865</v>
          </cell>
          <cell r="F372">
            <v>0</v>
          </cell>
          <cell r="G372">
            <v>1.5539742296897448E-2</v>
          </cell>
          <cell r="H372">
            <v>0</v>
          </cell>
        </row>
        <row r="374">
          <cell r="B374" t="str">
            <v>CURRENT RATIO</v>
          </cell>
          <cell r="C374">
            <v>1.4091554260469052</v>
          </cell>
          <cell r="D374">
            <v>1.5945967646711539</v>
          </cell>
          <cell r="E374">
            <v>1.6878864054502067</v>
          </cell>
          <cell r="F374">
            <v>2.2985801602065221</v>
          </cell>
          <cell r="G374">
            <v>2.611065033546113</v>
          </cell>
          <cell r="H374">
            <v>3.0768747970323003</v>
          </cell>
        </row>
        <row r="376">
          <cell r="B376" t="str">
            <v>LIQUID RATIO</v>
          </cell>
          <cell r="C376">
            <v>1.0806003352602969</v>
          </cell>
          <cell r="D376">
            <v>1.28975085606329</v>
          </cell>
          <cell r="E376">
            <v>1.4041550540102374</v>
          </cell>
          <cell r="F376">
            <v>1.432781595231768</v>
          </cell>
          <cell r="G376">
            <v>1.5919333817147765</v>
          </cell>
          <cell r="H376">
            <v>1.810209587569634</v>
          </cell>
        </row>
        <row r="377">
          <cell r="B377" t="str">
            <v>EVA (ECONOMIC VALUE ADDITION)</v>
          </cell>
          <cell r="C377" t="e">
            <v>#REF!</v>
          </cell>
          <cell r="D377" t="e">
            <v>#REF!</v>
          </cell>
          <cell r="E377" t="e">
            <v>#REF!</v>
          </cell>
          <cell r="F377" t="e">
            <v>#REF!</v>
          </cell>
          <cell r="G377" t="e">
            <v>#REF!</v>
          </cell>
          <cell r="H377" t="e">
            <v>#REF!</v>
          </cell>
        </row>
        <row r="379">
          <cell r="B379" t="str">
            <v>EVA (% OF CAPITAL EMPLOYED)</v>
          </cell>
          <cell r="C379" t="e">
            <v>#REF!</v>
          </cell>
          <cell r="D379" t="e">
            <v>#REF!</v>
          </cell>
          <cell r="E379" t="e">
            <v>#REF!</v>
          </cell>
          <cell r="F379" t="e">
            <v>#REF!</v>
          </cell>
          <cell r="G379" t="e">
            <v>#REF!</v>
          </cell>
          <cell r="H379" t="e">
            <v>#REF!</v>
          </cell>
        </row>
        <row r="381">
          <cell r="B381" t="str">
            <v>RETURN ON NET WORTH</v>
          </cell>
          <cell r="C381">
            <v>0.31159933987724625</v>
          </cell>
          <cell r="D381">
            <v>0.18686965512524523</v>
          </cell>
          <cell r="E381">
            <v>0.16906324406226025</v>
          </cell>
          <cell r="F381">
            <v>9.9209353183614696E-3</v>
          </cell>
          <cell r="G381">
            <v>0.24989335828765272</v>
          </cell>
          <cell r="H381">
            <v>0.21369417731503515</v>
          </cell>
        </row>
        <row r="383">
          <cell r="B383" t="str">
            <v>FIXED ASSETS  PER SHARE</v>
          </cell>
          <cell r="C383">
            <v>33.459140639325227</v>
          </cell>
          <cell r="D383">
            <v>49.250886253896461</v>
          </cell>
          <cell r="E383">
            <v>53.154557261822916</v>
          </cell>
          <cell r="F383">
            <v>41.556163746814349</v>
          </cell>
          <cell r="G383">
            <v>46.204468583322495</v>
          </cell>
          <cell r="H383">
            <v>66.067467802783909</v>
          </cell>
        </row>
        <row r="386">
          <cell r="B386" t="str">
            <v>=</v>
          </cell>
          <cell r="C386" t="str">
            <v>=</v>
          </cell>
          <cell r="D386" t="str">
            <v>=</v>
          </cell>
          <cell r="E386" t="str">
            <v>=</v>
          </cell>
          <cell r="F386" t="str">
            <v>=</v>
          </cell>
          <cell r="G386" t="str">
            <v>=</v>
          </cell>
          <cell r="H386" t="str">
            <v>=</v>
          </cell>
        </row>
      </sheetData>
      <sheetData sheetId="4" refreshError="1"/>
      <sheetData sheetId="5" refreshError="1"/>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Bsheet &amp; P&amp; L "/>
      <sheetName val="depreciation"/>
      <sheetName val="comp31.3.02"/>
      <sheetName val="P&amp;L  Mar31.3.02"/>
      <sheetName val="80IB +80HHC  31.3.02"/>
      <sheetName val="80IB+80 HHC"/>
      <sheetName val="compu-gau"/>
      <sheetName val="Sheet1"/>
      <sheetName val="BS &amp; Pr &amp; Loss (2)"/>
      <sheetName val="Stock Reco."/>
      <sheetName val="ratios"/>
      <sheetName val="final__Bsheet_&amp;_P&amp;_L_1"/>
      <sheetName val="comp31_3_021"/>
      <sheetName val="P&amp;L__Mar31_3_021"/>
      <sheetName val="80IB_+80HHC__31_3_021"/>
      <sheetName val="80IB+80_HHC1"/>
      <sheetName val="BS_&amp;_Pr_&amp;_Loss_(2)1"/>
      <sheetName val="Stock_Reco_1"/>
      <sheetName val="final__Bsheet_&amp;_P&amp;_L_"/>
      <sheetName val="comp31_3_02"/>
      <sheetName val="P&amp;L__Mar31_3_02"/>
      <sheetName val="80IB_+80HHC__31_3_02"/>
      <sheetName val="80IB+80_HHC"/>
      <sheetName val="BS_&amp;_Pr_&amp;_Loss_(2)"/>
      <sheetName val="Stock_Reco_"/>
      <sheetName val="final__Bsheet_&amp;_P&amp;_L_2"/>
      <sheetName val="comp31_3_022"/>
      <sheetName val="P&amp;L__Mar31_3_022"/>
      <sheetName val="80IB_+80HHC__31_3_022"/>
      <sheetName val="80IB+80_HHC2"/>
      <sheetName val="BS_&amp;_Pr_&amp;_Loss_(2)2"/>
      <sheetName val="Stock_Reco_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_Gains"/>
      <sheetName val="Sheet1"/>
    </sheetNames>
    <sheetDataSet>
      <sheetData sheetId="0"/>
      <sheetData sheetId="1">
        <row r="1">
          <cell r="A1" t="str">
            <v>N/A</v>
          </cell>
          <cell r="B1" t="str">
            <v>Aarti Industries Ltd.</v>
          </cell>
          <cell r="C1" t="str">
            <v>Residential</v>
          </cell>
        </row>
        <row r="2">
          <cell r="A2" t="str">
            <v>No</v>
          </cell>
          <cell r="B2" t="str">
            <v>Aban Loyd Chiles Offshore Ltd.</v>
          </cell>
          <cell r="C2" t="str">
            <v>Other</v>
          </cell>
        </row>
        <row r="3">
          <cell r="A3" t="str">
            <v>Yes</v>
          </cell>
          <cell r="B3" t="str">
            <v>Abbott India Ltd.</v>
          </cell>
          <cell r="C3" t="str">
            <v>Shares/Units</v>
          </cell>
        </row>
        <row r="4">
          <cell r="B4" t="str">
            <v>Adani Exports Ltd.</v>
          </cell>
          <cell r="C4" t="str">
            <v>Land</v>
          </cell>
        </row>
        <row r="5">
          <cell r="B5" t="str">
            <v>AFT Industries Ltd.</v>
          </cell>
          <cell r="C5" t="str">
            <v>Debentures</v>
          </cell>
        </row>
        <row r="6">
          <cell r="B6" t="str">
            <v>Aftek Infosys Ltd.</v>
          </cell>
        </row>
        <row r="7">
          <cell r="B7" t="str">
            <v>Agro Dutch Industries Ltd.</v>
          </cell>
        </row>
        <row r="8">
          <cell r="B8" t="str">
            <v>Agro Tech Foods Ltd.</v>
          </cell>
        </row>
        <row r="9">
          <cell r="B9" t="str">
            <v>Ahmedabad Electricity Co.Ltd.</v>
          </cell>
        </row>
        <row r="10">
          <cell r="B10" t="str">
            <v>Ajanta Pharma Ltd.</v>
          </cell>
        </row>
        <row r="11">
          <cell r="B11" t="str">
            <v>Aksh Optifibre Ltd.</v>
          </cell>
        </row>
        <row r="12">
          <cell r="B12" t="str">
            <v>Albright &amp; Wilson Chemicals India Ltd.</v>
          </cell>
        </row>
        <row r="13">
          <cell r="B13" t="str">
            <v>Alembic Ltd.</v>
          </cell>
        </row>
        <row r="14">
          <cell r="B14" t="str">
            <v>Alfa Laval (India) Ltd.</v>
          </cell>
        </row>
        <row r="15">
          <cell r="B15" t="str">
            <v>Alps Industries Ltd.</v>
          </cell>
        </row>
        <row r="16">
          <cell r="B16" t="str">
            <v>Alstom Ltd.</v>
          </cell>
        </row>
        <row r="17">
          <cell r="B17" t="str">
            <v>Alstom Power India Ltd.</v>
          </cell>
        </row>
        <row r="18">
          <cell r="B18" t="str">
            <v>Amara Raja Batteries Ltd.</v>
          </cell>
        </row>
        <row r="19">
          <cell r="B19" t="str">
            <v>Ambalal Sarabhai Enterprise Ltd.</v>
          </cell>
        </row>
        <row r="20">
          <cell r="B20" t="str">
            <v>Amtrex Hitachi Appliances Ltd.</v>
          </cell>
        </row>
        <row r="21">
          <cell r="B21" t="str">
            <v>Andhra Bank</v>
          </cell>
        </row>
        <row r="22">
          <cell r="B22" t="str">
            <v>Apollo Hospitals Enterprises Ltd.</v>
          </cell>
        </row>
        <row r="23">
          <cell r="B23" t="str">
            <v>Apollo Tyres Ltd.</v>
          </cell>
        </row>
        <row r="24">
          <cell r="B24" t="str">
            <v>Archies Greetings &amp; Gifts Ltd.</v>
          </cell>
        </row>
        <row r="25">
          <cell r="B25" t="str">
            <v>Arvind Mills Ltd.</v>
          </cell>
        </row>
        <row r="26">
          <cell r="B26" t="str">
            <v>Asea Brown Boveri Ltd.</v>
          </cell>
        </row>
        <row r="27">
          <cell r="B27" t="str">
            <v>Ashima Ltd.</v>
          </cell>
        </row>
        <row r="28">
          <cell r="B28" t="str">
            <v>Ashok Leyland Finance Ltd.</v>
          </cell>
        </row>
        <row r="29">
          <cell r="B29" t="str">
            <v>Ashok Leyland Ltd.</v>
          </cell>
        </row>
        <row r="30">
          <cell r="B30" t="str">
            <v>Asian Hotels Ltd.</v>
          </cell>
        </row>
        <row r="31">
          <cell r="B31" t="str">
            <v>Asian Paints (India) Ltd.</v>
          </cell>
        </row>
        <row r="32">
          <cell r="B32" t="str">
            <v>Assam Company Ltd.</v>
          </cell>
        </row>
        <row r="33">
          <cell r="B33" t="str">
            <v>Associated Cement Cos. Ltd.</v>
          </cell>
        </row>
        <row r="34">
          <cell r="B34" t="str">
            <v>AstraZeneca Pharma India Ltd.</v>
          </cell>
        </row>
        <row r="35">
          <cell r="B35" t="str">
            <v>Atcom Technologies Ltd.</v>
          </cell>
        </row>
        <row r="36">
          <cell r="B36" t="str">
            <v>Atlas Copco (India) Ltd.</v>
          </cell>
        </row>
        <row r="37">
          <cell r="B37" t="str">
            <v>Atul Ltd.</v>
          </cell>
        </row>
        <row r="38">
          <cell r="B38" t="str">
            <v>Aurobindo Pharma Ltd.</v>
          </cell>
        </row>
        <row r="39">
          <cell r="B39" t="str">
            <v>Automotive Axles Ltd.</v>
          </cell>
        </row>
        <row r="40">
          <cell r="B40" t="str">
            <v>Aventis Crop Science India Ltd.</v>
          </cell>
        </row>
        <row r="41">
          <cell r="B41" t="str">
            <v>Aventis Pharma Ltd.</v>
          </cell>
        </row>
        <row r="42">
          <cell r="B42" t="str">
            <v>Avon Organics Ltd.</v>
          </cell>
        </row>
        <row r="43">
          <cell r="B43" t="str">
            <v>Aztec Software and Technolgy Services Ltd.</v>
          </cell>
        </row>
        <row r="44">
          <cell r="B44" t="str">
            <v>Bajaj Auto Finance Ltd.</v>
          </cell>
        </row>
        <row r="45">
          <cell r="B45" t="str">
            <v>Bajaj Auto Ltd.</v>
          </cell>
        </row>
        <row r="46">
          <cell r="B46" t="str">
            <v>Bajaj Hindustan Ltd.</v>
          </cell>
        </row>
        <row r="47">
          <cell r="B47" t="str">
            <v>Balaji Distilleries Ltd.</v>
          </cell>
        </row>
        <row r="48">
          <cell r="B48" t="str">
            <v>Balaji Telefilms Ltd.</v>
          </cell>
        </row>
        <row r="49">
          <cell r="B49" t="str">
            <v>Ballarpur Industries Ltd.</v>
          </cell>
        </row>
        <row r="50">
          <cell r="B50" t="str">
            <v>Balrampur Chini Mills Ltd.</v>
          </cell>
        </row>
        <row r="51">
          <cell r="B51" t="str">
            <v>Bank Of Baroda</v>
          </cell>
        </row>
        <row r="52">
          <cell r="B52" t="str">
            <v>Bank of India</v>
          </cell>
        </row>
        <row r="53">
          <cell r="B53" t="str">
            <v>Bank Of Punjab Ltd.</v>
          </cell>
        </row>
        <row r="54">
          <cell r="B54" t="str">
            <v>Bannari Amman Sugars Ltd.</v>
          </cell>
        </row>
        <row r="55">
          <cell r="B55" t="str">
            <v>BASF India Ltd.</v>
          </cell>
        </row>
        <row r="56">
          <cell r="B56" t="str">
            <v>Bata India Ltd.</v>
          </cell>
        </row>
        <row r="57">
          <cell r="B57" t="str">
            <v>Bayer (India) Ltd.</v>
          </cell>
        </row>
        <row r="58">
          <cell r="B58" t="str">
            <v>Bayer ABS Ltd.</v>
          </cell>
        </row>
        <row r="59">
          <cell r="B59" t="str">
            <v>Berger Paints India Ltd.</v>
          </cell>
        </row>
        <row r="60">
          <cell r="B60" t="str">
            <v>Bharat Earth Movers Ltd.</v>
          </cell>
        </row>
        <row r="61">
          <cell r="B61" t="str">
            <v>Bharat Electronics Ltd.</v>
          </cell>
        </row>
        <row r="62">
          <cell r="B62" t="str">
            <v>Bharat Forge Ltd.</v>
          </cell>
        </row>
        <row r="63">
          <cell r="B63" t="str">
            <v>Bharat Heavy Electricals Ltd.</v>
          </cell>
        </row>
        <row r="64">
          <cell r="B64" t="str">
            <v>Bharat Petroleum Corpn. Ltd.</v>
          </cell>
        </row>
        <row r="65">
          <cell r="B65" t="str">
            <v>Bharti Tele-Ventures Ltd.</v>
          </cell>
        </row>
        <row r="66">
          <cell r="B66" t="str">
            <v>Bhartiya International Ltd.</v>
          </cell>
        </row>
        <row r="67">
          <cell r="B67" t="str">
            <v>Bhushan Steel &amp; Strips Ltd.</v>
          </cell>
        </row>
        <row r="68">
          <cell r="B68" t="str">
            <v>Binani Industries Ltd.</v>
          </cell>
        </row>
        <row r="69">
          <cell r="B69" t="str">
            <v>Birla 3M Ltd.</v>
          </cell>
        </row>
        <row r="70">
          <cell r="B70" t="str">
            <v>Birla Corporation Ltd.</v>
          </cell>
        </row>
        <row r="71">
          <cell r="B71" t="str">
            <v>Birla Ericsson Opticaal Ltd.</v>
          </cell>
        </row>
        <row r="72">
          <cell r="B72" t="str">
            <v>Birla Global Finance Ltd.</v>
          </cell>
        </row>
        <row r="73">
          <cell r="B73" t="str">
            <v>Blow Plast Ltd.</v>
          </cell>
        </row>
        <row r="74">
          <cell r="B74" t="str">
            <v>Blue Dart Express Ltd.</v>
          </cell>
        </row>
        <row r="75">
          <cell r="B75" t="str">
            <v>Blue Star Ltd.</v>
          </cell>
        </row>
        <row r="76">
          <cell r="B76" t="str">
            <v>BOC India Ltd.</v>
          </cell>
        </row>
        <row r="77">
          <cell r="B77" t="str">
            <v>Bombay Burmah Trading Corpn. Ltd.</v>
          </cell>
        </row>
        <row r="78">
          <cell r="B78" t="str">
            <v>Bombay Dyeing &amp; Mfg. Co. Ltd.</v>
          </cell>
        </row>
        <row r="79">
          <cell r="B79" t="str">
            <v>BPL Ltd.</v>
          </cell>
        </row>
        <row r="80">
          <cell r="B80" t="str">
            <v>Britannia Industries Ltd.</v>
          </cell>
        </row>
        <row r="81">
          <cell r="B81" t="str">
            <v>BSES Ltd.</v>
          </cell>
        </row>
        <row r="82">
          <cell r="B82" t="str">
            <v>Burroughs Wellcome (India) Ltd.</v>
          </cell>
        </row>
        <row r="83">
          <cell r="B83" t="str">
            <v>Cadila Healthcare Ltd.</v>
          </cell>
        </row>
        <row r="84">
          <cell r="B84" t="str">
            <v>Carborundum Universal Ltd.</v>
          </cell>
        </row>
        <row r="85">
          <cell r="B85" t="str">
            <v>Carrier Aircon Ltd.</v>
          </cell>
        </row>
        <row r="86">
          <cell r="B86" t="str">
            <v>Castrol India Ltd.</v>
          </cell>
        </row>
        <row r="87">
          <cell r="B87" t="str">
            <v>Ceat Ltd.</v>
          </cell>
        </row>
        <row r="88">
          <cell r="B88" t="str">
            <v>Centurion Bank Ltd.</v>
          </cell>
        </row>
        <row r="89">
          <cell r="B89" t="str">
            <v>Century Enka Ltd.</v>
          </cell>
        </row>
        <row r="90">
          <cell r="B90" t="str">
            <v>Century Textiles &amp; Industries Ltd.</v>
          </cell>
        </row>
        <row r="91">
          <cell r="B91" t="str">
            <v>CESC Ltd.</v>
          </cell>
        </row>
        <row r="92">
          <cell r="B92" t="str">
            <v>CG Igarashi Motars Ltd.</v>
          </cell>
        </row>
        <row r="93">
          <cell r="B93" t="str">
            <v>Chambal Fertilisers &amp; Chemicals Ltd.</v>
          </cell>
        </row>
        <row r="94">
          <cell r="B94" t="str">
            <v>Chemplast Sanmar Ltd.</v>
          </cell>
        </row>
        <row r="95">
          <cell r="B95" t="str">
            <v>Chennai Petroleum Corporation Ltd.</v>
          </cell>
        </row>
        <row r="96">
          <cell r="B96" t="str">
            <v>Ciba Speciality Chemicals (India) Ltd.</v>
          </cell>
        </row>
        <row r="97">
          <cell r="B97" t="str">
            <v>Cinevistaas Ltd</v>
          </cell>
        </row>
        <row r="98">
          <cell r="B98" t="str">
            <v>Cipla Ltd.</v>
          </cell>
        </row>
        <row r="99">
          <cell r="B99" t="str">
            <v>Clariant (India) Ltd.</v>
          </cell>
        </row>
        <row r="100">
          <cell r="B100" t="str">
            <v>CMC Ltd.</v>
          </cell>
        </row>
        <row r="101">
          <cell r="B101" t="str">
            <v>Coates of India Ltd.</v>
          </cell>
        </row>
        <row r="102">
          <cell r="B102" t="str">
            <v>Colgate-Palmolive (India) Ltd.</v>
          </cell>
        </row>
        <row r="103">
          <cell r="B103" t="str">
            <v>Colour Chem Ltd.</v>
          </cell>
        </row>
        <row r="104">
          <cell r="B104" t="str">
            <v>Computech International Ltd.</v>
          </cell>
        </row>
        <row r="105">
          <cell r="B105" t="str">
            <v>Container Corporation Of India Ltd.</v>
          </cell>
        </row>
        <row r="106">
          <cell r="B106" t="str">
            <v>Core Healthcare Ltd.</v>
          </cell>
        </row>
        <row r="107">
          <cell r="B107" t="str">
            <v>Corporation Bank</v>
          </cell>
        </row>
        <row r="108">
          <cell r="B108" t="str">
            <v>Credit Rating Information Services</v>
          </cell>
        </row>
        <row r="109">
          <cell r="B109" t="str">
            <v>Crest Communications Ltd.</v>
          </cell>
        </row>
        <row r="110">
          <cell r="B110" t="str">
            <v>Crompton Greaves Ltd.</v>
          </cell>
        </row>
        <row r="111">
          <cell r="B111" t="str">
            <v>Cummins India Ltd.</v>
          </cell>
        </row>
        <row r="112">
          <cell r="B112" t="str">
            <v>Cybertech Systems and Software Ltd.</v>
          </cell>
        </row>
        <row r="113">
          <cell r="B113" t="str">
            <v>Dabur India Ltd.</v>
          </cell>
        </row>
        <row r="114">
          <cell r="B114" t="str">
            <v>Daewoo Motors India Ltd.</v>
          </cell>
        </row>
        <row r="115">
          <cell r="B115" t="str">
            <v>Dalmia Cement (Bharat) Ltd.</v>
          </cell>
        </row>
        <row r="116">
          <cell r="B116" t="str">
            <v>Deepak Fertilizers &amp;Petrochemicals</v>
          </cell>
        </row>
        <row r="117">
          <cell r="B117" t="str">
            <v>Dena Bank</v>
          </cell>
        </row>
        <row r="118">
          <cell r="B118" t="str">
            <v>Digital Globalsoft Ltd.</v>
          </cell>
        </row>
        <row r="119">
          <cell r="B119" t="str">
            <v>Dr. Reddys Laboratories Ltd.</v>
          </cell>
        </row>
        <row r="120">
          <cell r="B120" t="str">
            <v>Dredging Corporation of India Ltd.</v>
          </cell>
        </row>
        <row r="121">
          <cell r="B121" t="str">
            <v>DSQ Software Ltd.</v>
          </cell>
        </row>
        <row r="122">
          <cell r="B122" t="str">
            <v>Duphar-Interfran Ltd.</v>
          </cell>
        </row>
        <row r="123">
          <cell r="B123" t="str">
            <v>E.I.D. Parry (India) Ltd.</v>
          </cell>
        </row>
        <row r="124">
          <cell r="B124" t="str">
            <v>Eicher Motors Ltd.</v>
          </cell>
        </row>
        <row r="125">
          <cell r="B125" t="str">
            <v>EIH Ltd.</v>
          </cell>
        </row>
        <row r="126">
          <cell r="B126" t="str">
            <v>Elbee Services Ltd.</v>
          </cell>
        </row>
        <row r="127">
          <cell r="B127" t="str">
            <v>Elder Pharmaceuticals Ltd.</v>
          </cell>
        </row>
        <row r="128">
          <cell r="B128" t="str">
            <v>Electrolux Kelvinator Ltd.</v>
          </cell>
        </row>
        <row r="129">
          <cell r="B129" t="str">
            <v>Electrosteel Castings Ltd.</v>
          </cell>
        </row>
        <row r="130">
          <cell r="B130" t="str">
            <v>Elgi Equipments Ltd.</v>
          </cell>
        </row>
        <row r="131">
          <cell r="B131" t="str">
            <v>EMCO Ltd.</v>
          </cell>
        </row>
        <row r="132">
          <cell r="B132" t="str">
            <v>Engineers India Ltd.</v>
          </cell>
        </row>
        <row r="133">
          <cell r="B133" t="str">
            <v>Esab India Ltd.</v>
          </cell>
        </row>
        <row r="134">
          <cell r="B134" t="str">
            <v>Escorts Ltd.</v>
          </cell>
        </row>
        <row r="135">
          <cell r="B135" t="str">
            <v>e-Serve International Ltd.</v>
          </cell>
        </row>
        <row r="136">
          <cell r="B136" t="str">
            <v>Eskay KnIT (India) Ltd.</v>
          </cell>
        </row>
        <row r="137">
          <cell r="B137" t="str">
            <v>Essar Oil Ltd.</v>
          </cell>
        </row>
        <row r="138">
          <cell r="B138" t="str">
            <v>Essar Shipping Ltd.</v>
          </cell>
        </row>
        <row r="139">
          <cell r="B139" t="str">
            <v>Essar Steel Ltd.</v>
          </cell>
        </row>
        <row r="140">
          <cell r="B140" t="str">
            <v>Essel Propack Ltd.</v>
          </cell>
        </row>
        <row r="141">
          <cell r="B141" t="str">
            <v>ETC Networks Ltd.</v>
          </cell>
        </row>
        <row r="142">
          <cell r="B142" t="str">
            <v>Eveready Industries India Ltd.</v>
          </cell>
        </row>
        <row r="143">
          <cell r="B143" t="str">
            <v>Excell Industries Ltd.</v>
          </cell>
        </row>
        <row r="144">
          <cell r="B144" t="str">
            <v>Exide Industries Ltd.</v>
          </cell>
        </row>
        <row r="145">
          <cell r="B145" t="str">
            <v>Fag Bearings India Ltd.</v>
          </cell>
        </row>
        <row r="146">
          <cell r="B146" t="str">
            <v>FCL Technologies &amp; Products Ltd.</v>
          </cell>
        </row>
        <row r="147">
          <cell r="B147" t="str">
            <v>FDC Ltd.</v>
          </cell>
        </row>
        <row r="148">
          <cell r="B148" t="str">
            <v>Federal Bank Ltd.</v>
          </cell>
        </row>
        <row r="149">
          <cell r="B149" t="str">
            <v>Finolex Cables Ltd.</v>
          </cell>
        </row>
        <row r="150">
          <cell r="B150" t="str">
            <v>Finolex Industries Ltd.</v>
          </cell>
        </row>
        <row r="151">
          <cell r="B151" t="str">
            <v>Flex Industries Ltd.</v>
          </cell>
        </row>
        <row r="152">
          <cell r="B152" t="str">
            <v>Floatglass India Ltd.</v>
          </cell>
        </row>
        <row r="153">
          <cell r="B153" t="str">
            <v>Forbes Gokak Ltd.</v>
          </cell>
        </row>
        <row r="154">
          <cell r="B154" t="str">
            <v>Foseco India Ltd.</v>
          </cell>
        </row>
        <row r="155">
          <cell r="B155" t="str">
            <v>Fulford (India) Ltd.</v>
          </cell>
        </row>
        <row r="156">
          <cell r="B156" t="str">
            <v>Gail (India) Ltd.</v>
          </cell>
        </row>
        <row r="157">
          <cell r="B157" t="str">
            <v>Gammon India Ltd.</v>
          </cell>
        </row>
        <row r="158">
          <cell r="B158" t="str">
            <v>Geometric Software Solutions Co.Ltd.</v>
          </cell>
        </row>
        <row r="159">
          <cell r="B159" t="str">
            <v>George Williamson (Assam)</v>
          </cell>
        </row>
        <row r="160">
          <cell r="B160" t="str">
            <v>German Remedies Ltd.</v>
          </cell>
        </row>
        <row r="161">
          <cell r="B161" t="str">
            <v>Gillette India Ltd.</v>
          </cell>
        </row>
        <row r="162">
          <cell r="B162" t="str">
            <v>GlaxoSmithkline Consumer Healthcare Ltd.</v>
          </cell>
        </row>
        <row r="163">
          <cell r="B163" t="str">
            <v>GlaxoSmithKline Pharmaceuticals Ltd.</v>
          </cell>
        </row>
        <row r="164">
          <cell r="B164" t="str">
            <v>Glenmark Pharmaceuticals Ltd.</v>
          </cell>
        </row>
        <row r="165">
          <cell r="B165" t="str">
            <v>Global Trust Bank Ltd.</v>
          </cell>
        </row>
        <row r="166">
          <cell r="B166" t="str">
            <v>Godfrey Phillips India Ltd.</v>
          </cell>
        </row>
        <row r="167">
          <cell r="B167" t="str">
            <v>Godrej Consumer Products Ltd.</v>
          </cell>
        </row>
        <row r="168">
          <cell r="B168" t="str">
            <v>Godrej Industries Ltd.</v>
          </cell>
        </row>
        <row r="169">
          <cell r="B169" t="str">
            <v>Goetze (India) Ltd.</v>
          </cell>
        </row>
        <row r="170">
          <cell r="B170" t="str">
            <v>Goldiam International Ltd.</v>
          </cell>
        </row>
        <row r="171">
          <cell r="B171" t="str">
            <v>Goodlass Nerolac Paints Ltd.</v>
          </cell>
        </row>
        <row r="172">
          <cell r="B172" t="str">
            <v>Goodricke Group Ltd.</v>
          </cell>
        </row>
        <row r="173">
          <cell r="B173" t="str">
            <v>Goodyear India Ltd.</v>
          </cell>
        </row>
        <row r="174">
          <cell r="B174" t="str">
            <v>Grasim Industries Ltd.</v>
          </cell>
        </row>
        <row r="175">
          <cell r="B175" t="str">
            <v>Great Eastern Shipping Co. Ltd.</v>
          </cell>
        </row>
        <row r="176">
          <cell r="B176" t="str">
            <v>Greaves Ltd.</v>
          </cell>
        </row>
        <row r="177">
          <cell r="B177" t="str">
            <v>Grindwell Norton Ltd.</v>
          </cell>
        </row>
        <row r="178">
          <cell r="B178" t="str">
            <v>GTL Ltd.</v>
          </cell>
        </row>
        <row r="179">
          <cell r="B179" t="str">
            <v>Gujarat Alkalis &amp; Chemicals Ltd.</v>
          </cell>
        </row>
        <row r="180">
          <cell r="B180" t="str">
            <v>Gujarat Ambuja Cements Ltd.</v>
          </cell>
        </row>
        <row r="181">
          <cell r="B181" t="str">
            <v>Gujarat Fluorochemicals Ltd.</v>
          </cell>
        </row>
        <row r="182">
          <cell r="B182" t="str">
            <v>Gujarat Gas Co. Ltd.</v>
          </cell>
        </row>
        <row r="183">
          <cell r="B183" t="str">
            <v>Gujarat Heavy Chemicals Ltd.</v>
          </cell>
        </row>
        <row r="184">
          <cell r="B184" t="str">
            <v>Gujarat Industries Power Co. Ltd.</v>
          </cell>
        </row>
        <row r="185">
          <cell r="B185" t="str">
            <v>Gujarat Mineral Development Corporation</v>
          </cell>
        </row>
        <row r="186">
          <cell r="B186" t="str">
            <v>Gujarat Narmada Valley Fert.Co.Ltd.</v>
          </cell>
        </row>
        <row r="187">
          <cell r="B187" t="str">
            <v>Gujarat Sidhee Cement Ltd.</v>
          </cell>
        </row>
        <row r="188">
          <cell r="B188" t="str">
            <v>Gujarat State Fertilizers &amp; Chem.Ltd.</v>
          </cell>
        </row>
        <row r="189">
          <cell r="B189" t="str">
            <v>Havells India Ltd.</v>
          </cell>
        </row>
        <row r="190">
          <cell r="B190" t="str">
            <v>HCL Infosystems Ltd.</v>
          </cell>
        </row>
        <row r="191">
          <cell r="B191" t="str">
            <v>HCL Technologies Ltd.</v>
          </cell>
        </row>
        <row r="192">
          <cell r="B192" t="str">
            <v>HDFC Bank Ltd.</v>
          </cell>
        </row>
        <row r="193">
          <cell r="B193" t="str">
            <v>HEG Ltd.</v>
          </cell>
        </row>
        <row r="194">
          <cell r="B194" t="str">
            <v>Henkel Spic India Ltd.</v>
          </cell>
        </row>
        <row r="195">
          <cell r="B195" t="str">
            <v>Hero Honda Motors Ltd.</v>
          </cell>
        </row>
        <row r="196">
          <cell r="B196" t="str">
            <v>Hikal Ltd.</v>
          </cell>
        </row>
        <row r="197">
          <cell r="B197" t="str">
            <v>Himachal Futuristic Communications</v>
          </cell>
        </row>
        <row r="198">
          <cell r="B198" t="str">
            <v>Himatsingka Seide Ltd.</v>
          </cell>
        </row>
        <row r="199">
          <cell r="B199" t="str">
            <v>Hind Lever Chemicals Ltd.</v>
          </cell>
        </row>
        <row r="200">
          <cell r="B200" t="str">
            <v>Hindalco Industries Ltd.</v>
          </cell>
        </row>
        <row r="201">
          <cell r="B201" t="str">
            <v>Hindustan Construction Co. Ltd.</v>
          </cell>
        </row>
        <row r="202">
          <cell r="B202" t="str">
            <v>Hindustan Inks &amp; Resins Ltd.</v>
          </cell>
        </row>
        <row r="203">
          <cell r="B203" t="str">
            <v>Hindustan Lever Ltd.</v>
          </cell>
        </row>
        <row r="204">
          <cell r="B204" t="str">
            <v>Hindustan Motors Ltd.</v>
          </cell>
        </row>
        <row r="205">
          <cell r="B205" t="str">
            <v>Hindustan Oil Exploration Co. Ltd.</v>
          </cell>
        </row>
        <row r="206">
          <cell r="B206" t="str">
            <v>Hindustan Organic Chemicals Ltd.</v>
          </cell>
        </row>
        <row r="207">
          <cell r="B207" t="str">
            <v>Hindustan Petroleum Corporation Ltd.</v>
          </cell>
        </row>
        <row r="208">
          <cell r="B208" t="str">
            <v>Hindustan Powerplus Ltd.</v>
          </cell>
        </row>
        <row r="209">
          <cell r="B209" t="str">
            <v>Hindustan Sanitaryware &amp; Industries</v>
          </cell>
        </row>
        <row r="210">
          <cell r="B210" t="str">
            <v>Hindustan Zinc Ltd.</v>
          </cell>
        </row>
        <row r="211">
          <cell r="B211" t="str">
            <v>HMT Ltd.</v>
          </cell>
        </row>
        <row r="212">
          <cell r="B212" t="str">
            <v>Honda Siel Power Products Ltd.</v>
          </cell>
        </row>
        <row r="213">
          <cell r="B213" t="str">
            <v>Hotel Leela Venture Ltd.</v>
          </cell>
        </row>
        <row r="214">
          <cell r="B214" t="str">
            <v>Housing Development Finance Corp.Lt</v>
          </cell>
        </row>
        <row r="215">
          <cell r="B215" t="str">
            <v>Hughes Software Systems Ltd.</v>
          </cell>
        </row>
        <row r="216">
          <cell r="B216" t="str">
            <v>IBP Co. Ltd.</v>
          </cell>
        </row>
        <row r="217">
          <cell r="B217" t="str">
            <v>ICI India Ltd.</v>
          </cell>
        </row>
        <row r="218">
          <cell r="B218" t="str">
            <v>ICICI Bank Ltd.</v>
          </cell>
        </row>
        <row r="219">
          <cell r="B219" t="str">
            <v>IDBI Bank Ltd.</v>
          </cell>
        </row>
        <row r="220">
          <cell r="B220" t="str">
            <v>IFCI Ltd.</v>
          </cell>
        </row>
        <row r="221">
          <cell r="B221" t="str">
            <v>India Cements Ltd.</v>
          </cell>
        </row>
        <row r="222">
          <cell r="B222" t="str">
            <v>India Glycols Ltd.</v>
          </cell>
        </row>
        <row r="223">
          <cell r="B223" t="str">
            <v>India Gypsum Ltd.</v>
          </cell>
        </row>
        <row r="224">
          <cell r="B224" t="str">
            <v>Indian Aluminium Co. Ltd.</v>
          </cell>
        </row>
        <row r="225">
          <cell r="B225" t="str">
            <v>Indian Hotels Co. Ltd.</v>
          </cell>
        </row>
        <row r="226">
          <cell r="B226" t="str">
            <v>Indian Oil Corporation Ltd.</v>
          </cell>
        </row>
        <row r="227">
          <cell r="B227" t="str">
            <v>Indian Overseas Bank</v>
          </cell>
        </row>
        <row r="228">
          <cell r="B228" t="str">
            <v>Indian Petrochemicals Corpn. Ltd.</v>
          </cell>
        </row>
        <row r="229">
          <cell r="B229" t="str">
            <v>Indian Rayon &amp; Industries Ltd.</v>
          </cell>
        </row>
        <row r="230">
          <cell r="B230" t="str">
            <v>Indo Gulf Corporation Ltd.</v>
          </cell>
        </row>
        <row r="231">
          <cell r="B231" t="str">
            <v>Indo National Ltd.</v>
          </cell>
        </row>
        <row r="232">
          <cell r="B232" t="str">
            <v>Indo Rama Synthetics (India) Ltd.</v>
          </cell>
        </row>
        <row r="233">
          <cell r="B233" t="str">
            <v>Indraprastha Medical Corporation Ltd.</v>
          </cell>
        </row>
        <row r="234">
          <cell r="B234" t="str">
            <v>IndusInd Bank Ltd.</v>
          </cell>
        </row>
        <row r="235">
          <cell r="B235" t="str">
            <v>Industrial Development Bank of India Ltd.</v>
          </cell>
        </row>
        <row r="236">
          <cell r="B236" t="str">
            <v>Information Technologies (India) Lt</v>
          </cell>
        </row>
        <row r="237">
          <cell r="B237" t="str">
            <v>Infosys Technologies Ltd.</v>
          </cell>
        </row>
        <row r="238">
          <cell r="B238" t="str">
            <v>Infotech Enterprises Ltd.</v>
          </cell>
        </row>
        <row r="239">
          <cell r="B239" t="str">
            <v>Ingersoll-Rand (India) Ltd.</v>
          </cell>
        </row>
        <row r="240">
          <cell r="B240" t="str">
            <v>Insilco Ltd.</v>
          </cell>
        </row>
        <row r="241">
          <cell r="B241" t="str">
            <v>IP Rings Ltd.</v>
          </cell>
        </row>
        <row r="242">
          <cell r="B242" t="str">
            <v>Ipca Laboratories Ltd.</v>
          </cell>
        </row>
        <row r="243">
          <cell r="B243" t="str">
            <v>Ispat Industries Ltd.</v>
          </cell>
        </row>
        <row r="244">
          <cell r="B244" t="str">
            <v>ITC Hotels Ltd.</v>
          </cell>
        </row>
        <row r="245">
          <cell r="B245" t="str">
            <v>ITC Ltd.</v>
          </cell>
        </row>
        <row r="246">
          <cell r="B246" t="str">
            <v>ITI Ltd.</v>
          </cell>
        </row>
        <row r="247">
          <cell r="B247" t="str">
            <v>IVRCL Infrastructures &amp; Projects Ltd.</v>
          </cell>
        </row>
        <row r="248">
          <cell r="B248" t="str">
            <v>J.B. Chemicals &amp; Pharmaceuticals Ltd.</v>
          </cell>
        </row>
        <row r="249">
          <cell r="B249" t="str">
            <v>J.K.Industries Ltd.</v>
          </cell>
        </row>
        <row r="250">
          <cell r="B250" t="str">
            <v>Jagatjit Industries Ltd.</v>
          </cell>
        </row>
        <row r="251">
          <cell r="B251" t="str">
            <v>Jai Prakash Industries Ltd.</v>
          </cell>
        </row>
        <row r="252">
          <cell r="B252" t="str">
            <v>Jay Shree Tea &amp; Industries Ltd.</v>
          </cell>
        </row>
        <row r="253">
          <cell r="B253" t="str">
            <v>Jayant Agro-Organics Ltd.</v>
          </cell>
        </row>
        <row r="254">
          <cell r="B254" t="str">
            <v>JCT Ltd.</v>
          </cell>
        </row>
        <row r="255">
          <cell r="B255" t="str">
            <v>Jindal Iron &amp; Steel Co Ltd.</v>
          </cell>
        </row>
        <row r="256">
          <cell r="B256" t="str">
            <v>Jindal Photo Films Ltd.</v>
          </cell>
        </row>
        <row r="257">
          <cell r="B257" t="str">
            <v>Jindal Steel &amp; Power Ltd.</v>
          </cell>
        </row>
        <row r="258">
          <cell r="B258" t="str">
            <v>Jindal Strips Ltd.</v>
          </cell>
        </row>
        <row r="259">
          <cell r="B259" t="str">
            <v>Jindal Vijayanagar Steel Ltd.</v>
          </cell>
        </row>
        <row r="260">
          <cell r="B260" t="str">
            <v>JK Corp Ltd.</v>
          </cell>
        </row>
        <row r="261">
          <cell r="B261" t="str">
            <v>Jubilant Organosys Ltd.</v>
          </cell>
        </row>
        <row r="262">
          <cell r="B262" t="str">
            <v>Jupiter Bioscience Ltd.</v>
          </cell>
        </row>
        <row r="263">
          <cell r="B263" t="str">
            <v>Jyoti Structures Ltd.</v>
          </cell>
        </row>
        <row r="264">
          <cell r="B264" t="str">
            <v>K.E.C. International Ltd.</v>
          </cell>
        </row>
        <row r="265">
          <cell r="B265" t="str">
            <v>Kajaria Ceramics Ltd.</v>
          </cell>
        </row>
        <row r="266">
          <cell r="B266" t="str">
            <v>Kale Consultants Ltd.</v>
          </cell>
        </row>
        <row r="267">
          <cell r="B267" t="str">
            <v>Kalpataru Power Transmission Ltd.</v>
          </cell>
        </row>
        <row r="268">
          <cell r="B268" t="str">
            <v>Kalyani Steels Ltd.</v>
          </cell>
        </row>
        <row r="269">
          <cell r="B269" t="str">
            <v>Kanoria Chemicals &amp; Industries Ltd.</v>
          </cell>
        </row>
        <row r="270">
          <cell r="B270" t="str">
            <v>KDL Biotech Ltd.</v>
          </cell>
        </row>
        <row r="271">
          <cell r="B271" t="str">
            <v>Kesoram Industries Ltd.</v>
          </cell>
        </row>
        <row r="272">
          <cell r="B272" t="str">
            <v>Kinetic Motor Co. Ltd.</v>
          </cell>
        </row>
        <row r="273">
          <cell r="B273" t="str">
            <v>Kirloskar Oil Engines Ltd.</v>
          </cell>
        </row>
        <row r="274">
          <cell r="B274" t="str">
            <v>Kochi Refineries Ltd.</v>
          </cell>
        </row>
        <row r="275">
          <cell r="B275" t="str">
            <v>Kodak India Ltd.</v>
          </cell>
        </row>
        <row r="276">
          <cell r="B276" t="str">
            <v>Kopran Ltd.</v>
          </cell>
        </row>
        <row r="277">
          <cell r="B277" t="str">
            <v>Kotak Mahindra Finance Ltd.</v>
          </cell>
        </row>
        <row r="278">
          <cell r="B278" t="str">
            <v>Kothari Products Ltd.</v>
          </cell>
        </row>
        <row r="279">
          <cell r="B279" t="str">
            <v>Krebs Biochemicals Ltd.</v>
          </cell>
        </row>
        <row r="280">
          <cell r="B280" t="str">
            <v>Krishna Lifestyle Technologies Ltd.</v>
          </cell>
        </row>
        <row r="281">
          <cell r="B281" t="str">
            <v>Krone Communications Ltd.</v>
          </cell>
        </row>
        <row r="282">
          <cell r="B282" t="str">
            <v>KSB Pumps Ltd.</v>
          </cell>
        </row>
        <row r="283">
          <cell r="B283" t="str">
            <v>L.M.L. Ltd.</v>
          </cell>
        </row>
        <row r="284">
          <cell r="B284" t="str">
            <v>Lakhani India Ltd.</v>
          </cell>
        </row>
        <row r="285">
          <cell r="B285" t="str">
            <v>Lakshmi Machine Works Ltd.</v>
          </cell>
        </row>
        <row r="286">
          <cell r="B286" t="str">
            <v>Larsen &amp; Toubro Ltd.</v>
          </cell>
        </row>
        <row r="287">
          <cell r="B287" t="str">
            <v>Lic Housing Finance Ltd.</v>
          </cell>
        </row>
        <row r="288">
          <cell r="B288" t="str">
            <v>Lloyds Steel Industries Ltd.</v>
          </cell>
        </row>
        <row r="289">
          <cell r="B289" t="str">
            <v>Lupin Ltd.</v>
          </cell>
        </row>
        <row r="290">
          <cell r="B290" t="str">
            <v>M.R.F. Ltd.</v>
          </cell>
        </row>
        <row r="291">
          <cell r="B291" t="str">
            <v>Macmillan India Ltd.</v>
          </cell>
        </row>
        <row r="292">
          <cell r="B292" t="str">
            <v>Madras Aluminium Co. Ltd.</v>
          </cell>
        </row>
        <row r="293">
          <cell r="B293" t="str">
            <v>Madras Cements Ltd.</v>
          </cell>
        </row>
        <row r="294">
          <cell r="B294" t="str">
            <v>Madura Coats Ltd.</v>
          </cell>
        </row>
        <row r="295">
          <cell r="B295" t="str">
            <v>Mahanagar Telephone Nigam Ltd.</v>
          </cell>
        </row>
        <row r="296">
          <cell r="B296" t="str">
            <v>Maharashtra Seamless Ltd.</v>
          </cell>
        </row>
        <row r="297">
          <cell r="B297" t="str">
            <v>Mahavir Spg. Mills Ltd.</v>
          </cell>
        </row>
        <row r="298">
          <cell r="B298" t="str">
            <v>Mahindra &amp; Mahindra Ltd.</v>
          </cell>
        </row>
        <row r="299">
          <cell r="B299" t="str">
            <v>Mahindra Gesco Developers Ltd.</v>
          </cell>
        </row>
        <row r="300">
          <cell r="B300" t="str">
            <v>Mangalore Chemicals &amp; Fertilisers Ltd.</v>
          </cell>
        </row>
        <row r="301">
          <cell r="B301" t="str">
            <v>Mangalore Refinery &amp; Petrochemicals Ltd.</v>
          </cell>
        </row>
        <row r="302">
          <cell r="B302" t="str">
            <v>Maral Overseas Ltd.</v>
          </cell>
        </row>
        <row r="303">
          <cell r="B303" t="str">
            <v>Marico Industries Ltd.</v>
          </cell>
        </row>
        <row r="304">
          <cell r="B304" t="str">
            <v>Mascon Global Ltd.</v>
          </cell>
        </row>
        <row r="305">
          <cell r="B305" t="str">
            <v>Mascot Systems Ltd.</v>
          </cell>
        </row>
        <row r="306">
          <cell r="B306" t="str">
            <v>Mastek Ltd.</v>
          </cell>
        </row>
        <row r="307">
          <cell r="B307" t="str">
            <v>Matsushita Television &amp; Audio India</v>
          </cell>
        </row>
        <row r="308">
          <cell r="B308" t="str">
            <v>Max India Ltd.</v>
          </cell>
        </row>
        <row r="309">
          <cell r="B309" t="str">
            <v>McDowell &amp; Company Ltd.</v>
          </cell>
        </row>
        <row r="310">
          <cell r="B310" t="str">
            <v>Merck Ltd.</v>
          </cell>
        </row>
        <row r="311">
          <cell r="B311" t="str">
            <v>Mid-Day Multimedia Ltd.</v>
          </cell>
        </row>
        <row r="312">
          <cell r="B312" t="str">
            <v>Mirc Electronics Ltd.</v>
          </cell>
        </row>
        <row r="313">
          <cell r="B313" t="str">
            <v>Mirza Tanners Ltd.</v>
          </cell>
        </row>
        <row r="314">
          <cell r="B314" t="str">
            <v>Modi Rubber Ltd.</v>
          </cell>
        </row>
        <row r="315">
          <cell r="B315" t="str">
            <v>Monsanto India Ltd.</v>
          </cell>
        </row>
        <row r="316">
          <cell r="B316" t="str">
            <v>Morepen Laboratories Ltd.</v>
          </cell>
        </row>
        <row r="317">
          <cell r="B317" t="str">
            <v>Moser-Baer (India) Ltd.</v>
          </cell>
        </row>
        <row r="318">
          <cell r="B318" t="str">
            <v>Motherson Sumi Systems Ltd.</v>
          </cell>
        </row>
        <row r="319">
          <cell r="B319" t="str">
            <v>Motor Industries Co. Ltd.</v>
          </cell>
        </row>
        <row r="320">
          <cell r="B320" t="str">
            <v>Mphasis BFL Ltd.</v>
          </cell>
        </row>
        <row r="321">
          <cell r="B321" t="str">
            <v>MRO-TEK Ltd.</v>
          </cell>
        </row>
        <row r="322">
          <cell r="B322" t="str">
            <v>Mukand Engineers Ltd.</v>
          </cell>
        </row>
        <row r="323">
          <cell r="B323" t="str">
            <v>Mukand Ltd.</v>
          </cell>
        </row>
        <row r="324">
          <cell r="B324" t="str">
            <v>Mukta Arts Ltd.</v>
          </cell>
        </row>
        <row r="325">
          <cell r="B325" t="str">
            <v>Munjal Showa Ltd.</v>
          </cell>
        </row>
        <row r="326">
          <cell r="B326" t="str">
            <v>Mysore Cements Ltd.</v>
          </cell>
        </row>
        <row r="327">
          <cell r="B327" t="str">
            <v>Nagarjuna Fertiliser &amp; Chem. Ltd.</v>
          </cell>
        </row>
        <row r="328">
          <cell r="B328" t="str">
            <v>Nahar Exports Ltd.</v>
          </cell>
        </row>
        <row r="329">
          <cell r="B329" t="str">
            <v>Nahar Spinning Mills Ltd.</v>
          </cell>
        </row>
        <row r="330">
          <cell r="B330" t="str">
            <v>Narmada Chematur Petrochemicals Ltd.</v>
          </cell>
        </row>
        <row r="331">
          <cell r="B331" t="str">
            <v>Nath Seeds Ltd.</v>
          </cell>
        </row>
        <row r="332">
          <cell r="B332" t="str">
            <v>National Aluminium Co. Ltd.</v>
          </cell>
        </row>
        <row r="333">
          <cell r="B333" t="str">
            <v>National Organic Chemical Industries Ltd.</v>
          </cell>
        </row>
        <row r="334">
          <cell r="B334" t="str">
            <v>Navneet Publications (India) Ltd.</v>
          </cell>
        </row>
        <row r="335">
          <cell r="B335" t="str">
            <v>Nelco Ltd.</v>
          </cell>
        </row>
        <row r="336">
          <cell r="B336" t="str">
            <v>Nestle India Ltd.</v>
          </cell>
        </row>
        <row r="337">
          <cell r="B337" t="str">
            <v>Neyveli Lignite Corporation Ltd.</v>
          </cell>
        </row>
        <row r="338">
          <cell r="B338" t="str">
            <v>Nicholas Piramal India Ltd.</v>
          </cell>
        </row>
        <row r="339">
          <cell r="B339" t="str">
            <v>NIIT Ltd.</v>
          </cell>
        </row>
        <row r="340">
          <cell r="B340" t="str">
            <v>Nilkamal Plastics Ltd.</v>
          </cell>
        </row>
        <row r="341">
          <cell r="B341" t="str">
            <v>Nirma Ltd.</v>
          </cell>
        </row>
        <row r="342">
          <cell r="B342" t="str">
            <v>Novartis India Ltd.</v>
          </cell>
        </row>
        <row r="343">
          <cell r="B343" t="str">
            <v>NRB Bearings Ltd.</v>
          </cell>
        </row>
        <row r="344">
          <cell r="B344" t="str">
            <v>Oil And Natural Gas Corporation Ltd.</v>
          </cell>
        </row>
        <row r="345">
          <cell r="B345" t="str">
            <v>Oil Country Tubular Ltd.</v>
          </cell>
        </row>
        <row r="346">
          <cell r="B346" t="str">
            <v>Onward Technologies Ltd.</v>
          </cell>
        </row>
        <row r="347">
          <cell r="B347" t="str">
            <v>Orchid Chemicals &amp; Pharmaceuticals</v>
          </cell>
        </row>
        <row r="348">
          <cell r="B348" t="str">
            <v>Oriental Bank Of Commerce</v>
          </cell>
        </row>
        <row r="349">
          <cell r="B349" t="str">
            <v>Oriental Hotels Ltd.</v>
          </cell>
        </row>
        <row r="350">
          <cell r="B350" t="str">
            <v>Oswal Agro Mills Ltd.</v>
          </cell>
        </row>
        <row r="351">
          <cell r="B351" t="str">
            <v>Oswal Chemicals &amp; Fertilizers Ltd.</v>
          </cell>
        </row>
        <row r="352">
          <cell r="B352" t="str">
            <v>Panacea Biotec Ltd.</v>
          </cell>
        </row>
        <row r="353">
          <cell r="B353" t="str">
            <v>Paper Products Ltd.</v>
          </cell>
        </row>
        <row r="354">
          <cell r="B354" t="str">
            <v>Parekh Platinum Ltd.</v>
          </cell>
        </row>
        <row r="355">
          <cell r="B355" t="str">
            <v>Parke Davis (India) Ltd.</v>
          </cell>
        </row>
        <row r="356">
          <cell r="B356" t="str">
            <v>Pentamedia Graphics Ltd.</v>
          </cell>
        </row>
        <row r="357">
          <cell r="B357" t="str">
            <v>Pentasoft Technologies Ltd.</v>
          </cell>
        </row>
        <row r="358">
          <cell r="B358" t="str">
            <v>Pfizer Ltd.</v>
          </cell>
        </row>
        <row r="359">
          <cell r="B359" t="str">
            <v>Pharmacia Healthcare Ltd.</v>
          </cell>
        </row>
        <row r="360">
          <cell r="B360" t="str">
            <v>Philips India Ltd.</v>
          </cell>
        </row>
        <row r="361">
          <cell r="B361" t="str">
            <v>Pidilite Industries Ltd.</v>
          </cell>
        </row>
        <row r="362">
          <cell r="B362" t="str">
            <v>PNB Gilts Ltd.</v>
          </cell>
        </row>
        <row r="363">
          <cell r="B363" t="str">
            <v>Polaris Software Lab Ltd.</v>
          </cell>
        </row>
        <row r="364">
          <cell r="B364" t="str">
            <v>Prism Cement Ltd.</v>
          </cell>
        </row>
        <row r="365">
          <cell r="B365" t="str">
            <v>Priyadarshini Cement Ltd.</v>
          </cell>
        </row>
        <row r="366">
          <cell r="B366" t="str">
            <v>Procter &amp; Gamble Hygiene &amp; Health Care Ltd.</v>
          </cell>
        </row>
        <row r="367">
          <cell r="B367" t="str">
            <v>PSI Data Systems Ltd.</v>
          </cell>
        </row>
        <row r="368">
          <cell r="B368" t="str">
            <v>PSL Holdings Ltd.</v>
          </cell>
        </row>
        <row r="369">
          <cell r="B369" t="str">
            <v>Punjab Anand Lamp Industries Ltd.</v>
          </cell>
        </row>
        <row r="370">
          <cell r="B370" t="str">
            <v>Punjab Communications Ltd.</v>
          </cell>
        </row>
        <row r="371">
          <cell r="B371" t="str">
            <v>Punjab National Bank</v>
          </cell>
        </row>
        <row r="372">
          <cell r="B372" t="str">
            <v>Punjab Tractors Ltd.</v>
          </cell>
        </row>
        <row r="373">
          <cell r="B373" t="str">
            <v>R S Software India Ltd.</v>
          </cell>
        </row>
        <row r="374">
          <cell r="B374" t="str">
            <v>Rain Calcining Ltd.</v>
          </cell>
        </row>
        <row r="375">
          <cell r="B375" t="str">
            <v>Rallis India Ltd.</v>
          </cell>
        </row>
        <row r="376">
          <cell r="B376" t="str">
            <v>Rama Newsprint &amp; Papers Ltd.</v>
          </cell>
        </row>
        <row r="377">
          <cell r="B377" t="str">
            <v>Ramco Systems Ltd.</v>
          </cell>
        </row>
        <row r="378">
          <cell r="B378" t="str">
            <v>Ranbaxy Laboratories Ltd.</v>
          </cell>
        </row>
        <row r="379">
          <cell r="B379" t="str">
            <v>Rashtriya Chemicals &amp; Fertilizers Ltd.</v>
          </cell>
        </row>
        <row r="380">
          <cell r="B380" t="str">
            <v>Rayban Sun Optics India Ltd.</v>
          </cell>
        </row>
        <row r="381">
          <cell r="B381" t="str">
            <v>Raymond Ltd.</v>
          </cell>
        </row>
        <row r="382">
          <cell r="B382" t="str">
            <v>Reliance Capital Ltd.</v>
          </cell>
        </row>
        <row r="383">
          <cell r="B383" t="str">
            <v>Reliance Industrial Infrastructure</v>
          </cell>
        </row>
        <row r="384">
          <cell r="B384" t="str">
            <v>Reliance Industries Ltd.</v>
          </cell>
        </row>
        <row r="385">
          <cell r="B385" t="str">
            <v>Revathi Equipment Ltd.</v>
          </cell>
        </row>
        <row r="386">
          <cell r="B386" t="str">
            <v>Rolta India Ltd.</v>
          </cell>
        </row>
        <row r="387">
          <cell r="B387" t="str">
            <v>Roofit Industries Ltd.</v>
          </cell>
        </row>
        <row r="388">
          <cell r="B388" t="str">
            <v>RPG Cables Ltd.</v>
          </cell>
        </row>
        <row r="389">
          <cell r="B389" t="str">
            <v>RPG Life Sciences Ltd.</v>
          </cell>
        </row>
        <row r="390">
          <cell r="B390" t="str">
            <v>Ruchi Soya Industries Ltd.</v>
          </cell>
        </row>
        <row r="391">
          <cell r="B391" t="str">
            <v>Saint-Gobain Sekurit India Ltd.</v>
          </cell>
        </row>
        <row r="392">
          <cell r="B392" t="str">
            <v>Salora International Ltd.</v>
          </cell>
        </row>
        <row r="393">
          <cell r="B393" t="str">
            <v>Samtel Colour Ltd.</v>
          </cell>
        </row>
        <row r="394">
          <cell r="B394" t="str">
            <v>Saregama India Ltd.</v>
          </cell>
        </row>
        <row r="395">
          <cell r="B395" t="str">
            <v>Satyam Computer Services Ltd.</v>
          </cell>
        </row>
        <row r="396">
          <cell r="B396" t="str">
            <v>Saw Pipes Ltd.</v>
          </cell>
        </row>
        <row r="397">
          <cell r="B397" t="str">
            <v>Sesa Goa Ltd.</v>
          </cell>
        </row>
        <row r="398">
          <cell r="B398" t="str">
            <v>Shasun Chemicals And Drugs Ltd.</v>
          </cell>
        </row>
        <row r="399">
          <cell r="B399" t="str">
            <v>Shaw Wallace &amp; Co. Ltd.</v>
          </cell>
        </row>
        <row r="400">
          <cell r="B400" t="str">
            <v>Shipping Corporation Of India Ltd.</v>
          </cell>
        </row>
        <row r="401">
          <cell r="B401" t="str">
            <v>Shree Cements Ltd.</v>
          </cell>
        </row>
        <row r="402">
          <cell r="B402" t="str">
            <v>Shree Rama Multi-tech Ltd.</v>
          </cell>
        </row>
        <row r="403">
          <cell r="B403" t="str">
            <v>Shyam Telecom Ltd.</v>
          </cell>
        </row>
        <row r="404">
          <cell r="B404" t="str">
            <v>Siemens Ltd.</v>
          </cell>
        </row>
        <row r="405">
          <cell r="B405" t="str">
            <v>Siltap Chemicals Ltd.</v>
          </cell>
        </row>
        <row r="406">
          <cell r="B406" t="str">
            <v>Silverline Technologies Ltd.</v>
          </cell>
        </row>
        <row r="407">
          <cell r="B407" t="str">
            <v>Skanska Cementation India Ltd.</v>
          </cell>
        </row>
        <row r="408">
          <cell r="B408" t="str">
            <v>SKF Bearings (India) Ltd.</v>
          </cell>
        </row>
        <row r="409">
          <cell r="B409" t="str">
            <v>Snowcem India Ltd.</v>
          </cell>
        </row>
        <row r="410">
          <cell r="B410" t="str">
            <v>Solectron Centum Electronics Ltd.</v>
          </cell>
        </row>
        <row r="411">
          <cell r="B411" t="str">
            <v>Sonata Software Ltd.</v>
          </cell>
        </row>
        <row r="412">
          <cell r="B412" t="str">
            <v>Southern Petrochemicals</v>
          </cell>
        </row>
        <row r="413">
          <cell r="B413" t="str">
            <v>SRF Ltd.</v>
          </cell>
        </row>
        <row r="414">
          <cell r="B414" t="str">
            <v>Sri Adhikari Brothers Television Network</v>
          </cell>
        </row>
        <row r="415">
          <cell r="B415" t="str">
            <v>SSI Ltd.</v>
          </cell>
        </row>
        <row r="416">
          <cell r="B416" t="str">
            <v>State Bank Of India</v>
          </cell>
        </row>
        <row r="417">
          <cell r="B417" t="str">
            <v>Steel Authority of India Ltd.</v>
          </cell>
        </row>
        <row r="418">
          <cell r="B418" t="str">
            <v>Sterling Biotech Ltd.</v>
          </cell>
        </row>
        <row r="419">
          <cell r="B419" t="str">
            <v>Sterlite Optical Technoligies Ltd.</v>
          </cell>
        </row>
        <row r="420">
          <cell r="B420" t="str">
            <v>Subex Systems Ltd.</v>
          </cell>
        </row>
        <row r="421">
          <cell r="B421" t="str">
            <v>Sun Earth Ceramics Ltd.</v>
          </cell>
        </row>
        <row r="422">
          <cell r="B422" t="str">
            <v>Sun Pharmaceutical Industries Ltd.</v>
          </cell>
        </row>
        <row r="423">
          <cell r="B423" t="str">
            <v>Sundaram Clayton Ltd.</v>
          </cell>
        </row>
        <row r="424">
          <cell r="B424" t="str">
            <v>Sundram Fasteners Ltd.</v>
          </cell>
        </row>
        <row r="425">
          <cell r="B425" t="str">
            <v>Supreme Industries Ltd.</v>
          </cell>
        </row>
        <row r="426">
          <cell r="B426" t="str">
            <v>Supreme Petrochem Ltd.</v>
          </cell>
        </row>
        <row r="427">
          <cell r="B427" t="str">
            <v>Su-raj Diamonds and Jewellery Ltd.</v>
          </cell>
        </row>
        <row r="428">
          <cell r="B428" t="str">
            <v>Suven Pharmaceuticals Ltd.</v>
          </cell>
        </row>
        <row r="429">
          <cell r="B429" t="str">
            <v>Swaraj Engines Ltd.</v>
          </cell>
        </row>
        <row r="430">
          <cell r="B430" t="str">
            <v>Swaraj Mazda Ltd.</v>
          </cell>
        </row>
        <row r="431">
          <cell r="B431" t="str">
            <v>Syngenta India Ltd.</v>
          </cell>
        </row>
        <row r="432">
          <cell r="B432" t="str">
            <v>Tamil Nadu Newsprint And Papers Ltd.</v>
          </cell>
        </row>
        <row r="433">
          <cell r="B433" t="str">
            <v>Tamilnadu Petroproducts Ltd.</v>
          </cell>
        </row>
        <row r="434">
          <cell r="B434" t="str">
            <v>Tata Chemicals Ltd.</v>
          </cell>
        </row>
        <row r="435">
          <cell r="B435" t="str">
            <v>Tata Elxsi Ltd.</v>
          </cell>
        </row>
        <row r="436">
          <cell r="B436" t="str">
            <v>Tata Engg. &amp; Loco. Co. Ltd.</v>
          </cell>
        </row>
        <row r="437">
          <cell r="B437" t="str">
            <v>Tata Finance Ltd.</v>
          </cell>
        </row>
        <row r="438">
          <cell r="B438" t="str">
            <v>Tata Honeywell Ltd.</v>
          </cell>
        </row>
        <row r="439">
          <cell r="B439" t="str">
            <v>Tata Infomedia Ltd.</v>
          </cell>
        </row>
        <row r="440">
          <cell r="B440" t="str">
            <v>Tata Infotech Ltd.</v>
          </cell>
        </row>
        <row r="441">
          <cell r="B441" t="str">
            <v>Tata Investment Corporation Ltd.</v>
          </cell>
        </row>
        <row r="442">
          <cell r="B442" t="str">
            <v>Tata Iron &amp; Steel Co. Ltd.</v>
          </cell>
        </row>
        <row r="443">
          <cell r="B443" t="str">
            <v>Tata Power Co. Ltd.</v>
          </cell>
        </row>
        <row r="444">
          <cell r="B444" t="str">
            <v>Tata Tea Ltd.</v>
          </cell>
        </row>
        <row r="445">
          <cell r="B445" t="str">
            <v>Tata Telecom Ltd.</v>
          </cell>
        </row>
        <row r="446">
          <cell r="B446" t="str">
            <v>Tata Teleservices (Maharashtra) Ltd.</v>
          </cell>
        </row>
        <row r="447">
          <cell r="B447" t="str">
            <v>Television Eighteen India Ltd.</v>
          </cell>
        </row>
        <row r="448">
          <cell r="B448" t="str">
            <v>Thermax Ltd.</v>
          </cell>
        </row>
        <row r="449">
          <cell r="B449" t="str">
            <v>Thirumalai Chemicals Ltd.</v>
          </cell>
        </row>
        <row r="450">
          <cell r="B450" t="str">
            <v>Thomas Cook (India) Ltd.</v>
          </cell>
        </row>
        <row r="451">
          <cell r="B451" t="str">
            <v>Timex Watches Ltd.</v>
          </cell>
        </row>
        <row r="452">
          <cell r="B452" t="str">
            <v>Timken India Ltd.</v>
          </cell>
        </row>
        <row r="453">
          <cell r="B453" t="str">
            <v>Tips Industries Ltd.</v>
          </cell>
        </row>
        <row r="454">
          <cell r="B454" t="str">
            <v>Titan Industries Ltd.</v>
          </cell>
        </row>
        <row r="455">
          <cell r="B455" t="str">
            <v>Torrent Pharmaceuticals Ltd.</v>
          </cell>
        </row>
        <row r="456">
          <cell r="B456" t="str">
            <v>Tourism Finance Corpn. Of India Ltd.</v>
          </cell>
        </row>
        <row r="457">
          <cell r="B457" t="str">
            <v>Trent Ltd.</v>
          </cell>
        </row>
        <row r="458">
          <cell r="B458" t="str">
            <v>Trigyn Technologies Ltd.</v>
          </cell>
        </row>
        <row r="459">
          <cell r="B459" t="str">
            <v>Tube Investments of India Ltd.</v>
          </cell>
        </row>
        <row r="460">
          <cell r="B460" t="str">
            <v>TVS Electronics Ltd.</v>
          </cell>
        </row>
        <row r="461">
          <cell r="B461" t="str">
            <v>TVS Motor Company Ltd.</v>
          </cell>
        </row>
        <row r="462">
          <cell r="B462" t="str">
            <v>Ultramarine &amp; Pigments Ltd.</v>
          </cell>
        </row>
        <row r="463">
          <cell r="B463" t="str">
            <v>Unichem Laboratories Ltd.</v>
          </cell>
        </row>
        <row r="464">
          <cell r="B464" t="str">
            <v>Union Bank of India</v>
          </cell>
        </row>
        <row r="465">
          <cell r="B465" t="str">
            <v>Unitech Ltd.</v>
          </cell>
        </row>
        <row r="466">
          <cell r="B466" t="str">
            <v>United Breweries Ltd.</v>
          </cell>
        </row>
        <row r="467">
          <cell r="B467" t="str">
            <v>United Phosphorus Ltd.</v>
          </cell>
        </row>
        <row r="468">
          <cell r="B468" t="str">
            <v>Usha Beltron Ltd.</v>
          </cell>
        </row>
        <row r="469">
          <cell r="B469" t="str">
            <v>UTI Bank Ltd.</v>
          </cell>
        </row>
        <row r="470">
          <cell r="B470" t="str">
            <v>V.I.P. Industries Ltd.</v>
          </cell>
        </row>
        <row r="471">
          <cell r="B471" t="str">
            <v>Vardhaman Spinning &amp; Gen. Mills Ltd.</v>
          </cell>
        </row>
        <row r="472">
          <cell r="B472" t="str">
            <v>Varun Shipping Co. Ltd.</v>
          </cell>
        </row>
        <row r="473">
          <cell r="B473" t="str">
            <v>Vashisti Detergents Ltd.</v>
          </cell>
        </row>
        <row r="474">
          <cell r="B474" t="str">
            <v>Venkys (India) Ltd.</v>
          </cell>
        </row>
        <row r="475">
          <cell r="B475" t="str">
            <v>Vesuvius India Ltd.</v>
          </cell>
        </row>
        <row r="476">
          <cell r="B476" t="str">
            <v>Videocon Appliances Ltd.</v>
          </cell>
        </row>
        <row r="477">
          <cell r="B477" t="str">
            <v>Videocon International Ltd.</v>
          </cell>
        </row>
        <row r="478">
          <cell r="B478" t="str">
            <v>Videsh Sanchar Nigam Ltd.</v>
          </cell>
        </row>
        <row r="479">
          <cell r="B479" t="str">
            <v>Vikas WSP Ltd.</v>
          </cell>
        </row>
        <row r="480">
          <cell r="B480" t="str">
            <v>Vindhya Telelinks Ltd.</v>
          </cell>
        </row>
        <row r="481">
          <cell r="B481" t="str">
            <v>Visualsoft Technologies Ltd.</v>
          </cell>
        </row>
        <row r="482">
          <cell r="B482" t="str">
            <v>Voltas Ltd.</v>
          </cell>
        </row>
        <row r="483">
          <cell r="B483" t="str">
            <v>VST Industries Ltd.</v>
          </cell>
        </row>
        <row r="484">
          <cell r="B484" t="str">
            <v>Vysya Bank Ltd.</v>
          </cell>
        </row>
        <row r="485">
          <cell r="B485" t="str">
            <v>Warren Tea Ltd.</v>
          </cell>
        </row>
        <row r="486">
          <cell r="B486" t="str">
            <v>Wartsila India Ltd.</v>
          </cell>
        </row>
        <row r="487">
          <cell r="B487" t="str">
            <v>Welspun -Gujarat Stahl Rohren Ltd.</v>
          </cell>
        </row>
        <row r="488">
          <cell r="B488" t="str">
            <v>Welspun India Ltd.</v>
          </cell>
        </row>
        <row r="489">
          <cell r="B489" t="str">
            <v>Whirlpool of India Ltd.</v>
          </cell>
        </row>
        <row r="490">
          <cell r="B490" t="str">
            <v>Widia (india) Ltd.</v>
          </cell>
        </row>
        <row r="491">
          <cell r="B491" t="str">
            <v>Wimco Ltd.</v>
          </cell>
        </row>
        <row r="492">
          <cell r="B492" t="str">
            <v>Wipro Ltd.</v>
          </cell>
        </row>
        <row r="493">
          <cell r="B493" t="str">
            <v>Wockhardt Life Sciences Ltd.</v>
          </cell>
        </row>
        <row r="494">
          <cell r="B494" t="str">
            <v>Wockhardt Ltd.</v>
          </cell>
        </row>
        <row r="495">
          <cell r="B495" t="str">
            <v>Wyeth Lederle Ltd.</v>
          </cell>
        </row>
        <row r="496">
          <cell r="B496" t="str">
            <v>Yokogawa Blue Star Ltd.</v>
          </cell>
        </row>
        <row r="497">
          <cell r="B497" t="str">
            <v>Zandu Pharmaceuticals Works Ltd.</v>
          </cell>
        </row>
        <row r="498">
          <cell r="B498" t="str">
            <v>Zee Telefilms Ltd.</v>
          </cell>
        </row>
        <row r="499">
          <cell r="B499" t="str">
            <v>Zensar Technologies Ltd.</v>
          </cell>
        </row>
        <row r="500">
          <cell r="B500" t="str">
            <v>Zuari Industries Ltd.</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 val="PLANT_MACHINERY"/>
      <sheetName val="Asset_Schedule"/>
      <sheetName val="ASSET_SCHEDULE_Tiljala"/>
      <sheetName val="PLANT_MACHINERY1"/>
      <sheetName val="Asset_Schedule1"/>
      <sheetName val="ASSET_SCHEDULE_Tiljala1"/>
      <sheetName val="PLANT_MACHINERY2"/>
      <sheetName val="Asset_Schedule2"/>
      <sheetName val="ASSET_SCHEDULE_Tiljal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 val="Related_Parties1"/>
      <sheetName val="VARIANCE_ANALYSIS_1"/>
      <sheetName val="Sch_1-41"/>
      <sheetName val="Sch_12_&amp;131"/>
      <sheetName val="P&amp;L_Sch_14-161"/>
      <sheetName val="P&amp;L_Sch_17-191"/>
      <sheetName val="Data_Entry1"/>
      <sheetName val="TRIAL_BALANCE_(2)1"/>
      <sheetName val="TRIAL_BALANCE1"/>
      <sheetName val="TB_Download1"/>
      <sheetName val="CC_wise_Download1"/>
      <sheetName val="SIF_P&amp;L_BS1"/>
      <sheetName val="SIF_P&amp;L1"/>
      <sheetName val="SIF_Workings1"/>
      <sheetName val="SIF_Results_Back_up1"/>
      <sheetName val="Related_Parties"/>
      <sheetName val="VARIANCE_ANALYSIS_"/>
      <sheetName val="Sch_1-4"/>
      <sheetName val="Sch_12_&amp;13"/>
      <sheetName val="P&amp;L_Sch_14-16"/>
      <sheetName val="P&amp;L_Sch_17-19"/>
      <sheetName val="Data_Entry"/>
      <sheetName val="TRIAL_BALANCE_(2)"/>
      <sheetName val="TRIAL_BALANCE"/>
      <sheetName val="TB_Download"/>
      <sheetName val="CC_wise_Download"/>
      <sheetName val="SIF_P&amp;L_BS"/>
      <sheetName val="SIF_P&amp;L"/>
      <sheetName val="SIF_Workings"/>
      <sheetName val="SIF_Results_Back_up"/>
      <sheetName val="Related_Parties2"/>
      <sheetName val="VARIANCE_ANALYSIS_2"/>
      <sheetName val="Sch_1-42"/>
      <sheetName val="Sch_12_&amp;132"/>
      <sheetName val="P&amp;L_Sch_14-162"/>
      <sheetName val="P&amp;L_Sch_17-192"/>
      <sheetName val="Data_Entry2"/>
      <sheetName val="TRIAL_BALANCE_(2)2"/>
      <sheetName val="TRIAL_BALANCE2"/>
      <sheetName val="TB_Download2"/>
      <sheetName val="CC_wise_Download2"/>
      <sheetName val="SIF_P&amp;L_BS2"/>
      <sheetName val="SIF_P&amp;L2"/>
      <sheetName val="SIF_Workings2"/>
      <sheetName val="SIF_Results_Back_u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Inv"/>
      <sheetName val="BS sub sh"/>
      <sheetName val="Invest. thousand"/>
      <sheetName val="Investments"/>
      <sheetName val="pubres"/>
      <sheetName val="Sheet1"/>
      <sheetName val="Income"/>
      <sheetName val="Exp"/>
      <sheetName val="Leave encashement"/>
      <sheetName val="TB APJ"/>
      <sheetName val="Variance"/>
      <sheetName val="vari-1"/>
      <sheetName val="TB WORLI"/>
      <sheetName val="deftax"/>
      <sheetName val="Quar ABNL"/>
      <sheetName val="it depr."/>
      <sheetName val="FASCHEDULE"/>
      <sheetName val="G SecST&amp;LT "/>
      <sheetName val="itcomp"/>
      <sheetName val="ratio analysi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8">
          <cell r="B48">
            <v>0</v>
          </cell>
        </row>
        <row r="109">
          <cell r="B109">
            <v>-100000</v>
          </cell>
        </row>
        <row r="125">
          <cell r="B125">
            <v>0</v>
          </cell>
        </row>
        <row r="131">
          <cell r="B131">
            <v>-37516</v>
          </cell>
        </row>
      </sheetData>
      <sheetData sheetId="17" refreshError="1"/>
      <sheetData sheetId="18" refreshError="1"/>
      <sheetData sheetId="19">
        <row r="8">
          <cell r="B8">
            <v>-21000</v>
          </cell>
        </row>
        <row r="18">
          <cell r="B18">
            <v>0</v>
          </cell>
        </row>
        <row r="22">
          <cell r="B22">
            <v>0</v>
          </cell>
        </row>
        <row r="23">
          <cell r="B23">
            <v>0</v>
          </cell>
        </row>
        <row r="33">
          <cell r="B33">
            <v>158708</v>
          </cell>
        </row>
        <row r="43">
          <cell r="B43">
            <v>-71843</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BS sub sh"/>
      <sheetName val="Invest. thousand"/>
      <sheetName val="Investments"/>
      <sheetName val="pubres"/>
      <sheetName val="Sheet1"/>
      <sheetName val="Income"/>
      <sheetName val="Exp"/>
      <sheetName val="Leave encashement"/>
      <sheetName val="TB APJ"/>
      <sheetName val="TB WORLI"/>
      <sheetName val="deftax"/>
      <sheetName val="Quar ABNL"/>
      <sheetName val="it depr."/>
      <sheetName val="FASCHEDULE"/>
      <sheetName val="G SecST&amp;LT "/>
      <sheetName val="itcomp"/>
      <sheetName val="ratio analysis"/>
      <sheetName val="Hyperian_Jvmar061"/>
      <sheetName val="FA_schedule1"/>
      <sheetName val="BS_sub_sh1"/>
      <sheetName val="Invest__thousand1"/>
      <sheetName val="Leave_encashement1"/>
      <sheetName val="TB_APJ1"/>
      <sheetName val="TB_WORLI1"/>
      <sheetName val="Quar_ABNL1"/>
      <sheetName val="it_depr_1"/>
      <sheetName val="G_SecST&amp;LT_1"/>
      <sheetName val="ratio_analysis1"/>
      <sheetName val="Hyperian_Jvmar06"/>
      <sheetName val="FA_schedule"/>
      <sheetName val="BS_sub_sh"/>
      <sheetName val="Invest__thousand"/>
      <sheetName val="Leave_encashement"/>
      <sheetName val="TB_APJ"/>
      <sheetName val="TB_WORLI"/>
      <sheetName val="Quar_ABNL"/>
      <sheetName val="it_depr_"/>
      <sheetName val="G_SecST&amp;LT_"/>
      <sheetName val="ratio_analysis"/>
      <sheetName val="Hyperian_Jvmar062"/>
      <sheetName val="FA_schedule2"/>
      <sheetName val="BS_sub_sh2"/>
      <sheetName val="Invest__thousand2"/>
      <sheetName val="Leave_encashement2"/>
      <sheetName val="TB_APJ2"/>
      <sheetName val="TB_WORLI2"/>
      <sheetName val="Quar_ABNL2"/>
      <sheetName val="it_depr_2"/>
      <sheetName val="G_SecST&amp;LT_2"/>
      <sheetName val="ratio_analysi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v>223033</v>
          </cell>
        </row>
        <row r="8">
          <cell r="B8">
            <v>-14075776</v>
          </cell>
        </row>
        <row r="9">
          <cell r="B9">
            <v>-3626817</v>
          </cell>
        </row>
        <row r="10">
          <cell r="B10">
            <v>1</v>
          </cell>
        </row>
        <row r="11">
          <cell r="B11">
            <v>1024285</v>
          </cell>
        </row>
        <row r="12">
          <cell r="B12">
            <v>-1187413</v>
          </cell>
        </row>
        <row r="13">
          <cell r="B13">
            <v>16168</v>
          </cell>
        </row>
        <row r="16">
          <cell r="B16">
            <v>34700058</v>
          </cell>
        </row>
        <row r="17">
          <cell r="B17">
            <v>5266138</v>
          </cell>
        </row>
        <row r="20">
          <cell r="B20">
            <v>0</v>
          </cell>
        </row>
        <row r="21">
          <cell r="B21">
            <v>0</v>
          </cell>
        </row>
        <row r="22">
          <cell r="B22">
            <v>100</v>
          </cell>
        </row>
        <row r="23">
          <cell r="B23">
            <v>29874</v>
          </cell>
        </row>
        <row r="25">
          <cell r="B25">
            <v>16450</v>
          </cell>
        </row>
        <row r="26">
          <cell r="B26">
            <v>12371</v>
          </cell>
        </row>
        <row r="27">
          <cell r="B27">
            <v>0</v>
          </cell>
        </row>
        <row r="28">
          <cell r="B28">
            <v>41076</v>
          </cell>
        </row>
        <row r="29">
          <cell r="B29">
            <v>4060</v>
          </cell>
        </row>
        <row r="31">
          <cell r="B31">
            <v>3619772</v>
          </cell>
        </row>
        <row r="32">
          <cell r="B32">
            <v>97</v>
          </cell>
        </row>
        <row r="34">
          <cell r="B34">
            <v>6193912</v>
          </cell>
        </row>
        <row r="36">
          <cell r="B36">
            <v>-131</v>
          </cell>
        </row>
        <row r="37">
          <cell r="B37">
            <v>0</v>
          </cell>
        </row>
        <row r="38">
          <cell r="B38">
            <v>65277</v>
          </cell>
        </row>
        <row r="39">
          <cell r="B39">
            <v>-7184</v>
          </cell>
        </row>
        <row r="40">
          <cell r="B40">
            <v>90000</v>
          </cell>
        </row>
        <row r="41">
          <cell r="B41">
            <v>7688110</v>
          </cell>
        </row>
        <row r="42">
          <cell r="B42">
            <v>60119</v>
          </cell>
        </row>
        <row r="43">
          <cell r="B43">
            <v>0</v>
          </cell>
        </row>
        <row r="44">
          <cell r="B44">
            <v>1701</v>
          </cell>
        </row>
        <row r="45">
          <cell r="B45">
            <v>4000</v>
          </cell>
        </row>
        <row r="46">
          <cell r="B46">
            <v>22478</v>
          </cell>
        </row>
        <row r="47">
          <cell r="B47">
            <v>642021383</v>
          </cell>
        </row>
        <row r="48">
          <cell r="B48">
            <v>98610542</v>
          </cell>
        </row>
        <row r="49">
          <cell r="B49">
            <v>555957</v>
          </cell>
        </row>
        <row r="50">
          <cell r="B50">
            <v>158887121</v>
          </cell>
        </row>
        <row r="51">
          <cell r="B51">
            <v>24487685</v>
          </cell>
        </row>
        <row r="52">
          <cell r="B52">
            <v>1407218</v>
          </cell>
        </row>
        <row r="53">
          <cell r="B53">
            <v>60153</v>
          </cell>
        </row>
        <row r="54">
          <cell r="B54">
            <v>89830</v>
          </cell>
        </row>
        <row r="55">
          <cell r="B55">
            <v>82901</v>
          </cell>
        </row>
        <row r="56">
          <cell r="B56">
            <v>25245532</v>
          </cell>
        </row>
        <row r="57">
          <cell r="B57">
            <v>0</v>
          </cell>
        </row>
        <row r="58">
          <cell r="B58">
            <v>15000000</v>
          </cell>
        </row>
        <row r="59">
          <cell r="B59">
            <v>7549</v>
          </cell>
        </row>
        <row r="60">
          <cell r="B60">
            <v>0</v>
          </cell>
        </row>
        <row r="61">
          <cell r="B61">
            <v>7133</v>
          </cell>
        </row>
        <row r="63">
          <cell r="B63">
            <v>0</v>
          </cell>
        </row>
        <row r="64">
          <cell r="B64">
            <v>58788</v>
          </cell>
        </row>
        <row r="65">
          <cell r="B65">
            <v>863466</v>
          </cell>
        </row>
        <row r="67">
          <cell r="B67">
            <v>524581</v>
          </cell>
        </row>
        <row r="68">
          <cell r="B68">
            <v>1748476</v>
          </cell>
        </row>
        <row r="69">
          <cell r="B69">
            <v>9222968</v>
          </cell>
        </row>
        <row r="70">
          <cell r="B70">
            <v>18292</v>
          </cell>
        </row>
        <row r="71">
          <cell r="B71">
            <v>185709</v>
          </cell>
        </row>
        <row r="72">
          <cell r="B72">
            <v>280000</v>
          </cell>
        </row>
        <row r="73">
          <cell r="B73">
            <v>95861</v>
          </cell>
        </row>
        <row r="74">
          <cell r="B74">
            <v>2767500</v>
          </cell>
        </row>
        <row r="75">
          <cell r="B75">
            <v>990216</v>
          </cell>
        </row>
        <row r="76">
          <cell r="B76">
            <v>73089853</v>
          </cell>
        </row>
        <row r="77">
          <cell r="B77">
            <v>215507</v>
          </cell>
        </row>
        <row r="78">
          <cell r="B78">
            <v>12443423</v>
          </cell>
        </row>
        <row r="79">
          <cell r="B79">
            <v>307410</v>
          </cell>
        </row>
        <row r="80">
          <cell r="B80">
            <v>11896</v>
          </cell>
        </row>
        <row r="81">
          <cell r="B81">
            <v>2056613</v>
          </cell>
        </row>
        <row r="83">
          <cell r="B83">
            <v>13844</v>
          </cell>
        </row>
        <row r="84">
          <cell r="B84">
            <v>2500</v>
          </cell>
        </row>
        <row r="85">
          <cell r="B85">
            <v>819146</v>
          </cell>
        </row>
        <row r="86">
          <cell r="B86">
            <v>105832</v>
          </cell>
        </row>
        <row r="87">
          <cell r="B87">
            <v>75314592</v>
          </cell>
        </row>
        <row r="88">
          <cell r="B88">
            <v>7784730</v>
          </cell>
        </row>
        <row r="89">
          <cell r="B89">
            <v>70000</v>
          </cell>
        </row>
        <row r="90">
          <cell r="B90">
            <v>2312914</v>
          </cell>
        </row>
        <row r="91">
          <cell r="B91">
            <v>463966</v>
          </cell>
        </row>
        <row r="92">
          <cell r="B92">
            <v>829235</v>
          </cell>
        </row>
        <row r="93">
          <cell r="B93">
            <v>663771</v>
          </cell>
        </row>
        <row r="94">
          <cell r="B94">
            <v>427226</v>
          </cell>
        </row>
        <row r="95">
          <cell r="B95">
            <v>59205</v>
          </cell>
        </row>
        <row r="96">
          <cell r="B96">
            <v>55228</v>
          </cell>
        </row>
        <row r="97">
          <cell r="B97">
            <v>1095106</v>
          </cell>
        </row>
        <row r="98">
          <cell r="B98">
            <v>19715</v>
          </cell>
        </row>
        <row r="99">
          <cell r="B99">
            <v>733246</v>
          </cell>
        </row>
        <row r="100">
          <cell r="B100">
            <v>12221</v>
          </cell>
        </row>
        <row r="101">
          <cell r="B101">
            <v>2180155</v>
          </cell>
        </row>
        <row r="102">
          <cell r="B102">
            <v>1282947</v>
          </cell>
        </row>
        <row r="103">
          <cell r="B103">
            <v>1207633</v>
          </cell>
        </row>
        <row r="104">
          <cell r="B104">
            <v>67847</v>
          </cell>
        </row>
        <row r="105">
          <cell r="B105">
            <v>5134259</v>
          </cell>
        </row>
        <row r="106">
          <cell r="B106">
            <v>118000</v>
          </cell>
        </row>
        <row r="107">
          <cell r="B107">
            <v>2500000</v>
          </cell>
        </row>
        <row r="108">
          <cell r="B108">
            <v>51871</v>
          </cell>
        </row>
        <row r="109">
          <cell r="B109">
            <v>1021478</v>
          </cell>
        </row>
        <row r="110">
          <cell r="B110">
            <v>1599610</v>
          </cell>
        </row>
        <row r="111">
          <cell r="B111">
            <v>1428403</v>
          </cell>
        </row>
        <row r="112">
          <cell r="B112">
            <v>860</v>
          </cell>
        </row>
        <row r="113">
          <cell r="B113">
            <v>2069</v>
          </cell>
        </row>
        <row r="114">
          <cell r="B114">
            <v>1437125</v>
          </cell>
        </row>
        <row r="115">
          <cell r="B115">
            <v>143406</v>
          </cell>
        </row>
        <row r="116">
          <cell r="B116">
            <v>0</v>
          </cell>
        </row>
        <row r="117">
          <cell r="B117">
            <v>2354001</v>
          </cell>
        </row>
        <row r="118">
          <cell r="B118">
            <v>322353</v>
          </cell>
        </row>
        <row r="119">
          <cell r="B119">
            <v>27695497</v>
          </cell>
        </row>
        <row r="120">
          <cell r="B120">
            <v>3462703</v>
          </cell>
        </row>
        <row r="121">
          <cell r="B121">
            <v>1063728</v>
          </cell>
        </row>
        <row r="122">
          <cell r="B122">
            <v>698981</v>
          </cell>
        </row>
        <row r="123">
          <cell r="B123">
            <v>5946304</v>
          </cell>
        </row>
        <row r="124">
          <cell r="B124">
            <v>86375</v>
          </cell>
        </row>
        <row r="125">
          <cell r="B125">
            <v>178221</v>
          </cell>
        </row>
        <row r="126">
          <cell r="B126">
            <v>42477</v>
          </cell>
        </row>
        <row r="127">
          <cell r="B127">
            <v>16044</v>
          </cell>
        </row>
        <row r="128">
          <cell r="B128">
            <v>991671</v>
          </cell>
        </row>
        <row r="129">
          <cell r="B129">
            <v>49625</v>
          </cell>
        </row>
        <row r="130">
          <cell r="B130">
            <v>71929</v>
          </cell>
        </row>
        <row r="131">
          <cell r="B131">
            <v>500000</v>
          </cell>
        </row>
        <row r="132">
          <cell r="B132">
            <v>14372</v>
          </cell>
        </row>
        <row r="133">
          <cell r="B133">
            <v>159378</v>
          </cell>
        </row>
        <row r="134">
          <cell r="B134">
            <v>1234528</v>
          </cell>
        </row>
        <row r="135">
          <cell r="B135">
            <v>118222</v>
          </cell>
        </row>
        <row r="136">
          <cell r="B136">
            <v>843583</v>
          </cell>
        </row>
        <row r="137">
          <cell r="B137">
            <v>1012608</v>
          </cell>
        </row>
        <row r="138">
          <cell r="B138">
            <v>11495433</v>
          </cell>
        </row>
        <row r="139">
          <cell r="B139">
            <v>76450</v>
          </cell>
        </row>
        <row r="140">
          <cell r="B140">
            <v>3411</v>
          </cell>
        </row>
        <row r="141">
          <cell r="B141">
            <v>600396</v>
          </cell>
        </row>
        <row r="142">
          <cell r="B142">
            <v>1799691</v>
          </cell>
        </row>
        <row r="143">
          <cell r="B143">
            <v>3885</v>
          </cell>
        </row>
        <row r="144">
          <cell r="B144">
            <v>1148942</v>
          </cell>
        </row>
        <row r="145">
          <cell r="B145">
            <v>0</v>
          </cell>
        </row>
        <row r="146">
          <cell r="B146">
            <v>13475</v>
          </cell>
        </row>
        <row r="147">
          <cell r="B147">
            <v>-118615</v>
          </cell>
        </row>
        <row r="148">
          <cell r="B148">
            <v>-2159187</v>
          </cell>
        </row>
        <row r="149">
          <cell r="B149">
            <v>-632184</v>
          </cell>
        </row>
        <row r="150">
          <cell r="B150">
            <v>-2250000</v>
          </cell>
        </row>
        <row r="151">
          <cell r="B151">
            <v>-11967</v>
          </cell>
        </row>
        <row r="152">
          <cell r="B152">
            <v>-361641</v>
          </cell>
        </row>
        <row r="153">
          <cell r="B153">
            <v>-6446036</v>
          </cell>
        </row>
        <row r="154">
          <cell r="B154">
            <v>-761774</v>
          </cell>
        </row>
        <row r="155">
          <cell r="B155">
            <v>-22500431</v>
          </cell>
        </row>
        <row r="156">
          <cell r="B156">
            <v>-8570</v>
          </cell>
        </row>
        <row r="157">
          <cell r="B157">
            <v>-148856</v>
          </cell>
        </row>
        <row r="158">
          <cell r="B158">
            <v>-4864844</v>
          </cell>
        </row>
        <row r="159">
          <cell r="B159">
            <v>-61792</v>
          </cell>
        </row>
        <row r="160">
          <cell r="B160">
            <v>-41825000</v>
          </cell>
        </row>
        <row r="161">
          <cell r="B161">
            <v>-392910</v>
          </cell>
        </row>
        <row r="162">
          <cell r="B162">
            <v>-37828192</v>
          </cell>
        </row>
        <row r="163">
          <cell r="B163">
            <v>-30311</v>
          </cell>
        </row>
        <row r="164">
          <cell r="B164">
            <v>-1610112</v>
          </cell>
        </row>
        <row r="165">
          <cell r="B165">
            <v>-116726</v>
          </cell>
        </row>
        <row r="166">
          <cell r="B166">
            <v>-9278071</v>
          </cell>
        </row>
        <row r="167">
          <cell r="B167">
            <v>0</v>
          </cell>
        </row>
        <row r="168">
          <cell r="B168">
            <v>-197037552</v>
          </cell>
        </row>
        <row r="169">
          <cell r="B169">
            <v>-3218707</v>
          </cell>
        </row>
        <row r="170">
          <cell r="B170">
            <v>-8447</v>
          </cell>
        </row>
        <row r="171">
          <cell r="B171">
            <v>-2311023</v>
          </cell>
        </row>
        <row r="172">
          <cell r="B172">
            <v>296941</v>
          </cell>
        </row>
        <row r="173">
          <cell r="B173">
            <v>-675162</v>
          </cell>
        </row>
        <row r="174">
          <cell r="B174">
            <v>-601334</v>
          </cell>
        </row>
        <row r="175">
          <cell r="B175">
            <v>-143386</v>
          </cell>
        </row>
        <row r="176">
          <cell r="B176">
            <v>0</v>
          </cell>
        </row>
        <row r="177">
          <cell r="B177">
            <v>-18170540</v>
          </cell>
        </row>
        <row r="178">
          <cell r="B178">
            <v>0</v>
          </cell>
        </row>
        <row r="179">
          <cell r="B179">
            <v>-220120</v>
          </cell>
        </row>
        <row r="180">
          <cell r="B180">
            <v>116</v>
          </cell>
        </row>
        <row r="181">
          <cell r="B181">
            <v>-3500</v>
          </cell>
        </row>
        <row r="182">
          <cell r="B182">
            <v>-169978</v>
          </cell>
        </row>
        <row r="183">
          <cell r="B183">
            <v>-250000</v>
          </cell>
        </row>
        <row r="184">
          <cell r="B184">
            <v>-524634</v>
          </cell>
        </row>
        <row r="185">
          <cell r="B185">
            <v>-188932</v>
          </cell>
        </row>
        <row r="188">
          <cell r="B188">
            <v>-12715</v>
          </cell>
        </row>
        <row r="189">
          <cell r="B189">
            <v>-2970</v>
          </cell>
        </row>
        <row r="192">
          <cell r="B192">
            <v>0</v>
          </cell>
        </row>
        <row r="194">
          <cell r="B194">
            <v>-1437819</v>
          </cell>
        </row>
        <row r="195">
          <cell r="B195">
            <v>-7396</v>
          </cell>
        </row>
        <row r="199">
          <cell r="B199">
            <v>-9788065</v>
          </cell>
        </row>
        <row r="200">
          <cell r="B200">
            <v>712093462</v>
          </cell>
        </row>
        <row r="201">
          <cell r="B201">
            <v>-792759031</v>
          </cell>
        </row>
        <row r="202">
          <cell r="B202">
            <v>-750000000</v>
          </cell>
        </row>
        <row r="204">
          <cell r="B204">
            <v>54397</v>
          </cell>
        </row>
        <row r="205">
          <cell r="B205">
            <v>-3086589</v>
          </cell>
        </row>
        <row r="207">
          <cell r="B207">
            <v>17241</v>
          </cell>
        </row>
        <row r="208">
          <cell r="B208">
            <v>-31816</v>
          </cell>
        </row>
        <row r="209">
          <cell r="B209">
            <v>-5991</v>
          </cell>
        </row>
        <row r="210">
          <cell r="B210">
            <v>-62117</v>
          </cell>
        </row>
        <row r="211">
          <cell r="B211">
            <v>-194704</v>
          </cell>
        </row>
        <row r="212">
          <cell r="B212">
            <v>-6</v>
          </cell>
        </row>
        <row r="213">
          <cell r="B213">
            <v>-2158985</v>
          </cell>
        </row>
        <row r="214">
          <cell r="B214">
            <v>-80807</v>
          </cell>
        </row>
        <row r="215">
          <cell r="B215">
            <v>-746107</v>
          </cell>
        </row>
        <row r="216">
          <cell r="B216">
            <v>-15072000</v>
          </cell>
        </row>
        <row r="217">
          <cell r="B217">
            <v>-924996</v>
          </cell>
        </row>
        <row r="218">
          <cell r="B218">
            <v>-9047964</v>
          </cell>
        </row>
        <row r="219">
          <cell r="B219">
            <v>-400</v>
          </cell>
        </row>
        <row r="220">
          <cell r="B220">
            <v>-50552718</v>
          </cell>
        </row>
        <row r="221">
          <cell r="B221">
            <v>-3065277</v>
          </cell>
        </row>
        <row r="222">
          <cell r="B222">
            <v>0</v>
          </cell>
        </row>
        <row r="223">
          <cell r="B223">
            <v>-1135</v>
          </cell>
        </row>
        <row r="225">
          <cell r="B225">
            <v>-979763</v>
          </cell>
        </row>
      </sheetData>
      <sheetData sheetId="16" refreshError="1">
        <row r="5">
          <cell r="B5">
            <v>-63013</v>
          </cell>
        </row>
        <row r="6">
          <cell r="B6">
            <v>256892</v>
          </cell>
        </row>
        <row r="8">
          <cell r="B8">
            <v>89596</v>
          </cell>
        </row>
        <row r="10">
          <cell r="B10">
            <v>0</v>
          </cell>
        </row>
        <row r="13">
          <cell r="B13">
            <v>79876</v>
          </cell>
        </row>
        <row r="16">
          <cell r="B16">
            <v>56087</v>
          </cell>
        </row>
        <row r="23">
          <cell r="B23">
            <v>35000</v>
          </cell>
        </row>
        <row r="24">
          <cell r="B24">
            <v>9475</v>
          </cell>
        </row>
        <row r="25">
          <cell r="B25">
            <v>45948</v>
          </cell>
        </row>
        <row r="26">
          <cell r="B26">
            <v>8259</v>
          </cell>
        </row>
        <row r="32">
          <cell r="B32">
            <v>122291</v>
          </cell>
        </row>
        <row r="45">
          <cell r="B45">
            <v>23104</v>
          </cell>
        </row>
        <row r="46">
          <cell r="B46">
            <v>-48558</v>
          </cell>
        </row>
        <row r="47">
          <cell r="B47">
            <v>100000</v>
          </cell>
        </row>
        <row r="49">
          <cell r="B49">
            <v>41400</v>
          </cell>
        </row>
        <row r="54">
          <cell r="B54">
            <v>19896</v>
          </cell>
        </row>
        <row r="78">
          <cell r="B78">
            <v>12680</v>
          </cell>
        </row>
        <row r="79">
          <cell r="B79">
            <v>52491</v>
          </cell>
        </row>
        <row r="82">
          <cell r="B82">
            <v>37000</v>
          </cell>
        </row>
        <row r="85">
          <cell r="B85">
            <v>175005</v>
          </cell>
        </row>
        <row r="86">
          <cell r="B86">
            <v>8905</v>
          </cell>
        </row>
        <row r="91">
          <cell r="B91">
            <v>8012</v>
          </cell>
        </row>
        <row r="92">
          <cell r="B92">
            <v>301270</v>
          </cell>
        </row>
        <row r="97">
          <cell r="B97">
            <v>-70979</v>
          </cell>
        </row>
        <row r="98">
          <cell r="B98">
            <v>-149634</v>
          </cell>
        </row>
        <row r="100">
          <cell r="B100">
            <v>120000</v>
          </cell>
        </row>
        <row r="101">
          <cell r="B101">
            <v>127904</v>
          </cell>
        </row>
        <row r="103">
          <cell r="B103">
            <v>29000</v>
          </cell>
        </row>
        <row r="105">
          <cell r="B105">
            <v>-428502</v>
          </cell>
        </row>
        <row r="109">
          <cell r="B109">
            <v>2930</v>
          </cell>
        </row>
        <row r="110">
          <cell r="B110">
            <v>2012</v>
          </cell>
        </row>
        <row r="111">
          <cell r="B111">
            <v>14285</v>
          </cell>
        </row>
        <row r="113">
          <cell r="B113">
            <v>476256</v>
          </cell>
        </row>
        <row r="114">
          <cell r="B114">
            <v>196138</v>
          </cell>
        </row>
        <row r="115">
          <cell r="B115">
            <v>-20560</v>
          </cell>
        </row>
        <row r="116">
          <cell r="B116">
            <v>1749</v>
          </cell>
        </row>
        <row r="119">
          <cell r="B119">
            <v>-9467</v>
          </cell>
        </row>
        <row r="120">
          <cell r="B120">
            <v>-619594</v>
          </cell>
        </row>
        <row r="121">
          <cell r="B121">
            <v>-148</v>
          </cell>
        </row>
        <row r="122">
          <cell r="B122">
            <v>-17993</v>
          </cell>
        </row>
        <row r="123">
          <cell r="B123">
            <v>-7820</v>
          </cell>
        </row>
        <row r="124">
          <cell r="B124">
            <v>-488363</v>
          </cell>
        </row>
        <row r="125">
          <cell r="B125">
            <v>-14369357</v>
          </cell>
        </row>
        <row r="126">
          <cell r="B126">
            <v>-578725</v>
          </cell>
        </row>
        <row r="128">
          <cell r="B128">
            <v>-10528</v>
          </cell>
        </row>
        <row r="129">
          <cell r="B129">
            <v>-1392</v>
          </cell>
        </row>
        <row r="130">
          <cell r="B130">
            <v>-1178258</v>
          </cell>
        </row>
        <row r="131">
          <cell r="B131">
            <v>18170543</v>
          </cell>
        </row>
        <row r="133">
          <cell r="B133">
            <v>-15746</v>
          </cell>
        </row>
        <row r="135">
          <cell r="B135">
            <v>-1250000</v>
          </cell>
        </row>
        <row r="137">
          <cell r="B137">
            <v>-60297</v>
          </cell>
        </row>
        <row r="138">
          <cell r="B138">
            <v>-42857</v>
          </cell>
        </row>
        <row r="139">
          <cell r="B139">
            <v>-987719</v>
          </cell>
        </row>
        <row r="140">
          <cell r="B140">
            <v>-169070</v>
          </cell>
        </row>
        <row r="141">
          <cell r="B141">
            <v>-35420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ow r="7">
          <cell r="B7">
            <v>223033</v>
          </cell>
        </row>
      </sheetData>
      <sheetData sheetId="30">
        <row r="5">
          <cell r="B5">
            <v>-63013</v>
          </cell>
        </row>
      </sheetData>
      <sheetData sheetId="31"/>
      <sheetData sheetId="32"/>
      <sheetData sheetId="33"/>
      <sheetData sheetId="34"/>
      <sheetData sheetId="35"/>
      <sheetData sheetId="36"/>
      <sheetData sheetId="37"/>
      <sheetData sheetId="38"/>
      <sheetData sheetId="39"/>
      <sheetData sheetId="40">
        <row r="7">
          <cell r="B7">
            <v>223033</v>
          </cell>
        </row>
      </sheetData>
      <sheetData sheetId="41">
        <row r="5">
          <cell r="B5">
            <v>-63013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BSSCH"/>
      <sheetName val="PLSCH"/>
      <sheetName val="Asset"/>
      <sheetName val="Liab"/>
      <sheetName val="Income"/>
      <sheetName val="Exp"/>
      <sheetName val="EPS Calculation"/>
      <sheetName val="tb"/>
      <sheetName val="roi2003"/>
      <sheetName val="fa in 1000"/>
      <sheetName val="FASch"/>
      <sheetName val="Investment sch"/>
      <sheetName val="DRS-WKG"/>
      <sheetName val="Deferred tax"/>
      <sheetName val="details of grossup"/>
      <sheetName val="drs gross provn working"/>
      <sheetName val="bad-debt provn"/>
      <sheetName val="income tax computation"/>
      <sheetName val="roi"/>
      <sheetName val="EPS_Calculation1"/>
      <sheetName val="fa_in_10001"/>
      <sheetName val="Investment_sch1"/>
      <sheetName val="Deferred_tax1"/>
      <sheetName val="details_of_grossup1"/>
      <sheetName val="drs_gross_provn_working1"/>
      <sheetName val="bad-debt_provn1"/>
      <sheetName val="income_tax_computation1"/>
      <sheetName val="EPS_Calculation"/>
      <sheetName val="fa_in_1000"/>
      <sheetName val="Investment_sch"/>
      <sheetName val="Deferred_tax"/>
      <sheetName val="details_of_grossup"/>
      <sheetName val="drs_gross_provn_working"/>
      <sheetName val="bad-debt_provn"/>
      <sheetName val="income_tax_computation"/>
    </sheetNames>
    <sheetDataSet>
      <sheetData sheetId="0"/>
      <sheetData sheetId="1"/>
      <sheetData sheetId="2"/>
      <sheetData sheetId="3"/>
      <sheetData sheetId="4"/>
      <sheetData sheetId="5"/>
      <sheetData sheetId="6"/>
      <sheetData sheetId="7"/>
      <sheetData sheetId="8"/>
      <sheetData sheetId="9">
        <row r="8">
          <cell r="B8">
            <v>89596</v>
          </cell>
        </row>
        <row r="10">
          <cell r="B10">
            <v>0</v>
          </cell>
        </row>
        <row r="16">
          <cell r="B16">
            <v>56087</v>
          </cell>
        </row>
        <row r="25">
          <cell r="B25">
            <v>45948</v>
          </cell>
        </row>
        <row r="92">
          <cell r="B92">
            <v>301270</v>
          </cell>
        </row>
        <row r="101">
          <cell r="B101">
            <v>127904</v>
          </cell>
        </row>
        <row r="169">
          <cell r="B16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590"/>
      <sheetName val="DEP. CO.ACT 590"/>
      <sheetName val="current ac 590"/>
      <sheetName val="JOB WORK"/>
      <sheetName val="BS_5901"/>
      <sheetName val="DEP__CO_ACT_5901"/>
      <sheetName val="current_ac_5901"/>
      <sheetName val="JOB_WORK1"/>
      <sheetName val="BS_590"/>
      <sheetName val="DEP__CO_ACT_590"/>
      <sheetName val="current_ac_590"/>
      <sheetName val="JOB_WORK"/>
      <sheetName val="BS_5902"/>
      <sheetName val="DEP__CO_ACT_5902"/>
      <sheetName val="current_ac_5902"/>
      <sheetName val="JOB_WORK2"/>
    </sheetNames>
    <sheetDataSet>
      <sheetData sheetId="0" refreshError="1">
        <row r="3">
          <cell r="B3" t="str">
            <v xml:space="preserve">M/S HOTEL ROYAL </v>
          </cell>
        </row>
        <row r="5">
          <cell r="B5" t="str">
            <v xml:space="preserve"> BALANCE SHEET AS ON 30TH SEPTEMBER, 2000</v>
          </cell>
        </row>
        <row r="7">
          <cell r="G7" t="str">
            <v xml:space="preserve">CURRENT </v>
          </cell>
          <cell r="H7" t="str">
            <v>PREVIOUS</v>
          </cell>
        </row>
        <row r="8">
          <cell r="C8" t="str">
            <v>PARTICULARS</v>
          </cell>
          <cell r="F8" t="str">
            <v>SCH</v>
          </cell>
          <cell r="G8" t="str">
            <v>PERIOD</v>
          </cell>
          <cell r="H8" t="str">
            <v>YEAR</v>
          </cell>
        </row>
        <row r="9">
          <cell r="G9" t="str">
            <v>Rupees</v>
          </cell>
          <cell r="H9" t="str">
            <v>Rupees</v>
          </cell>
        </row>
        <row r="11">
          <cell r="B11" t="str">
            <v>I.</v>
          </cell>
          <cell r="C11" t="str">
            <v>SOURCES  OF FUNDS</v>
          </cell>
        </row>
        <row r="13">
          <cell r="C13" t="str">
            <v>Partners Capital</v>
          </cell>
          <cell r="F13" t="str">
            <v>A</v>
          </cell>
          <cell r="G13">
            <v>1000000</v>
          </cell>
          <cell r="H13">
            <v>1000000</v>
          </cell>
        </row>
        <row r="14">
          <cell r="C14" t="str">
            <v>Partners Current Account</v>
          </cell>
          <cell r="F14" t="str">
            <v>B</v>
          </cell>
          <cell r="G14">
            <v>8754452.4597460609</v>
          </cell>
          <cell r="H14">
            <v>8226798.5200000005</v>
          </cell>
        </row>
        <row r="16">
          <cell r="C16" t="str">
            <v>LOAN FUNDS</v>
          </cell>
        </row>
        <row r="17">
          <cell r="C17" t="str">
            <v>Secured Loans</v>
          </cell>
          <cell r="F17" t="str">
            <v>C</v>
          </cell>
          <cell r="G17">
            <v>697051.58000000007</v>
          </cell>
          <cell r="H17">
            <v>302260.44</v>
          </cell>
        </row>
        <row r="18">
          <cell r="C18" t="str">
            <v>Unsecured Loans</v>
          </cell>
          <cell r="F18" t="str">
            <v>D</v>
          </cell>
          <cell r="G18">
            <v>2083568</v>
          </cell>
          <cell r="H18">
            <v>697396.4</v>
          </cell>
        </row>
        <row r="20">
          <cell r="G20">
            <v>12535072.039746061</v>
          </cell>
          <cell r="H20">
            <v>10226455.359999999</v>
          </cell>
        </row>
        <row r="22">
          <cell r="B22" t="str">
            <v>II.</v>
          </cell>
          <cell r="C22" t="str">
            <v>APPLICATION OF FUNDS</v>
          </cell>
        </row>
        <row r="23">
          <cell r="C23" t="str">
            <v>FIXED ASSETS</v>
          </cell>
          <cell r="F23" t="str">
            <v>E</v>
          </cell>
        </row>
        <row r="25">
          <cell r="C25" t="str">
            <v>Gross Block</v>
          </cell>
          <cell r="G25">
            <v>5196699.32</v>
          </cell>
          <cell r="H25">
            <v>4835159.32</v>
          </cell>
        </row>
        <row r="26">
          <cell r="C26" t="str">
            <v>Less: Depreciation</v>
          </cell>
          <cell r="G26">
            <v>172357.19210684934</v>
          </cell>
          <cell r="H26">
            <v>348543</v>
          </cell>
        </row>
        <row r="27">
          <cell r="C27" t="str">
            <v>Net Block</v>
          </cell>
          <cell r="G27">
            <v>5024342.1278931508</v>
          </cell>
          <cell r="H27">
            <v>4486616.32</v>
          </cell>
        </row>
        <row r="29">
          <cell r="C29" t="str">
            <v>Capital Work in Progress</v>
          </cell>
          <cell r="G29">
            <v>4413049</v>
          </cell>
          <cell r="H29">
            <v>2350796</v>
          </cell>
        </row>
        <row r="31">
          <cell r="C31" t="str">
            <v>CURRENT ASSETS, LOANS &amp;  ADVANCES</v>
          </cell>
        </row>
        <row r="33">
          <cell r="C33" t="str">
            <v>A.CURRENT ASSETS</v>
          </cell>
        </row>
        <row r="34">
          <cell r="C34" t="str">
            <v>Sundry Debtors</v>
          </cell>
          <cell r="D34" t="str">
            <v>`</v>
          </cell>
          <cell r="F34" t="str">
            <v>F</v>
          </cell>
          <cell r="G34">
            <v>1452613.64</v>
          </cell>
          <cell r="H34">
            <v>1183026.58</v>
          </cell>
        </row>
        <row r="35">
          <cell r="C35" t="str">
            <v>Cash &amp; Bank Balances</v>
          </cell>
          <cell r="F35" t="str">
            <v>G</v>
          </cell>
          <cell r="G35">
            <v>40240.699999999997</v>
          </cell>
          <cell r="H35">
            <v>138366.25</v>
          </cell>
        </row>
        <row r="37">
          <cell r="C37" t="str">
            <v xml:space="preserve">B. LOANS AND ADVANCES </v>
          </cell>
        </row>
        <row r="38">
          <cell r="C38" t="str">
            <v>Loans &amp; Advances</v>
          </cell>
          <cell r="F38" t="str">
            <v>H</v>
          </cell>
          <cell r="G38">
            <v>2326597.42</v>
          </cell>
          <cell r="H38">
            <v>2295462.06</v>
          </cell>
        </row>
        <row r="40">
          <cell r="G40">
            <v>3819451.76</v>
          </cell>
          <cell r="H40">
            <v>3616854.89</v>
          </cell>
        </row>
        <row r="41">
          <cell r="C41" t="str">
            <v>LESS:  CURRENT LIABILITIES</v>
          </cell>
        </row>
        <row r="42">
          <cell r="C42" t="str">
            <v>&amp; PROVISIONS</v>
          </cell>
        </row>
        <row r="43">
          <cell r="C43" t="str">
            <v>Current Liabilities</v>
          </cell>
          <cell r="F43" t="str">
            <v>I</v>
          </cell>
          <cell r="G43">
            <v>267337.84999999998</v>
          </cell>
          <cell r="H43">
            <v>192311.85</v>
          </cell>
        </row>
        <row r="44">
          <cell r="C44" t="str">
            <v>Provisions</v>
          </cell>
          <cell r="F44" t="str">
            <v>J</v>
          </cell>
          <cell r="G44">
            <v>474433</v>
          </cell>
          <cell r="H44">
            <v>55500</v>
          </cell>
        </row>
        <row r="45">
          <cell r="G45">
            <v>741770.85</v>
          </cell>
          <cell r="H45">
            <v>247811.85</v>
          </cell>
        </row>
        <row r="46">
          <cell r="C46" t="str">
            <v>NET CURRENT ASSETS</v>
          </cell>
          <cell r="G46">
            <v>3077680.9099999997</v>
          </cell>
          <cell r="H46">
            <v>3369043.04</v>
          </cell>
        </row>
        <row r="48">
          <cell r="C48" t="str">
            <v>MISCELLANEOUS EXPENDITURE</v>
          </cell>
        </row>
        <row r="49">
          <cell r="C49" t="str">
            <v>(to the extent not written off or adjusted)</v>
          </cell>
          <cell r="G49">
            <v>20000</v>
          </cell>
          <cell r="H49">
            <v>20000</v>
          </cell>
        </row>
        <row r="51">
          <cell r="G51">
            <v>12535072.03789315</v>
          </cell>
          <cell r="H51">
            <v>10226455.359999999</v>
          </cell>
        </row>
        <row r="53">
          <cell r="G53">
            <v>-1.852910965681076E-3</v>
          </cell>
          <cell r="H53">
            <v>0</v>
          </cell>
        </row>
        <row r="55">
          <cell r="B55" t="str">
            <v>AS PER OUR REPORT OF EVEN DATE</v>
          </cell>
          <cell r="F55" t="str">
            <v xml:space="preserve">                             FOR M/S HOTEL ROYAL</v>
          </cell>
        </row>
        <row r="56">
          <cell r="B56" t="str">
            <v>FOR AJMERA &amp; ASSOCIATES</v>
          </cell>
        </row>
        <row r="57">
          <cell r="B57" t="str">
            <v>CHARTERED ACCOUNTANTS</v>
          </cell>
        </row>
        <row r="60">
          <cell r="B60" t="str">
            <v>PARTNER</v>
          </cell>
          <cell r="D60">
            <v>0</v>
          </cell>
          <cell r="E60">
            <v>0</v>
          </cell>
          <cell r="F60" t="str">
            <v>DIRECTOR</v>
          </cell>
          <cell r="G60" t="str">
            <v xml:space="preserve">          DIRECTOR</v>
          </cell>
        </row>
        <row r="61">
          <cell r="C61">
            <v>0</v>
          </cell>
        </row>
        <row r="62">
          <cell r="C62">
            <v>0</v>
          </cell>
        </row>
        <row r="63">
          <cell r="B63" t="str">
            <v>PLACE : MUMBAI</v>
          </cell>
        </row>
        <row r="64">
          <cell r="B64" t="str">
            <v>DATE   :    /12/2001</v>
          </cell>
        </row>
        <row r="70">
          <cell r="B70" t="str">
            <v xml:space="preserve">M/S HOTEL ROYAL </v>
          </cell>
        </row>
        <row r="72">
          <cell r="B72" t="str">
            <v xml:space="preserve"> PROFIT AND LOSS ACCOUNT FOR THE YEAR ENDED  30TH SEPTEMBER, 2000</v>
          </cell>
        </row>
        <row r="74">
          <cell r="G74" t="str">
            <v xml:space="preserve">CURRENT </v>
          </cell>
          <cell r="H74" t="str">
            <v>PREVIOUS</v>
          </cell>
        </row>
        <row r="75">
          <cell r="C75" t="str">
            <v>PARTICULARS</v>
          </cell>
          <cell r="F75" t="str">
            <v>SCH</v>
          </cell>
          <cell r="G75" t="str">
            <v>PERIOD</v>
          </cell>
          <cell r="H75" t="str">
            <v>YEAR</v>
          </cell>
        </row>
        <row r="76">
          <cell r="G76" t="str">
            <v>Rupees</v>
          </cell>
          <cell r="H76" t="str">
            <v>Rupees</v>
          </cell>
        </row>
        <row r="77">
          <cell r="B77" t="str">
            <v>I</v>
          </cell>
          <cell r="C77" t="str">
            <v>INCOME</v>
          </cell>
        </row>
        <row r="79">
          <cell r="C79" t="str">
            <v>Income from Operations</v>
          </cell>
          <cell r="G79">
            <v>2820865</v>
          </cell>
          <cell r="H79">
            <v>5322840.5</v>
          </cell>
        </row>
        <row r="80">
          <cell r="C80" t="str">
            <v>Other Income</v>
          </cell>
          <cell r="G80">
            <v>244670.5</v>
          </cell>
          <cell r="H80">
            <v>799811.3</v>
          </cell>
        </row>
        <row r="81">
          <cell r="E81" t="str">
            <v xml:space="preserve">TOTAL </v>
          </cell>
          <cell r="G81">
            <v>3065535.5</v>
          </cell>
          <cell r="H81">
            <v>6122651.7999999998</v>
          </cell>
        </row>
        <row r="83">
          <cell r="B83" t="str">
            <v>II</v>
          </cell>
          <cell r="C83" t="str">
            <v>EXPENDITURE</v>
          </cell>
        </row>
        <row r="85">
          <cell r="C85" t="str">
            <v>Payments to &amp; Provision for Employees</v>
          </cell>
          <cell r="F85" t="str">
            <v>K</v>
          </cell>
          <cell r="G85">
            <v>367058.4</v>
          </cell>
          <cell r="H85">
            <v>965216.54999999993</v>
          </cell>
        </row>
        <row r="86">
          <cell r="C86" t="str">
            <v>Administrative &amp; Other Expenses</v>
          </cell>
          <cell r="F86" t="str">
            <v>L</v>
          </cell>
          <cell r="G86">
            <v>1690735.39</v>
          </cell>
          <cell r="H86">
            <v>2746245.9499999997</v>
          </cell>
        </row>
        <row r="87">
          <cell r="C87" t="str">
            <v>Selling &amp; Distribution Expenses</v>
          </cell>
          <cell r="F87" t="str">
            <v>M</v>
          </cell>
          <cell r="G87">
            <v>107351.8</v>
          </cell>
          <cell r="H87">
            <v>75328</v>
          </cell>
        </row>
        <row r="88">
          <cell r="C88" t="str">
            <v>Financial Expenses</v>
          </cell>
          <cell r="F88" t="str">
            <v>N</v>
          </cell>
          <cell r="G88">
            <v>75061.279999999984</v>
          </cell>
          <cell r="H88">
            <v>199916.39</v>
          </cell>
        </row>
        <row r="89">
          <cell r="C89" t="str">
            <v>Depreciation</v>
          </cell>
          <cell r="F89" t="str">
            <v>E</v>
          </cell>
          <cell r="G89">
            <v>172357.19210684934</v>
          </cell>
          <cell r="H89">
            <v>348543</v>
          </cell>
        </row>
        <row r="91">
          <cell r="E91" t="str">
            <v xml:space="preserve">TOTAL </v>
          </cell>
          <cell r="G91">
            <v>2412564.0621068492</v>
          </cell>
          <cell r="H91">
            <v>4335249.8899999997</v>
          </cell>
        </row>
        <row r="93">
          <cell r="B93">
            <v>0</v>
          </cell>
          <cell r="C93" t="str">
            <v>PROFIT BEFORE INTEREST AND REMUNERATION</v>
          </cell>
          <cell r="G93">
            <v>652971.43789315084</v>
          </cell>
          <cell r="H93">
            <v>1787401.9100000001</v>
          </cell>
        </row>
        <row r="94">
          <cell r="C94" t="str">
            <v>Interest on Capital &amp; Current Account</v>
          </cell>
          <cell r="G94">
            <v>593430.77</v>
          </cell>
          <cell r="H94">
            <v>976718</v>
          </cell>
        </row>
        <row r="95">
          <cell r="C95" t="str">
            <v>Remuneration to Partners</v>
          </cell>
          <cell r="G95">
            <v>50000</v>
          </cell>
          <cell r="H95">
            <v>376772</v>
          </cell>
        </row>
        <row r="97">
          <cell r="B97" t="str">
            <v>IV</v>
          </cell>
          <cell r="C97" t="str">
            <v>PROFIT AFTER TAX</v>
          </cell>
          <cell r="G97">
            <v>9540.6678931508213</v>
          </cell>
          <cell r="H97">
            <v>433911.91000000015</v>
          </cell>
        </row>
        <row r="99">
          <cell r="C99" t="str">
            <v>Add: Balance Brought Forward</v>
          </cell>
          <cell r="G99">
            <v>0</v>
          </cell>
          <cell r="H99">
            <v>0</v>
          </cell>
        </row>
        <row r="101">
          <cell r="C101" t="str">
            <v>Balance carried to Balance sheet</v>
          </cell>
          <cell r="G101">
            <v>9540.6678931508213</v>
          </cell>
          <cell r="H101">
            <v>433911.91000000015</v>
          </cell>
        </row>
        <row r="103">
          <cell r="C103" t="str">
            <v>NOTES FORMING PART OF ACCOUNTS</v>
          </cell>
          <cell r="F103" t="str">
            <v>O</v>
          </cell>
        </row>
        <row r="106">
          <cell r="B106" t="str">
            <v>AS PER OUR REPORT OF EVEN DATE</v>
          </cell>
          <cell r="F106" t="str">
            <v xml:space="preserve">                             FOR M/S HOTEL ROYAL</v>
          </cell>
        </row>
        <row r="107">
          <cell r="B107" t="str">
            <v>FOR AJMERA &amp; ASSOCIATES</v>
          </cell>
        </row>
        <row r="108">
          <cell r="B108" t="str">
            <v>CHARTERED ACCOUNTANTS</v>
          </cell>
        </row>
        <row r="111">
          <cell r="C111">
            <v>0</v>
          </cell>
          <cell r="F111" t="str">
            <v>DIRECTOR</v>
          </cell>
          <cell r="G111" t="str">
            <v>DIRECTOR</v>
          </cell>
        </row>
        <row r="112">
          <cell r="B112" t="str">
            <v>PARTNER</v>
          </cell>
        </row>
        <row r="113">
          <cell r="C113">
            <v>0</v>
          </cell>
        </row>
        <row r="114">
          <cell r="B114" t="str">
            <v>PLACE : MUMBAI</v>
          </cell>
        </row>
        <row r="115">
          <cell r="B115" t="str">
            <v>DATE   :   /12/2001</v>
          </cell>
        </row>
        <row r="126">
          <cell r="B126" t="str">
            <v xml:space="preserve">M/S HOTEL ROYAL </v>
          </cell>
        </row>
        <row r="128">
          <cell r="B128" t="str">
            <v>SCHEDULES ANNEXED TO AND FORMING PART OF THE BALANCE SHEET AS ON</v>
          </cell>
        </row>
        <row r="129">
          <cell r="B129" t="str">
            <v>30TH SEPTEMBER.,2000 AND PROFIT AND LOSS ACCOUNT FOR THE PERIOD ENDED ON</v>
          </cell>
        </row>
        <row r="130">
          <cell r="B130" t="str">
            <v>THAT DATE.</v>
          </cell>
        </row>
        <row r="132">
          <cell r="G132" t="str">
            <v xml:space="preserve">CURRENT </v>
          </cell>
          <cell r="H132" t="str">
            <v>PREVIOUS</v>
          </cell>
        </row>
        <row r="133">
          <cell r="G133" t="str">
            <v>PERIOD</v>
          </cell>
          <cell r="H133" t="str">
            <v>YEAR</v>
          </cell>
        </row>
        <row r="134">
          <cell r="C134" t="str">
            <v>PARTICULARS</v>
          </cell>
        </row>
        <row r="135">
          <cell r="G135" t="str">
            <v>Rupees</v>
          </cell>
          <cell r="H135" t="str">
            <v>Rupees</v>
          </cell>
        </row>
        <row r="137">
          <cell r="B137" t="str">
            <v>SCHEDULE "A"</v>
          </cell>
        </row>
        <row r="138">
          <cell r="B138" t="str">
            <v xml:space="preserve">PARTNERS CAPITAL </v>
          </cell>
          <cell r="G138">
            <v>1000000</v>
          </cell>
          <cell r="H138">
            <v>1000000</v>
          </cell>
        </row>
        <row r="140">
          <cell r="G140">
            <v>1000000</v>
          </cell>
          <cell r="H140">
            <v>1000000</v>
          </cell>
        </row>
        <row r="142">
          <cell r="B142" t="str">
            <v>SCHEDULE "B"</v>
          </cell>
        </row>
        <row r="143">
          <cell r="B143" t="str">
            <v>RESERVES AND SURPLUS</v>
          </cell>
        </row>
        <row r="144">
          <cell r="B144" t="str">
            <v>Surplus as per Profit &amp; Loss A/c</v>
          </cell>
          <cell r="G144">
            <v>9540.6678931508213</v>
          </cell>
          <cell r="H144">
            <v>433911.91000000015</v>
          </cell>
        </row>
        <row r="146">
          <cell r="G146">
            <v>9540.6678931508213</v>
          </cell>
          <cell r="H146">
            <v>433911.91000000015</v>
          </cell>
        </row>
        <row r="148">
          <cell r="B148" t="str">
            <v>SCHEDULE "C"</v>
          </cell>
        </row>
        <row r="149">
          <cell r="B149" t="str">
            <v>SECURED LOANS</v>
          </cell>
        </row>
        <row r="151">
          <cell r="B151" t="str">
            <v>Car Loan</v>
          </cell>
        </row>
        <row r="152">
          <cell r="B152" t="str">
            <v xml:space="preserve"> - From ANZ Grindlays</v>
          </cell>
          <cell r="G152">
            <v>254277</v>
          </cell>
          <cell r="H152">
            <v>302260.44</v>
          </cell>
        </row>
        <row r="153">
          <cell r="B153" t="str">
            <v xml:space="preserve"> - From SCB Bank</v>
          </cell>
          <cell r="G153">
            <v>442774.58</v>
          </cell>
          <cell r="H153">
            <v>0</v>
          </cell>
        </row>
        <row r="155">
          <cell r="G155">
            <v>697051.58000000007</v>
          </cell>
          <cell r="H155">
            <v>302260.44</v>
          </cell>
        </row>
        <row r="157">
          <cell r="B157" t="str">
            <v>SCHEDULE "D"</v>
          </cell>
        </row>
        <row r="159">
          <cell r="B159" t="str">
            <v>UNSECURED LOANS</v>
          </cell>
        </row>
        <row r="160">
          <cell r="B160" t="str">
            <v>From Others</v>
          </cell>
          <cell r="G160">
            <v>604931</v>
          </cell>
          <cell r="H160">
            <v>697396.4</v>
          </cell>
        </row>
        <row r="161">
          <cell r="B161" t="str">
            <v>From Sabal Holdings Pvt. Ltd.</v>
          </cell>
          <cell r="G161">
            <v>725658</v>
          </cell>
          <cell r="H161">
            <v>0</v>
          </cell>
        </row>
        <row r="162">
          <cell r="B162" t="str">
            <v>From Ratish Holdings Pvt. Ltd.</v>
          </cell>
          <cell r="G162">
            <v>752979</v>
          </cell>
          <cell r="H162">
            <v>0</v>
          </cell>
        </row>
        <row r="164">
          <cell r="G164">
            <v>2083568</v>
          </cell>
          <cell r="H164">
            <v>697396.4</v>
          </cell>
        </row>
        <row r="167">
          <cell r="B167" t="str">
            <v xml:space="preserve">HOTEL ROYAL(DIV.OF BALAN HOTELS PVT.LTD. </v>
          </cell>
        </row>
        <row r="169">
          <cell r="B169" t="str">
            <v>SCHEDULES ANNEXED TO AND FORMING PART OF THE BALANCE SHEET AS ON</v>
          </cell>
        </row>
        <row r="170">
          <cell r="B170" t="str">
            <v>30TH SEPTEMBER,,2000 AND PROFIT AND LOSS ACCOUNT FOR THE PERIOD ENDED ON</v>
          </cell>
        </row>
        <row r="171">
          <cell r="B171" t="str">
            <v>THAT DATE.</v>
          </cell>
        </row>
        <row r="173">
          <cell r="G173" t="str">
            <v>CURRENT</v>
          </cell>
          <cell r="H173" t="str">
            <v>PREVIOUS</v>
          </cell>
        </row>
        <row r="174">
          <cell r="C174" t="str">
            <v>PARTICULARS</v>
          </cell>
          <cell r="G174" t="str">
            <v>PERIOD</v>
          </cell>
          <cell r="H174" t="str">
            <v>YEAR</v>
          </cell>
        </row>
        <row r="175">
          <cell r="G175" t="str">
            <v>Rupees</v>
          </cell>
          <cell r="H175" t="str">
            <v>Rupees</v>
          </cell>
        </row>
        <row r="176">
          <cell r="B176" t="str">
            <v>SCHEDULE "F"</v>
          </cell>
        </row>
        <row r="178">
          <cell r="B178" t="str">
            <v>SUNDRY DEBTORS</v>
          </cell>
          <cell r="G178">
            <v>1452613.64</v>
          </cell>
          <cell r="H178">
            <v>1183026.58</v>
          </cell>
        </row>
        <row r="179">
          <cell r="B179" t="str">
            <v>(unsecured, considered good)</v>
          </cell>
        </row>
        <row r="181">
          <cell r="G181">
            <v>1452613.64</v>
          </cell>
          <cell r="H181">
            <v>1183026.58</v>
          </cell>
        </row>
        <row r="183">
          <cell r="B183" t="str">
            <v>SCHEDULE "G"</v>
          </cell>
        </row>
        <row r="185">
          <cell r="B185" t="str">
            <v>CASH &amp; BANK BALANCES</v>
          </cell>
        </row>
        <row r="186">
          <cell r="B186" t="str">
            <v>Cash in hand</v>
          </cell>
          <cell r="G186">
            <v>10010.39</v>
          </cell>
          <cell r="H186">
            <v>12904.04</v>
          </cell>
        </row>
        <row r="187">
          <cell r="B187" t="str">
            <v>Balance with Scheduled Bank in</v>
          </cell>
        </row>
        <row r="188">
          <cell r="B188" t="str">
            <v xml:space="preserve">Current account </v>
          </cell>
          <cell r="D188" t="str">
            <v>Bharat Co-op Bank</v>
          </cell>
          <cell r="G188">
            <v>501</v>
          </cell>
          <cell r="H188">
            <v>501</v>
          </cell>
        </row>
        <row r="189">
          <cell r="D189" t="str">
            <v>Nedungadi Bank</v>
          </cell>
          <cell r="G189">
            <v>4873.76</v>
          </cell>
          <cell r="H189">
            <v>4873.76</v>
          </cell>
        </row>
        <row r="190">
          <cell r="D190" t="str">
            <v>Bank Of Madura</v>
          </cell>
          <cell r="G190">
            <v>24855.55</v>
          </cell>
          <cell r="H190">
            <v>120087.45</v>
          </cell>
        </row>
        <row r="192">
          <cell r="G192">
            <v>40240.699999999997</v>
          </cell>
          <cell r="H192">
            <v>138366.25</v>
          </cell>
        </row>
        <row r="195">
          <cell r="B195" t="str">
            <v xml:space="preserve">HOTEL ROYAL(DIV.OF BALAN HOTELS PVT.LTD. </v>
          </cell>
        </row>
        <row r="197">
          <cell r="B197" t="str">
            <v>SCHEDULES ANNEXED TO AND FORMING PART OF THE BALANCE SHEET AS ON</v>
          </cell>
        </row>
        <row r="198">
          <cell r="B198" t="str">
            <v>30TH SEPTEMBER,2000 AND PROFIT AND LOSS ACCOUNT FOR THE PERIOD ENDED ON</v>
          </cell>
        </row>
        <row r="199">
          <cell r="B199" t="str">
            <v>THAT DATE.</v>
          </cell>
        </row>
        <row r="201">
          <cell r="G201" t="str">
            <v>CURRENT</v>
          </cell>
          <cell r="H201" t="str">
            <v>PREVIOUS</v>
          </cell>
        </row>
        <row r="202">
          <cell r="C202" t="str">
            <v>PARTICULARS</v>
          </cell>
          <cell r="G202" t="str">
            <v>PERIOD</v>
          </cell>
          <cell r="H202" t="str">
            <v>YEAR</v>
          </cell>
        </row>
        <row r="203">
          <cell r="G203" t="str">
            <v>Rupees</v>
          </cell>
          <cell r="H203" t="str">
            <v>Rupees</v>
          </cell>
        </row>
        <row r="204">
          <cell r="B204" t="str">
            <v>SCHEDULE "H"</v>
          </cell>
        </row>
        <row r="206">
          <cell r="B206" t="str">
            <v>LOANS &amp; ADVANCES</v>
          </cell>
        </row>
        <row r="207">
          <cell r="B207" t="str">
            <v>(Unsecured, Considered Good, unless otherwise stated)</v>
          </cell>
        </row>
        <row r="208">
          <cell r="B208" t="str">
            <v>Advance recoverable in cash or in kind</v>
          </cell>
          <cell r="G208">
            <v>2043371.42</v>
          </cell>
          <cell r="H208">
            <v>1812179.42</v>
          </cell>
        </row>
        <row r="209">
          <cell r="B209" t="str">
            <v>Security Deposits</v>
          </cell>
          <cell r="G209">
            <v>68520</v>
          </cell>
          <cell r="H209">
            <v>246732.64</v>
          </cell>
        </row>
        <row r="210">
          <cell r="B210" t="str">
            <v>Prepaid Expenses</v>
          </cell>
          <cell r="G210">
            <v>71297</v>
          </cell>
          <cell r="H210">
            <v>0</v>
          </cell>
        </row>
        <row r="211">
          <cell r="B211" t="str">
            <v>Provision Of Income</v>
          </cell>
          <cell r="G211">
            <v>3333</v>
          </cell>
          <cell r="H211">
            <v>0</v>
          </cell>
        </row>
        <row r="212">
          <cell r="B212" t="str">
            <v>Advance Tax and T D S</v>
          </cell>
          <cell r="G212">
            <v>126576</v>
          </cell>
          <cell r="H212">
            <v>236550</v>
          </cell>
        </row>
        <row r="213">
          <cell r="B213" t="str">
            <v>Staff Loan</v>
          </cell>
          <cell r="G213">
            <v>13500</v>
          </cell>
          <cell r="H213">
            <v>0</v>
          </cell>
        </row>
        <row r="215">
          <cell r="G215">
            <v>2326597.42</v>
          </cell>
          <cell r="H215">
            <v>2295462.06</v>
          </cell>
        </row>
        <row r="217">
          <cell r="B217" t="str">
            <v>SCHEDULE "I"</v>
          </cell>
        </row>
        <row r="219">
          <cell r="B219" t="str">
            <v>CURRENT LIABILITIES</v>
          </cell>
        </row>
        <row r="220">
          <cell r="B220" t="str">
            <v>Creditors for Capital Items</v>
          </cell>
          <cell r="G220">
            <v>147365</v>
          </cell>
          <cell r="H220">
            <v>103079</v>
          </cell>
        </row>
        <row r="221">
          <cell r="B221" t="str">
            <v>Creditors for expenses.</v>
          </cell>
          <cell r="G221">
            <v>119972.85</v>
          </cell>
          <cell r="H221">
            <v>89232.85</v>
          </cell>
        </row>
        <row r="223">
          <cell r="G223">
            <v>267337.84999999998</v>
          </cell>
          <cell r="H223">
            <v>192311.85</v>
          </cell>
        </row>
        <row r="225">
          <cell r="B225" t="str">
            <v>SCHEDULE "J"</v>
          </cell>
        </row>
        <row r="227">
          <cell r="B227" t="str">
            <v>PROVISIONS</v>
          </cell>
        </row>
        <row r="228">
          <cell r="B228" t="str">
            <v>Provision for Expenses</v>
          </cell>
          <cell r="G228">
            <v>474433</v>
          </cell>
          <cell r="H228">
            <v>55500</v>
          </cell>
        </row>
        <row r="230">
          <cell r="G230">
            <v>474433</v>
          </cell>
          <cell r="H230">
            <v>55500</v>
          </cell>
        </row>
        <row r="234">
          <cell r="B234" t="str">
            <v xml:space="preserve">HOTEL ROYAL(DIV.OF BALAN HOTELS PVT.LTD. </v>
          </cell>
        </row>
        <row r="236">
          <cell r="B236" t="str">
            <v>SCHEDULES ANNEXED TO AND FORMING PART OF THE BALANCE SHEET AS ON</v>
          </cell>
        </row>
        <row r="237">
          <cell r="B237" t="str">
            <v>30TH SEPTEMBER,2000 AND PROFIT AND LOSS ACCOUNT FOR THE PERIOD ENDED ON</v>
          </cell>
        </row>
        <row r="238">
          <cell r="B238" t="str">
            <v>THAT DATE.</v>
          </cell>
        </row>
        <row r="240">
          <cell r="G240" t="str">
            <v>CURRENT</v>
          </cell>
          <cell r="H240" t="str">
            <v>PREVIOUS</v>
          </cell>
        </row>
        <row r="241">
          <cell r="C241" t="str">
            <v>PARTICULARS</v>
          </cell>
          <cell r="G241" t="str">
            <v>PERIOD</v>
          </cell>
          <cell r="H241" t="str">
            <v>YEAR</v>
          </cell>
        </row>
        <row r="242">
          <cell r="G242" t="str">
            <v>Rupees</v>
          </cell>
          <cell r="H242" t="str">
            <v>Rupees</v>
          </cell>
        </row>
        <row r="244">
          <cell r="B244" t="str">
            <v>SCHEDULE "K"</v>
          </cell>
        </row>
        <row r="246">
          <cell r="B246" t="str">
            <v>PAYMENTS TO &amp; PROVISIONS FOR EMPLOYEES</v>
          </cell>
        </row>
        <row r="247">
          <cell r="B247" t="str">
            <v>Salary, Wages &amp; Bonus</v>
          </cell>
          <cell r="G247">
            <v>208290</v>
          </cell>
          <cell r="H247">
            <v>558181.6</v>
          </cell>
        </row>
        <row r="248">
          <cell r="B248" t="str">
            <v>Contribution to ESIC Fund</v>
          </cell>
          <cell r="G248">
            <v>9544.4</v>
          </cell>
          <cell r="H248">
            <v>32209.75</v>
          </cell>
        </row>
        <row r="249">
          <cell r="B249" t="str">
            <v>Contribution to P.F</v>
          </cell>
          <cell r="G249">
            <v>33858</v>
          </cell>
          <cell r="H249">
            <v>130786</v>
          </cell>
        </row>
        <row r="250">
          <cell r="B250" t="str">
            <v>Staff Meals</v>
          </cell>
          <cell r="G250">
            <v>79434</v>
          </cell>
          <cell r="H250">
            <v>187399</v>
          </cell>
        </row>
        <row r="251">
          <cell r="B251" t="str">
            <v>Leave Salary &amp; Gratuity</v>
          </cell>
          <cell r="G251">
            <v>22467</v>
          </cell>
          <cell r="H251">
            <v>42870</v>
          </cell>
        </row>
        <row r="252">
          <cell r="B252" t="str">
            <v>Cash Handling expenses</v>
          </cell>
          <cell r="G252">
            <v>10113</v>
          </cell>
          <cell r="H252">
            <v>12000</v>
          </cell>
        </row>
        <row r="253">
          <cell r="B253" t="str">
            <v>Life Insurance of Employees</v>
          </cell>
          <cell r="G253">
            <v>3222</v>
          </cell>
          <cell r="H253">
            <v>0</v>
          </cell>
        </row>
        <row r="254">
          <cell r="B254" t="str">
            <v>Profession Tax</v>
          </cell>
          <cell r="G254">
            <v>130</v>
          </cell>
          <cell r="H254">
            <v>1770.2</v>
          </cell>
        </row>
        <row r="256">
          <cell r="G256">
            <v>367058.4</v>
          </cell>
          <cell r="H256">
            <v>965216.54999999993</v>
          </cell>
        </row>
        <row r="258">
          <cell r="B258" t="str">
            <v>SCHEDULE "L"</v>
          </cell>
        </row>
        <row r="260">
          <cell r="B260" t="str">
            <v>ADMINISTRATIVE &amp; OTHER EXPENSES</v>
          </cell>
        </row>
        <row r="261">
          <cell r="B261" t="str">
            <v>Rent, Rates &amp; Taxes</v>
          </cell>
          <cell r="G261">
            <v>188235.64</v>
          </cell>
          <cell r="H261">
            <v>275279</v>
          </cell>
        </row>
        <row r="262">
          <cell r="B262" t="str">
            <v>Traveling &amp; Conveyance</v>
          </cell>
          <cell r="G262">
            <v>22517.5</v>
          </cell>
          <cell r="H262">
            <v>62786</v>
          </cell>
        </row>
        <row r="263">
          <cell r="B263" t="str">
            <v>Insurance</v>
          </cell>
          <cell r="G263">
            <v>6893</v>
          </cell>
          <cell r="H263">
            <v>103590</v>
          </cell>
        </row>
        <row r="264">
          <cell r="B264" t="str">
            <v>Postage, Telephone &amp; Telegrams</v>
          </cell>
          <cell r="G264">
            <v>111111.5</v>
          </cell>
          <cell r="H264">
            <v>78786</v>
          </cell>
        </row>
        <row r="265">
          <cell r="B265" t="str">
            <v>Printing &amp; Stationary</v>
          </cell>
          <cell r="G265">
            <v>42246.25</v>
          </cell>
          <cell r="H265">
            <v>56772.2</v>
          </cell>
        </row>
        <row r="266">
          <cell r="B266" t="str">
            <v>Newspaper and Periodicals</v>
          </cell>
          <cell r="G266">
            <v>25738.6</v>
          </cell>
          <cell r="H266">
            <v>46299.35</v>
          </cell>
        </row>
        <row r="267">
          <cell r="B267" t="str">
            <v>Electricity Charges</v>
          </cell>
          <cell r="G267">
            <v>706281</v>
          </cell>
          <cell r="H267">
            <v>932861</v>
          </cell>
        </row>
        <row r="268">
          <cell r="B268" t="str">
            <v>Laundry Charges</v>
          </cell>
          <cell r="G268">
            <v>56167</v>
          </cell>
          <cell r="H268">
            <v>114778</v>
          </cell>
        </row>
        <row r="269">
          <cell r="B269" t="str">
            <v>Vehicle Expenses</v>
          </cell>
          <cell r="G269">
            <v>87097</v>
          </cell>
          <cell r="H269">
            <v>142165</v>
          </cell>
        </row>
        <row r="270">
          <cell r="B270" t="str">
            <v>Professional &amp; Consultancy charges</v>
          </cell>
          <cell r="G270">
            <v>3617</v>
          </cell>
          <cell r="H270">
            <v>87200</v>
          </cell>
        </row>
        <row r="271">
          <cell r="B271" t="str">
            <v>Audit fees</v>
          </cell>
          <cell r="G271">
            <v>0</v>
          </cell>
          <cell r="H271">
            <v>10500</v>
          </cell>
        </row>
        <row r="272">
          <cell r="B272" t="str">
            <v>Staff Welfare Expenses</v>
          </cell>
          <cell r="G272">
            <v>38302.65</v>
          </cell>
          <cell r="H272">
            <v>62066.55</v>
          </cell>
        </row>
        <row r="273">
          <cell r="B273" t="str">
            <v>House Keeping Expenses</v>
          </cell>
          <cell r="G273">
            <v>135838.25</v>
          </cell>
          <cell r="H273">
            <v>322056.34999999998</v>
          </cell>
        </row>
        <row r="274">
          <cell r="B274" t="str">
            <v>Repair &amp; Maintainence</v>
          </cell>
          <cell r="G274">
            <v>208964</v>
          </cell>
          <cell r="H274">
            <v>341955</v>
          </cell>
        </row>
        <row r="275">
          <cell r="B275" t="str">
            <v>Mansoon Shed Expenses</v>
          </cell>
          <cell r="G275">
            <v>0</v>
          </cell>
          <cell r="H275">
            <v>66840</v>
          </cell>
        </row>
        <row r="276">
          <cell r="B276" t="str">
            <v>Miscellaneous Expenses</v>
          </cell>
          <cell r="G276">
            <v>29198</v>
          </cell>
          <cell r="H276">
            <v>29447</v>
          </cell>
        </row>
        <row r="277">
          <cell r="B277" t="str">
            <v>Office Expenses</v>
          </cell>
          <cell r="G277">
            <v>28528</v>
          </cell>
          <cell r="H277">
            <v>12864.5</v>
          </cell>
        </row>
        <row r="279">
          <cell r="G279">
            <v>1690735.39</v>
          </cell>
          <cell r="H279">
            <v>2746245.9499999997</v>
          </cell>
        </row>
        <row r="282">
          <cell r="B282" t="str">
            <v xml:space="preserve">HOTEL ROYAL(DIV.OF BALAN HOTELS PVT.LTD. </v>
          </cell>
        </row>
        <row r="284">
          <cell r="B284" t="str">
            <v>SCHEDULES ANNEXED TO AND FORMING PART OF THE BALANCE SHEET AS AT</v>
          </cell>
        </row>
        <row r="285">
          <cell r="B285" t="str">
            <v>30TH SEPTEMBER ,2000 AND PROFIT AND LOSS ACCOUNT FOR THE PERIOD ENDED ON</v>
          </cell>
        </row>
        <row r="286">
          <cell r="B286" t="str">
            <v>THAT DATE.</v>
          </cell>
        </row>
        <row r="288">
          <cell r="G288" t="str">
            <v>CURRENT</v>
          </cell>
          <cell r="H288" t="str">
            <v>PREVIOUS</v>
          </cell>
        </row>
        <row r="289">
          <cell r="C289" t="str">
            <v>PARTICULARS</v>
          </cell>
          <cell r="G289" t="str">
            <v>PERIOD</v>
          </cell>
          <cell r="H289" t="str">
            <v>YEAR</v>
          </cell>
        </row>
        <row r="290">
          <cell r="G290" t="str">
            <v>Rupees</v>
          </cell>
          <cell r="H290" t="str">
            <v>Rupees</v>
          </cell>
        </row>
        <row r="292">
          <cell r="B292" t="str">
            <v>SCHEDULE "M"</v>
          </cell>
        </row>
        <row r="294">
          <cell r="B294" t="str">
            <v>SELLING &amp; DISTRIBUTION EXPENSES</v>
          </cell>
        </row>
        <row r="295">
          <cell r="B295" t="str">
            <v>Business Promotion</v>
          </cell>
          <cell r="G295">
            <v>19049</v>
          </cell>
          <cell r="H295">
            <v>10597</v>
          </cell>
        </row>
        <row r="296">
          <cell r="B296" t="str">
            <v xml:space="preserve">Credit Card Commission </v>
          </cell>
          <cell r="G296">
            <v>22607.8</v>
          </cell>
          <cell r="H296">
            <v>42570</v>
          </cell>
        </row>
        <row r="297">
          <cell r="B297" t="str">
            <v>Cash Discount on Sales</v>
          </cell>
          <cell r="G297">
            <v>63194</v>
          </cell>
          <cell r="H297">
            <v>0</v>
          </cell>
        </row>
        <row r="298">
          <cell r="B298" t="str">
            <v>Advertisement</v>
          </cell>
          <cell r="G298">
            <v>2501</v>
          </cell>
          <cell r="H298">
            <v>22161</v>
          </cell>
        </row>
        <row r="299">
          <cell r="G299">
            <v>107351.8</v>
          </cell>
          <cell r="H299">
            <v>75328</v>
          </cell>
        </row>
        <row r="301">
          <cell r="B301" t="str">
            <v>SCHEDULE "N"</v>
          </cell>
        </row>
        <row r="303">
          <cell r="B303" t="str">
            <v>FINANCIAL EXPENSES</v>
          </cell>
        </row>
        <row r="304">
          <cell r="B304" t="str">
            <v>Interest on Loan</v>
          </cell>
        </row>
        <row r="305">
          <cell r="B305" t="str">
            <v>- From ANZ Grindlays &amp; SCB</v>
          </cell>
          <cell r="G305">
            <v>30391.14</v>
          </cell>
          <cell r="H305">
            <v>74448.39</v>
          </cell>
        </row>
        <row r="307">
          <cell r="B307" t="str">
            <v>Interest on Unsecured Loan</v>
          </cell>
        </row>
        <row r="308">
          <cell r="B308" t="str">
            <v>-From Others</v>
          </cell>
          <cell r="G308">
            <v>43587.6</v>
          </cell>
          <cell r="H308">
            <v>114197</v>
          </cell>
        </row>
        <row r="309">
          <cell r="B309" t="str">
            <v>Bank charges</v>
          </cell>
          <cell r="G309">
            <v>1082.54</v>
          </cell>
          <cell r="H309">
            <v>11271</v>
          </cell>
        </row>
        <row r="311">
          <cell r="G311">
            <v>75061.279999999984</v>
          </cell>
          <cell r="H311">
            <v>199916.39</v>
          </cell>
        </row>
        <row r="315">
          <cell r="B315" t="str">
            <v xml:space="preserve">HOTEL ROYAL(DIV.OF BALAN HOTELS PVT.LTD. </v>
          </cell>
        </row>
        <row r="317">
          <cell r="B317" t="str">
            <v xml:space="preserve">GROUPING FORMING PART OF THE BALANCE SHEET AND </v>
          </cell>
        </row>
        <row r="318">
          <cell r="B318" t="str">
            <v>PROFIT AND LOSS ACCOUNTS FOR THE PERIOD 30.09.2000</v>
          </cell>
        </row>
        <row r="321">
          <cell r="B321" t="str">
            <v>DETAILS OF LOAN</v>
          </cell>
        </row>
        <row r="323">
          <cell r="B323" t="str">
            <v>Balan And Associates</v>
          </cell>
          <cell r="G323">
            <v>160576.9</v>
          </cell>
        </row>
        <row r="324">
          <cell r="B324" t="str">
            <v>Premji Nagda</v>
          </cell>
          <cell r="G324">
            <v>67381.5</v>
          </cell>
        </row>
        <row r="325">
          <cell r="B325" t="str">
            <v>Yogesh Siney</v>
          </cell>
          <cell r="G325">
            <v>231394.6</v>
          </cell>
        </row>
        <row r="326">
          <cell r="B326" t="str">
            <v>Sanjay Agarwal</v>
          </cell>
        </row>
        <row r="327">
          <cell r="B327" t="str">
            <v>Madhuben Chedda</v>
          </cell>
          <cell r="G327">
            <v>145578</v>
          </cell>
        </row>
        <row r="329">
          <cell r="G329">
            <v>604931</v>
          </cell>
        </row>
        <row r="331">
          <cell r="B331" t="str">
            <v>CREDITORS FOR EXPENSES</v>
          </cell>
        </row>
        <row r="333">
          <cell r="B333" t="str">
            <v>VMS Audit fees</v>
          </cell>
          <cell r="G333">
            <v>24250</v>
          </cell>
        </row>
        <row r="334">
          <cell r="B334" t="str">
            <v>TDS</v>
          </cell>
          <cell r="G334">
            <v>81122.850000000006</v>
          </cell>
        </row>
        <row r="335">
          <cell r="B335" t="str">
            <v>VMS Professional Fees</v>
          </cell>
          <cell r="G335">
            <v>14600</v>
          </cell>
        </row>
        <row r="336">
          <cell r="B336" t="str">
            <v>Jaspal Premi - Gratuity</v>
          </cell>
        </row>
        <row r="338">
          <cell r="G338">
            <v>119972.85</v>
          </cell>
        </row>
        <row r="340">
          <cell r="B340" t="str">
            <v>TDS</v>
          </cell>
        </row>
        <row r="341">
          <cell r="B341" t="str">
            <v>TDS on Salary</v>
          </cell>
          <cell r="G341">
            <v>1500</v>
          </cell>
        </row>
        <row r="342">
          <cell r="B342" t="str">
            <v>TDS on Interest</v>
          </cell>
          <cell r="G342">
            <v>65249.85</v>
          </cell>
        </row>
        <row r="343">
          <cell r="B343" t="str">
            <v>TDS on Contractors</v>
          </cell>
          <cell r="G343">
            <v>14373</v>
          </cell>
        </row>
        <row r="345">
          <cell r="G345">
            <v>81122.850000000006</v>
          </cell>
        </row>
        <row r="347">
          <cell r="B347" t="str">
            <v>PROVISION FOR EXPENSES</v>
          </cell>
        </row>
        <row r="348">
          <cell r="B348" t="str">
            <v>Water Tax</v>
          </cell>
          <cell r="G348">
            <v>58953</v>
          </cell>
        </row>
        <row r="349">
          <cell r="B349" t="str">
            <v>Staff Meals</v>
          </cell>
          <cell r="G349">
            <v>4301</v>
          </cell>
        </row>
        <row r="350">
          <cell r="B350" t="str">
            <v>Property Tax</v>
          </cell>
          <cell r="G350">
            <v>31671</v>
          </cell>
        </row>
        <row r="351">
          <cell r="B351" t="str">
            <v>Luxury Tax</v>
          </cell>
          <cell r="G351">
            <v>107037</v>
          </cell>
        </row>
        <row r="352">
          <cell r="B352" t="str">
            <v>Providend Fund</v>
          </cell>
          <cell r="G352">
            <v>3429</v>
          </cell>
        </row>
        <row r="353">
          <cell r="B353" t="str">
            <v>ESIC</v>
          </cell>
          <cell r="G353">
            <v>10643</v>
          </cell>
        </row>
        <row r="354">
          <cell r="B354" t="str">
            <v>Life Insurance</v>
          </cell>
          <cell r="G354">
            <v>5592</v>
          </cell>
        </row>
        <row r="355">
          <cell r="B355" t="str">
            <v>A.C.Maintainence</v>
          </cell>
          <cell r="G355">
            <v>17933</v>
          </cell>
        </row>
        <row r="356">
          <cell r="B356" t="str">
            <v xml:space="preserve">Newspaper </v>
          </cell>
          <cell r="G356">
            <v>2819</v>
          </cell>
        </row>
        <row r="357">
          <cell r="B357" t="str">
            <v>Cable T.V.Charge</v>
          </cell>
          <cell r="G357">
            <v>500</v>
          </cell>
        </row>
        <row r="358">
          <cell r="B358" t="str">
            <v>PF Consultancy</v>
          </cell>
          <cell r="G358">
            <v>117</v>
          </cell>
        </row>
        <row r="359">
          <cell r="B359" t="str">
            <v>Audit Fees</v>
          </cell>
          <cell r="G359">
            <v>16650</v>
          </cell>
        </row>
        <row r="360">
          <cell r="B360" t="str">
            <v>Vehicle Maintainence</v>
          </cell>
          <cell r="G360">
            <v>9688</v>
          </cell>
        </row>
        <row r="361">
          <cell r="B361" t="str">
            <v>Cash Handling Expenses</v>
          </cell>
          <cell r="G361">
            <v>113</v>
          </cell>
        </row>
        <row r="362">
          <cell r="B362" t="str">
            <v>Salaries</v>
          </cell>
          <cell r="G362">
            <v>6146</v>
          </cell>
        </row>
        <row r="363">
          <cell r="B363" t="str">
            <v>Electricity</v>
          </cell>
          <cell r="G363">
            <v>128455</v>
          </cell>
        </row>
        <row r="364">
          <cell r="B364" t="str">
            <v>Laundry</v>
          </cell>
          <cell r="G364">
            <v>7253</v>
          </cell>
        </row>
        <row r="365">
          <cell r="B365" t="str">
            <v>Printing &amp; Stationery</v>
          </cell>
          <cell r="G365">
            <v>12245</v>
          </cell>
        </row>
        <row r="366">
          <cell r="B366" t="str">
            <v>Telephone</v>
          </cell>
          <cell r="G366">
            <v>47728</v>
          </cell>
        </row>
        <row r="367">
          <cell r="B367" t="str">
            <v>Professional Tax</v>
          </cell>
          <cell r="G367">
            <v>3160</v>
          </cell>
        </row>
        <row r="369">
          <cell r="G369">
            <v>474433</v>
          </cell>
        </row>
        <row r="371">
          <cell r="B371" t="str">
            <v>LOANS AND ADVANCES</v>
          </cell>
        </row>
        <row r="373">
          <cell r="B373" t="str">
            <v>A.V.Balan</v>
          </cell>
          <cell r="G373">
            <v>1903062.5</v>
          </cell>
        </row>
        <row r="374">
          <cell r="B374" t="str">
            <v>Mrs. Savitha M.</v>
          </cell>
          <cell r="G374">
            <v>125308.92</v>
          </cell>
        </row>
        <row r="375">
          <cell r="B375" t="str">
            <v>Kismat Ltd</v>
          </cell>
          <cell r="G375">
            <v>15000</v>
          </cell>
        </row>
        <row r="377">
          <cell r="G377">
            <v>2043371.42</v>
          </cell>
        </row>
        <row r="379">
          <cell r="B379" t="str">
            <v>SECURITY DEPOSITS</v>
          </cell>
        </row>
        <row r="380">
          <cell r="B380" t="str">
            <v>Security deposit</v>
          </cell>
          <cell r="G380">
            <v>23000</v>
          </cell>
        </row>
        <row r="381">
          <cell r="B381" t="str">
            <v xml:space="preserve">Maruti Booking </v>
          </cell>
          <cell r="G381">
            <v>5000</v>
          </cell>
        </row>
        <row r="382">
          <cell r="B382" t="str">
            <v>Electricity Deposit</v>
          </cell>
          <cell r="G382">
            <v>38320</v>
          </cell>
        </row>
        <row r="383">
          <cell r="B383" t="str">
            <v>Gas Deposit</v>
          </cell>
          <cell r="G383">
            <v>2200</v>
          </cell>
        </row>
        <row r="385">
          <cell r="G385">
            <v>68520</v>
          </cell>
        </row>
        <row r="390">
          <cell r="B390" t="str">
            <v xml:space="preserve">HOTEL ROYAL(DIV.OF BALAN HOTELS PVT.LTD. </v>
          </cell>
        </row>
        <row r="392">
          <cell r="B392" t="str">
            <v xml:space="preserve">GROUPING FORMING PART OF THE BALANCE SHEET AND </v>
          </cell>
        </row>
        <row r="393">
          <cell r="B393" t="str">
            <v>PROFIT AND LOSS ACCOUNTS FOR THE PERIOD 30.09.2000</v>
          </cell>
        </row>
        <row r="397">
          <cell r="B397" t="str">
            <v>RENT RATES &amp; TAXES</v>
          </cell>
        </row>
        <row r="399">
          <cell r="B399" t="str">
            <v>Water Tax</v>
          </cell>
          <cell r="G399">
            <v>58953</v>
          </cell>
        </row>
        <row r="400">
          <cell r="B400" t="str">
            <v>Property Tax</v>
          </cell>
          <cell r="G400">
            <v>65753</v>
          </cell>
        </row>
        <row r="401">
          <cell r="B401" t="str">
            <v>Luxury Tax</v>
          </cell>
          <cell r="G401">
            <v>62091.64</v>
          </cell>
        </row>
        <row r="402">
          <cell r="B402" t="str">
            <v>Maharashtra Labour Welfare</v>
          </cell>
          <cell r="G402">
            <v>438</v>
          </cell>
        </row>
        <row r="403">
          <cell r="B403" t="str">
            <v>Legal Charges</v>
          </cell>
          <cell r="G403">
            <v>1000</v>
          </cell>
        </row>
        <row r="405">
          <cell r="G405">
            <v>188235.64</v>
          </cell>
        </row>
        <row r="407">
          <cell r="B407" t="str">
            <v>HOUSE KEEPING EXPENSES</v>
          </cell>
        </row>
        <row r="408">
          <cell r="B408" t="str">
            <v>Cable T.V. Charge</v>
          </cell>
          <cell r="G408">
            <v>6500</v>
          </cell>
        </row>
        <row r="409">
          <cell r="B409" t="str">
            <v>House Keeping Expense</v>
          </cell>
          <cell r="G409">
            <v>129338.25</v>
          </cell>
        </row>
        <row r="411">
          <cell r="G411">
            <v>135838.25</v>
          </cell>
        </row>
        <row r="413">
          <cell r="B413" t="str">
            <v>REPAIR &amp; MAINTAINENCE</v>
          </cell>
        </row>
        <row r="414">
          <cell r="B414" t="str">
            <v>Repair &amp; Maintainence</v>
          </cell>
          <cell r="G414">
            <v>20639</v>
          </cell>
        </row>
        <row r="415">
          <cell r="B415" t="str">
            <v>Monsoon Shed</v>
          </cell>
          <cell r="G415">
            <v>52252</v>
          </cell>
        </row>
        <row r="416">
          <cell r="B416" t="str">
            <v>A.C. Maintainence</v>
          </cell>
          <cell r="G416">
            <v>114733</v>
          </cell>
        </row>
        <row r="417">
          <cell r="B417" t="str">
            <v>Computer Maintainence</v>
          </cell>
          <cell r="G417">
            <v>14880</v>
          </cell>
        </row>
        <row r="418">
          <cell r="B418" t="str">
            <v>EPABX Maintainence</v>
          </cell>
          <cell r="G418">
            <v>6460</v>
          </cell>
        </row>
        <row r="420">
          <cell r="G420">
            <v>208964</v>
          </cell>
        </row>
        <row r="422">
          <cell r="B422" t="str">
            <v>OFFICE EXPENSES</v>
          </cell>
        </row>
        <row r="423">
          <cell r="B423" t="str">
            <v>Office Expenses</v>
          </cell>
          <cell r="G423">
            <v>24891</v>
          </cell>
        </row>
        <row r="424">
          <cell r="B424" t="str">
            <v>Membership &amp; Subscription</v>
          </cell>
          <cell r="G424">
            <v>3637</v>
          </cell>
        </row>
        <row r="426">
          <cell r="G426">
            <v>28528</v>
          </cell>
        </row>
      </sheetData>
      <sheetData sheetId="1">
        <row r="27">
          <cell r="F27">
            <v>5196699.32</v>
          </cell>
        </row>
      </sheetData>
      <sheetData sheetId="2">
        <row r="25">
          <cell r="E25">
            <v>8226798.5200000005</v>
          </cell>
        </row>
      </sheetData>
      <sheetData sheetId="3" refreshError="1"/>
      <sheetData sheetId="4">
        <row r="3">
          <cell r="B3" t="str">
            <v xml:space="preserve">M/S HOTEL ROYAL </v>
          </cell>
        </row>
      </sheetData>
      <sheetData sheetId="5">
        <row r="27">
          <cell r="F27">
            <v>5196699.32</v>
          </cell>
        </row>
      </sheetData>
      <sheetData sheetId="6">
        <row r="25">
          <cell r="E25">
            <v>8226798.5200000005</v>
          </cell>
        </row>
      </sheetData>
      <sheetData sheetId="7"/>
      <sheetData sheetId="8">
        <row r="3">
          <cell r="B3" t="str">
            <v xml:space="preserve">M/S HOTEL ROYAL </v>
          </cell>
        </row>
      </sheetData>
      <sheetData sheetId="9">
        <row r="27">
          <cell r="F27">
            <v>5196699.32</v>
          </cell>
        </row>
      </sheetData>
      <sheetData sheetId="10">
        <row r="25">
          <cell r="E25">
            <v>8226798.5200000005</v>
          </cell>
        </row>
      </sheetData>
      <sheetData sheetId="11"/>
      <sheetData sheetId="12">
        <row r="3">
          <cell r="B3" t="str">
            <v xml:space="preserve">M/S HOTEL ROYAL </v>
          </cell>
        </row>
      </sheetData>
      <sheetData sheetId="13">
        <row r="27">
          <cell r="F27">
            <v>5196699.32</v>
          </cell>
        </row>
      </sheetData>
      <sheetData sheetId="14">
        <row r="25">
          <cell r="E25">
            <v>8226798.5200000005</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row r="18">
          <cell r="V18" t="str">
            <v>Others</v>
          </cell>
        </row>
      </sheetData>
      <sheetData sheetId="2">
        <row r="7">
          <cell r="A7">
            <v>1</v>
          </cell>
          <cell r="B7" t="str">
            <v>94C</v>
          </cell>
          <cell r="C7">
            <v>4673</v>
          </cell>
          <cell r="D7">
            <v>0</v>
          </cell>
          <cell r="E7">
            <v>0</v>
          </cell>
          <cell r="F7">
            <v>0</v>
          </cell>
          <cell r="G7">
            <v>0</v>
          </cell>
          <cell r="I7">
            <v>4673</v>
          </cell>
          <cell r="J7">
            <v>333894</v>
          </cell>
          <cell r="L7">
            <v>170032</v>
          </cell>
          <cell r="N7">
            <v>39028</v>
          </cell>
          <cell r="P7">
            <v>303</v>
          </cell>
          <cell r="R7">
            <v>0</v>
          </cell>
          <cell r="S7">
            <v>0</v>
          </cell>
          <cell r="U7">
            <v>4673</v>
          </cell>
        </row>
        <row r="8">
          <cell r="A8">
            <v>2</v>
          </cell>
          <cell r="B8" t="str">
            <v>94J</v>
          </cell>
          <cell r="C8">
            <v>8160</v>
          </cell>
          <cell r="D8">
            <v>0</v>
          </cell>
          <cell r="E8">
            <v>0</v>
          </cell>
          <cell r="F8">
            <v>0</v>
          </cell>
          <cell r="G8">
            <v>0</v>
          </cell>
          <cell r="I8">
            <v>8160</v>
          </cell>
          <cell r="J8">
            <v>333897</v>
          </cell>
          <cell r="L8">
            <v>170032</v>
          </cell>
          <cell r="N8">
            <v>39028</v>
          </cell>
          <cell r="P8">
            <v>304</v>
          </cell>
          <cell r="R8">
            <v>0</v>
          </cell>
          <cell r="S8">
            <v>0</v>
          </cell>
          <cell r="U8">
            <v>8160</v>
          </cell>
        </row>
        <row r="9">
          <cell r="A9">
            <v>3</v>
          </cell>
          <cell r="B9" t="str">
            <v>94C</v>
          </cell>
          <cell r="C9">
            <v>653</v>
          </cell>
          <cell r="D9">
            <v>0</v>
          </cell>
          <cell r="E9">
            <v>0</v>
          </cell>
          <cell r="F9">
            <v>0</v>
          </cell>
          <cell r="G9">
            <v>0</v>
          </cell>
          <cell r="I9">
            <v>653</v>
          </cell>
          <cell r="J9">
            <v>333895</v>
          </cell>
          <cell r="L9">
            <v>170032</v>
          </cell>
          <cell r="N9">
            <v>39028</v>
          </cell>
          <cell r="P9">
            <v>308</v>
          </cell>
          <cell r="R9">
            <v>0</v>
          </cell>
          <cell r="S9">
            <v>0</v>
          </cell>
          <cell r="U9">
            <v>653</v>
          </cell>
        </row>
        <row r="10">
          <cell r="A10">
            <v>4</v>
          </cell>
          <cell r="B10" t="str">
            <v>94J</v>
          </cell>
          <cell r="C10">
            <v>4080</v>
          </cell>
          <cell r="D10">
            <v>0</v>
          </cell>
          <cell r="E10">
            <v>0</v>
          </cell>
          <cell r="F10">
            <v>0</v>
          </cell>
          <cell r="G10">
            <v>0</v>
          </cell>
          <cell r="I10">
            <v>4080</v>
          </cell>
          <cell r="J10">
            <v>334034</v>
          </cell>
          <cell r="L10">
            <v>170032</v>
          </cell>
          <cell r="N10">
            <v>39058</v>
          </cell>
          <cell r="P10">
            <v>547</v>
          </cell>
          <cell r="R10">
            <v>0</v>
          </cell>
          <cell r="S10">
            <v>0</v>
          </cell>
          <cell r="U10">
            <v>4080</v>
          </cell>
        </row>
        <row r="11">
          <cell r="A11">
            <v>5</v>
          </cell>
          <cell r="B11" t="str">
            <v>94I</v>
          </cell>
          <cell r="C11">
            <v>23936</v>
          </cell>
          <cell r="D11">
            <v>0</v>
          </cell>
          <cell r="E11">
            <v>0</v>
          </cell>
          <cell r="F11">
            <v>210</v>
          </cell>
          <cell r="G11">
            <v>0</v>
          </cell>
          <cell r="I11">
            <v>24146</v>
          </cell>
          <cell r="J11">
            <v>334035</v>
          </cell>
          <cell r="L11">
            <v>170032</v>
          </cell>
          <cell r="N11">
            <v>39058</v>
          </cell>
          <cell r="P11">
            <v>565</v>
          </cell>
          <cell r="R11">
            <v>0</v>
          </cell>
          <cell r="S11">
            <v>0</v>
          </cell>
          <cell r="U11">
            <v>24146</v>
          </cell>
        </row>
        <row r="12">
          <cell r="A12">
            <v>6</v>
          </cell>
          <cell r="B12" t="str">
            <v>94C</v>
          </cell>
          <cell r="C12">
            <v>9031</v>
          </cell>
          <cell r="D12">
            <v>0</v>
          </cell>
          <cell r="E12">
            <v>0</v>
          </cell>
          <cell r="F12">
            <v>0</v>
          </cell>
          <cell r="G12">
            <v>0</v>
          </cell>
          <cell r="I12">
            <v>9031</v>
          </cell>
          <cell r="J12">
            <v>260584</v>
          </cell>
          <cell r="L12">
            <v>170032</v>
          </cell>
          <cell r="N12">
            <v>39057</v>
          </cell>
          <cell r="P12">
            <v>464</v>
          </cell>
          <cell r="R12">
            <v>0</v>
          </cell>
          <cell r="S12">
            <v>0</v>
          </cell>
          <cell r="U12">
            <v>9031</v>
          </cell>
        </row>
        <row r="13">
          <cell r="A13">
            <v>7</v>
          </cell>
          <cell r="B13" t="str">
            <v>94C</v>
          </cell>
          <cell r="C13">
            <v>2674</v>
          </cell>
          <cell r="D13">
            <v>0</v>
          </cell>
          <cell r="E13">
            <v>0</v>
          </cell>
          <cell r="F13">
            <v>0</v>
          </cell>
          <cell r="G13">
            <v>0</v>
          </cell>
          <cell r="I13">
            <v>2674</v>
          </cell>
          <cell r="J13">
            <v>260585</v>
          </cell>
          <cell r="L13">
            <v>170032</v>
          </cell>
          <cell r="N13">
            <v>39057</v>
          </cell>
          <cell r="P13">
            <v>447</v>
          </cell>
          <cell r="R13">
            <v>0</v>
          </cell>
          <cell r="S13">
            <v>0</v>
          </cell>
          <cell r="U13">
            <v>2674</v>
          </cell>
        </row>
        <row r="14">
          <cell r="A14">
            <v>8</v>
          </cell>
          <cell r="B14" t="str">
            <v>94I</v>
          </cell>
          <cell r="C14">
            <v>8976</v>
          </cell>
          <cell r="D14">
            <v>0</v>
          </cell>
          <cell r="E14">
            <v>0</v>
          </cell>
          <cell r="F14">
            <v>0</v>
          </cell>
          <cell r="G14">
            <v>0</v>
          </cell>
          <cell r="I14">
            <v>8976</v>
          </cell>
          <cell r="J14">
            <v>260643</v>
          </cell>
          <cell r="L14">
            <v>170032</v>
          </cell>
          <cell r="N14">
            <v>39064</v>
          </cell>
          <cell r="P14">
            <v>513</v>
          </cell>
          <cell r="R14">
            <v>0</v>
          </cell>
          <cell r="S14">
            <v>0</v>
          </cell>
          <cell r="U14">
            <v>8976</v>
          </cell>
        </row>
        <row r="15">
          <cell r="A15">
            <v>9</v>
          </cell>
          <cell r="B15" t="str">
            <v>94C</v>
          </cell>
          <cell r="C15">
            <v>6376</v>
          </cell>
          <cell r="D15">
            <v>0</v>
          </cell>
          <cell r="E15">
            <v>0</v>
          </cell>
          <cell r="F15">
            <v>0</v>
          </cell>
          <cell r="G15">
            <v>0</v>
          </cell>
          <cell r="I15">
            <v>6376</v>
          </cell>
          <cell r="J15">
            <v>265593</v>
          </cell>
          <cell r="L15">
            <v>170032</v>
          </cell>
          <cell r="N15">
            <v>39088</v>
          </cell>
          <cell r="P15">
            <v>399</v>
          </cell>
          <cell r="R15">
            <v>0</v>
          </cell>
          <cell r="S15">
            <v>0</v>
          </cell>
          <cell r="T15">
            <v>234</v>
          </cell>
          <cell r="U15">
            <v>6376</v>
          </cell>
        </row>
        <row r="16">
          <cell r="A16">
            <v>10</v>
          </cell>
          <cell r="B16" t="str">
            <v>94C</v>
          </cell>
          <cell r="C16">
            <v>85</v>
          </cell>
          <cell r="D16">
            <v>0</v>
          </cell>
          <cell r="E16">
            <v>0</v>
          </cell>
          <cell r="F16">
            <v>0</v>
          </cell>
          <cell r="G16">
            <v>0</v>
          </cell>
          <cell r="I16">
            <v>85</v>
          </cell>
          <cell r="J16">
            <v>265595</v>
          </cell>
          <cell r="L16">
            <v>170032</v>
          </cell>
          <cell r="N16">
            <v>39088</v>
          </cell>
          <cell r="P16">
            <v>398</v>
          </cell>
          <cell r="R16">
            <v>0</v>
          </cell>
          <cell r="S16">
            <v>0</v>
          </cell>
          <cell r="U16">
            <v>85</v>
          </cell>
        </row>
        <row r="17">
          <cell r="A17">
            <v>11</v>
          </cell>
          <cell r="B17" t="str">
            <v>94C</v>
          </cell>
          <cell r="C17">
            <v>8127</v>
          </cell>
          <cell r="D17">
            <v>0</v>
          </cell>
          <cell r="E17">
            <v>0</v>
          </cell>
          <cell r="F17">
            <v>0</v>
          </cell>
          <cell r="G17">
            <v>0</v>
          </cell>
          <cell r="I17">
            <v>8127</v>
          </cell>
          <cell r="J17">
            <v>265594</v>
          </cell>
          <cell r="L17">
            <v>170032</v>
          </cell>
          <cell r="N17">
            <v>39088</v>
          </cell>
          <cell r="P17">
            <v>400</v>
          </cell>
          <cell r="R17">
            <v>0</v>
          </cell>
          <cell r="S17">
            <v>0</v>
          </cell>
          <cell r="U17">
            <v>8127</v>
          </cell>
        </row>
        <row r="18">
          <cell r="A18">
            <v>12</v>
          </cell>
          <cell r="B18" t="str">
            <v>94C</v>
          </cell>
          <cell r="C18">
            <v>2490</v>
          </cell>
          <cell r="D18">
            <v>0</v>
          </cell>
          <cell r="E18">
            <v>0</v>
          </cell>
          <cell r="F18">
            <v>0</v>
          </cell>
          <cell r="G18">
            <v>0</v>
          </cell>
          <cell r="I18">
            <v>2490</v>
          </cell>
          <cell r="J18">
            <v>365604</v>
          </cell>
          <cell r="L18">
            <v>170032</v>
          </cell>
          <cell r="N18">
            <v>39090</v>
          </cell>
          <cell r="P18">
            <v>560</v>
          </cell>
          <cell r="R18">
            <v>0</v>
          </cell>
          <cell r="S18">
            <v>0</v>
          </cell>
          <cell r="U18">
            <v>2490</v>
          </cell>
        </row>
        <row r="19">
          <cell r="A19">
            <v>13</v>
          </cell>
          <cell r="B19" t="str">
            <v>94C</v>
          </cell>
          <cell r="C19">
            <v>157</v>
          </cell>
          <cell r="D19">
            <v>0</v>
          </cell>
          <cell r="E19">
            <v>0</v>
          </cell>
          <cell r="F19">
            <v>0</v>
          </cell>
          <cell r="G19">
            <v>0</v>
          </cell>
          <cell r="I19">
            <v>157</v>
          </cell>
          <cell r="J19">
            <v>365605</v>
          </cell>
          <cell r="L19">
            <v>170032</v>
          </cell>
          <cell r="N19">
            <v>39090</v>
          </cell>
          <cell r="P19">
            <v>519</v>
          </cell>
          <cell r="R19">
            <v>0</v>
          </cell>
          <cell r="S19">
            <v>0</v>
          </cell>
          <cell r="U19">
            <v>157</v>
          </cell>
        </row>
        <row r="20">
          <cell r="I20">
            <v>0</v>
          </cell>
          <cell r="U20">
            <v>0</v>
          </cell>
        </row>
        <row r="21">
          <cell r="I21">
            <v>0</v>
          </cell>
          <cell r="U21">
            <v>0</v>
          </cell>
        </row>
        <row r="22">
          <cell r="I22">
            <v>0</v>
          </cell>
          <cell r="U22">
            <v>0</v>
          </cell>
        </row>
        <row r="23">
          <cell r="A23" t="str">
            <v>Total</v>
          </cell>
          <cell r="C23">
            <v>79418</v>
          </cell>
          <cell r="D23">
            <v>0</v>
          </cell>
          <cell r="E23">
            <v>0</v>
          </cell>
          <cell r="F23">
            <v>210</v>
          </cell>
          <cell r="G23">
            <v>0</v>
          </cell>
          <cell r="H23">
            <v>0</v>
          </cell>
          <cell r="I23">
            <v>79628</v>
          </cell>
          <cell r="R23">
            <v>0</v>
          </cell>
          <cell r="S23">
            <v>0</v>
          </cell>
          <cell r="T23" t="e">
            <v>#REF!</v>
          </cell>
          <cell r="U23">
            <v>79628</v>
          </cell>
        </row>
        <row r="819">
          <cell r="IV819">
            <v>193</v>
          </cell>
        </row>
        <row r="820">
          <cell r="IV820" t="str">
            <v>94A</v>
          </cell>
        </row>
        <row r="821">
          <cell r="IV821" t="str">
            <v>94B</v>
          </cell>
        </row>
        <row r="822">
          <cell r="IV822" t="str">
            <v>4BB</v>
          </cell>
        </row>
        <row r="823">
          <cell r="IV823" t="str">
            <v>94C</v>
          </cell>
        </row>
        <row r="824">
          <cell r="IV824" t="str">
            <v>94D</v>
          </cell>
        </row>
        <row r="825">
          <cell r="IV825" t="str">
            <v>4EE</v>
          </cell>
        </row>
        <row r="826">
          <cell r="IV826" t="str">
            <v>94F</v>
          </cell>
        </row>
        <row r="827">
          <cell r="IV827" t="str">
            <v>94G</v>
          </cell>
        </row>
        <row r="828">
          <cell r="IV828" t="str">
            <v>94H</v>
          </cell>
        </row>
        <row r="829">
          <cell r="IV829" t="str">
            <v>94I</v>
          </cell>
        </row>
        <row r="830">
          <cell r="IV830" t="str">
            <v>94J</v>
          </cell>
        </row>
        <row r="831">
          <cell r="IV831" t="str">
            <v>94K</v>
          </cell>
        </row>
        <row r="832">
          <cell r="IV832" t="str">
            <v>94L</v>
          </cell>
        </row>
      </sheetData>
      <sheetData sheetId="3">
        <row r="11">
          <cell r="A11">
            <v>1</v>
          </cell>
          <cell r="R11">
            <v>306</v>
          </cell>
          <cell r="W11">
            <v>306</v>
          </cell>
        </row>
        <row r="12">
          <cell r="A12">
            <v>3</v>
          </cell>
          <cell r="R12">
            <v>25</v>
          </cell>
          <cell r="W12">
            <v>25</v>
          </cell>
        </row>
        <row r="13">
          <cell r="A13">
            <v>1</v>
          </cell>
          <cell r="R13">
            <v>445</v>
          </cell>
          <cell r="W13">
            <v>445</v>
          </cell>
        </row>
        <row r="14">
          <cell r="A14">
            <v>1</v>
          </cell>
          <cell r="R14">
            <v>600</v>
          </cell>
          <cell r="W14">
            <v>600</v>
          </cell>
        </row>
        <row r="15">
          <cell r="A15">
            <v>1</v>
          </cell>
          <cell r="R15">
            <v>306</v>
          </cell>
          <cell r="W15">
            <v>306</v>
          </cell>
        </row>
        <row r="16">
          <cell r="A16">
            <v>1</v>
          </cell>
          <cell r="R16">
            <v>45</v>
          </cell>
          <cell r="W16">
            <v>45</v>
          </cell>
        </row>
        <row r="17">
          <cell r="A17">
            <v>1</v>
          </cell>
          <cell r="R17">
            <v>59</v>
          </cell>
          <cell r="W17">
            <v>59</v>
          </cell>
        </row>
        <row r="18">
          <cell r="A18">
            <v>1</v>
          </cell>
          <cell r="R18">
            <v>63</v>
          </cell>
          <cell r="W18">
            <v>63</v>
          </cell>
        </row>
        <row r="19">
          <cell r="A19">
            <v>1</v>
          </cell>
          <cell r="R19">
            <v>108</v>
          </cell>
          <cell r="W19">
            <v>108</v>
          </cell>
        </row>
        <row r="20">
          <cell r="A20">
            <v>1</v>
          </cell>
          <cell r="R20">
            <v>122</v>
          </cell>
          <cell r="W20">
            <v>122</v>
          </cell>
        </row>
        <row r="21">
          <cell r="A21">
            <v>1</v>
          </cell>
          <cell r="R21">
            <v>263</v>
          </cell>
          <cell r="W21">
            <v>263</v>
          </cell>
        </row>
        <row r="22">
          <cell r="A22">
            <v>1</v>
          </cell>
          <cell r="R22">
            <v>282</v>
          </cell>
          <cell r="W22">
            <v>282</v>
          </cell>
        </row>
        <row r="23">
          <cell r="A23">
            <v>1</v>
          </cell>
          <cell r="R23">
            <v>306</v>
          </cell>
          <cell r="W23">
            <v>306</v>
          </cell>
        </row>
        <row r="24">
          <cell r="A24">
            <v>3</v>
          </cell>
          <cell r="R24">
            <v>628</v>
          </cell>
          <cell r="W24">
            <v>628</v>
          </cell>
        </row>
        <row r="25">
          <cell r="A25">
            <v>1</v>
          </cell>
          <cell r="R25">
            <v>51</v>
          </cell>
          <cell r="W25">
            <v>51</v>
          </cell>
        </row>
        <row r="26">
          <cell r="A26">
            <v>1</v>
          </cell>
          <cell r="R26">
            <v>85</v>
          </cell>
          <cell r="W26">
            <v>85</v>
          </cell>
        </row>
        <row r="27">
          <cell r="A27">
            <v>1</v>
          </cell>
          <cell r="R27">
            <v>102</v>
          </cell>
          <cell r="W27">
            <v>102</v>
          </cell>
        </row>
        <row r="28">
          <cell r="A28">
            <v>1</v>
          </cell>
          <cell r="R28">
            <v>33</v>
          </cell>
          <cell r="W28">
            <v>33</v>
          </cell>
        </row>
        <row r="29">
          <cell r="A29">
            <v>1</v>
          </cell>
          <cell r="R29">
            <v>426</v>
          </cell>
          <cell r="W29">
            <v>426</v>
          </cell>
        </row>
        <row r="30">
          <cell r="A30">
            <v>1</v>
          </cell>
          <cell r="R30">
            <v>551</v>
          </cell>
          <cell r="W30">
            <v>551</v>
          </cell>
        </row>
        <row r="31">
          <cell r="A31">
            <v>1</v>
          </cell>
          <cell r="R31">
            <v>520</v>
          </cell>
          <cell r="W31">
            <v>520</v>
          </cell>
        </row>
        <row r="32">
          <cell r="A32">
            <v>2</v>
          </cell>
          <cell r="R32">
            <v>8160</v>
          </cell>
          <cell r="W32">
            <v>8160</v>
          </cell>
        </row>
        <row r="33">
          <cell r="A33">
            <v>7</v>
          </cell>
          <cell r="R33">
            <v>291</v>
          </cell>
          <cell r="W33">
            <v>291</v>
          </cell>
        </row>
        <row r="34">
          <cell r="A34">
            <v>7</v>
          </cell>
          <cell r="R34">
            <v>329</v>
          </cell>
          <cell r="W34">
            <v>329</v>
          </cell>
        </row>
        <row r="35">
          <cell r="A35">
            <v>7</v>
          </cell>
          <cell r="R35">
            <v>169</v>
          </cell>
          <cell r="W35">
            <v>169</v>
          </cell>
        </row>
        <row r="36">
          <cell r="A36">
            <v>6</v>
          </cell>
          <cell r="R36">
            <v>235</v>
          </cell>
          <cell r="W36">
            <v>235</v>
          </cell>
        </row>
        <row r="37">
          <cell r="A37">
            <v>7</v>
          </cell>
          <cell r="R37">
            <v>369</v>
          </cell>
          <cell r="W37">
            <v>369</v>
          </cell>
        </row>
        <row r="38">
          <cell r="A38">
            <v>7</v>
          </cell>
          <cell r="R38">
            <v>86</v>
          </cell>
          <cell r="W38">
            <v>86</v>
          </cell>
        </row>
        <row r="39">
          <cell r="A39">
            <v>6</v>
          </cell>
          <cell r="R39">
            <v>365</v>
          </cell>
          <cell r="W39">
            <v>365</v>
          </cell>
        </row>
        <row r="40">
          <cell r="A40">
            <v>6</v>
          </cell>
          <cell r="R40">
            <v>8414</v>
          </cell>
          <cell r="W40">
            <v>8414</v>
          </cell>
        </row>
        <row r="41">
          <cell r="A41">
            <v>7</v>
          </cell>
          <cell r="R41">
            <v>192</v>
          </cell>
          <cell r="W41">
            <v>192</v>
          </cell>
        </row>
        <row r="42">
          <cell r="A42">
            <v>7</v>
          </cell>
          <cell r="R42">
            <v>205</v>
          </cell>
          <cell r="W42">
            <v>205</v>
          </cell>
        </row>
        <row r="43">
          <cell r="A43">
            <v>6</v>
          </cell>
          <cell r="R43">
            <v>17</v>
          </cell>
          <cell r="W43">
            <v>17</v>
          </cell>
        </row>
        <row r="44">
          <cell r="A44">
            <v>7</v>
          </cell>
          <cell r="R44">
            <v>445</v>
          </cell>
          <cell r="W44">
            <v>445</v>
          </cell>
        </row>
        <row r="45">
          <cell r="A45">
            <v>4</v>
          </cell>
          <cell r="R45">
            <v>4080</v>
          </cell>
          <cell r="W45">
            <v>4080</v>
          </cell>
        </row>
        <row r="46">
          <cell r="A46">
            <v>7</v>
          </cell>
          <cell r="R46">
            <v>148</v>
          </cell>
          <cell r="W46">
            <v>148</v>
          </cell>
        </row>
        <row r="47">
          <cell r="A47">
            <v>7</v>
          </cell>
          <cell r="R47">
            <v>440</v>
          </cell>
          <cell r="W47">
            <v>440</v>
          </cell>
        </row>
        <row r="48">
          <cell r="A48">
            <v>5</v>
          </cell>
          <cell r="R48">
            <v>6194</v>
          </cell>
          <cell r="W48">
            <v>6194</v>
          </cell>
        </row>
        <row r="49">
          <cell r="A49">
            <v>5</v>
          </cell>
          <cell r="R49">
            <v>8976</v>
          </cell>
          <cell r="W49">
            <v>8976</v>
          </cell>
        </row>
        <row r="50">
          <cell r="A50">
            <v>5</v>
          </cell>
          <cell r="R50">
            <v>8976</v>
          </cell>
          <cell r="W50">
            <v>8976</v>
          </cell>
        </row>
        <row r="51">
          <cell r="A51">
            <v>9</v>
          </cell>
          <cell r="R51">
            <v>507</v>
          </cell>
          <cell r="W51">
            <v>507</v>
          </cell>
        </row>
        <row r="52">
          <cell r="A52">
            <v>11</v>
          </cell>
          <cell r="R52">
            <v>102</v>
          </cell>
          <cell r="W52">
            <v>102</v>
          </cell>
        </row>
        <row r="53">
          <cell r="A53">
            <v>11</v>
          </cell>
          <cell r="R53">
            <v>34</v>
          </cell>
          <cell r="W53">
            <v>34</v>
          </cell>
        </row>
        <row r="54">
          <cell r="A54">
            <v>11</v>
          </cell>
          <cell r="R54">
            <v>198</v>
          </cell>
          <cell r="W54">
            <v>198</v>
          </cell>
        </row>
        <row r="55">
          <cell r="A55">
            <v>11</v>
          </cell>
          <cell r="R55">
            <v>354</v>
          </cell>
          <cell r="W55">
            <v>354</v>
          </cell>
        </row>
        <row r="56">
          <cell r="A56">
            <v>11</v>
          </cell>
          <cell r="R56">
            <v>649</v>
          </cell>
          <cell r="W56">
            <v>649</v>
          </cell>
        </row>
        <row r="57">
          <cell r="A57">
            <v>11</v>
          </cell>
          <cell r="R57">
            <v>1045</v>
          </cell>
          <cell r="W57">
            <v>1045</v>
          </cell>
        </row>
        <row r="58">
          <cell r="A58">
            <v>9</v>
          </cell>
          <cell r="R58">
            <v>2191</v>
          </cell>
          <cell r="W58">
            <v>2191</v>
          </cell>
        </row>
        <row r="59">
          <cell r="A59">
            <v>8</v>
          </cell>
          <cell r="R59">
            <v>8976</v>
          </cell>
          <cell r="W59">
            <v>8976</v>
          </cell>
        </row>
        <row r="60">
          <cell r="A60">
            <v>11</v>
          </cell>
          <cell r="R60">
            <v>386</v>
          </cell>
          <cell r="W60">
            <v>386</v>
          </cell>
        </row>
        <row r="61">
          <cell r="A61">
            <v>11</v>
          </cell>
          <cell r="R61">
            <v>177</v>
          </cell>
          <cell r="W61">
            <v>177</v>
          </cell>
        </row>
        <row r="62">
          <cell r="A62">
            <v>11</v>
          </cell>
          <cell r="R62">
            <v>222</v>
          </cell>
          <cell r="W62">
            <v>222</v>
          </cell>
        </row>
        <row r="63">
          <cell r="A63">
            <v>11</v>
          </cell>
          <cell r="R63">
            <v>612</v>
          </cell>
          <cell r="W63">
            <v>612</v>
          </cell>
        </row>
        <row r="64">
          <cell r="A64">
            <v>11</v>
          </cell>
          <cell r="R64">
            <v>37</v>
          </cell>
          <cell r="W64">
            <v>37</v>
          </cell>
        </row>
        <row r="65">
          <cell r="A65">
            <v>9</v>
          </cell>
          <cell r="R65">
            <v>180</v>
          </cell>
          <cell r="W65">
            <v>180</v>
          </cell>
        </row>
        <row r="66">
          <cell r="A66">
            <v>11</v>
          </cell>
          <cell r="R66">
            <v>368</v>
          </cell>
          <cell r="W66">
            <v>368</v>
          </cell>
        </row>
        <row r="67">
          <cell r="A67">
            <v>9</v>
          </cell>
          <cell r="R67">
            <v>607</v>
          </cell>
          <cell r="W67">
            <v>607</v>
          </cell>
        </row>
        <row r="68">
          <cell r="A68">
            <v>9</v>
          </cell>
          <cell r="R68">
            <v>1904</v>
          </cell>
          <cell r="W68">
            <v>1904</v>
          </cell>
        </row>
        <row r="69">
          <cell r="A69">
            <v>11</v>
          </cell>
          <cell r="R69">
            <v>770</v>
          </cell>
          <cell r="W69">
            <v>770</v>
          </cell>
        </row>
        <row r="70">
          <cell r="A70">
            <v>11</v>
          </cell>
          <cell r="R70">
            <v>63</v>
          </cell>
          <cell r="W70">
            <v>63</v>
          </cell>
        </row>
        <row r="71">
          <cell r="A71">
            <v>11</v>
          </cell>
          <cell r="R71">
            <v>63</v>
          </cell>
          <cell r="W71">
            <v>63</v>
          </cell>
        </row>
        <row r="72">
          <cell r="A72">
            <v>11</v>
          </cell>
          <cell r="R72">
            <v>108</v>
          </cell>
          <cell r="W72">
            <v>108</v>
          </cell>
        </row>
        <row r="73">
          <cell r="A73">
            <v>11</v>
          </cell>
          <cell r="R73">
            <v>147</v>
          </cell>
          <cell r="W73">
            <v>147</v>
          </cell>
        </row>
        <row r="74">
          <cell r="A74">
            <v>9</v>
          </cell>
          <cell r="R74">
            <v>987</v>
          </cell>
          <cell r="W74">
            <v>987</v>
          </cell>
        </row>
        <row r="75">
          <cell r="A75">
            <v>11</v>
          </cell>
          <cell r="R75">
            <v>429</v>
          </cell>
          <cell r="W75">
            <v>429</v>
          </cell>
        </row>
        <row r="76">
          <cell r="A76">
            <v>11</v>
          </cell>
          <cell r="R76">
            <v>485</v>
          </cell>
          <cell r="W76">
            <v>485</v>
          </cell>
        </row>
        <row r="77">
          <cell r="A77">
            <v>11</v>
          </cell>
          <cell r="R77">
            <v>11</v>
          </cell>
          <cell r="W77">
            <v>11</v>
          </cell>
        </row>
        <row r="78">
          <cell r="A78">
            <v>11</v>
          </cell>
          <cell r="R78">
            <v>29</v>
          </cell>
          <cell r="W78">
            <v>29</v>
          </cell>
        </row>
        <row r="79">
          <cell r="A79">
            <v>11</v>
          </cell>
          <cell r="R79">
            <v>61</v>
          </cell>
          <cell r="W79">
            <v>61</v>
          </cell>
        </row>
        <row r="80">
          <cell r="A80">
            <v>11</v>
          </cell>
          <cell r="R80">
            <v>123</v>
          </cell>
          <cell r="W80">
            <v>123</v>
          </cell>
        </row>
        <row r="81">
          <cell r="A81">
            <v>11</v>
          </cell>
          <cell r="R81">
            <v>164</v>
          </cell>
          <cell r="W81">
            <v>164</v>
          </cell>
        </row>
        <row r="82">
          <cell r="A82">
            <v>11</v>
          </cell>
          <cell r="R82">
            <v>169</v>
          </cell>
          <cell r="W82">
            <v>169</v>
          </cell>
        </row>
        <row r="83">
          <cell r="A83">
            <v>11</v>
          </cell>
          <cell r="R83">
            <v>55</v>
          </cell>
          <cell r="W83">
            <v>55</v>
          </cell>
        </row>
        <row r="84">
          <cell r="A84">
            <v>11</v>
          </cell>
          <cell r="R84">
            <v>181</v>
          </cell>
          <cell r="W84">
            <v>181</v>
          </cell>
        </row>
        <row r="85">
          <cell r="A85">
            <v>11</v>
          </cell>
          <cell r="R85">
            <v>100</v>
          </cell>
          <cell r="W85">
            <v>100</v>
          </cell>
        </row>
        <row r="86">
          <cell r="A86">
            <v>11</v>
          </cell>
          <cell r="R86">
            <v>165</v>
          </cell>
          <cell r="W86">
            <v>165</v>
          </cell>
        </row>
        <row r="87">
          <cell r="A87">
            <v>11</v>
          </cell>
          <cell r="R87">
            <v>119</v>
          </cell>
          <cell r="W87">
            <v>119</v>
          </cell>
        </row>
        <row r="88">
          <cell r="A88">
            <v>12</v>
          </cell>
          <cell r="R88">
            <v>256</v>
          </cell>
          <cell r="W88">
            <v>256</v>
          </cell>
        </row>
        <row r="89">
          <cell r="A89">
            <v>12</v>
          </cell>
          <cell r="R89">
            <v>365</v>
          </cell>
          <cell r="W89">
            <v>365</v>
          </cell>
        </row>
        <row r="90">
          <cell r="A90">
            <v>11</v>
          </cell>
          <cell r="R90">
            <v>166</v>
          </cell>
          <cell r="W90">
            <v>166</v>
          </cell>
        </row>
        <row r="91">
          <cell r="A91">
            <v>12</v>
          </cell>
          <cell r="R91">
            <v>242</v>
          </cell>
          <cell r="W91">
            <v>242</v>
          </cell>
        </row>
        <row r="92">
          <cell r="A92">
            <v>10</v>
          </cell>
          <cell r="R92">
            <v>85</v>
          </cell>
          <cell r="W92">
            <v>85</v>
          </cell>
        </row>
        <row r="93">
          <cell r="A93">
            <v>11</v>
          </cell>
          <cell r="R93">
            <v>474</v>
          </cell>
          <cell r="W93">
            <v>474</v>
          </cell>
        </row>
        <row r="94">
          <cell r="A94">
            <v>12</v>
          </cell>
          <cell r="R94">
            <v>37</v>
          </cell>
          <cell r="W94">
            <v>37</v>
          </cell>
        </row>
        <row r="95">
          <cell r="A95">
            <v>12</v>
          </cell>
          <cell r="R95">
            <v>1507</v>
          </cell>
          <cell r="W95">
            <v>1507</v>
          </cell>
        </row>
        <row r="96">
          <cell r="A96">
            <v>13</v>
          </cell>
          <cell r="R96">
            <v>157</v>
          </cell>
          <cell r="W96">
            <v>157</v>
          </cell>
        </row>
        <row r="97">
          <cell r="A97">
            <v>11</v>
          </cell>
          <cell r="R97">
            <v>61</v>
          </cell>
          <cell r="W97">
            <v>61</v>
          </cell>
        </row>
        <row r="98">
          <cell r="A98">
            <v>12</v>
          </cell>
          <cell r="R98">
            <v>83</v>
          </cell>
          <cell r="W98">
            <v>83</v>
          </cell>
        </row>
        <row r="105">
          <cell r="A105" t="str">
            <v>Total</v>
          </cell>
          <cell r="R105">
            <v>79628</v>
          </cell>
          <cell r="W105">
            <v>79628</v>
          </cell>
        </row>
      </sheetData>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row r="18">
          <cell r="V18" t="str">
            <v>Others</v>
          </cell>
        </row>
      </sheetData>
      <sheetData sheetId="2">
        <row r="7">
          <cell r="A7">
            <v>1</v>
          </cell>
          <cell r="B7" t="str">
            <v>94C</v>
          </cell>
          <cell r="C7">
            <v>4673</v>
          </cell>
          <cell r="D7">
            <v>0</v>
          </cell>
          <cell r="E7">
            <v>0</v>
          </cell>
          <cell r="F7">
            <v>0</v>
          </cell>
          <cell r="G7">
            <v>0</v>
          </cell>
          <cell r="I7">
            <v>4673</v>
          </cell>
          <cell r="J7">
            <v>333894</v>
          </cell>
          <cell r="L7">
            <v>170032</v>
          </cell>
          <cell r="N7">
            <v>39028</v>
          </cell>
          <cell r="P7">
            <v>303</v>
          </cell>
          <cell r="R7">
            <v>0</v>
          </cell>
          <cell r="S7">
            <v>0</v>
          </cell>
          <cell r="U7">
            <v>4673</v>
          </cell>
        </row>
        <row r="8">
          <cell r="A8">
            <v>2</v>
          </cell>
          <cell r="B8" t="str">
            <v>94J</v>
          </cell>
          <cell r="C8">
            <v>8160</v>
          </cell>
          <cell r="D8">
            <v>0</v>
          </cell>
          <cell r="E8">
            <v>0</v>
          </cell>
          <cell r="F8">
            <v>0</v>
          </cell>
          <cell r="G8">
            <v>0</v>
          </cell>
          <cell r="I8">
            <v>8160</v>
          </cell>
          <cell r="J8">
            <v>333897</v>
          </cell>
          <cell r="L8">
            <v>170032</v>
          </cell>
          <cell r="N8">
            <v>39028</v>
          </cell>
          <cell r="P8">
            <v>304</v>
          </cell>
          <cell r="R8">
            <v>0</v>
          </cell>
          <cell r="S8">
            <v>0</v>
          </cell>
          <cell r="U8">
            <v>8160</v>
          </cell>
        </row>
        <row r="9">
          <cell r="A9">
            <v>3</v>
          </cell>
          <cell r="B9" t="str">
            <v>94C</v>
          </cell>
          <cell r="C9">
            <v>653</v>
          </cell>
          <cell r="D9">
            <v>0</v>
          </cell>
          <cell r="E9">
            <v>0</v>
          </cell>
          <cell r="F9">
            <v>0</v>
          </cell>
          <cell r="G9">
            <v>0</v>
          </cell>
          <cell r="I9">
            <v>653</v>
          </cell>
          <cell r="J9">
            <v>333895</v>
          </cell>
          <cell r="L9">
            <v>170032</v>
          </cell>
          <cell r="N9">
            <v>39028</v>
          </cell>
          <cell r="P9">
            <v>308</v>
          </cell>
          <cell r="R9">
            <v>0</v>
          </cell>
          <cell r="S9">
            <v>0</v>
          </cell>
          <cell r="U9">
            <v>653</v>
          </cell>
        </row>
        <row r="10">
          <cell r="A10">
            <v>4</v>
          </cell>
          <cell r="B10" t="str">
            <v>94J</v>
          </cell>
          <cell r="C10">
            <v>4080</v>
          </cell>
          <cell r="D10">
            <v>0</v>
          </cell>
          <cell r="E10">
            <v>0</v>
          </cell>
          <cell r="F10">
            <v>0</v>
          </cell>
          <cell r="G10">
            <v>0</v>
          </cell>
          <cell r="I10">
            <v>4080</v>
          </cell>
          <cell r="J10">
            <v>334034</v>
          </cell>
          <cell r="L10">
            <v>170032</v>
          </cell>
          <cell r="N10">
            <v>39058</v>
          </cell>
          <cell r="P10">
            <v>547</v>
          </cell>
          <cell r="R10">
            <v>0</v>
          </cell>
          <cell r="S10">
            <v>0</v>
          </cell>
          <cell r="U10">
            <v>4080</v>
          </cell>
        </row>
        <row r="11">
          <cell r="A11">
            <v>5</v>
          </cell>
          <cell r="B11" t="str">
            <v>94I</v>
          </cell>
          <cell r="C11">
            <v>23936</v>
          </cell>
          <cell r="D11">
            <v>0</v>
          </cell>
          <cell r="E11">
            <v>0</v>
          </cell>
          <cell r="F11">
            <v>210</v>
          </cell>
          <cell r="G11">
            <v>0</v>
          </cell>
          <cell r="I11">
            <v>24146</v>
          </cell>
          <cell r="J11">
            <v>334035</v>
          </cell>
          <cell r="L11">
            <v>170032</v>
          </cell>
          <cell r="N11">
            <v>39058</v>
          </cell>
          <cell r="P11">
            <v>565</v>
          </cell>
          <cell r="R11">
            <v>0</v>
          </cell>
          <cell r="S11">
            <v>0</v>
          </cell>
          <cell r="U11">
            <v>24146</v>
          </cell>
        </row>
        <row r="12">
          <cell r="A12">
            <v>6</v>
          </cell>
          <cell r="B12" t="str">
            <v>94C</v>
          </cell>
          <cell r="C12">
            <v>9031</v>
          </cell>
          <cell r="D12">
            <v>0</v>
          </cell>
          <cell r="E12">
            <v>0</v>
          </cell>
          <cell r="F12">
            <v>0</v>
          </cell>
          <cell r="G12">
            <v>0</v>
          </cell>
          <cell r="I12">
            <v>9031</v>
          </cell>
          <cell r="J12">
            <v>260584</v>
          </cell>
          <cell r="L12">
            <v>170032</v>
          </cell>
          <cell r="N12">
            <v>39057</v>
          </cell>
          <cell r="P12">
            <v>464</v>
          </cell>
          <cell r="R12">
            <v>0</v>
          </cell>
          <cell r="S12">
            <v>0</v>
          </cell>
          <cell r="U12">
            <v>9031</v>
          </cell>
        </row>
        <row r="13">
          <cell r="A13">
            <v>7</v>
          </cell>
          <cell r="B13" t="str">
            <v>94C</v>
          </cell>
          <cell r="C13">
            <v>2674</v>
          </cell>
          <cell r="D13">
            <v>0</v>
          </cell>
          <cell r="E13">
            <v>0</v>
          </cell>
          <cell r="F13">
            <v>0</v>
          </cell>
          <cell r="G13">
            <v>0</v>
          </cell>
          <cell r="I13">
            <v>2674</v>
          </cell>
          <cell r="J13">
            <v>260585</v>
          </cell>
          <cell r="L13">
            <v>170032</v>
          </cell>
          <cell r="N13">
            <v>39057</v>
          </cell>
          <cell r="P13">
            <v>447</v>
          </cell>
          <cell r="R13">
            <v>0</v>
          </cell>
          <cell r="S13">
            <v>0</v>
          </cell>
          <cell r="U13">
            <v>2674</v>
          </cell>
        </row>
        <row r="14">
          <cell r="A14">
            <v>8</v>
          </cell>
          <cell r="B14" t="str">
            <v>94I</v>
          </cell>
          <cell r="C14">
            <v>8976</v>
          </cell>
          <cell r="D14">
            <v>0</v>
          </cell>
          <cell r="E14">
            <v>0</v>
          </cell>
          <cell r="F14">
            <v>0</v>
          </cell>
          <cell r="G14">
            <v>0</v>
          </cell>
          <cell r="I14">
            <v>8976</v>
          </cell>
          <cell r="J14">
            <v>260643</v>
          </cell>
          <cell r="L14">
            <v>170032</v>
          </cell>
          <cell r="N14">
            <v>39064</v>
          </cell>
          <cell r="P14">
            <v>513</v>
          </cell>
          <cell r="R14">
            <v>0</v>
          </cell>
          <cell r="S14">
            <v>0</v>
          </cell>
          <cell r="U14">
            <v>8976</v>
          </cell>
        </row>
        <row r="15">
          <cell r="A15">
            <v>9</v>
          </cell>
          <cell r="B15" t="str">
            <v>94C</v>
          </cell>
          <cell r="C15">
            <v>6376</v>
          </cell>
          <cell r="D15">
            <v>0</v>
          </cell>
          <cell r="E15">
            <v>0</v>
          </cell>
          <cell r="F15">
            <v>0</v>
          </cell>
          <cell r="G15">
            <v>0</v>
          </cell>
          <cell r="I15">
            <v>6376</v>
          </cell>
          <cell r="J15">
            <v>265593</v>
          </cell>
          <cell r="L15">
            <v>170032</v>
          </cell>
          <cell r="N15">
            <v>39088</v>
          </cell>
          <cell r="P15">
            <v>399</v>
          </cell>
          <cell r="R15">
            <v>0</v>
          </cell>
          <cell r="S15">
            <v>0</v>
          </cell>
          <cell r="T15">
            <v>234</v>
          </cell>
          <cell r="U15">
            <v>6376</v>
          </cell>
        </row>
        <row r="16">
          <cell r="A16">
            <v>10</v>
          </cell>
          <cell r="B16" t="str">
            <v>94C</v>
          </cell>
          <cell r="C16">
            <v>85</v>
          </cell>
          <cell r="D16">
            <v>0</v>
          </cell>
          <cell r="E16">
            <v>0</v>
          </cell>
          <cell r="F16">
            <v>0</v>
          </cell>
          <cell r="G16">
            <v>0</v>
          </cell>
          <cell r="I16">
            <v>85</v>
          </cell>
          <cell r="J16">
            <v>265595</v>
          </cell>
          <cell r="L16">
            <v>170032</v>
          </cell>
          <cell r="N16">
            <v>39088</v>
          </cell>
          <cell r="P16">
            <v>398</v>
          </cell>
          <cell r="R16">
            <v>0</v>
          </cell>
          <cell r="S16">
            <v>0</v>
          </cell>
          <cell r="U16">
            <v>85</v>
          </cell>
        </row>
        <row r="17">
          <cell r="A17">
            <v>11</v>
          </cell>
          <cell r="B17" t="str">
            <v>94C</v>
          </cell>
          <cell r="C17">
            <v>8127</v>
          </cell>
          <cell r="D17">
            <v>0</v>
          </cell>
          <cell r="E17">
            <v>0</v>
          </cell>
          <cell r="F17">
            <v>0</v>
          </cell>
          <cell r="G17">
            <v>0</v>
          </cell>
          <cell r="I17">
            <v>8127</v>
          </cell>
          <cell r="J17">
            <v>265594</v>
          </cell>
          <cell r="L17">
            <v>170032</v>
          </cell>
          <cell r="N17">
            <v>39088</v>
          </cell>
          <cell r="P17">
            <v>400</v>
          </cell>
          <cell r="R17">
            <v>0</v>
          </cell>
          <cell r="S17">
            <v>0</v>
          </cell>
          <cell r="U17">
            <v>8127</v>
          </cell>
        </row>
        <row r="18">
          <cell r="A18">
            <v>12</v>
          </cell>
          <cell r="B18" t="str">
            <v>94C</v>
          </cell>
          <cell r="C18">
            <v>2490</v>
          </cell>
          <cell r="D18">
            <v>0</v>
          </cell>
          <cell r="E18">
            <v>0</v>
          </cell>
          <cell r="F18">
            <v>0</v>
          </cell>
          <cell r="G18">
            <v>0</v>
          </cell>
          <cell r="I18">
            <v>2490</v>
          </cell>
          <cell r="J18">
            <v>365604</v>
          </cell>
          <cell r="L18">
            <v>170032</v>
          </cell>
          <cell r="N18">
            <v>39090</v>
          </cell>
          <cell r="P18">
            <v>560</v>
          </cell>
          <cell r="R18">
            <v>0</v>
          </cell>
          <cell r="S18">
            <v>0</v>
          </cell>
          <cell r="U18">
            <v>2490</v>
          </cell>
        </row>
        <row r="19">
          <cell r="A19">
            <v>13</v>
          </cell>
          <cell r="B19" t="str">
            <v>94C</v>
          </cell>
          <cell r="C19">
            <v>157</v>
          </cell>
          <cell r="D19">
            <v>0</v>
          </cell>
          <cell r="E19">
            <v>0</v>
          </cell>
          <cell r="F19">
            <v>0</v>
          </cell>
          <cell r="G19">
            <v>0</v>
          </cell>
          <cell r="I19">
            <v>157</v>
          </cell>
          <cell r="J19">
            <v>365605</v>
          </cell>
          <cell r="L19">
            <v>170032</v>
          </cell>
          <cell r="N19">
            <v>39090</v>
          </cell>
          <cell r="P19">
            <v>519</v>
          </cell>
          <cell r="R19">
            <v>0</v>
          </cell>
          <cell r="S19">
            <v>0</v>
          </cell>
          <cell r="U19">
            <v>157</v>
          </cell>
        </row>
        <row r="20">
          <cell r="I20">
            <v>0</v>
          </cell>
          <cell r="U20">
            <v>0</v>
          </cell>
        </row>
        <row r="21">
          <cell r="I21">
            <v>0</v>
          </cell>
          <cell r="U21">
            <v>0</v>
          </cell>
        </row>
        <row r="22">
          <cell r="I22">
            <v>0</v>
          </cell>
          <cell r="U22">
            <v>0</v>
          </cell>
        </row>
        <row r="23">
          <cell r="A23" t="str">
            <v>Total</v>
          </cell>
          <cell r="C23">
            <v>79418</v>
          </cell>
          <cell r="D23">
            <v>0</v>
          </cell>
          <cell r="E23">
            <v>0</v>
          </cell>
          <cell r="F23">
            <v>210</v>
          </cell>
          <cell r="G23">
            <v>0</v>
          </cell>
          <cell r="H23">
            <v>0</v>
          </cell>
          <cell r="I23">
            <v>79628</v>
          </cell>
          <cell r="R23">
            <v>0</v>
          </cell>
          <cell r="S23">
            <v>0</v>
          </cell>
          <cell r="T23" t="e">
            <v>#REF!</v>
          </cell>
          <cell r="U23">
            <v>79628</v>
          </cell>
        </row>
        <row r="819">
          <cell r="IV819">
            <v>193</v>
          </cell>
        </row>
        <row r="820">
          <cell r="IV820" t="str">
            <v>94A</v>
          </cell>
        </row>
        <row r="821">
          <cell r="IV821" t="str">
            <v>94B</v>
          </cell>
        </row>
        <row r="822">
          <cell r="IV822" t="str">
            <v>4BB</v>
          </cell>
        </row>
        <row r="823">
          <cell r="IV823" t="str">
            <v>94C</v>
          </cell>
        </row>
        <row r="824">
          <cell r="IV824" t="str">
            <v>94D</v>
          </cell>
        </row>
        <row r="825">
          <cell r="IV825" t="str">
            <v>4EE</v>
          </cell>
        </row>
        <row r="826">
          <cell r="IV826" t="str">
            <v>94F</v>
          </cell>
        </row>
        <row r="827">
          <cell r="IV827" t="str">
            <v>94G</v>
          </cell>
        </row>
        <row r="828">
          <cell r="IV828" t="str">
            <v>94H</v>
          </cell>
        </row>
        <row r="829">
          <cell r="IV829" t="str">
            <v>94I</v>
          </cell>
        </row>
        <row r="830">
          <cell r="IV830" t="str">
            <v>94J</v>
          </cell>
        </row>
        <row r="831">
          <cell r="IV831" t="str">
            <v>94K</v>
          </cell>
        </row>
        <row r="832">
          <cell r="IV832" t="str">
            <v>94L</v>
          </cell>
        </row>
      </sheetData>
      <sheetData sheetId="3">
        <row r="11">
          <cell r="A11">
            <v>1</v>
          </cell>
          <cell r="R11">
            <v>306</v>
          </cell>
          <cell r="W11">
            <v>306</v>
          </cell>
        </row>
        <row r="12">
          <cell r="A12">
            <v>3</v>
          </cell>
          <cell r="R12">
            <v>25</v>
          </cell>
          <cell r="W12">
            <v>25</v>
          </cell>
        </row>
        <row r="13">
          <cell r="A13">
            <v>1</v>
          </cell>
          <cell r="R13">
            <v>445</v>
          </cell>
          <cell r="W13">
            <v>445</v>
          </cell>
        </row>
        <row r="14">
          <cell r="A14">
            <v>1</v>
          </cell>
          <cell r="R14">
            <v>600</v>
          </cell>
          <cell r="W14">
            <v>600</v>
          </cell>
        </row>
        <row r="15">
          <cell r="A15">
            <v>1</v>
          </cell>
          <cell r="R15">
            <v>306</v>
          </cell>
          <cell r="W15">
            <v>306</v>
          </cell>
        </row>
        <row r="16">
          <cell r="A16">
            <v>1</v>
          </cell>
          <cell r="R16">
            <v>45</v>
          </cell>
          <cell r="W16">
            <v>45</v>
          </cell>
        </row>
        <row r="17">
          <cell r="A17">
            <v>1</v>
          </cell>
          <cell r="R17">
            <v>59</v>
          </cell>
          <cell r="W17">
            <v>59</v>
          </cell>
        </row>
        <row r="18">
          <cell r="A18">
            <v>1</v>
          </cell>
          <cell r="R18">
            <v>63</v>
          </cell>
          <cell r="W18">
            <v>63</v>
          </cell>
        </row>
        <row r="19">
          <cell r="A19">
            <v>1</v>
          </cell>
          <cell r="R19">
            <v>108</v>
          </cell>
          <cell r="W19">
            <v>108</v>
          </cell>
        </row>
        <row r="20">
          <cell r="A20">
            <v>1</v>
          </cell>
          <cell r="R20">
            <v>122</v>
          </cell>
          <cell r="W20">
            <v>122</v>
          </cell>
        </row>
        <row r="21">
          <cell r="A21">
            <v>1</v>
          </cell>
          <cell r="R21">
            <v>263</v>
          </cell>
          <cell r="W21">
            <v>263</v>
          </cell>
        </row>
        <row r="22">
          <cell r="A22">
            <v>1</v>
          </cell>
          <cell r="R22">
            <v>282</v>
          </cell>
          <cell r="W22">
            <v>282</v>
          </cell>
        </row>
        <row r="23">
          <cell r="A23">
            <v>1</v>
          </cell>
          <cell r="R23">
            <v>306</v>
          </cell>
          <cell r="W23">
            <v>306</v>
          </cell>
        </row>
        <row r="24">
          <cell r="A24">
            <v>3</v>
          </cell>
          <cell r="R24">
            <v>628</v>
          </cell>
          <cell r="W24">
            <v>628</v>
          </cell>
        </row>
        <row r="25">
          <cell r="A25">
            <v>1</v>
          </cell>
          <cell r="R25">
            <v>51</v>
          </cell>
          <cell r="W25">
            <v>51</v>
          </cell>
        </row>
        <row r="26">
          <cell r="A26">
            <v>1</v>
          </cell>
          <cell r="R26">
            <v>85</v>
          </cell>
          <cell r="W26">
            <v>85</v>
          </cell>
        </row>
        <row r="27">
          <cell r="A27">
            <v>1</v>
          </cell>
          <cell r="R27">
            <v>102</v>
          </cell>
          <cell r="W27">
            <v>102</v>
          </cell>
        </row>
        <row r="28">
          <cell r="A28">
            <v>1</v>
          </cell>
          <cell r="R28">
            <v>33</v>
          </cell>
          <cell r="W28">
            <v>33</v>
          </cell>
        </row>
        <row r="29">
          <cell r="A29">
            <v>1</v>
          </cell>
          <cell r="R29">
            <v>426</v>
          </cell>
          <cell r="W29">
            <v>426</v>
          </cell>
        </row>
        <row r="30">
          <cell r="A30">
            <v>1</v>
          </cell>
          <cell r="R30">
            <v>551</v>
          </cell>
          <cell r="W30">
            <v>551</v>
          </cell>
        </row>
        <row r="31">
          <cell r="A31">
            <v>1</v>
          </cell>
          <cell r="R31">
            <v>520</v>
          </cell>
          <cell r="W31">
            <v>520</v>
          </cell>
        </row>
        <row r="32">
          <cell r="A32">
            <v>2</v>
          </cell>
          <cell r="R32">
            <v>8160</v>
          </cell>
          <cell r="W32">
            <v>8160</v>
          </cell>
        </row>
        <row r="33">
          <cell r="A33">
            <v>7</v>
          </cell>
          <cell r="R33">
            <v>291</v>
          </cell>
          <cell r="W33">
            <v>291</v>
          </cell>
        </row>
        <row r="34">
          <cell r="A34">
            <v>7</v>
          </cell>
          <cell r="R34">
            <v>329</v>
          </cell>
          <cell r="W34">
            <v>329</v>
          </cell>
        </row>
        <row r="35">
          <cell r="A35">
            <v>7</v>
          </cell>
          <cell r="R35">
            <v>169</v>
          </cell>
          <cell r="W35">
            <v>169</v>
          </cell>
        </row>
        <row r="36">
          <cell r="A36">
            <v>6</v>
          </cell>
          <cell r="R36">
            <v>235</v>
          </cell>
          <cell r="W36">
            <v>235</v>
          </cell>
        </row>
        <row r="37">
          <cell r="A37">
            <v>7</v>
          </cell>
          <cell r="R37">
            <v>369</v>
          </cell>
          <cell r="W37">
            <v>369</v>
          </cell>
        </row>
        <row r="38">
          <cell r="A38">
            <v>7</v>
          </cell>
          <cell r="R38">
            <v>86</v>
          </cell>
          <cell r="W38">
            <v>86</v>
          </cell>
        </row>
        <row r="39">
          <cell r="A39">
            <v>6</v>
          </cell>
          <cell r="R39">
            <v>365</v>
          </cell>
          <cell r="W39">
            <v>365</v>
          </cell>
        </row>
        <row r="40">
          <cell r="A40">
            <v>6</v>
          </cell>
          <cell r="R40">
            <v>8414</v>
          </cell>
          <cell r="W40">
            <v>8414</v>
          </cell>
        </row>
        <row r="41">
          <cell r="A41">
            <v>7</v>
          </cell>
          <cell r="R41">
            <v>192</v>
          </cell>
          <cell r="W41">
            <v>192</v>
          </cell>
        </row>
        <row r="42">
          <cell r="A42">
            <v>7</v>
          </cell>
          <cell r="R42">
            <v>205</v>
          </cell>
          <cell r="W42">
            <v>205</v>
          </cell>
        </row>
        <row r="43">
          <cell r="A43">
            <v>6</v>
          </cell>
          <cell r="R43">
            <v>17</v>
          </cell>
          <cell r="W43">
            <v>17</v>
          </cell>
        </row>
        <row r="44">
          <cell r="A44">
            <v>7</v>
          </cell>
          <cell r="R44">
            <v>445</v>
          </cell>
          <cell r="W44">
            <v>445</v>
          </cell>
        </row>
        <row r="45">
          <cell r="A45">
            <v>4</v>
          </cell>
          <cell r="R45">
            <v>4080</v>
          </cell>
          <cell r="W45">
            <v>4080</v>
          </cell>
        </row>
        <row r="46">
          <cell r="A46">
            <v>7</v>
          </cell>
          <cell r="R46">
            <v>148</v>
          </cell>
          <cell r="W46">
            <v>148</v>
          </cell>
        </row>
        <row r="47">
          <cell r="A47">
            <v>7</v>
          </cell>
          <cell r="R47">
            <v>440</v>
          </cell>
          <cell r="W47">
            <v>440</v>
          </cell>
        </row>
        <row r="48">
          <cell r="A48">
            <v>5</v>
          </cell>
          <cell r="R48">
            <v>6194</v>
          </cell>
          <cell r="W48">
            <v>6194</v>
          </cell>
        </row>
        <row r="49">
          <cell r="A49">
            <v>5</v>
          </cell>
          <cell r="R49">
            <v>8976</v>
          </cell>
          <cell r="W49">
            <v>8976</v>
          </cell>
        </row>
        <row r="50">
          <cell r="A50">
            <v>5</v>
          </cell>
          <cell r="R50">
            <v>8976</v>
          </cell>
          <cell r="W50">
            <v>8976</v>
          </cell>
        </row>
        <row r="51">
          <cell r="A51">
            <v>9</v>
          </cell>
          <cell r="R51">
            <v>507</v>
          </cell>
          <cell r="W51">
            <v>507</v>
          </cell>
        </row>
        <row r="52">
          <cell r="A52">
            <v>11</v>
          </cell>
          <cell r="R52">
            <v>102</v>
          </cell>
          <cell r="W52">
            <v>102</v>
          </cell>
        </row>
        <row r="53">
          <cell r="A53">
            <v>11</v>
          </cell>
          <cell r="R53">
            <v>34</v>
          </cell>
          <cell r="W53">
            <v>34</v>
          </cell>
        </row>
        <row r="54">
          <cell r="A54">
            <v>11</v>
          </cell>
          <cell r="R54">
            <v>198</v>
          </cell>
          <cell r="W54">
            <v>198</v>
          </cell>
        </row>
        <row r="55">
          <cell r="A55">
            <v>11</v>
          </cell>
          <cell r="R55">
            <v>354</v>
          </cell>
          <cell r="W55">
            <v>354</v>
          </cell>
        </row>
        <row r="56">
          <cell r="A56">
            <v>11</v>
          </cell>
          <cell r="R56">
            <v>649</v>
          </cell>
          <cell r="W56">
            <v>649</v>
          </cell>
        </row>
        <row r="57">
          <cell r="A57">
            <v>11</v>
          </cell>
          <cell r="R57">
            <v>1045</v>
          </cell>
          <cell r="W57">
            <v>1045</v>
          </cell>
        </row>
        <row r="58">
          <cell r="A58">
            <v>9</v>
          </cell>
          <cell r="R58">
            <v>2191</v>
          </cell>
          <cell r="W58">
            <v>2191</v>
          </cell>
        </row>
        <row r="59">
          <cell r="A59">
            <v>8</v>
          </cell>
          <cell r="R59">
            <v>8976</v>
          </cell>
          <cell r="W59">
            <v>8976</v>
          </cell>
        </row>
        <row r="60">
          <cell r="A60">
            <v>11</v>
          </cell>
          <cell r="R60">
            <v>386</v>
          </cell>
          <cell r="W60">
            <v>386</v>
          </cell>
        </row>
        <row r="61">
          <cell r="A61">
            <v>11</v>
          </cell>
          <cell r="R61">
            <v>177</v>
          </cell>
          <cell r="W61">
            <v>177</v>
          </cell>
        </row>
        <row r="62">
          <cell r="A62">
            <v>11</v>
          </cell>
          <cell r="R62">
            <v>222</v>
          </cell>
          <cell r="W62">
            <v>222</v>
          </cell>
        </row>
        <row r="63">
          <cell r="A63">
            <v>11</v>
          </cell>
          <cell r="R63">
            <v>612</v>
          </cell>
          <cell r="W63">
            <v>612</v>
          </cell>
        </row>
        <row r="64">
          <cell r="A64">
            <v>11</v>
          </cell>
          <cell r="R64">
            <v>37</v>
          </cell>
          <cell r="W64">
            <v>37</v>
          </cell>
        </row>
        <row r="65">
          <cell r="A65">
            <v>9</v>
          </cell>
          <cell r="R65">
            <v>180</v>
          </cell>
          <cell r="W65">
            <v>180</v>
          </cell>
        </row>
        <row r="66">
          <cell r="A66">
            <v>11</v>
          </cell>
          <cell r="R66">
            <v>368</v>
          </cell>
          <cell r="W66">
            <v>368</v>
          </cell>
        </row>
        <row r="67">
          <cell r="A67">
            <v>9</v>
          </cell>
          <cell r="R67">
            <v>607</v>
          </cell>
          <cell r="W67">
            <v>607</v>
          </cell>
        </row>
        <row r="68">
          <cell r="A68">
            <v>9</v>
          </cell>
          <cell r="R68">
            <v>1904</v>
          </cell>
          <cell r="W68">
            <v>1904</v>
          </cell>
        </row>
        <row r="69">
          <cell r="A69">
            <v>11</v>
          </cell>
          <cell r="R69">
            <v>770</v>
          </cell>
          <cell r="W69">
            <v>770</v>
          </cell>
        </row>
        <row r="70">
          <cell r="A70">
            <v>11</v>
          </cell>
          <cell r="R70">
            <v>63</v>
          </cell>
          <cell r="W70">
            <v>63</v>
          </cell>
        </row>
        <row r="71">
          <cell r="A71">
            <v>11</v>
          </cell>
          <cell r="R71">
            <v>63</v>
          </cell>
          <cell r="W71">
            <v>63</v>
          </cell>
        </row>
        <row r="72">
          <cell r="A72">
            <v>11</v>
          </cell>
          <cell r="R72">
            <v>108</v>
          </cell>
          <cell r="W72">
            <v>108</v>
          </cell>
        </row>
        <row r="73">
          <cell r="A73">
            <v>11</v>
          </cell>
          <cell r="R73">
            <v>147</v>
          </cell>
          <cell r="W73">
            <v>147</v>
          </cell>
        </row>
        <row r="74">
          <cell r="A74">
            <v>9</v>
          </cell>
          <cell r="R74">
            <v>987</v>
          </cell>
          <cell r="W74">
            <v>987</v>
          </cell>
        </row>
        <row r="75">
          <cell r="A75">
            <v>11</v>
          </cell>
          <cell r="R75">
            <v>429</v>
          </cell>
          <cell r="W75">
            <v>429</v>
          </cell>
        </row>
        <row r="76">
          <cell r="A76">
            <v>11</v>
          </cell>
          <cell r="R76">
            <v>485</v>
          </cell>
          <cell r="W76">
            <v>485</v>
          </cell>
        </row>
        <row r="77">
          <cell r="A77">
            <v>11</v>
          </cell>
          <cell r="R77">
            <v>11</v>
          </cell>
          <cell r="W77">
            <v>11</v>
          </cell>
        </row>
        <row r="78">
          <cell r="A78">
            <v>11</v>
          </cell>
          <cell r="R78">
            <v>29</v>
          </cell>
          <cell r="W78">
            <v>29</v>
          </cell>
        </row>
        <row r="79">
          <cell r="A79">
            <v>11</v>
          </cell>
          <cell r="R79">
            <v>61</v>
          </cell>
          <cell r="W79">
            <v>61</v>
          </cell>
        </row>
        <row r="80">
          <cell r="A80">
            <v>11</v>
          </cell>
          <cell r="R80">
            <v>123</v>
          </cell>
          <cell r="W80">
            <v>123</v>
          </cell>
        </row>
        <row r="81">
          <cell r="A81">
            <v>11</v>
          </cell>
          <cell r="R81">
            <v>164</v>
          </cell>
          <cell r="W81">
            <v>164</v>
          </cell>
        </row>
        <row r="82">
          <cell r="A82">
            <v>11</v>
          </cell>
          <cell r="R82">
            <v>169</v>
          </cell>
          <cell r="W82">
            <v>169</v>
          </cell>
        </row>
        <row r="83">
          <cell r="A83">
            <v>11</v>
          </cell>
          <cell r="R83">
            <v>55</v>
          </cell>
          <cell r="W83">
            <v>55</v>
          </cell>
        </row>
        <row r="84">
          <cell r="A84">
            <v>11</v>
          </cell>
          <cell r="R84">
            <v>181</v>
          </cell>
          <cell r="W84">
            <v>181</v>
          </cell>
        </row>
        <row r="85">
          <cell r="A85">
            <v>11</v>
          </cell>
          <cell r="R85">
            <v>100</v>
          </cell>
          <cell r="W85">
            <v>100</v>
          </cell>
        </row>
        <row r="86">
          <cell r="A86">
            <v>11</v>
          </cell>
          <cell r="R86">
            <v>165</v>
          </cell>
          <cell r="W86">
            <v>165</v>
          </cell>
        </row>
        <row r="87">
          <cell r="A87">
            <v>11</v>
          </cell>
          <cell r="R87">
            <v>119</v>
          </cell>
          <cell r="W87">
            <v>119</v>
          </cell>
        </row>
        <row r="88">
          <cell r="A88">
            <v>12</v>
          </cell>
          <cell r="R88">
            <v>256</v>
          </cell>
          <cell r="W88">
            <v>256</v>
          </cell>
        </row>
        <row r="89">
          <cell r="A89">
            <v>12</v>
          </cell>
          <cell r="R89">
            <v>365</v>
          </cell>
          <cell r="W89">
            <v>365</v>
          </cell>
        </row>
        <row r="90">
          <cell r="A90">
            <v>11</v>
          </cell>
          <cell r="R90">
            <v>166</v>
          </cell>
          <cell r="W90">
            <v>166</v>
          </cell>
        </row>
        <row r="91">
          <cell r="A91">
            <v>12</v>
          </cell>
          <cell r="R91">
            <v>242</v>
          </cell>
          <cell r="W91">
            <v>242</v>
          </cell>
        </row>
        <row r="92">
          <cell r="A92">
            <v>10</v>
          </cell>
          <cell r="R92">
            <v>85</v>
          </cell>
          <cell r="W92">
            <v>85</v>
          </cell>
        </row>
        <row r="93">
          <cell r="A93">
            <v>11</v>
          </cell>
          <cell r="R93">
            <v>474</v>
          </cell>
          <cell r="W93">
            <v>474</v>
          </cell>
        </row>
        <row r="94">
          <cell r="A94">
            <v>12</v>
          </cell>
          <cell r="R94">
            <v>37</v>
          </cell>
          <cell r="W94">
            <v>37</v>
          </cell>
        </row>
        <row r="95">
          <cell r="A95">
            <v>12</v>
          </cell>
          <cell r="R95">
            <v>1507</v>
          </cell>
          <cell r="W95">
            <v>1507</v>
          </cell>
        </row>
        <row r="96">
          <cell r="A96">
            <v>13</v>
          </cell>
          <cell r="R96">
            <v>157</v>
          </cell>
          <cell r="W96">
            <v>157</v>
          </cell>
        </row>
        <row r="97">
          <cell r="A97">
            <v>11</v>
          </cell>
          <cell r="R97">
            <v>61</v>
          </cell>
          <cell r="W97">
            <v>61</v>
          </cell>
        </row>
        <row r="98">
          <cell r="A98">
            <v>12</v>
          </cell>
          <cell r="R98">
            <v>83</v>
          </cell>
          <cell r="W98">
            <v>83</v>
          </cell>
        </row>
        <row r="105">
          <cell r="A105" t="str">
            <v>Total</v>
          </cell>
          <cell r="R105">
            <v>79628</v>
          </cell>
          <cell r="W105">
            <v>79628</v>
          </cell>
        </row>
      </sheetData>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row r="18">
          <cell r="V18" t="str">
            <v>Others</v>
          </cell>
        </row>
      </sheetData>
      <sheetData sheetId="2">
        <row r="7">
          <cell r="A7">
            <v>1</v>
          </cell>
          <cell r="B7" t="str">
            <v>94C</v>
          </cell>
          <cell r="C7">
            <v>4673</v>
          </cell>
          <cell r="D7">
            <v>0</v>
          </cell>
          <cell r="E7">
            <v>0</v>
          </cell>
          <cell r="F7">
            <v>0</v>
          </cell>
          <cell r="G7">
            <v>0</v>
          </cell>
          <cell r="I7">
            <v>4673</v>
          </cell>
          <cell r="J7">
            <v>333894</v>
          </cell>
          <cell r="L7">
            <v>170032</v>
          </cell>
          <cell r="N7">
            <v>39028</v>
          </cell>
          <cell r="P7">
            <v>303</v>
          </cell>
          <cell r="R7">
            <v>0</v>
          </cell>
          <cell r="S7">
            <v>0</v>
          </cell>
          <cell r="U7">
            <v>4673</v>
          </cell>
        </row>
        <row r="8">
          <cell r="A8">
            <v>2</v>
          </cell>
          <cell r="B8" t="str">
            <v>94J</v>
          </cell>
          <cell r="C8">
            <v>8160</v>
          </cell>
          <cell r="D8">
            <v>0</v>
          </cell>
          <cell r="E8">
            <v>0</v>
          </cell>
          <cell r="F8">
            <v>0</v>
          </cell>
          <cell r="G8">
            <v>0</v>
          </cell>
          <cell r="I8">
            <v>8160</v>
          </cell>
          <cell r="J8">
            <v>333897</v>
          </cell>
          <cell r="L8">
            <v>170032</v>
          </cell>
          <cell r="N8">
            <v>39028</v>
          </cell>
          <cell r="P8">
            <v>304</v>
          </cell>
          <cell r="R8">
            <v>0</v>
          </cell>
          <cell r="S8">
            <v>0</v>
          </cell>
          <cell r="U8">
            <v>8160</v>
          </cell>
        </row>
        <row r="9">
          <cell r="A9">
            <v>3</v>
          </cell>
          <cell r="B9" t="str">
            <v>94C</v>
          </cell>
          <cell r="C9">
            <v>653</v>
          </cell>
          <cell r="D9">
            <v>0</v>
          </cell>
          <cell r="E9">
            <v>0</v>
          </cell>
          <cell r="F9">
            <v>0</v>
          </cell>
          <cell r="G9">
            <v>0</v>
          </cell>
          <cell r="I9">
            <v>653</v>
          </cell>
          <cell r="J9">
            <v>333895</v>
          </cell>
          <cell r="L9">
            <v>170032</v>
          </cell>
          <cell r="N9">
            <v>39028</v>
          </cell>
          <cell r="P9">
            <v>308</v>
          </cell>
          <cell r="R9">
            <v>0</v>
          </cell>
          <cell r="S9">
            <v>0</v>
          </cell>
          <cell r="U9">
            <v>653</v>
          </cell>
        </row>
        <row r="10">
          <cell r="A10">
            <v>4</v>
          </cell>
          <cell r="B10" t="str">
            <v>94J</v>
          </cell>
          <cell r="C10">
            <v>4080</v>
          </cell>
          <cell r="D10">
            <v>0</v>
          </cell>
          <cell r="E10">
            <v>0</v>
          </cell>
          <cell r="F10">
            <v>0</v>
          </cell>
          <cell r="G10">
            <v>0</v>
          </cell>
          <cell r="I10">
            <v>4080</v>
          </cell>
          <cell r="J10">
            <v>334034</v>
          </cell>
          <cell r="L10">
            <v>170032</v>
          </cell>
          <cell r="N10">
            <v>39058</v>
          </cell>
          <cell r="P10">
            <v>547</v>
          </cell>
          <cell r="R10">
            <v>0</v>
          </cell>
          <cell r="S10">
            <v>0</v>
          </cell>
          <cell r="U10">
            <v>4080</v>
          </cell>
        </row>
        <row r="11">
          <cell r="A11">
            <v>5</v>
          </cell>
          <cell r="B11" t="str">
            <v>94I</v>
          </cell>
          <cell r="C11">
            <v>23936</v>
          </cell>
          <cell r="D11">
            <v>0</v>
          </cell>
          <cell r="E11">
            <v>0</v>
          </cell>
          <cell r="F11">
            <v>210</v>
          </cell>
          <cell r="G11">
            <v>0</v>
          </cell>
          <cell r="I11">
            <v>24146</v>
          </cell>
          <cell r="J11">
            <v>334035</v>
          </cell>
          <cell r="L11">
            <v>170032</v>
          </cell>
          <cell r="N11">
            <v>39058</v>
          </cell>
          <cell r="P11">
            <v>565</v>
          </cell>
          <cell r="R11">
            <v>0</v>
          </cell>
          <cell r="S11">
            <v>0</v>
          </cell>
          <cell r="U11">
            <v>24146</v>
          </cell>
        </row>
        <row r="12">
          <cell r="A12">
            <v>6</v>
          </cell>
          <cell r="B12" t="str">
            <v>94C</v>
          </cell>
          <cell r="C12">
            <v>9031</v>
          </cell>
          <cell r="D12">
            <v>0</v>
          </cell>
          <cell r="E12">
            <v>0</v>
          </cell>
          <cell r="F12">
            <v>0</v>
          </cell>
          <cell r="G12">
            <v>0</v>
          </cell>
          <cell r="I12">
            <v>9031</v>
          </cell>
          <cell r="J12">
            <v>260584</v>
          </cell>
          <cell r="L12">
            <v>170032</v>
          </cell>
          <cell r="N12">
            <v>39057</v>
          </cell>
          <cell r="P12">
            <v>464</v>
          </cell>
          <cell r="R12">
            <v>0</v>
          </cell>
          <cell r="S12">
            <v>0</v>
          </cell>
          <cell r="U12">
            <v>9031</v>
          </cell>
        </row>
        <row r="13">
          <cell r="A13">
            <v>7</v>
          </cell>
          <cell r="B13" t="str">
            <v>94C</v>
          </cell>
          <cell r="C13">
            <v>2674</v>
          </cell>
          <cell r="D13">
            <v>0</v>
          </cell>
          <cell r="E13">
            <v>0</v>
          </cell>
          <cell r="F13">
            <v>0</v>
          </cell>
          <cell r="G13">
            <v>0</v>
          </cell>
          <cell r="I13">
            <v>2674</v>
          </cell>
          <cell r="J13">
            <v>260585</v>
          </cell>
          <cell r="L13">
            <v>170032</v>
          </cell>
          <cell r="N13">
            <v>39057</v>
          </cell>
          <cell r="P13">
            <v>447</v>
          </cell>
          <cell r="R13">
            <v>0</v>
          </cell>
          <cell r="S13">
            <v>0</v>
          </cell>
          <cell r="U13">
            <v>2674</v>
          </cell>
        </row>
        <row r="14">
          <cell r="A14">
            <v>8</v>
          </cell>
          <cell r="B14" t="str">
            <v>94I</v>
          </cell>
          <cell r="C14">
            <v>8976</v>
          </cell>
          <cell r="D14">
            <v>0</v>
          </cell>
          <cell r="E14">
            <v>0</v>
          </cell>
          <cell r="F14">
            <v>0</v>
          </cell>
          <cell r="G14">
            <v>0</v>
          </cell>
          <cell r="I14">
            <v>8976</v>
          </cell>
          <cell r="J14">
            <v>260643</v>
          </cell>
          <cell r="L14">
            <v>170032</v>
          </cell>
          <cell r="N14">
            <v>39064</v>
          </cell>
          <cell r="P14">
            <v>513</v>
          </cell>
          <cell r="R14">
            <v>0</v>
          </cell>
          <cell r="S14">
            <v>0</v>
          </cell>
          <cell r="U14">
            <v>8976</v>
          </cell>
        </row>
        <row r="15">
          <cell r="A15">
            <v>9</v>
          </cell>
          <cell r="B15" t="str">
            <v>94C</v>
          </cell>
          <cell r="C15">
            <v>6376</v>
          </cell>
          <cell r="D15">
            <v>0</v>
          </cell>
          <cell r="E15">
            <v>0</v>
          </cell>
          <cell r="F15">
            <v>0</v>
          </cell>
          <cell r="G15">
            <v>0</v>
          </cell>
          <cell r="I15">
            <v>6376</v>
          </cell>
          <cell r="J15">
            <v>265593</v>
          </cell>
          <cell r="L15">
            <v>170032</v>
          </cell>
          <cell r="N15">
            <v>39088</v>
          </cell>
          <cell r="P15">
            <v>399</v>
          </cell>
          <cell r="R15">
            <v>0</v>
          </cell>
          <cell r="S15">
            <v>0</v>
          </cell>
          <cell r="T15">
            <v>234</v>
          </cell>
          <cell r="U15">
            <v>6376</v>
          </cell>
        </row>
        <row r="16">
          <cell r="A16">
            <v>10</v>
          </cell>
          <cell r="B16" t="str">
            <v>94C</v>
          </cell>
          <cell r="C16">
            <v>85</v>
          </cell>
          <cell r="D16">
            <v>0</v>
          </cell>
          <cell r="E16">
            <v>0</v>
          </cell>
          <cell r="F16">
            <v>0</v>
          </cell>
          <cell r="G16">
            <v>0</v>
          </cell>
          <cell r="I16">
            <v>85</v>
          </cell>
          <cell r="J16">
            <v>265595</v>
          </cell>
          <cell r="L16">
            <v>170032</v>
          </cell>
          <cell r="N16">
            <v>39088</v>
          </cell>
          <cell r="P16">
            <v>398</v>
          </cell>
          <cell r="R16">
            <v>0</v>
          </cell>
          <cell r="S16">
            <v>0</v>
          </cell>
          <cell r="U16">
            <v>85</v>
          </cell>
        </row>
        <row r="17">
          <cell r="A17">
            <v>11</v>
          </cell>
          <cell r="B17" t="str">
            <v>94C</v>
          </cell>
          <cell r="C17">
            <v>8127</v>
          </cell>
          <cell r="D17">
            <v>0</v>
          </cell>
          <cell r="E17">
            <v>0</v>
          </cell>
          <cell r="F17">
            <v>0</v>
          </cell>
          <cell r="G17">
            <v>0</v>
          </cell>
          <cell r="I17">
            <v>8127</v>
          </cell>
          <cell r="J17">
            <v>265594</v>
          </cell>
          <cell r="L17">
            <v>170032</v>
          </cell>
          <cell r="N17">
            <v>39088</v>
          </cell>
          <cell r="P17">
            <v>400</v>
          </cell>
          <cell r="R17">
            <v>0</v>
          </cell>
          <cell r="S17">
            <v>0</v>
          </cell>
          <cell r="U17">
            <v>8127</v>
          </cell>
        </row>
        <row r="18">
          <cell r="A18">
            <v>12</v>
          </cell>
          <cell r="B18" t="str">
            <v>94C</v>
          </cell>
          <cell r="C18">
            <v>2490</v>
          </cell>
          <cell r="D18">
            <v>0</v>
          </cell>
          <cell r="E18">
            <v>0</v>
          </cell>
          <cell r="F18">
            <v>0</v>
          </cell>
          <cell r="G18">
            <v>0</v>
          </cell>
          <cell r="I18">
            <v>2490</v>
          </cell>
          <cell r="J18">
            <v>365604</v>
          </cell>
          <cell r="L18">
            <v>170032</v>
          </cell>
          <cell r="N18">
            <v>39090</v>
          </cell>
          <cell r="P18">
            <v>560</v>
          </cell>
          <cell r="R18">
            <v>0</v>
          </cell>
          <cell r="S18">
            <v>0</v>
          </cell>
          <cell r="U18">
            <v>2490</v>
          </cell>
        </row>
        <row r="19">
          <cell r="A19">
            <v>13</v>
          </cell>
          <cell r="B19" t="str">
            <v>94C</v>
          </cell>
          <cell r="C19">
            <v>157</v>
          </cell>
          <cell r="D19">
            <v>0</v>
          </cell>
          <cell r="E19">
            <v>0</v>
          </cell>
          <cell r="F19">
            <v>0</v>
          </cell>
          <cell r="G19">
            <v>0</v>
          </cell>
          <cell r="I19">
            <v>157</v>
          </cell>
          <cell r="J19">
            <v>365605</v>
          </cell>
          <cell r="L19">
            <v>170032</v>
          </cell>
          <cell r="N19">
            <v>39090</v>
          </cell>
          <cell r="P19">
            <v>519</v>
          </cell>
          <cell r="R19">
            <v>0</v>
          </cell>
          <cell r="S19">
            <v>0</v>
          </cell>
          <cell r="U19">
            <v>157</v>
          </cell>
        </row>
        <row r="20">
          <cell r="I20">
            <v>0</v>
          </cell>
          <cell r="U20">
            <v>0</v>
          </cell>
        </row>
        <row r="21">
          <cell r="I21">
            <v>0</v>
          </cell>
          <cell r="U21">
            <v>0</v>
          </cell>
        </row>
        <row r="22">
          <cell r="I22">
            <v>0</v>
          </cell>
          <cell r="U22">
            <v>0</v>
          </cell>
        </row>
        <row r="23">
          <cell r="A23" t="str">
            <v>Total</v>
          </cell>
          <cell r="C23">
            <v>79418</v>
          </cell>
          <cell r="D23">
            <v>0</v>
          </cell>
          <cell r="E23">
            <v>0</v>
          </cell>
          <cell r="F23">
            <v>210</v>
          </cell>
          <cell r="G23">
            <v>0</v>
          </cell>
          <cell r="H23">
            <v>0</v>
          </cell>
          <cell r="I23">
            <v>79628</v>
          </cell>
          <cell r="R23">
            <v>0</v>
          </cell>
          <cell r="S23">
            <v>0</v>
          </cell>
          <cell r="T23" t="e">
            <v>#REF!</v>
          </cell>
          <cell r="U23">
            <v>79628</v>
          </cell>
        </row>
        <row r="819">
          <cell r="IV819">
            <v>193</v>
          </cell>
        </row>
        <row r="820">
          <cell r="IV820" t="str">
            <v>94A</v>
          </cell>
        </row>
        <row r="821">
          <cell r="IV821" t="str">
            <v>94B</v>
          </cell>
        </row>
        <row r="822">
          <cell r="IV822" t="str">
            <v>4BB</v>
          </cell>
        </row>
        <row r="823">
          <cell r="IV823" t="str">
            <v>94C</v>
          </cell>
        </row>
        <row r="824">
          <cell r="IV824" t="str">
            <v>94D</v>
          </cell>
        </row>
        <row r="825">
          <cell r="IV825" t="str">
            <v>4EE</v>
          </cell>
        </row>
        <row r="826">
          <cell r="IV826" t="str">
            <v>94F</v>
          </cell>
        </row>
        <row r="827">
          <cell r="IV827" t="str">
            <v>94G</v>
          </cell>
        </row>
        <row r="828">
          <cell r="IV828" t="str">
            <v>94H</v>
          </cell>
        </row>
        <row r="829">
          <cell r="IV829" t="str">
            <v>94I</v>
          </cell>
        </row>
        <row r="830">
          <cell r="IV830" t="str">
            <v>94J</v>
          </cell>
        </row>
        <row r="831">
          <cell r="IV831" t="str">
            <v>94K</v>
          </cell>
        </row>
        <row r="832">
          <cell r="IV832" t="str">
            <v>94L</v>
          </cell>
        </row>
      </sheetData>
      <sheetData sheetId="3">
        <row r="11">
          <cell r="A11">
            <v>1</v>
          </cell>
          <cell r="R11">
            <v>306</v>
          </cell>
          <cell r="W11">
            <v>306</v>
          </cell>
        </row>
        <row r="12">
          <cell r="A12">
            <v>3</v>
          </cell>
          <cell r="R12">
            <v>25</v>
          </cell>
          <cell r="W12">
            <v>25</v>
          </cell>
        </row>
        <row r="13">
          <cell r="A13">
            <v>1</v>
          </cell>
          <cell r="R13">
            <v>445</v>
          </cell>
          <cell r="W13">
            <v>445</v>
          </cell>
        </row>
        <row r="14">
          <cell r="A14">
            <v>1</v>
          </cell>
          <cell r="R14">
            <v>600</v>
          </cell>
          <cell r="W14">
            <v>600</v>
          </cell>
        </row>
        <row r="15">
          <cell r="A15">
            <v>1</v>
          </cell>
          <cell r="R15">
            <v>306</v>
          </cell>
          <cell r="W15">
            <v>306</v>
          </cell>
        </row>
        <row r="16">
          <cell r="A16">
            <v>1</v>
          </cell>
          <cell r="R16">
            <v>45</v>
          </cell>
          <cell r="W16">
            <v>45</v>
          </cell>
        </row>
        <row r="17">
          <cell r="A17">
            <v>1</v>
          </cell>
          <cell r="R17">
            <v>59</v>
          </cell>
          <cell r="W17">
            <v>59</v>
          </cell>
        </row>
        <row r="18">
          <cell r="A18">
            <v>1</v>
          </cell>
          <cell r="R18">
            <v>63</v>
          </cell>
          <cell r="W18">
            <v>63</v>
          </cell>
        </row>
        <row r="19">
          <cell r="A19">
            <v>1</v>
          </cell>
          <cell r="R19">
            <v>108</v>
          </cell>
          <cell r="W19">
            <v>108</v>
          </cell>
        </row>
        <row r="20">
          <cell r="A20">
            <v>1</v>
          </cell>
          <cell r="R20">
            <v>122</v>
          </cell>
          <cell r="W20">
            <v>122</v>
          </cell>
        </row>
        <row r="21">
          <cell r="A21">
            <v>1</v>
          </cell>
          <cell r="R21">
            <v>263</v>
          </cell>
          <cell r="W21">
            <v>263</v>
          </cell>
        </row>
        <row r="22">
          <cell r="A22">
            <v>1</v>
          </cell>
          <cell r="R22">
            <v>282</v>
          </cell>
          <cell r="W22">
            <v>282</v>
          </cell>
        </row>
        <row r="23">
          <cell r="A23">
            <v>1</v>
          </cell>
          <cell r="R23">
            <v>306</v>
          </cell>
          <cell r="W23">
            <v>306</v>
          </cell>
        </row>
        <row r="24">
          <cell r="A24">
            <v>3</v>
          </cell>
          <cell r="R24">
            <v>628</v>
          </cell>
          <cell r="W24">
            <v>628</v>
          </cell>
        </row>
        <row r="25">
          <cell r="A25">
            <v>1</v>
          </cell>
          <cell r="R25">
            <v>51</v>
          </cell>
          <cell r="W25">
            <v>51</v>
          </cell>
        </row>
        <row r="26">
          <cell r="A26">
            <v>1</v>
          </cell>
          <cell r="R26">
            <v>85</v>
          </cell>
          <cell r="W26">
            <v>85</v>
          </cell>
        </row>
        <row r="27">
          <cell r="A27">
            <v>1</v>
          </cell>
          <cell r="R27">
            <v>102</v>
          </cell>
          <cell r="W27">
            <v>102</v>
          </cell>
        </row>
        <row r="28">
          <cell r="A28">
            <v>1</v>
          </cell>
          <cell r="R28">
            <v>33</v>
          </cell>
          <cell r="W28">
            <v>33</v>
          </cell>
        </row>
        <row r="29">
          <cell r="A29">
            <v>1</v>
          </cell>
          <cell r="R29">
            <v>426</v>
          </cell>
          <cell r="W29">
            <v>426</v>
          </cell>
        </row>
        <row r="30">
          <cell r="A30">
            <v>1</v>
          </cell>
          <cell r="R30">
            <v>551</v>
          </cell>
          <cell r="W30">
            <v>551</v>
          </cell>
        </row>
        <row r="31">
          <cell r="A31">
            <v>1</v>
          </cell>
          <cell r="R31">
            <v>520</v>
          </cell>
          <cell r="W31">
            <v>520</v>
          </cell>
        </row>
        <row r="32">
          <cell r="A32">
            <v>2</v>
          </cell>
          <cell r="R32">
            <v>8160</v>
          </cell>
          <cell r="W32">
            <v>8160</v>
          </cell>
        </row>
        <row r="33">
          <cell r="A33">
            <v>7</v>
          </cell>
          <cell r="R33">
            <v>291</v>
          </cell>
          <cell r="W33">
            <v>291</v>
          </cell>
        </row>
        <row r="34">
          <cell r="A34">
            <v>7</v>
          </cell>
          <cell r="R34">
            <v>329</v>
          </cell>
          <cell r="W34">
            <v>329</v>
          </cell>
        </row>
        <row r="35">
          <cell r="A35">
            <v>7</v>
          </cell>
          <cell r="R35">
            <v>169</v>
          </cell>
          <cell r="W35">
            <v>169</v>
          </cell>
        </row>
        <row r="36">
          <cell r="A36">
            <v>6</v>
          </cell>
          <cell r="R36">
            <v>235</v>
          </cell>
          <cell r="W36">
            <v>235</v>
          </cell>
        </row>
        <row r="37">
          <cell r="A37">
            <v>7</v>
          </cell>
          <cell r="R37">
            <v>369</v>
          </cell>
          <cell r="W37">
            <v>369</v>
          </cell>
        </row>
        <row r="38">
          <cell r="A38">
            <v>7</v>
          </cell>
          <cell r="R38">
            <v>86</v>
          </cell>
          <cell r="W38">
            <v>86</v>
          </cell>
        </row>
        <row r="39">
          <cell r="A39">
            <v>6</v>
          </cell>
          <cell r="R39">
            <v>365</v>
          </cell>
          <cell r="W39">
            <v>365</v>
          </cell>
        </row>
        <row r="40">
          <cell r="A40">
            <v>6</v>
          </cell>
          <cell r="R40">
            <v>8414</v>
          </cell>
          <cell r="W40">
            <v>8414</v>
          </cell>
        </row>
        <row r="41">
          <cell r="A41">
            <v>7</v>
          </cell>
          <cell r="R41">
            <v>192</v>
          </cell>
          <cell r="W41">
            <v>192</v>
          </cell>
        </row>
        <row r="42">
          <cell r="A42">
            <v>7</v>
          </cell>
          <cell r="R42">
            <v>205</v>
          </cell>
          <cell r="W42">
            <v>205</v>
          </cell>
        </row>
        <row r="43">
          <cell r="A43">
            <v>6</v>
          </cell>
          <cell r="R43">
            <v>17</v>
          </cell>
          <cell r="W43">
            <v>17</v>
          </cell>
        </row>
        <row r="44">
          <cell r="A44">
            <v>7</v>
          </cell>
          <cell r="R44">
            <v>445</v>
          </cell>
          <cell r="W44">
            <v>445</v>
          </cell>
        </row>
        <row r="45">
          <cell r="A45">
            <v>4</v>
          </cell>
          <cell r="R45">
            <v>4080</v>
          </cell>
          <cell r="W45">
            <v>4080</v>
          </cell>
        </row>
        <row r="46">
          <cell r="A46">
            <v>7</v>
          </cell>
          <cell r="R46">
            <v>148</v>
          </cell>
          <cell r="W46">
            <v>148</v>
          </cell>
        </row>
        <row r="47">
          <cell r="A47">
            <v>7</v>
          </cell>
          <cell r="R47">
            <v>440</v>
          </cell>
          <cell r="W47">
            <v>440</v>
          </cell>
        </row>
        <row r="48">
          <cell r="A48">
            <v>5</v>
          </cell>
          <cell r="R48">
            <v>6194</v>
          </cell>
          <cell r="W48">
            <v>6194</v>
          </cell>
        </row>
        <row r="49">
          <cell r="A49">
            <v>5</v>
          </cell>
          <cell r="R49">
            <v>8976</v>
          </cell>
          <cell r="W49">
            <v>8976</v>
          </cell>
        </row>
        <row r="50">
          <cell r="A50">
            <v>5</v>
          </cell>
          <cell r="R50">
            <v>8976</v>
          </cell>
          <cell r="W50">
            <v>8976</v>
          </cell>
        </row>
        <row r="51">
          <cell r="A51">
            <v>9</v>
          </cell>
          <cell r="R51">
            <v>507</v>
          </cell>
          <cell r="W51">
            <v>507</v>
          </cell>
        </row>
        <row r="52">
          <cell r="A52">
            <v>11</v>
          </cell>
          <cell r="R52">
            <v>102</v>
          </cell>
          <cell r="W52">
            <v>102</v>
          </cell>
        </row>
        <row r="53">
          <cell r="A53">
            <v>11</v>
          </cell>
          <cell r="R53">
            <v>34</v>
          </cell>
          <cell r="W53">
            <v>34</v>
          </cell>
        </row>
        <row r="54">
          <cell r="A54">
            <v>11</v>
          </cell>
          <cell r="R54">
            <v>198</v>
          </cell>
          <cell r="W54">
            <v>198</v>
          </cell>
        </row>
        <row r="55">
          <cell r="A55">
            <v>11</v>
          </cell>
          <cell r="R55">
            <v>354</v>
          </cell>
          <cell r="W55">
            <v>354</v>
          </cell>
        </row>
        <row r="56">
          <cell r="A56">
            <v>11</v>
          </cell>
          <cell r="R56">
            <v>649</v>
          </cell>
          <cell r="W56">
            <v>649</v>
          </cell>
        </row>
        <row r="57">
          <cell r="A57">
            <v>11</v>
          </cell>
          <cell r="R57">
            <v>1045</v>
          </cell>
          <cell r="W57">
            <v>1045</v>
          </cell>
        </row>
        <row r="58">
          <cell r="A58">
            <v>9</v>
          </cell>
          <cell r="R58">
            <v>2191</v>
          </cell>
          <cell r="W58">
            <v>2191</v>
          </cell>
        </row>
        <row r="59">
          <cell r="A59">
            <v>8</v>
          </cell>
          <cell r="R59">
            <v>8976</v>
          </cell>
          <cell r="W59">
            <v>8976</v>
          </cell>
        </row>
        <row r="60">
          <cell r="A60">
            <v>11</v>
          </cell>
          <cell r="R60">
            <v>386</v>
          </cell>
          <cell r="W60">
            <v>386</v>
          </cell>
        </row>
        <row r="61">
          <cell r="A61">
            <v>11</v>
          </cell>
          <cell r="R61">
            <v>177</v>
          </cell>
          <cell r="W61">
            <v>177</v>
          </cell>
        </row>
        <row r="62">
          <cell r="A62">
            <v>11</v>
          </cell>
          <cell r="R62">
            <v>222</v>
          </cell>
          <cell r="W62">
            <v>222</v>
          </cell>
        </row>
        <row r="63">
          <cell r="A63">
            <v>11</v>
          </cell>
          <cell r="R63">
            <v>612</v>
          </cell>
          <cell r="W63">
            <v>612</v>
          </cell>
        </row>
        <row r="64">
          <cell r="A64">
            <v>11</v>
          </cell>
          <cell r="R64">
            <v>37</v>
          </cell>
          <cell r="W64">
            <v>37</v>
          </cell>
        </row>
        <row r="65">
          <cell r="A65">
            <v>9</v>
          </cell>
          <cell r="R65">
            <v>180</v>
          </cell>
          <cell r="W65">
            <v>180</v>
          </cell>
        </row>
        <row r="66">
          <cell r="A66">
            <v>11</v>
          </cell>
          <cell r="R66">
            <v>368</v>
          </cell>
          <cell r="W66">
            <v>368</v>
          </cell>
        </row>
        <row r="67">
          <cell r="A67">
            <v>9</v>
          </cell>
          <cell r="R67">
            <v>607</v>
          </cell>
          <cell r="W67">
            <v>607</v>
          </cell>
        </row>
        <row r="68">
          <cell r="A68">
            <v>9</v>
          </cell>
          <cell r="R68">
            <v>1904</v>
          </cell>
          <cell r="W68">
            <v>1904</v>
          </cell>
        </row>
        <row r="69">
          <cell r="A69">
            <v>11</v>
          </cell>
          <cell r="R69">
            <v>770</v>
          </cell>
          <cell r="W69">
            <v>770</v>
          </cell>
        </row>
        <row r="70">
          <cell r="A70">
            <v>11</v>
          </cell>
          <cell r="R70">
            <v>63</v>
          </cell>
          <cell r="W70">
            <v>63</v>
          </cell>
        </row>
        <row r="71">
          <cell r="A71">
            <v>11</v>
          </cell>
          <cell r="R71">
            <v>63</v>
          </cell>
          <cell r="W71">
            <v>63</v>
          </cell>
        </row>
        <row r="72">
          <cell r="A72">
            <v>11</v>
          </cell>
          <cell r="R72">
            <v>108</v>
          </cell>
          <cell r="W72">
            <v>108</v>
          </cell>
        </row>
        <row r="73">
          <cell r="A73">
            <v>11</v>
          </cell>
          <cell r="R73">
            <v>147</v>
          </cell>
          <cell r="W73">
            <v>147</v>
          </cell>
        </row>
        <row r="74">
          <cell r="A74">
            <v>9</v>
          </cell>
          <cell r="R74">
            <v>987</v>
          </cell>
          <cell r="W74">
            <v>987</v>
          </cell>
        </row>
        <row r="75">
          <cell r="A75">
            <v>11</v>
          </cell>
          <cell r="R75">
            <v>429</v>
          </cell>
          <cell r="W75">
            <v>429</v>
          </cell>
        </row>
        <row r="76">
          <cell r="A76">
            <v>11</v>
          </cell>
          <cell r="R76">
            <v>485</v>
          </cell>
          <cell r="W76">
            <v>485</v>
          </cell>
        </row>
        <row r="77">
          <cell r="A77">
            <v>11</v>
          </cell>
          <cell r="R77">
            <v>11</v>
          </cell>
          <cell r="W77">
            <v>11</v>
          </cell>
        </row>
        <row r="78">
          <cell r="A78">
            <v>11</v>
          </cell>
          <cell r="R78">
            <v>29</v>
          </cell>
          <cell r="W78">
            <v>29</v>
          </cell>
        </row>
        <row r="79">
          <cell r="A79">
            <v>11</v>
          </cell>
          <cell r="R79">
            <v>61</v>
          </cell>
          <cell r="W79">
            <v>61</v>
          </cell>
        </row>
        <row r="80">
          <cell r="A80">
            <v>11</v>
          </cell>
          <cell r="R80">
            <v>123</v>
          </cell>
          <cell r="W80">
            <v>123</v>
          </cell>
        </row>
        <row r="81">
          <cell r="A81">
            <v>11</v>
          </cell>
          <cell r="R81">
            <v>164</v>
          </cell>
          <cell r="W81">
            <v>164</v>
          </cell>
        </row>
        <row r="82">
          <cell r="A82">
            <v>11</v>
          </cell>
          <cell r="R82">
            <v>169</v>
          </cell>
          <cell r="W82">
            <v>169</v>
          </cell>
        </row>
        <row r="83">
          <cell r="A83">
            <v>11</v>
          </cell>
          <cell r="R83">
            <v>55</v>
          </cell>
          <cell r="W83">
            <v>55</v>
          </cell>
        </row>
        <row r="84">
          <cell r="A84">
            <v>11</v>
          </cell>
          <cell r="R84">
            <v>181</v>
          </cell>
          <cell r="W84">
            <v>181</v>
          </cell>
        </row>
        <row r="85">
          <cell r="A85">
            <v>11</v>
          </cell>
          <cell r="R85">
            <v>100</v>
          </cell>
          <cell r="W85">
            <v>100</v>
          </cell>
        </row>
        <row r="86">
          <cell r="A86">
            <v>11</v>
          </cell>
          <cell r="R86">
            <v>165</v>
          </cell>
          <cell r="W86">
            <v>165</v>
          </cell>
        </row>
        <row r="87">
          <cell r="A87">
            <v>11</v>
          </cell>
          <cell r="R87">
            <v>119</v>
          </cell>
          <cell r="W87">
            <v>119</v>
          </cell>
        </row>
        <row r="88">
          <cell r="A88">
            <v>12</v>
          </cell>
          <cell r="R88">
            <v>256</v>
          </cell>
          <cell r="W88">
            <v>256</v>
          </cell>
        </row>
        <row r="89">
          <cell r="A89">
            <v>12</v>
          </cell>
          <cell r="R89">
            <v>365</v>
          </cell>
          <cell r="W89">
            <v>365</v>
          </cell>
        </row>
        <row r="90">
          <cell r="A90">
            <v>11</v>
          </cell>
          <cell r="R90">
            <v>166</v>
          </cell>
          <cell r="W90">
            <v>166</v>
          </cell>
        </row>
        <row r="91">
          <cell r="A91">
            <v>12</v>
          </cell>
          <cell r="R91">
            <v>242</v>
          </cell>
          <cell r="W91">
            <v>242</v>
          </cell>
        </row>
        <row r="92">
          <cell r="A92">
            <v>10</v>
          </cell>
          <cell r="R92">
            <v>85</v>
          </cell>
          <cell r="W92">
            <v>85</v>
          </cell>
        </row>
        <row r="93">
          <cell r="A93">
            <v>11</v>
          </cell>
          <cell r="R93">
            <v>474</v>
          </cell>
          <cell r="W93">
            <v>474</v>
          </cell>
        </row>
        <row r="94">
          <cell r="A94">
            <v>12</v>
          </cell>
          <cell r="R94">
            <v>37</v>
          </cell>
          <cell r="W94">
            <v>37</v>
          </cell>
        </row>
        <row r="95">
          <cell r="A95">
            <v>12</v>
          </cell>
          <cell r="R95">
            <v>1507</v>
          </cell>
          <cell r="W95">
            <v>1507</v>
          </cell>
        </row>
        <row r="96">
          <cell r="A96">
            <v>13</v>
          </cell>
          <cell r="R96">
            <v>157</v>
          </cell>
          <cell r="W96">
            <v>157</v>
          </cell>
        </row>
        <row r="97">
          <cell r="A97">
            <v>11</v>
          </cell>
          <cell r="R97">
            <v>61</v>
          </cell>
          <cell r="W97">
            <v>61</v>
          </cell>
        </row>
        <row r="98">
          <cell r="A98">
            <v>12</v>
          </cell>
          <cell r="R98">
            <v>83</v>
          </cell>
          <cell r="W98">
            <v>83</v>
          </cell>
        </row>
        <row r="105">
          <cell r="A105" t="str">
            <v>Total</v>
          </cell>
          <cell r="R105">
            <v>79628</v>
          </cell>
          <cell r="W105">
            <v>79628</v>
          </cell>
        </row>
      </sheetData>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4 - 05"/>
      <sheetName val="Company_information1"/>
      <sheetName val="Bank_summary1"/>
      <sheetName val="VAT_return1"/>
      <sheetName val="IR35_Calc_Instructions1"/>
      <sheetName val="IR35_Calculator_2004_-_051"/>
      <sheetName val="Company_information"/>
      <sheetName val="Bank_summary"/>
      <sheetName val="VAT_return"/>
      <sheetName val="IR35_Calc_Instructions"/>
      <sheetName val="IR35_Calculator_2004_-_05"/>
      <sheetName val="Company_information2"/>
      <sheetName val="Bank_summary2"/>
      <sheetName val="VAT_return2"/>
      <sheetName val="IR35_Calc_Instructions2"/>
      <sheetName val="IR35_Calculator_2004_-_0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5">
          <cell r="A65" t="str">
            <v>Yes</v>
          </cell>
        </row>
        <row r="66">
          <cell r="A66" t="str">
            <v>No</v>
          </cell>
        </row>
      </sheetData>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3CD-Ratios-Anx_1"/>
      <sheetName val="3CD-Ratios-Anx_"/>
      <sheetName val="3CD-Ratios-Anx_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1">
          <cell r="C11" t="str">
            <v>AABCP7418F</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 sheetId="35"/>
      <sheetData sheetId="36"/>
      <sheetData sheetId="3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3CD-Ratios-Anx_1"/>
      <sheetName val="3CD-Ratios-Anx_"/>
      <sheetName val="3CD-Ratios-Anx_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3">
          <cell r="C13" t="str">
            <v>Kamlesh L. Doshi &amp; Co.</v>
          </cell>
        </row>
        <row r="19">
          <cell r="C19" t="str">
            <v>B. M. S. &amp; Co.</v>
          </cell>
        </row>
        <row r="21">
          <cell r="C21" t="str">
            <v xml:space="preserve">B. Com.,  F.C.A. </v>
          </cell>
        </row>
        <row r="22">
          <cell r="C22" t="str">
            <v>Proprietor</v>
          </cell>
        </row>
        <row r="27">
          <cell r="C27" t="str">
            <v>31st March, 2005</v>
          </cell>
        </row>
        <row r="35">
          <cell r="C35" t="str">
            <v>August 5, 2005</v>
          </cell>
        </row>
      </sheetData>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
      <sheetName val="#REF"/>
      <sheetName val="Breadown"/>
      <sheetName val="diffbetphy&amp;stock"/>
    </sheetNames>
    <sheetDataSet>
      <sheetData sheetId="0" refreshError="1">
        <row r="378">
          <cell r="A378">
            <v>11000</v>
          </cell>
          <cell r="B378" t="str">
            <v>Plant and machinery</v>
          </cell>
          <cell r="C378">
            <v>7254019.2400000002</v>
          </cell>
        </row>
        <row r="379">
          <cell r="A379">
            <v>11010</v>
          </cell>
          <cell r="B379" t="str">
            <v>Accumulated depreciation-plant and mach</v>
          </cell>
          <cell r="C379">
            <v>-2453324.69</v>
          </cell>
        </row>
        <row r="380">
          <cell r="A380">
            <v>13000</v>
          </cell>
          <cell r="B380" t="str">
            <v>Vehicles</v>
          </cell>
          <cell r="C380">
            <v>3699686.99</v>
          </cell>
        </row>
        <row r="381">
          <cell r="A381">
            <v>13010</v>
          </cell>
          <cell r="B381" t="str">
            <v>Accumulated depreciation-Vehicles</v>
          </cell>
          <cell r="C381">
            <v>-502409.22</v>
          </cell>
        </row>
        <row r="382">
          <cell r="A382">
            <v>13020</v>
          </cell>
          <cell r="B382" t="str">
            <v>Accumulated depreciation-Vehicles</v>
          </cell>
          <cell r="C382">
            <v>0</v>
          </cell>
        </row>
        <row r="383">
          <cell r="A383">
            <v>21000</v>
          </cell>
          <cell r="B383" t="str">
            <v>Office equipment</v>
          </cell>
          <cell r="C383">
            <v>3936390.06</v>
          </cell>
        </row>
        <row r="384">
          <cell r="A384">
            <v>21010</v>
          </cell>
          <cell r="B384" t="str">
            <v>Accumulated depreciation-office equipme</v>
          </cell>
          <cell r="C384">
            <v>-1553603.18</v>
          </cell>
        </row>
        <row r="385">
          <cell r="A385">
            <v>21020</v>
          </cell>
          <cell r="B385" t="str">
            <v>Accumulated depreciation-office equipme</v>
          </cell>
          <cell r="C385">
            <v>0</v>
          </cell>
        </row>
        <row r="386">
          <cell r="A386">
            <v>23000</v>
          </cell>
          <cell r="B386" t="str">
            <v>Furniture &amp; fixtures.</v>
          </cell>
          <cell r="C386">
            <v>8528329.9700000007</v>
          </cell>
        </row>
        <row r="387">
          <cell r="A387">
            <v>23010</v>
          </cell>
          <cell r="B387" t="str">
            <v>Accumulated Depreciation - Furniutre &amp;</v>
          </cell>
          <cell r="C387">
            <v>-3178495.91</v>
          </cell>
        </row>
        <row r="388">
          <cell r="A388">
            <v>24000</v>
          </cell>
          <cell r="B388" t="str">
            <v>Computers</v>
          </cell>
          <cell r="C388">
            <v>8284977.1600000001</v>
          </cell>
        </row>
        <row r="389">
          <cell r="A389">
            <v>24010</v>
          </cell>
          <cell r="B389" t="str">
            <v>Accumulated Depreciation - Computers</v>
          </cell>
          <cell r="C389">
            <v>-7552206.6100000003</v>
          </cell>
        </row>
        <row r="390">
          <cell r="A390">
            <v>24020</v>
          </cell>
          <cell r="B390" t="str">
            <v>Accumulated Depreciation - Computers</v>
          </cell>
          <cell r="C390">
            <v>0</v>
          </cell>
        </row>
        <row r="391">
          <cell r="A391">
            <v>34000</v>
          </cell>
          <cell r="B391" t="str">
            <v>Computer software</v>
          </cell>
          <cell r="C391">
            <v>7440500</v>
          </cell>
        </row>
        <row r="392">
          <cell r="A392">
            <v>34010</v>
          </cell>
          <cell r="B392" t="str">
            <v>Accumulated depreciation-computer softw</v>
          </cell>
          <cell r="C392">
            <v>-6536972.2800000003</v>
          </cell>
        </row>
        <row r="393">
          <cell r="A393">
            <v>38000</v>
          </cell>
          <cell r="B393" t="str">
            <v>Goodwill</v>
          </cell>
          <cell r="C393">
            <v>76923000</v>
          </cell>
        </row>
        <row r="394">
          <cell r="A394">
            <v>38010</v>
          </cell>
          <cell r="B394" t="str">
            <v>Accumulated Goodwill write-off</v>
          </cell>
          <cell r="C394">
            <v>-35230031.509999998</v>
          </cell>
        </row>
        <row r="395">
          <cell r="A395">
            <v>38100</v>
          </cell>
          <cell r="B395" t="str">
            <v>Business value</v>
          </cell>
          <cell r="C395">
            <v>136431000</v>
          </cell>
        </row>
        <row r="396">
          <cell r="A396">
            <v>38110</v>
          </cell>
          <cell r="B396" t="str">
            <v>Accumulated Business Value write off</v>
          </cell>
          <cell r="C396">
            <v>-62484152.049999997</v>
          </cell>
        </row>
        <row r="397">
          <cell r="A397">
            <v>38500</v>
          </cell>
          <cell r="B397" t="str">
            <v>Non-Competing fees</v>
          </cell>
          <cell r="C397">
            <v>93753000</v>
          </cell>
        </row>
        <row r="398">
          <cell r="A398">
            <v>38510</v>
          </cell>
          <cell r="B398" t="str">
            <v>Accumulated Non-Compete Fees Write off</v>
          </cell>
          <cell r="C398">
            <v>-93753000</v>
          </cell>
        </row>
        <row r="399">
          <cell r="A399">
            <v>39000</v>
          </cell>
          <cell r="B399" t="str">
            <v>Commercial rights (Marketing and Dist.R</v>
          </cell>
          <cell r="C399">
            <v>18643000</v>
          </cell>
        </row>
        <row r="400">
          <cell r="A400">
            <v>39010</v>
          </cell>
          <cell r="B400" t="str">
            <v>Acc.Comm.rights</v>
          </cell>
          <cell r="C400">
            <v>-6163487.6100000003</v>
          </cell>
        </row>
        <row r="401">
          <cell r="A401">
            <v>39020</v>
          </cell>
          <cell r="B401" t="str">
            <v>Acc.Comm.rights</v>
          </cell>
          <cell r="C401">
            <v>0</v>
          </cell>
        </row>
        <row r="402">
          <cell r="A402">
            <v>60500</v>
          </cell>
          <cell r="B402" t="str">
            <v>Unsecured Loan- DyStar Textilfarben Gmb</v>
          </cell>
          <cell r="C402">
            <v>-116497469.53</v>
          </cell>
        </row>
        <row r="403">
          <cell r="A403">
            <v>60520</v>
          </cell>
          <cell r="B403" t="str">
            <v>Liability for exchange Diff FC loan - D</v>
          </cell>
          <cell r="C403">
            <v>-30646481.239999998</v>
          </cell>
        </row>
        <row r="404">
          <cell r="A404">
            <v>63200</v>
          </cell>
          <cell r="B404" t="str">
            <v>Packing Credit Hongkong Bank.</v>
          </cell>
          <cell r="C404">
            <v>0</v>
          </cell>
        </row>
        <row r="405">
          <cell r="A405">
            <v>63300</v>
          </cell>
          <cell r="B405" t="str">
            <v>Working Capital Loan-Hongkong Bank</v>
          </cell>
          <cell r="C405">
            <v>-35000000</v>
          </cell>
        </row>
        <row r="406">
          <cell r="A406">
            <v>63400</v>
          </cell>
          <cell r="B406" t="str">
            <v>Long Term Working Capital Loan Hongkong</v>
          </cell>
          <cell r="C406">
            <v>0</v>
          </cell>
        </row>
        <row r="407">
          <cell r="A407">
            <v>70000</v>
          </cell>
          <cell r="B407" t="str">
            <v>Equity Share Capital</v>
          </cell>
          <cell r="C407">
            <v>-222815300</v>
          </cell>
        </row>
        <row r="408">
          <cell r="A408">
            <v>75000</v>
          </cell>
          <cell r="B408" t="str">
            <v>Accumulated Profit &amp; Loss</v>
          </cell>
          <cell r="C408">
            <v>34020108.950000003</v>
          </cell>
        </row>
        <row r="409">
          <cell r="A409">
            <v>100000</v>
          </cell>
          <cell r="B409" t="str">
            <v>Petty cash maintained at Corporate Offi</v>
          </cell>
          <cell r="C409">
            <v>7184</v>
          </cell>
        </row>
        <row r="410">
          <cell r="A410">
            <v>113100</v>
          </cell>
          <cell r="B410" t="str">
            <v>Deutsche Bank Current Account</v>
          </cell>
          <cell r="C410">
            <v>272005.21000000002</v>
          </cell>
        </row>
        <row r="411">
          <cell r="A411">
            <v>113101</v>
          </cell>
          <cell r="B411" t="str">
            <v>Deutsche Bank Current Account (payment</v>
          </cell>
          <cell r="C411">
            <v>100</v>
          </cell>
        </row>
        <row r="412">
          <cell r="A412">
            <v>113108</v>
          </cell>
          <cell r="B412" t="str">
            <v>Deutsche Bank Current Account (receipts</v>
          </cell>
          <cell r="C412">
            <v>-2796</v>
          </cell>
        </row>
        <row r="413">
          <cell r="A413">
            <v>113300</v>
          </cell>
          <cell r="B413" t="str">
            <v>Hongkong Bank Current Account.</v>
          </cell>
          <cell r="C413">
            <v>22362574.539999999</v>
          </cell>
        </row>
        <row r="414">
          <cell r="A414">
            <v>113301</v>
          </cell>
          <cell r="B414" t="str">
            <v>Hongkong Bank Current Account (payment</v>
          </cell>
          <cell r="C414">
            <v>-21920782.390000001</v>
          </cell>
        </row>
        <row r="415">
          <cell r="A415">
            <v>113307</v>
          </cell>
          <cell r="B415" t="str">
            <v>Hongkong Bank Current Account (discount</v>
          </cell>
          <cell r="C415">
            <v>0</v>
          </cell>
        </row>
        <row r="416">
          <cell r="A416">
            <v>113308</v>
          </cell>
          <cell r="B416" t="str">
            <v>Hongkong Bank Current Account (receipts</v>
          </cell>
          <cell r="C416">
            <v>0</v>
          </cell>
        </row>
        <row r="417">
          <cell r="A417">
            <v>113400</v>
          </cell>
          <cell r="B417" t="str">
            <v>Syndicate Bank Current Account</v>
          </cell>
          <cell r="C417">
            <v>1455092.44</v>
          </cell>
        </row>
        <row r="418">
          <cell r="A418">
            <v>113401</v>
          </cell>
          <cell r="B418" t="str">
            <v>Syndicate Bank Current Account(payment</v>
          </cell>
          <cell r="C418">
            <v>-1320231</v>
          </cell>
        </row>
        <row r="419">
          <cell r="A419">
            <v>113500</v>
          </cell>
          <cell r="B419" t="str">
            <v>Citi Bank Current Account</v>
          </cell>
          <cell r="C419">
            <v>1581079.84</v>
          </cell>
        </row>
        <row r="420">
          <cell r="A420">
            <v>113501</v>
          </cell>
          <cell r="B420" t="str">
            <v>Citi Bank Current Account (payment clea</v>
          </cell>
          <cell r="C420">
            <v>-1580000</v>
          </cell>
        </row>
        <row r="421">
          <cell r="A421">
            <v>113508</v>
          </cell>
          <cell r="B421" t="str">
            <v>Citi Bank Current Account (receipts cle</v>
          </cell>
          <cell r="C421">
            <v>-1079.8399999999999</v>
          </cell>
        </row>
        <row r="422">
          <cell r="A422">
            <v>113600</v>
          </cell>
          <cell r="B422" t="str">
            <v>ICICI Bank</v>
          </cell>
          <cell r="C422">
            <v>311268.15000000002</v>
          </cell>
        </row>
        <row r="423">
          <cell r="A423">
            <v>113601</v>
          </cell>
          <cell r="B423" t="str">
            <v>ICICI Current Account (payment clearing</v>
          </cell>
          <cell r="C423">
            <v>-904856</v>
          </cell>
        </row>
        <row r="424">
          <cell r="A424">
            <v>113608</v>
          </cell>
          <cell r="B424" t="str">
            <v>ICICI Current Account (receipts clearin</v>
          </cell>
          <cell r="C424">
            <v>91000</v>
          </cell>
        </row>
        <row r="425">
          <cell r="A425">
            <v>113700</v>
          </cell>
          <cell r="B425" t="str">
            <v>ICICI - COIMBATORE</v>
          </cell>
          <cell r="C425">
            <v>88863.83</v>
          </cell>
        </row>
        <row r="426">
          <cell r="A426">
            <v>113701</v>
          </cell>
          <cell r="B426" t="str">
            <v>ICICI - COIMB. (payment clearing)</v>
          </cell>
          <cell r="C426">
            <v>-12284</v>
          </cell>
        </row>
        <row r="427">
          <cell r="A427">
            <v>113708</v>
          </cell>
          <cell r="B427" t="str">
            <v>ICICI - COIMB. (receipts clearing)</v>
          </cell>
          <cell r="C427">
            <v>0</v>
          </cell>
        </row>
        <row r="428">
          <cell r="A428">
            <v>113801</v>
          </cell>
          <cell r="B428" t="str">
            <v>COMMERZBANK  AG  (PAYMENT CLEARING)</v>
          </cell>
          <cell r="C428">
            <v>-30000000</v>
          </cell>
        </row>
        <row r="429">
          <cell r="A429">
            <v>113808</v>
          </cell>
          <cell r="B429" t="str">
            <v>COMMERZBANK AG (RECEIPTS CLEARING)</v>
          </cell>
          <cell r="C429">
            <v>30000000</v>
          </cell>
        </row>
        <row r="430">
          <cell r="A430">
            <v>113830</v>
          </cell>
          <cell r="B430" t="str">
            <v>Fixed Deposits with Syndicate Bank</v>
          </cell>
          <cell r="C430">
            <v>139943</v>
          </cell>
        </row>
        <row r="431">
          <cell r="A431">
            <v>113850</v>
          </cell>
          <cell r="B431" t="str">
            <v>Fixed Deposits with ICICI Bank</v>
          </cell>
          <cell r="C431">
            <v>583087</v>
          </cell>
        </row>
        <row r="432">
          <cell r="A432">
            <v>113900</v>
          </cell>
          <cell r="B432" t="str">
            <v>State Bank of India - Manjakuppam</v>
          </cell>
          <cell r="C432">
            <v>5000</v>
          </cell>
        </row>
        <row r="433">
          <cell r="A433">
            <v>113910</v>
          </cell>
          <cell r="B433" t="str">
            <v>Deutsche Bank Current Account (Delhi)</v>
          </cell>
          <cell r="C433">
            <v>6683.18</v>
          </cell>
        </row>
        <row r="434">
          <cell r="A434">
            <v>113920</v>
          </cell>
          <cell r="B434" t="str">
            <v>State Bank Of India (Jnpt)</v>
          </cell>
          <cell r="C434">
            <v>19225</v>
          </cell>
        </row>
        <row r="435">
          <cell r="A435">
            <v>113930</v>
          </cell>
          <cell r="B435" t="str">
            <v>State Bank Of India - (Sahar)</v>
          </cell>
          <cell r="C435">
            <v>22062.95</v>
          </cell>
        </row>
        <row r="436">
          <cell r="A436">
            <v>113950</v>
          </cell>
          <cell r="B436" t="str">
            <v>Bank Of India Current Account</v>
          </cell>
          <cell r="C436">
            <v>5000</v>
          </cell>
        </row>
        <row r="437">
          <cell r="A437">
            <v>113960</v>
          </cell>
          <cell r="B437" t="str">
            <v>Deutsche Bank Salary Payable Account</v>
          </cell>
          <cell r="C437">
            <v>5279.92</v>
          </cell>
        </row>
        <row r="438">
          <cell r="A438">
            <v>113978</v>
          </cell>
          <cell r="B438" t="str">
            <v>ICICI Bank C/A COIMBATORE (receipts cle</v>
          </cell>
          <cell r="C438">
            <v>0.2</v>
          </cell>
        </row>
        <row r="439">
          <cell r="A439">
            <v>114000</v>
          </cell>
          <cell r="B439" t="str">
            <v>HDFC Bank</v>
          </cell>
          <cell r="C439">
            <v>19281</v>
          </cell>
        </row>
        <row r="440">
          <cell r="A440">
            <v>114200</v>
          </cell>
          <cell r="B440" t="str">
            <v>HSBC Collection Account.</v>
          </cell>
          <cell r="C440">
            <v>659548.87</v>
          </cell>
        </row>
        <row r="441">
          <cell r="A441">
            <v>114208</v>
          </cell>
          <cell r="B441" t="str">
            <v>HSBC Collection Account(receipts cleari</v>
          </cell>
          <cell r="C441">
            <v>-579676.72</v>
          </cell>
        </row>
        <row r="442">
          <cell r="A442">
            <v>120000</v>
          </cell>
          <cell r="B442" t="str">
            <v>Loans to Employees.</v>
          </cell>
          <cell r="C442">
            <v>1780100</v>
          </cell>
        </row>
        <row r="443">
          <cell r="A443">
            <v>125000</v>
          </cell>
          <cell r="B443" t="str">
            <v>Bills Receivable Foreign (Dystar Group)</v>
          </cell>
          <cell r="C443">
            <v>0</v>
          </cell>
        </row>
        <row r="444">
          <cell r="A444">
            <v>128000</v>
          </cell>
          <cell r="B444" t="str">
            <v>Security deposit given to (vendors)</v>
          </cell>
          <cell r="C444">
            <v>15487143</v>
          </cell>
        </row>
        <row r="445">
          <cell r="A445">
            <v>140000</v>
          </cell>
          <cell r="B445" t="str">
            <v>Sundry Debtors Local (Stockists)</v>
          </cell>
          <cell r="C445">
            <v>101253969.95</v>
          </cell>
        </row>
        <row r="446">
          <cell r="A446">
            <v>140099</v>
          </cell>
          <cell r="B446" t="str">
            <v>Accounts receivable-domestic, adjustmen</v>
          </cell>
          <cell r="C446">
            <v>0</v>
          </cell>
        </row>
        <row r="447">
          <cell r="A447">
            <v>140100</v>
          </cell>
          <cell r="B447" t="str">
            <v>Sundry Debtors Local (Customers)</v>
          </cell>
          <cell r="C447">
            <v>55027613.899999999</v>
          </cell>
        </row>
        <row r="448">
          <cell r="A448">
            <v>141000</v>
          </cell>
          <cell r="B448" t="str">
            <v>Debtors-foreign-Others</v>
          </cell>
          <cell r="C448">
            <v>6512344.9400000004</v>
          </cell>
        </row>
        <row r="449">
          <cell r="A449">
            <v>141099</v>
          </cell>
          <cell r="B449" t="str">
            <v>Accounts receivable-foreign, adjustment</v>
          </cell>
          <cell r="C449">
            <v>67072.929999999993</v>
          </cell>
        </row>
        <row r="450">
          <cell r="A450">
            <v>142000</v>
          </cell>
          <cell r="B450" t="str">
            <v>Allowance for doubtful accounts</v>
          </cell>
          <cell r="C450">
            <v>-3080000</v>
          </cell>
        </row>
        <row r="451">
          <cell r="A451">
            <v>143000</v>
          </cell>
          <cell r="B451" t="str">
            <v>Accounts payable-debit balances</v>
          </cell>
          <cell r="C451">
            <v>0</v>
          </cell>
        </row>
        <row r="452">
          <cell r="A452">
            <v>144000</v>
          </cell>
          <cell r="B452" t="str">
            <v>Sundry Debtors Foreign (Dystar Group)</v>
          </cell>
          <cell r="C452">
            <v>19173223.120000001</v>
          </cell>
        </row>
        <row r="453">
          <cell r="A453">
            <v>144099</v>
          </cell>
          <cell r="B453" t="str">
            <v>Accounts receivable-Group companies adj</v>
          </cell>
          <cell r="C453">
            <v>143742.62</v>
          </cell>
        </row>
        <row r="454">
          <cell r="A454">
            <v>151100</v>
          </cell>
          <cell r="B454" t="str">
            <v>Advances to Employees-Imprest</v>
          </cell>
          <cell r="C454">
            <v>177500</v>
          </cell>
        </row>
        <row r="455">
          <cell r="A455">
            <v>154000</v>
          </cell>
          <cell r="B455" t="str">
            <v>Modvat  RG23 Receivable (Thane)</v>
          </cell>
          <cell r="C455">
            <v>107898100.67</v>
          </cell>
        </row>
        <row r="456">
          <cell r="A456">
            <v>154001</v>
          </cell>
          <cell r="B456" t="str">
            <v>PLA-Thane</v>
          </cell>
          <cell r="C456">
            <v>57448.26</v>
          </cell>
        </row>
        <row r="457">
          <cell r="A457">
            <v>154009</v>
          </cell>
          <cell r="B457" t="str">
            <v>MODVAT-Rec-Thane-CCL</v>
          </cell>
          <cell r="C457">
            <v>-111216698.20999999</v>
          </cell>
        </row>
        <row r="458">
          <cell r="A458">
            <v>154010</v>
          </cell>
          <cell r="B458" t="str">
            <v>MODVAT-RG23 Rec-Roha</v>
          </cell>
          <cell r="C458">
            <v>73859972.989999995</v>
          </cell>
        </row>
        <row r="459">
          <cell r="A459">
            <v>154011</v>
          </cell>
          <cell r="B459" t="str">
            <v>PLA-Roha</v>
          </cell>
          <cell r="C459">
            <v>37720.42</v>
          </cell>
        </row>
        <row r="460">
          <cell r="A460">
            <v>154019</v>
          </cell>
          <cell r="B460" t="str">
            <v>MODVAT-Rec-Roha-CCL</v>
          </cell>
          <cell r="C460">
            <v>-87378160.349999994</v>
          </cell>
        </row>
        <row r="461">
          <cell r="A461">
            <v>154040</v>
          </cell>
          <cell r="B461" t="str">
            <v>Sales Tax Set Off on Purchases</v>
          </cell>
          <cell r="C461">
            <v>0</v>
          </cell>
        </row>
        <row r="462">
          <cell r="A462">
            <v>154100</v>
          </cell>
          <cell r="B462" t="str">
            <v>Duty Drawback-export</v>
          </cell>
          <cell r="C462">
            <v>2195643.39</v>
          </cell>
        </row>
        <row r="463">
          <cell r="A463">
            <v>154110</v>
          </cell>
          <cell r="B463" t="str">
            <v>Brandduty receivable</v>
          </cell>
          <cell r="C463">
            <v>4151554.94</v>
          </cell>
        </row>
        <row r="464">
          <cell r="A464">
            <v>154120</v>
          </cell>
          <cell r="B464" t="str">
            <v>DEPB Receivable</v>
          </cell>
          <cell r="C464">
            <v>3962056.93</v>
          </cell>
        </row>
        <row r="465">
          <cell r="A465">
            <v>154520</v>
          </cell>
          <cell r="B465" t="str">
            <v>TDS on Interest received - A. Y. 1999-2</v>
          </cell>
          <cell r="C465">
            <v>-2671</v>
          </cell>
        </row>
        <row r="466">
          <cell r="A466">
            <v>154530</v>
          </cell>
          <cell r="B466" t="str">
            <v>TDS on Interest received - A. Y. 2000-2</v>
          </cell>
          <cell r="C466">
            <v>0</v>
          </cell>
        </row>
        <row r="467">
          <cell r="A467">
            <v>154540</v>
          </cell>
          <cell r="B467" t="str">
            <v>TDS on Interest received - A. Y. 2001-2</v>
          </cell>
          <cell r="C467">
            <v>16613</v>
          </cell>
        </row>
        <row r="468">
          <cell r="A468">
            <v>154550</v>
          </cell>
          <cell r="B468" t="str">
            <v>TDS on Interest received - A. Y. 2002-2</v>
          </cell>
          <cell r="C468">
            <v>49686.36</v>
          </cell>
        </row>
        <row r="469">
          <cell r="A469">
            <v>154600</v>
          </cell>
          <cell r="B469" t="str">
            <v>Taxes Recoverable</v>
          </cell>
          <cell r="C469">
            <v>0.5</v>
          </cell>
        </row>
        <row r="470">
          <cell r="A470">
            <v>154730</v>
          </cell>
          <cell r="B470" t="str">
            <v>Advance Tax Corporate Tax.-A.Y.2000-200</v>
          </cell>
          <cell r="C470">
            <v>0</v>
          </cell>
        </row>
        <row r="471">
          <cell r="A471">
            <v>154740</v>
          </cell>
          <cell r="B471" t="str">
            <v>Advance Tax Corporate Tax.-A.Y.2001-200</v>
          </cell>
          <cell r="C471">
            <v>14000000</v>
          </cell>
        </row>
        <row r="472">
          <cell r="A472">
            <v>154750</v>
          </cell>
          <cell r="B472" t="str">
            <v>Advance Tax Corporate Tax.-A.Y.2002-200</v>
          </cell>
          <cell r="C472">
            <v>20432646</v>
          </cell>
        </row>
        <row r="473">
          <cell r="A473">
            <v>159000</v>
          </cell>
          <cell r="B473" t="str">
            <v>Down payments made on current assets</v>
          </cell>
          <cell r="C473">
            <v>437750</v>
          </cell>
        </row>
        <row r="474">
          <cell r="A474">
            <v>159300</v>
          </cell>
          <cell r="B474" t="str">
            <v>Insurance claim-Rec.</v>
          </cell>
          <cell r="C474">
            <v>0</v>
          </cell>
        </row>
        <row r="475">
          <cell r="A475">
            <v>159320</v>
          </cell>
          <cell r="B475" t="str">
            <v>Prepaid Expenses</v>
          </cell>
          <cell r="C475">
            <v>1799864</v>
          </cell>
        </row>
        <row r="476">
          <cell r="A476">
            <v>160000</v>
          </cell>
          <cell r="B476" t="str">
            <v>Sundry Creditors</v>
          </cell>
          <cell r="C476">
            <v>-29846561.170000002</v>
          </cell>
        </row>
        <row r="477">
          <cell r="A477">
            <v>160099</v>
          </cell>
          <cell r="B477" t="str">
            <v>Accounts payable-domestic, adjustments</v>
          </cell>
          <cell r="C477">
            <v>0</v>
          </cell>
        </row>
        <row r="478">
          <cell r="A478">
            <v>161000</v>
          </cell>
          <cell r="B478" t="str">
            <v>Sundry Creditors -Raw Materials(Foreign</v>
          </cell>
          <cell r="C478">
            <v>0</v>
          </cell>
        </row>
        <row r="479">
          <cell r="A479">
            <v>161099</v>
          </cell>
          <cell r="B479" t="str">
            <v>Accounts payable-foreign, adjustments</v>
          </cell>
          <cell r="C479">
            <v>0</v>
          </cell>
        </row>
        <row r="480">
          <cell r="A480">
            <v>163000</v>
          </cell>
          <cell r="B480" t="str">
            <v>Accounts receivable-credit balances</v>
          </cell>
          <cell r="C480">
            <v>0</v>
          </cell>
        </row>
        <row r="481">
          <cell r="A481">
            <v>164000</v>
          </cell>
          <cell r="B481" t="str">
            <v>Sundry Creditors - Import Of Finished G</v>
          </cell>
          <cell r="C481">
            <v>-50582427.049999997</v>
          </cell>
        </row>
        <row r="482">
          <cell r="A482">
            <v>164099</v>
          </cell>
          <cell r="B482" t="str">
            <v>Accounts payable-affiliated companies a</v>
          </cell>
          <cell r="C482">
            <v>-32774.65</v>
          </cell>
        </row>
        <row r="483">
          <cell r="A483">
            <v>170800</v>
          </cell>
          <cell r="B483" t="str">
            <v>Prov. personnel commitments- interest f</v>
          </cell>
          <cell r="C483">
            <v>-3703575</v>
          </cell>
        </row>
        <row r="484">
          <cell r="A484">
            <v>173100</v>
          </cell>
          <cell r="B484" t="str">
            <v>Interest Accrued but not Due-Term loans</v>
          </cell>
          <cell r="C484">
            <v>-673150.69</v>
          </cell>
        </row>
        <row r="485">
          <cell r="A485">
            <v>173300</v>
          </cell>
          <cell r="B485" t="str">
            <v>Interest Accrued but not Due-Foreign cu</v>
          </cell>
          <cell r="C485">
            <v>-484243.42</v>
          </cell>
        </row>
        <row r="486">
          <cell r="A486">
            <v>175500</v>
          </cell>
          <cell r="B486" t="str">
            <v>Sales Tax- Maharashtra</v>
          </cell>
          <cell r="C486">
            <v>-135944.9</v>
          </cell>
        </row>
        <row r="487">
          <cell r="A487">
            <v>175501</v>
          </cell>
          <cell r="B487" t="str">
            <v>Surcharge on Sales Tax - Maharashtra</v>
          </cell>
          <cell r="C487">
            <v>-38332.07</v>
          </cell>
        </row>
        <row r="488">
          <cell r="A488">
            <v>175502</v>
          </cell>
          <cell r="B488" t="str">
            <v>Turnover Tax - Maharashtra</v>
          </cell>
          <cell r="C488">
            <v>-99488.63</v>
          </cell>
        </row>
        <row r="489">
          <cell r="A489">
            <v>175505</v>
          </cell>
          <cell r="B489" t="str">
            <v>Sales Tax- BASF</v>
          </cell>
          <cell r="C489">
            <v>-20569.2</v>
          </cell>
        </row>
        <row r="490">
          <cell r="A490">
            <v>175506</v>
          </cell>
          <cell r="B490" t="str">
            <v>Sales Tax- BASF(outside Delhi Sales w.e</v>
          </cell>
          <cell r="C490">
            <v>-15647.84</v>
          </cell>
        </row>
        <row r="491">
          <cell r="A491">
            <v>175510</v>
          </cell>
          <cell r="B491" t="str">
            <v>Sales Tax- Tamil Nadu</v>
          </cell>
          <cell r="C491">
            <v>-906147.74</v>
          </cell>
        </row>
        <row r="492">
          <cell r="A492">
            <v>175530</v>
          </cell>
          <cell r="B492" t="str">
            <v>Sales Tax- Chandigarh</v>
          </cell>
          <cell r="C492">
            <v>-32257.09</v>
          </cell>
        </row>
        <row r="493">
          <cell r="A493">
            <v>175600</v>
          </cell>
          <cell r="B493" t="str">
            <v>Central Sales Tax - Maharashtra</v>
          </cell>
          <cell r="C493">
            <v>25823.65</v>
          </cell>
        </row>
        <row r="494">
          <cell r="A494">
            <v>175610</v>
          </cell>
          <cell r="B494" t="str">
            <v>Central Sales Tax- Tamil Nadu.</v>
          </cell>
          <cell r="C494">
            <v>-113018.18</v>
          </cell>
        </row>
        <row r="495">
          <cell r="A495">
            <v>175620</v>
          </cell>
          <cell r="B495" t="str">
            <v>Central Sales Tax- Delhi.</v>
          </cell>
          <cell r="C495">
            <v>-12770.3</v>
          </cell>
        </row>
        <row r="496">
          <cell r="A496">
            <v>175630</v>
          </cell>
          <cell r="B496" t="str">
            <v>Central Sales Tax-Chandigarh</v>
          </cell>
          <cell r="C496">
            <v>-16854.810000000001</v>
          </cell>
        </row>
        <row r="497">
          <cell r="A497">
            <v>177010</v>
          </cell>
          <cell r="B497" t="str">
            <v>T.D.S-Interest-194A</v>
          </cell>
          <cell r="C497">
            <v>13876.12</v>
          </cell>
        </row>
        <row r="498">
          <cell r="A498">
            <v>177020</v>
          </cell>
          <cell r="B498" t="str">
            <v>T.D.S-Contractors</v>
          </cell>
          <cell r="C498">
            <v>0</v>
          </cell>
        </row>
        <row r="499">
          <cell r="A499">
            <v>177040</v>
          </cell>
          <cell r="B499" t="str">
            <v>T.D.S Professionals</v>
          </cell>
          <cell r="C499">
            <v>-2295</v>
          </cell>
        </row>
        <row r="500">
          <cell r="A500">
            <v>177050</v>
          </cell>
          <cell r="B500" t="str">
            <v>T.D.S on Commission-194H</v>
          </cell>
          <cell r="C500">
            <v>-19753</v>
          </cell>
        </row>
        <row r="501">
          <cell r="A501">
            <v>177510</v>
          </cell>
          <cell r="B501" t="str">
            <v>Provident Fund Payable</v>
          </cell>
          <cell r="C501">
            <v>0</v>
          </cell>
        </row>
        <row r="502">
          <cell r="A502">
            <v>177520</v>
          </cell>
          <cell r="B502" t="str">
            <v>Professional Tax Payable</v>
          </cell>
          <cell r="C502">
            <v>0</v>
          </cell>
        </row>
        <row r="503">
          <cell r="A503">
            <v>178520</v>
          </cell>
          <cell r="B503" t="str">
            <v>Provision for Taxation- A.Y.2000-01</v>
          </cell>
          <cell r="C503">
            <v>-160000</v>
          </cell>
        </row>
        <row r="504">
          <cell r="A504">
            <v>178521</v>
          </cell>
          <cell r="B504" t="str">
            <v>Deferred Tax Liability 2000</v>
          </cell>
          <cell r="C504">
            <v>-972000</v>
          </cell>
        </row>
        <row r="505">
          <cell r="A505">
            <v>178530</v>
          </cell>
          <cell r="B505" t="str">
            <v>Provision for Taxation- A.Y.2001-02</v>
          </cell>
          <cell r="C505">
            <v>-16000000</v>
          </cell>
        </row>
        <row r="506">
          <cell r="A506">
            <v>178540</v>
          </cell>
          <cell r="B506" t="str">
            <v>Provision for Taxation- A.Y.2002-03</v>
          </cell>
          <cell r="C506">
            <v>-27845000</v>
          </cell>
        </row>
        <row r="507">
          <cell r="A507">
            <v>179100</v>
          </cell>
          <cell r="B507" t="str">
            <v>Other outstanding liabilities</v>
          </cell>
          <cell r="C507">
            <v>-5248396.28</v>
          </cell>
        </row>
        <row r="508">
          <cell r="A508">
            <v>191100</v>
          </cell>
          <cell r="B508" t="str">
            <v>GR/IR clearing-external procurement</v>
          </cell>
          <cell r="C508">
            <v>-1207663.68</v>
          </cell>
        </row>
        <row r="509">
          <cell r="A509">
            <v>192100</v>
          </cell>
          <cell r="B509" t="str">
            <v>Freight on Purchases - clearing</v>
          </cell>
          <cell r="C509">
            <v>-373553.19</v>
          </cell>
        </row>
        <row r="510">
          <cell r="A510">
            <v>192200</v>
          </cell>
          <cell r="B510" t="str">
            <v>Modvat Clearing Account - Than</v>
          </cell>
          <cell r="C510">
            <v>-107898100.67</v>
          </cell>
        </row>
        <row r="511">
          <cell r="A511">
            <v>192210</v>
          </cell>
          <cell r="B511" t="str">
            <v>Modvat Clearing Account -Roha</v>
          </cell>
          <cell r="C511">
            <v>-73859972.989999995</v>
          </cell>
        </row>
        <row r="512">
          <cell r="A512">
            <v>192299</v>
          </cell>
          <cell r="B512" t="str">
            <v>MODVAT Offset a/c</v>
          </cell>
          <cell r="C512">
            <v>195849728.44999999</v>
          </cell>
        </row>
        <row r="513">
          <cell r="A513">
            <v>192300</v>
          </cell>
          <cell r="B513" t="str">
            <v>Custom duty on RM Purchases - clearing</v>
          </cell>
          <cell r="C513">
            <v>-1081521.9099999999</v>
          </cell>
        </row>
        <row r="514">
          <cell r="A514">
            <v>192500</v>
          </cell>
          <cell r="B514" t="str">
            <v>Octori on Purchases - clearing</v>
          </cell>
          <cell r="C514">
            <v>92731.8</v>
          </cell>
        </row>
        <row r="515">
          <cell r="A515">
            <v>192600</v>
          </cell>
          <cell r="B515" t="str">
            <v>Clearing and Forwarding on Purchases -</v>
          </cell>
          <cell r="C515">
            <v>-317163.44</v>
          </cell>
        </row>
        <row r="516">
          <cell r="A516">
            <v>193200</v>
          </cell>
          <cell r="B516" t="str">
            <v>Octroi on Shipment- clearing</v>
          </cell>
          <cell r="C516">
            <v>-25207.88</v>
          </cell>
        </row>
        <row r="517">
          <cell r="A517">
            <v>197000</v>
          </cell>
          <cell r="B517" t="str">
            <v>Security deposit (customers)</v>
          </cell>
          <cell r="C517">
            <v>-20113082.77</v>
          </cell>
        </row>
        <row r="518">
          <cell r="A518">
            <v>300000</v>
          </cell>
          <cell r="B518" t="str">
            <v>InvetoryRaw material   (Local)</v>
          </cell>
          <cell r="C518">
            <v>19079341.030000001</v>
          </cell>
        </row>
        <row r="519">
          <cell r="A519">
            <v>300001</v>
          </cell>
          <cell r="B519" t="str">
            <v>Accumulated depreciation-raw materials</v>
          </cell>
          <cell r="C519">
            <v>-1198372</v>
          </cell>
        </row>
        <row r="520">
          <cell r="A520">
            <v>300010</v>
          </cell>
          <cell r="B520" t="str">
            <v>InvetoryRaw material Import</v>
          </cell>
          <cell r="C520">
            <v>1538723.8</v>
          </cell>
        </row>
        <row r="521">
          <cell r="A521">
            <v>305000</v>
          </cell>
          <cell r="B521" t="str">
            <v>Inventory Packaging material</v>
          </cell>
          <cell r="C521">
            <v>812081.92</v>
          </cell>
        </row>
        <row r="522">
          <cell r="A522">
            <v>790000</v>
          </cell>
          <cell r="B522" t="str">
            <v>Inventory Semifinished goods</v>
          </cell>
          <cell r="C522">
            <v>9936658.9900000002</v>
          </cell>
        </row>
        <row r="523">
          <cell r="A523">
            <v>790001</v>
          </cell>
          <cell r="B523" t="str">
            <v>Accumulated depreciation-semifinished g</v>
          </cell>
          <cell r="C523">
            <v>-457008</v>
          </cell>
        </row>
        <row r="524">
          <cell r="A524">
            <v>791000</v>
          </cell>
          <cell r="B524" t="str">
            <v>Work in process</v>
          </cell>
          <cell r="C524">
            <v>2791552.77</v>
          </cell>
        </row>
        <row r="525">
          <cell r="A525">
            <v>792000</v>
          </cell>
          <cell r="B525" t="str">
            <v>Inventory Finished goods</v>
          </cell>
          <cell r="C525">
            <v>50349071.509999998</v>
          </cell>
        </row>
        <row r="526">
          <cell r="A526">
            <v>792001</v>
          </cell>
          <cell r="B526" t="str">
            <v>Accumulated depreciation-finished goods</v>
          </cell>
          <cell r="C526">
            <v>-5996219.25</v>
          </cell>
        </row>
        <row r="527">
          <cell r="A527">
            <v>793010</v>
          </cell>
          <cell r="B527" t="str">
            <v>Inventories Trading Goods (Imported)</v>
          </cell>
          <cell r="C527">
            <v>18312655.719999999</v>
          </cell>
        </row>
        <row r="528">
          <cell r="A528">
            <v>793011</v>
          </cell>
          <cell r="B528" t="str">
            <v>Accumulated depreciation-Trading Goods</v>
          </cell>
          <cell r="C528">
            <v>-87656</v>
          </cell>
        </row>
        <row r="529">
          <cell r="A529">
            <v>793200</v>
          </cell>
          <cell r="B529" t="str">
            <v>Inventory Trading goods(BASF)</v>
          </cell>
          <cell r="C529">
            <v>3924064.62</v>
          </cell>
        </row>
        <row r="530">
          <cell r="A530">
            <v>793300</v>
          </cell>
          <cell r="B530" t="str">
            <v>Inventory Trading goods(Import) BASF/1</v>
          </cell>
          <cell r="C530">
            <v>6639641.25</v>
          </cell>
        </row>
        <row r="531">
          <cell r="A531">
            <v>793376</v>
          </cell>
          <cell r="B531" t="str">
            <v>Inventory Trading goods-in-transit</v>
          </cell>
          <cell r="C531">
            <v>22819071.449999999</v>
          </cell>
        </row>
        <row r="532">
          <cell r="A532">
            <v>900000</v>
          </cell>
          <cell r="B532" t="str">
            <v>Retained earnings</v>
          </cell>
          <cell r="C532">
            <v>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4">
          <cell r="C14" t="b">
            <v>1</v>
          </cell>
        </row>
        <row r="25">
          <cell r="C25" t="b">
            <v>0</v>
          </cell>
        </row>
        <row r="27">
          <cell r="C27" t="b">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sheetData sheetId="37"/>
      <sheetData sheetId="38"/>
      <sheetData sheetId="39" refreshError="1">
        <row r="31">
          <cell r="E31">
            <v>976970</v>
          </cell>
        </row>
        <row r="40">
          <cell r="E40">
            <v>976970</v>
          </cell>
        </row>
      </sheetData>
      <sheetData sheetId="40"/>
      <sheetData sheetId="41"/>
      <sheetData sheetId="42" refreshError="1"/>
      <sheetData sheetId="4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6">
          <cell r="C16">
            <v>12</v>
          </cell>
        </row>
        <row r="57">
          <cell r="C57">
            <v>38807</v>
          </cell>
        </row>
        <row r="58">
          <cell r="C58">
            <v>38442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32">
          <cell r="G32">
            <v>355127</v>
          </cell>
          <cell r="I32">
            <v>512350</v>
          </cell>
        </row>
      </sheetData>
      <sheetData sheetId="31"/>
      <sheetData sheetId="32" refreshError="1">
        <row r="31">
          <cell r="E31">
            <v>976970</v>
          </cell>
          <cell r="H31">
            <v>662853</v>
          </cell>
        </row>
        <row r="40">
          <cell r="E40">
            <v>976970</v>
          </cell>
          <cell r="H40">
            <v>662853</v>
          </cell>
        </row>
      </sheetData>
      <sheetData sheetId="33" refreshError="1">
        <row r="40">
          <cell r="E40">
            <v>115643</v>
          </cell>
          <cell r="G40">
            <v>383309</v>
          </cell>
        </row>
        <row r="46">
          <cell r="E46">
            <v>115643</v>
          </cell>
          <cell r="G46">
            <v>383309</v>
          </cell>
        </row>
      </sheetData>
      <sheetData sheetId="34" refreshError="1">
        <row r="226">
          <cell r="G226">
            <v>37896</v>
          </cell>
        </row>
        <row r="229">
          <cell r="I229">
            <v>37896</v>
          </cell>
        </row>
        <row r="255">
          <cell r="G255">
            <v>0</v>
          </cell>
        </row>
        <row r="259">
          <cell r="I259">
            <v>0</v>
          </cell>
        </row>
        <row r="265">
          <cell r="G265">
            <v>0</v>
          </cell>
        </row>
        <row r="268">
          <cell r="I268">
            <v>0</v>
          </cell>
        </row>
        <row r="274">
          <cell r="G274">
            <v>0</v>
          </cell>
        </row>
        <row r="277">
          <cell r="I277">
            <v>0</v>
          </cell>
        </row>
        <row r="283">
          <cell r="G283">
            <v>662852</v>
          </cell>
        </row>
        <row r="288">
          <cell r="I288">
            <v>662852</v>
          </cell>
        </row>
      </sheetData>
      <sheetData sheetId="35" refreshError="1">
        <row r="26">
          <cell r="C26">
            <v>355127</v>
          </cell>
          <cell r="E26">
            <v>512350</v>
          </cell>
        </row>
      </sheetData>
      <sheetData sheetId="36"/>
      <sheetData sheetId="37"/>
      <sheetData sheetId="38"/>
      <sheetData sheetId="39" refreshError="1">
        <row r="31">
          <cell r="H31">
            <v>662853</v>
          </cell>
        </row>
        <row r="40">
          <cell r="H40">
            <v>662853</v>
          </cell>
        </row>
      </sheetData>
      <sheetData sheetId="40"/>
      <sheetData sheetId="41"/>
      <sheetData sheetId="42" refreshError="1">
        <row r="21">
          <cell r="F21">
            <v>0</v>
          </cell>
        </row>
        <row r="23">
          <cell r="F23">
            <v>0</v>
          </cell>
        </row>
        <row r="47">
          <cell r="H47">
            <v>459146</v>
          </cell>
        </row>
        <row r="67">
          <cell r="H67">
            <v>459146</v>
          </cell>
        </row>
        <row r="78">
          <cell r="H78">
            <v>0</v>
          </cell>
        </row>
        <row r="95">
          <cell r="H95">
            <v>0</v>
          </cell>
        </row>
      </sheetData>
      <sheetData sheetId="4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6">
          <cell r="C16">
            <v>12</v>
          </cell>
        </row>
        <row r="57">
          <cell r="C57">
            <v>38807</v>
          </cell>
        </row>
        <row r="58">
          <cell r="C58">
            <v>38442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32">
          <cell r="G32">
            <v>355127</v>
          </cell>
          <cell r="I32">
            <v>512350</v>
          </cell>
        </row>
      </sheetData>
      <sheetData sheetId="31"/>
      <sheetData sheetId="32" refreshError="1">
        <row r="31">
          <cell r="E31">
            <v>976970</v>
          </cell>
          <cell r="H31">
            <v>662853</v>
          </cell>
        </row>
        <row r="40">
          <cell r="E40">
            <v>976970</v>
          </cell>
          <cell r="H40">
            <v>662853</v>
          </cell>
        </row>
      </sheetData>
      <sheetData sheetId="33" refreshError="1">
        <row r="40">
          <cell r="E40">
            <v>115643</v>
          </cell>
          <cell r="G40">
            <v>383309</v>
          </cell>
        </row>
        <row r="46">
          <cell r="E46">
            <v>115643</v>
          </cell>
          <cell r="G46">
            <v>383309</v>
          </cell>
        </row>
      </sheetData>
      <sheetData sheetId="34" refreshError="1">
        <row r="226">
          <cell r="G226">
            <v>37896</v>
          </cell>
        </row>
        <row r="229">
          <cell r="I229">
            <v>37896</v>
          </cell>
        </row>
        <row r="255">
          <cell r="G255">
            <v>0</v>
          </cell>
        </row>
        <row r="259">
          <cell r="I259">
            <v>0</v>
          </cell>
        </row>
        <row r="265">
          <cell r="G265">
            <v>0</v>
          </cell>
        </row>
        <row r="268">
          <cell r="I268">
            <v>0</v>
          </cell>
        </row>
        <row r="274">
          <cell r="G274">
            <v>0</v>
          </cell>
        </row>
        <row r="277">
          <cell r="I277">
            <v>0</v>
          </cell>
        </row>
        <row r="283">
          <cell r="G283">
            <v>662852</v>
          </cell>
        </row>
        <row r="288">
          <cell r="I288">
            <v>662852</v>
          </cell>
        </row>
      </sheetData>
      <sheetData sheetId="35" refreshError="1">
        <row r="26">
          <cell r="C26">
            <v>355127</v>
          </cell>
          <cell r="E26">
            <v>512350</v>
          </cell>
        </row>
      </sheetData>
      <sheetData sheetId="36"/>
      <sheetData sheetId="37"/>
      <sheetData sheetId="38"/>
      <sheetData sheetId="39" refreshError="1">
        <row r="31">
          <cell r="H31">
            <v>662853</v>
          </cell>
        </row>
        <row r="40">
          <cell r="H40">
            <v>662853</v>
          </cell>
        </row>
      </sheetData>
      <sheetData sheetId="40"/>
      <sheetData sheetId="41"/>
      <sheetData sheetId="42" refreshError="1">
        <row r="21">
          <cell r="F21">
            <v>0</v>
          </cell>
        </row>
        <row r="23">
          <cell r="F23">
            <v>0</v>
          </cell>
        </row>
        <row r="47">
          <cell r="H47">
            <v>459146</v>
          </cell>
        </row>
        <row r="67">
          <cell r="H67">
            <v>459146</v>
          </cell>
        </row>
        <row r="78">
          <cell r="H78">
            <v>0</v>
          </cell>
        </row>
        <row r="95">
          <cell r="H95">
            <v>0</v>
          </cell>
        </row>
      </sheetData>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ding"/>
      <sheetName val="Diff. Accounts"/>
      <sheetName val="BS&amp;PLA"/>
      <sheetName val="suppliers"/>
      <sheetName val="nav 05 06"/>
      <sheetName val="NRP02"/>
      <sheetName val="NRP 01"/>
      <sheetName val="Def. Tax"/>
      <sheetName val="FBT"/>
      <sheetName val="Annexure II (FBT)"/>
      <sheetName val="3CD "/>
      <sheetName val="TB"/>
      <sheetName val="BS&amp;PLA "/>
      <sheetName val="COMP. "/>
      <sheetName val="F.goods"/>
      <sheetName val="Grey Stock"/>
      <sheetName val="Stock working"/>
      <sheetName val="Monthwise"/>
      <sheetName val="Manuf. grey"/>
      <sheetName val="Yarn purchased"/>
      <sheetName val="Co. Dep."/>
      <sheetName val="ANN-B"/>
      <sheetName val="IT- DEP"/>
      <sheetName val="ANN-C"/>
      <sheetName val="ANN-D"/>
      <sheetName val="ANN-E"/>
      <sheetName val="unsecured"/>
      <sheetName val="ANN-F"/>
      <sheetName val="Sheet1"/>
      <sheetName val="ANN-G"/>
      <sheetName val="Debtors"/>
      <sheetName val="creditors"/>
      <sheetName val="Diff__Accounts1"/>
      <sheetName val="nav_05_061"/>
      <sheetName val="NRP_011"/>
      <sheetName val="Def__Tax1"/>
      <sheetName val="Annexure_II_(FBT)1"/>
      <sheetName val="3CD_1"/>
      <sheetName val="BS&amp;PLA_1"/>
      <sheetName val="COMP__1"/>
      <sheetName val="F_goods1"/>
      <sheetName val="Grey_Stock1"/>
      <sheetName val="Stock_working1"/>
      <sheetName val="Manuf__grey1"/>
      <sheetName val="Yarn_purchased1"/>
      <sheetName val="Co__Dep_1"/>
      <sheetName val="IT-_DEP1"/>
      <sheetName val="Diff__Accounts"/>
      <sheetName val="nav_05_06"/>
      <sheetName val="NRP_01"/>
      <sheetName val="Def__Tax"/>
      <sheetName val="Annexure_II_(FBT)"/>
      <sheetName val="3CD_"/>
      <sheetName val="BS&amp;PLA_"/>
      <sheetName val="COMP__"/>
      <sheetName val="F_goods"/>
      <sheetName val="Grey_Stock"/>
      <sheetName val="Stock_working"/>
      <sheetName val="Manuf__grey"/>
      <sheetName val="Yarn_purchased"/>
      <sheetName val="Co__Dep_"/>
      <sheetName val="IT-_DEP"/>
      <sheetName val="Diff__Accounts2"/>
      <sheetName val="nav_05_062"/>
      <sheetName val="NRP_012"/>
      <sheetName val="Def__Tax2"/>
      <sheetName val="Annexure_II_(FBT)2"/>
      <sheetName val="3CD_2"/>
      <sheetName val="BS&amp;PLA_2"/>
      <sheetName val="COMP__2"/>
      <sheetName val="F_goods2"/>
      <sheetName val="Grey_Stock2"/>
      <sheetName val="Stock_working2"/>
      <sheetName val="Manuf__grey2"/>
      <sheetName val="Yarn_purchased2"/>
      <sheetName val="Co__Dep_2"/>
      <sheetName val="IT-_DE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6">
          <cell r="C16">
            <v>12</v>
          </cell>
        </row>
        <row r="57">
          <cell r="C57">
            <v>38807</v>
          </cell>
        </row>
        <row r="58">
          <cell r="C58">
            <v>38442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32">
          <cell r="G32">
            <v>355127</v>
          </cell>
          <cell r="I32">
            <v>512350</v>
          </cell>
        </row>
      </sheetData>
      <sheetData sheetId="31"/>
      <sheetData sheetId="32" refreshError="1">
        <row r="31">
          <cell r="E31">
            <v>976970</v>
          </cell>
          <cell r="H31">
            <v>662853</v>
          </cell>
        </row>
        <row r="40">
          <cell r="E40">
            <v>976970</v>
          </cell>
          <cell r="H40">
            <v>662853</v>
          </cell>
        </row>
      </sheetData>
      <sheetData sheetId="33" refreshError="1">
        <row r="40">
          <cell r="E40">
            <v>115643</v>
          </cell>
          <cell r="G40">
            <v>383309</v>
          </cell>
        </row>
        <row r="46">
          <cell r="E46">
            <v>115643</v>
          </cell>
          <cell r="G46">
            <v>383309</v>
          </cell>
        </row>
      </sheetData>
      <sheetData sheetId="34" refreshError="1">
        <row r="226">
          <cell r="G226">
            <v>37896</v>
          </cell>
        </row>
        <row r="229">
          <cell r="I229">
            <v>37896</v>
          </cell>
        </row>
        <row r="255">
          <cell r="G255">
            <v>0</v>
          </cell>
        </row>
        <row r="259">
          <cell r="I259">
            <v>0</v>
          </cell>
        </row>
        <row r="265">
          <cell r="G265">
            <v>0</v>
          </cell>
        </row>
        <row r="268">
          <cell r="I268">
            <v>0</v>
          </cell>
        </row>
        <row r="274">
          <cell r="G274">
            <v>0</v>
          </cell>
        </row>
        <row r="277">
          <cell r="I277">
            <v>0</v>
          </cell>
        </row>
        <row r="283">
          <cell r="G283">
            <v>662852</v>
          </cell>
        </row>
        <row r="288">
          <cell r="I288">
            <v>662852</v>
          </cell>
        </row>
      </sheetData>
      <sheetData sheetId="35" refreshError="1">
        <row r="26">
          <cell r="C26">
            <v>355127</v>
          </cell>
          <cell r="E26">
            <v>512350</v>
          </cell>
        </row>
      </sheetData>
      <sheetData sheetId="36"/>
      <sheetData sheetId="37"/>
      <sheetData sheetId="38"/>
      <sheetData sheetId="39" refreshError="1">
        <row r="31">
          <cell r="H31">
            <v>662853</v>
          </cell>
        </row>
        <row r="40">
          <cell r="H40">
            <v>662853</v>
          </cell>
        </row>
      </sheetData>
      <sheetData sheetId="40"/>
      <sheetData sheetId="41"/>
      <sheetData sheetId="42" refreshError="1">
        <row r="21">
          <cell r="F21">
            <v>0</v>
          </cell>
        </row>
        <row r="23">
          <cell r="F23">
            <v>0</v>
          </cell>
        </row>
        <row r="47">
          <cell r="H47">
            <v>459146</v>
          </cell>
        </row>
        <row r="67">
          <cell r="H67">
            <v>459146</v>
          </cell>
        </row>
        <row r="78">
          <cell r="H78">
            <v>0</v>
          </cell>
        </row>
        <row r="95">
          <cell r="H95">
            <v>0</v>
          </cell>
        </row>
      </sheetData>
      <sheetData sheetId="4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 val="PC1 (M1 contd)"/>
      <sheetName val="PC2 (M2 contd)"/>
      <sheetName val="PC3 (M3 contd)"/>
      <sheetName val="PC4 (M4 contd)"/>
      <sheetName val="PC7 (M7 contd)"/>
      <sheetName val="PC9 (M9 contd)"/>
      <sheetName val="PC11 (M11 contd)"/>
      <sheetName val="Petty Cash Totals"/>
      <sheetName val="VAT Return Jun 04"/>
      <sheetName val="VAT Return Sep 04"/>
      <sheetName val="VAT Return Dec 04"/>
      <sheetName val="Sales Day Book 2004"/>
      <sheetName val="ILO TOR 0001,2"/>
      <sheetName val="Company_information1"/>
      <sheetName val="Bank_summary1"/>
      <sheetName val="VAT_return1"/>
      <sheetName val="IR35_Calc_Instructions1"/>
      <sheetName val="IR35_Calculator_2003_-_041"/>
      <sheetName val="PC1_(M1_contd)1"/>
      <sheetName val="PC2_(M2_contd)1"/>
      <sheetName val="PC3_(M3_contd)1"/>
      <sheetName val="PC4_(M4_contd)1"/>
      <sheetName val="PC7_(M7_contd)1"/>
      <sheetName val="PC9_(M9_contd)1"/>
      <sheetName val="PC11_(M11_contd)1"/>
      <sheetName val="Petty_Cash_Totals1"/>
      <sheetName val="VAT_Return_Jun_041"/>
      <sheetName val="VAT_Return_Sep_041"/>
      <sheetName val="VAT_Return_Dec_041"/>
      <sheetName val="Sales_Day_Book_20041"/>
      <sheetName val="ILO_TOR_0001,21"/>
      <sheetName val="Company_information"/>
      <sheetName val="Bank_summary"/>
      <sheetName val="VAT_return"/>
      <sheetName val="IR35_Calc_Instructions"/>
      <sheetName val="IR35_Calculator_2003_-_04"/>
      <sheetName val="PC1_(M1_contd)"/>
      <sheetName val="PC2_(M2_contd)"/>
      <sheetName val="PC3_(M3_contd)"/>
      <sheetName val="PC4_(M4_contd)"/>
      <sheetName val="PC7_(M7_contd)"/>
      <sheetName val="PC9_(M9_contd)"/>
      <sheetName val="PC11_(M11_contd)"/>
      <sheetName val="Petty_Cash_Totals"/>
      <sheetName val="VAT_Return_Jun_04"/>
      <sheetName val="VAT_Return_Sep_04"/>
      <sheetName val="VAT_Return_Dec_04"/>
      <sheetName val="Sales_Day_Book_2004"/>
      <sheetName val="ILO_TOR_0001,2"/>
      <sheetName val="Company_information2"/>
      <sheetName val="Bank_summary2"/>
      <sheetName val="VAT_return2"/>
      <sheetName val="IR35_Calc_Instructions2"/>
      <sheetName val="IR35_Calculator_2003_-_042"/>
      <sheetName val="PC1_(M1_contd)2"/>
      <sheetName val="PC2_(M2_contd)2"/>
      <sheetName val="PC3_(M3_contd)2"/>
      <sheetName val="PC4_(M4_contd)2"/>
      <sheetName val="PC7_(M7_contd)2"/>
      <sheetName val="PC9_(M9_contd)2"/>
      <sheetName val="PC11_(M11_contd)2"/>
      <sheetName val="Petty_Cash_Totals2"/>
      <sheetName val="VAT_Return_Jun_042"/>
      <sheetName val="VAT_Return_Sep_042"/>
      <sheetName val="VAT_Return_Dec_042"/>
      <sheetName val="Sales_Day_Book_20042"/>
      <sheetName val="ILO_TOR_0001,22"/>
    </sheetNames>
    <sheetDataSet>
      <sheetData sheetId="0">
        <row r="7">
          <cell r="H7">
            <v>101.56</v>
          </cell>
        </row>
      </sheetData>
      <sheetData sheetId="1">
        <row r="73">
          <cell r="C73" t="str">
            <v>1 January 2004</v>
          </cell>
        </row>
      </sheetData>
      <sheetData sheetId="2"/>
      <sheetData sheetId="3">
        <row r="5">
          <cell r="D5" t="str">
            <v>Cassel Consulting Limited</v>
          </cell>
        </row>
      </sheetData>
      <sheetData sheetId="4">
        <row r="3">
          <cell r="C3" t="str">
            <v>January 2004</v>
          </cell>
        </row>
        <row r="7">
          <cell r="H7">
            <v>0</v>
          </cell>
          <cell r="I7" t="str">
            <v>Interest received</v>
          </cell>
        </row>
        <row r="8">
          <cell r="H8">
            <v>0</v>
          </cell>
          <cell r="I8" t="str">
            <v>Interest received</v>
          </cell>
        </row>
        <row r="9">
          <cell r="H9">
            <v>0</v>
          </cell>
          <cell r="I9" t="str">
            <v>Non-EC sales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5">
        <row r="3">
          <cell r="C3" t="str">
            <v>February 2004</v>
          </cell>
        </row>
        <row r="7">
          <cell r="H7">
            <v>0</v>
          </cell>
          <cell r="I7" t="str">
            <v>Non-EC sales</v>
          </cell>
        </row>
        <row r="8">
          <cell r="H8">
            <v>0</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6">
        <row r="3">
          <cell r="C3" t="str">
            <v>March 2004</v>
          </cell>
        </row>
        <row r="7">
          <cell r="H7">
            <v>0</v>
          </cell>
          <cell r="I7" t="str">
            <v>Bank and credit card charges</v>
          </cell>
        </row>
        <row r="8">
          <cell r="H8">
            <v>0</v>
          </cell>
          <cell r="I8" t="str">
            <v>Interest received</v>
          </cell>
        </row>
        <row r="9">
          <cell r="H9">
            <v>0</v>
          </cell>
          <cell r="I9" t="str">
            <v>Sundry receipts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7">
        <row r="3">
          <cell r="C3" t="str">
            <v>April 2004</v>
          </cell>
        </row>
        <row r="7">
          <cell r="H7">
            <v>8670.1299999999992</v>
          </cell>
          <cell r="I7" t="str">
            <v>Non-EC sales</v>
          </cell>
        </row>
        <row r="8">
          <cell r="H8">
            <v>0</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8670.1299999999992</v>
          </cell>
          <cell r="G47">
            <v>0</v>
          </cell>
        </row>
      </sheetData>
      <sheetData sheetId="8">
        <row r="3">
          <cell r="C3" t="str">
            <v>May 2004</v>
          </cell>
        </row>
        <row r="7">
          <cell r="H7">
            <v>11670.31</v>
          </cell>
          <cell r="I7" t="str">
            <v>Non-EC sales</v>
          </cell>
        </row>
        <row r="8">
          <cell r="H8">
            <v>4.57</v>
          </cell>
          <cell r="I8" t="str">
            <v>Interest received</v>
          </cell>
        </row>
        <row r="9">
          <cell r="H9">
            <v>411.25</v>
          </cell>
          <cell r="I9" t="str">
            <v>Sundry receipts</v>
          </cell>
        </row>
        <row r="10">
          <cell r="H10">
            <v>11257.62</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23343.75</v>
          </cell>
          <cell r="G47">
            <v>0</v>
          </cell>
        </row>
      </sheetData>
      <sheetData sheetId="9">
        <row r="3">
          <cell r="C3" t="str">
            <v>June 2004</v>
          </cell>
        </row>
        <row r="7">
          <cell r="H7">
            <v>26.71</v>
          </cell>
          <cell r="I7" t="str">
            <v>Interest received</v>
          </cell>
        </row>
        <row r="8">
          <cell r="H8">
            <v>7357.99</v>
          </cell>
          <cell r="I8" t="str">
            <v>Non-EC sales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7384.7</v>
          </cell>
          <cell r="G47">
            <v>0</v>
          </cell>
        </row>
      </sheetData>
      <sheetData sheetId="10">
        <row r="3">
          <cell r="C3" t="str">
            <v>July 2004</v>
          </cell>
        </row>
        <row r="7">
          <cell r="H7">
            <v>15.78</v>
          </cell>
          <cell r="I7" t="str">
            <v>Interest received</v>
          </cell>
        </row>
        <row r="8">
          <cell r="H8">
            <v>15.99</v>
          </cell>
          <cell r="I8" t="str">
            <v>Interest received</v>
          </cell>
        </row>
        <row r="9">
          <cell r="H9">
            <v>7895.38</v>
          </cell>
          <cell r="I9" t="str">
            <v>Non-EC sales</v>
          </cell>
        </row>
        <row r="10">
          <cell r="H10">
            <v>20</v>
          </cell>
          <cell r="I10" t="str">
            <v>Sundry receipts</v>
          </cell>
        </row>
        <row r="11">
          <cell r="H11">
            <v>20</v>
          </cell>
          <cell r="I11" t="str">
            <v>Sundry receipts</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7967.1500000000005</v>
          </cell>
          <cell r="G47">
            <v>0</v>
          </cell>
        </row>
      </sheetData>
      <sheetData sheetId="11">
        <row r="3">
          <cell r="C3" t="str">
            <v>August 2004</v>
          </cell>
        </row>
        <row r="7">
          <cell r="H7">
            <v>21.93</v>
          </cell>
          <cell r="I7" t="str">
            <v>Interest received</v>
          </cell>
        </row>
        <row r="8">
          <cell r="H8">
            <v>13021.37</v>
          </cell>
          <cell r="I8" t="str">
            <v>Non-EC sales</v>
          </cell>
        </row>
        <row r="9">
          <cell r="H9">
            <v>17123.060000000001</v>
          </cell>
          <cell r="I9" t="str">
            <v>Non-EC sales</v>
          </cell>
        </row>
        <row r="10">
          <cell r="H10">
            <v>565.91</v>
          </cell>
          <cell r="I10" t="str">
            <v>Sundry receipts</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30732.27</v>
          </cell>
          <cell r="G47">
            <v>0</v>
          </cell>
        </row>
      </sheetData>
      <sheetData sheetId="12">
        <row r="3">
          <cell r="C3" t="str">
            <v>September 2004</v>
          </cell>
        </row>
        <row r="7">
          <cell r="H7">
            <v>2.86</v>
          </cell>
          <cell r="I7" t="str">
            <v>Interest received</v>
          </cell>
        </row>
        <row r="8">
          <cell r="H8">
            <v>47.93</v>
          </cell>
          <cell r="I8" t="str">
            <v>Interest received</v>
          </cell>
        </row>
        <row r="9">
          <cell r="H9">
            <v>6572.19</v>
          </cell>
          <cell r="I9" t="str">
            <v>Non-EC sales</v>
          </cell>
        </row>
        <row r="10">
          <cell r="H10">
            <v>0</v>
          </cell>
          <cell r="I10" t="str">
            <v>Travel, accommodation and subsistence</v>
          </cell>
        </row>
        <row r="11">
          <cell r="H11">
            <v>0</v>
          </cell>
          <cell r="I11" t="str">
            <v>Transfers to other accounts</v>
          </cell>
        </row>
        <row r="12">
          <cell r="H12">
            <v>0</v>
          </cell>
          <cell r="I12" t="str">
            <v>Petty cash drawn/reimbursed</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6622.98</v>
          </cell>
          <cell r="G47">
            <v>0</v>
          </cell>
        </row>
      </sheetData>
      <sheetData sheetId="13">
        <row r="3">
          <cell r="C3" t="str">
            <v>October 2004</v>
          </cell>
        </row>
        <row r="7">
          <cell r="H7">
            <v>0</v>
          </cell>
        </row>
        <row r="8">
          <cell r="H8">
            <v>0</v>
          </cell>
        </row>
        <row r="9">
          <cell r="H9">
            <v>0</v>
          </cell>
        </row>
        <row r="10">
          <cell r="H10">
            <v>0</v>
          </cell>
        </row>
        <row r="11">
          <cell r="H11">
            <v>0</v>
          </cell>
        </row>
        <row r="12">
          <cell r="H12">
            <v>0</v>
          </cell>
        </row>
        <row r="13">
          <cell r="H13">
            <v>0</v>
          </cell>
        </row>
        <row r="14">
          <cell r="H14">
            <v>0</v>
          </cell>
        </row>
        <row r="15">
          <cell r="H15">
            <v>28.02</v>
          </cell>
          <cell r="I15" t="str">
            <v>Interest received</v>
          </cell>
        </row>
        <row r="16">
          <cell r="H16">
            <v>19245.64</v>
          </cell>
          <cell r="I16" t="str">
            <v>Non-EC sales</v>
          </cell>
        </row>
        <row r="17">
          <cell r="H17">
            <v>484.88</v>
          </cell>
          <cell r="I17" t="str">
            <v>Sundry receipts</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19758.54</v>
          </cell>
          <cell r="G47">
            <v>0</v>
          </cell>
        </row>
      </sheetData>
      <sheetData sheetId="14">
        <row r="3">
          <cell r="C3" t="str">
            <v>November 2004</v>
          </cell>
        </row>
        <row r="7">
          <cell r="H7">
            <v>18.16</v>
          </cell>
          <cell r="I7" t="str">
            <v>Interest received</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18.16</v>
          </cell>
          <cell r="G47">
            <v>0</v>
          </cell>
        </row>
      </sheetData>
      <sheetData sheetId="15">
        <row r="3">
          <cell r="C3" t="str">
            <v>December 2004</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9.65</v>
          </cell>
          <cell r="I18" t="str">
            <v>Interest received</v>
          </cell>
        </row>
        <row r="19">
          <cell r="H19">
            <v>17804.03</v>
          </cell>
          <cell r="I19" t="str">
            <v>Non-EC sales</v>
          </cell>
        </row>
        <row r="20">
          <cell r="H20">
            <v>18723.3</v>
          </cell>
          <cell r="I20" t="str">
            <v>Non-EC sales</v>
          </cell>
        </row>
        <row r="21">
          <cell r="H21">
            <v>17908.21</v>
          </cell>
          <cell r="I21" t="str">
            <v>Non-EC sales</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54445.189999999995</v>
          </cell>
          <cell r="G47">
            <v>0</v>
          </cell>
        </row>
      </sheetData>
      <sheetData sheetId="16">
        <row r="3">
          <cell r="C3" t="str">
            <v>February 2004</v>
          </cell>
        </row>
        <row r="7">
          <cell r="H7">
            <v>0</v>
          </cell>
          <cell r="I7" t="str">
            <v>Non-EC sales</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17">
        <row r="3">
          <cell r="C3" t="str">
            <v>January 2004</v>
          </cell>
        </row>
        <row r="7">
          <cell r="H7">
            <v>0</v>
          </cell>
          <cell r="I7" t="str">
            <v>Bank and credit card charges</v>
          </cell>
        </row>
        <row r="8">
          <cell r="H8">
            <v>0</v>
          </cell>
          <cell r="I8" t="str">
            <v>Interest received</v>
          </cell>
        </row>
        <row r="9">
          <cell r="H9">
            <v>0</v>
          </cell>
          <cell r="I9" t="str">
            <v>Sundry receipts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18">
        <row r="3">
          <cell r="C3" t="str">
            <v>February 2004</v>
          </cell>
        </row>
        <row r="7">
          <cell r="H7">
            <v>0</v>
          </cell>
          <cell r="I7" t="str">
            <v>Non-EC sales</v>
          </cell>
        </row>
        <row r="8">
          <cell r="H8">
            <v>0</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19">
        <row r="3">
          <cell r="C3" t="str">
            <v>March 2004</v>
          </cell>
        </row>
        <row r="7">
          <cell r="H7">
            <v>5</v>
          </cell>
          <cell r="I7" t="str">
            <v>Bank and credit card charges</v>
          </cell>
        </row>
        <row r="8">
          <cell r="H8">
            <v>0</v>
          </cell>
          <cell r="I8" t="str">
            <v>Interest received</v>
          </cell>
        </row>
        <row r="9">
          <cell r="H9">
            <v>0</v>
          </cell>
          <cell r="I9" t="str">
            <v>Sundry receipts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5</v>
          </cell>
          <cell r="G47">
            <v>0</v>
          </cell>
        </row>
      </sheetData>
      <sheetData sheetId="20">
        <row r="3">
          <cell r="C3" t="str">
            <v>April 2004</v>
          </cell>
        </row>
        <row r="7">
          <cell r="H7">
            <v>5</v>
          </cell>
          <cell r="I7" t="str">
            <v>Bank and credit card charges</v>
          </cell>
        </row>
        <row r="8">
          <cell r="H8">
            <v>5</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10</v>
          </cell>
          <cell r="G47">
            <v>0</v>
          </cell>
        </row>
      </sheetData>
      <sheetData sheetId="21">
        <row r="3">
          <cell r="C3" t="str">
            <v>May 2004</v>
          </cell>
        </row>
        <row r="7">
          <cell r="H7">
            <v>11000</v>
          </cell>
          <cell r="I7" t="str">
            <v>Transfers to other accounts</v>
          </cell>
        </row>
        <row r="8">
          <cell r="H8">
            <v>15189.44</v>
          </cell>
          <cell r="I8" t="str">
            <v>Petty cash drawn/reimbursed</v>
          </cell>
        </row>
        <row r="9">
          <cell r="H9">
            <v>43.4</v>
          </cell>
          <cell r="I9" t="str">
            <v>Printing, postage and stationery</v>
          </cell>
        </row>
        <row r="10">
          <cell r="H10">
            <v>161.5</v>
          </cell>
          <cell r="I10" t="str">
            <v>Software &amp; IT Consumables</v>
          </cell>
        </row>
        <row r="11">
          <cell r="H11">
            <v>1000</v>
          </cell>
          <cell r="I11" t="str">
            <v>Dividends paid</v>
          </cell>
        </row>
        <row r="12">
          <cell r="H12">
            <v>80</v>
          </cell>
          <cell r="I12" t="str">
            <v>Travel, accommodation and subsistence</v>
          </cell>
        </row>
        <row r="13">
          <cell r="H13">
            <v>80</v>
          </cell>
          <cell r="I13" t="str">
            <v>Travel, accommodation and subsistence</v>
          </cell>
        </row>
        <row r="14">
          <cell r="H14">
            <v>148.94</v>
          </cell>
          <cell r="I14" t="str">
            <v>Telephone &amp; Internet</v>
          </cell>
        </row>
        <row r="15">
          <cell r="H15">
            <v>228.04</v>
          </cell>
          <cell r="I15" t="str">
            <v>PAYE/National Insurance paid</v>
          </cell>
        </row>
        <row r="16">
          <cell r="H16">
            <v>2271.96</v>
          </cell>
          <cell r="I16" t="str">
            <v>Wages and salaries</v>
          </cell>
        </row>
        <row r="17">
          <cell r="H17">
            <v>16.68</v>
          </cell>
          <cell r="I17" t="str">
            <v>Bank and credit card charges</v>
          </cell>
        </row>
        <row r="18">
          <cell r="H18">
            <v>20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30273.620000000003</v>
          </cell>
          <cell r="G47">
            <v>33.659999999999997</v>
          </cell>
        </row>
      </sheetData>
      <sheetData sheetId="22">
        <row r="3">
          <cell r="C3" t="str">
            <v>June 2004</v>
          </cell>
        </row>
        <row r="7">
          <cell r="H7">
            <v>190</v>
          </cell>
          <cell r="I7" t="str">
            <v>Travel, accommodation and subsistence</v>
          </cell>
        </row>
        <row r="8">
          <cell r="H8">
            <v>20</v>
          </cell>
          <cell r="I8" t="str">
            <v>Bank and credit card charges</v>
          </cell>
        </row>
        <row r="9">
          <cell r="H9">
            <v>8</v>
          </cell>
          <cell r="I9" t="str">
            <v>Bank and credit card charges</v>
          </cell>
        </row>
        <row r="10">
          <cell r="H10">
            <v>4839.2</v>
          </cell>
          <cell r="I10" t="str">
            <v>Petty cash drawn/reimbursed</v>
          </cell>
        </row>
        <row r="11">
          <cell r="H11">
            <v>405.56</v>
          </cell>
          <cell r="I11" t="str">
            <v>Legal and professional fees</v>
          </cell>
        </row>
        <row r="12">
          <cell r="H12">
            <v>17.5</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5480.26</v>
          </cell>
          <cell r="G47">
            <v>0</v>
          </cell>
        </row>
      </sheetData>
      <sheetData sheetId="23">
        <row r="3">
          <cell r="C3" t="str">
            <v>July 2004</v>
          </cell>
        </row>
        <row r="7">
          <cell r="H7">
            <v>50</v>
          </cell>
          <cell r="I7" t="str">
            <v>Travel, accommodation and subsistence</v>
          </cell>
        </row>
        <row r="8">
          <cell r="H8">
            <v>16.66</v>
          </cell>
          <cell r="I8" t="str">
            <v>Bank and credit card charges</v>
          </cell>
        </row>
        <row r="9">
          <cell r="H9">
            <v>16.75</v>
          </cell>
          <cell r="I9" t="str">
            <v>Bank and credit card charges</v>
          </cell>
        </row>
        <row r="10">
          <cell r="H10">
            <v>50</v>
          </cell>
          <cell r="I10" t="str">
            <v>Travel, accommodation and subsistence</v>
          </cell>
        </row>
        <row r="11">
          <cell r="H11">
            <v>25000</v>
          </cell>
          <cell r="I11" t="str">
            <v>Transfers to other accounts</v>
          </cell>
        </row>
        <row r="12">
          <cell r="H12">
            <v>1771.05</v>
          </cell>
          <cell r="I12" t="str">
            <v>Petty cash drawn/reimbursed</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26904.46</v>
          </cell>
          <cell r="G47">
            <v>0</v>
          </cell>
        </row>
      </sheetData>
      <sheetData sheetId="24">
        <row r="3">
          <cell r="C3" t="str">
            <v>August 2004</v>
          </cell>
        </row>
        <row r="7">
          <cell r="H7">
            <v>3.4099999999999997</v>
          </cell>
          <cell r="I7" t="str">
            <v>Telephone &amp; Internet</v>
          </cell>
        </row>
        <row r="8">
          <cell r="H8">
            <v>112.5</v>
          </cell>
          <cell r="I8" t="str">
            <v>Legal and professional fees</v>
          </cell>
        </row>
        <row r="9">
          <cell r="H9">
            <v>1815.51</v>
          </cell>
          <cell r="I9" t="str">
            <v>Legal and professional fees</v>
          </cell>
        </row>
        <row r="10">
          <cell r="H10">
            <v>17.5</v>
          </cell>
          <cell r="I10" t="str">
            <v>Bank and credit card charges</v>
          </cell>
        </row>
        <row r="11">
          <cell r="H11">
            <v>3699.02</v>
          </cell>
          <cell r="I11" t="str">
            <v>Petty cash drawn/reimbursed</v>
          </cell>
        </row>
        <row r="12">
          <cell r="H12">
            <v>17.59</v>
          </cell>
          <cell r="I12" t="str">
            <v>Bank and credit card charges</v>
          </cell>
        </row>
        <row r="13">
          <cell r="H13">
            <v>50.25</v>
          </cell>
          <cell r="I13" t="str">
            <v>Telephone &amp; Internet</v>
          </cell>
        </row>
        <row r="14">
          <cell r="H14">
            <v>3365.35</v>
          </cell>
          <cell r="I14" t="str">
            <v>PAYE/National Insurance paid</v>
          </cell>
        </row>
        <row r="15">
          <cell r="H15">
            <v>6687.27</v>
          </cell>
          <cell r="I15" t="str">
            <v>Wages and salaries</v>
          </cell>
        </row>
        <row r="16">
          <cell r="H16">
            <v>4021.86</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19799.650000000001</v>
          </cell>
          <cell r="G47">
            <v>9.3899999999999988</v>
          </cell>
        </row>
      </sheetData>
      <sheetData sheetId="25">
        <row r="6">
          <cell r="E6">
            <v>12</v>
          </cell>
        </row>
        <row r="7">
          <cell r="H7">
            <v>17.8</v>
          </cell>
          <cell r="I7" t="str">
            <v>Bank and credit card charges</v>
          </cell>
        </row>
        <row r="8">
          <cell r="H8">
            <v>15000</v>
          </cell>
          <cell r="I8" t="str">
            <v>Transfers to other accounts</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15017.8</v>
          </cell>
          <cell r="G47">
            <v>0</v>
          </cell>
        </row>
      </sheetData>
      <sheetData sheetId="26">
        <row r="5">
          <cell r="D5" t="str">
            <v>Cassel Consulting Limited</v>
          </cell>
        </row>
        <row r="7">
          <cell r="H7">
            <v>80</v>
          </cell>
          <cell r="I7" t="str">
            <v>Travel, accommodation and subsistence</v>
          </cell>
        </row>
        <row r="8">
          <cell r="H8">
            <v>80</v>
          </cell>
          <cell r="I8" t="str">
            <v>Travel, accommodation and subsistence</v>
          </cell>
        </row>
        <row r="9">
          <cell r="H9">
            <v>57.709999999999994</v>
          </cell>
          <cell r="I9" t="str">
            <v>Telephone &amp; Internet</v>
          </cell>
        </row>
        <row r="10">
          <cell r="H10">
            <v>3757.02</v>
          </cell>
          <cell r="I10" t="str">
            <v>Petty cash drawn/reimbursed</v>
          </cell>
        </row>
        <row r="11">
          <cell r="H11">
            <v>325.64</v>
          </cell>
          <cell r="I11" t="str">
            <v>Legal and professional fees</v>
          </cell>
        </row>
        <row r="12">
          <cell r="H12">
            <v>17.5</v>
          </cell>
          <cell r="I12" t="str">
            <v>Bank and credit card charges</v>
          </cell>
        </row>
        <row r="13">
          <cell r="H13">
            <v>0</v>
          </cell>
          <cell r="I13" t="str">
            <v>Travel, accommodation and subsistence</v>
          </cell>
        </row>
        <row r="14">
          <cell r="H14">
            <v>0</v>
          </cell>
          <cell r="I14" t="str">
            <v>Travel, accommodation and subsistence</v>
          </cell>
        </row>
        <row r="15">
          <cell r="H15">
            <v>0</v>
          </cell>
          <cell r="I15" t="str">
            <v>Travel, accommodation and subsistence</v>
          </cell>
        </row>
        <row r="16">
          <cell r="H16">
            <v>0</v>
          </cell>
          <cell r="I16" t="str">
            <v>Travel, accommodation and subsistence</v>
          </cell>
        </row>
        <row r="17">
          <cell r="H17">
            <v>0</v>
          </cell>
          <cell r="I17" t="str">
            <v>Travel, accommodation and subsistence</v>
          </cell>
        </row>
        <row r="18">
          <cell r="H18">
            <v>0</v>
          </cell>
          <cell r="I18" t="str">
            <v>Travel, accommodation and subsistence</v>
          </cell>
        </row>
        <row r="19">
          <cell r="H19">
            <v>0</v>
          </cell>
          <cell r="I19" t="str">
            <v>Travel, accommodation and subsistence</v>
          </cell>
        </row>
        <row r="20">
          <cell r="H20">
            <v>0</v>
          </cell>
          <cell r="I20" t="str">
            <v>Travel, accommodation and subsistence</v>
          </cell>
        </row>
        <row r="21">
          <cell r="H21">
            <v>0</v>
          </cell>
          <cell r="I21" t="str">
            <v>Travel, accommodation and subsistence</v>
          </cell>
        </row>
        <row r="22">
          <cell r="H22">
            <v>0</v>
          </cell>
          <cell r="I22" t="str">
            <v>Travel, accommodation and subsistence</v>
          </cell>
        </row>
        <row r="23">
          <cell r="H23">
            <v>0</v>
          </cell>
          <cell r="I23" t="str">
            <v>Travel, accommodation and subsistence</v>
          </cell>
        </row>
        <row r="24">
          <cell r="H24">
            <v>0</v>
          </cell>
          <cell r="I24" t="str">
            <v>Travel, accommodation and subsistence</v>
          </cell>
        </row>
        <row r="25">
          <cell r="H25">
            <v>0</v>
          </cell>
          <cell r="I25" t="str">
            <v>Travel, accommodation and subsistence</v>
          </cell>
        </row>
        <row r="26">
          <cell r="H26">
            <v>0</v>
          </cell>
          <cell r="I26" t="str">
            <v>Travel, accommodation and subsistence</v>
          </cell>
        </row>
        <row r="27">
          <cell r="H27">
            <v>0</v>
          </cell>
          <cell r="I27" t="str">
            <v>Travel, accommodation and subsistence</v>
          </cell>
        </row>
        <row r="28">
          <cell r="H28">
            <v>0</v>
          </cell>
          <cell r="I28" t="str">
            <v>Sundry expenses</v>
          </cell>
        </row>
        <row r="29">
          <cell r="H29">
            <v>0</v>
          </cell>
          <cell r="I29" t="str">
            <v>Sundry expenses</v>
          </cell>
        </row>
        <row r="30">
          <cell r="H30">
            <v>0</v>
          </cell>
          <cell r="I30" t="str">
            <v>Sundry expenses</v>
          </cell>
        </row>
        <row r="31">
          <cell r="H31">
            <v>0</v>
          </cell>
          <cell r="I31" t="str">
            <v>Travel, accommodation and subsistence</v>
          </cell>
        </row>
        <row r="32">
          <cell r="H32">
            <v>0</v>
          </cell>
          <cell r="I32" t="str">
            <v>Travel, accommodation and subsistence</v>
          </cell>
        </row>
        <row r="33">
          <cell r="H33">
            <v>0</v>
          </cell>
          <cell r="I33" t="str">
            <v>Travel, accommodation and subsistence</v>
          </cell>
        </row>
        <row r="34">
          <cell r="H34">
            <v>0</v>
          </cell>
          <cell r="I34" t="str">
            <v>Travel, accommodation and subsistence</v>
          </cell>
        </row>
        <row r="35">
          <cell r="H35">
            <v>0</v>
          </cell>
          <cell r="I35" t="str">
            <v>Travel, accommodation and subsistence</v>
          </cell>
        </row>
        <row r="36">
          <cell r="H36">
            <v>0</v>
          </cell>
          <cell r="I36" t="str">
            <v>Legal and professional fees</v>
          </cell>
        </row>
        <row r="37">
          <cell r="H37">
            <v>0</v>
          </cell>
          <cell r="I37" t="str">
            <v>Motor Travel</v>
          </cell>
        </row>
        <row r="38">
          <cell r="H38">
            <v>0</v>
          </cell>
          <cell r="I38" t="str">
            <v>Travel, accommodation and subsistence</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4327.96</v>
          </cell>
          <cell r="G47">
            <v>10.09</v>
          </cell>
        </row>
      </sheetData>
      <sheetData sheetId="27">
        <row r="5">
          <cell r="D5" t="str">
            <v>Cassel Consulting Limited</v>
          </cell>
        </row>
        <row r="7">
          <cell r="H7">
            <v>19.189999999999998</v>
          </cell>
          <cell r="I7" t="str">
            <v>Telephone &amp; Internet</v>
          </cell>
        </row>
        <row r="8">
          <cell r="H8">
            <v>50</v>
          </cell>
          <cell r="I8" t="str">
            <v>Travel, accommodation and subsistence</v>
          </cell>
        </row>
        <row r="9">
          <cell r="H9">
            <v>50</v>
          </cell>
          <cell r="I9" t="str">
            <v>Travel, accommodation and subsistence</v>
          </cell>
        </row>
        <row r="10">
          <cell r="H10">
            <v>6440.32</v>
          </cell>
          <cell r="I10" t="str">
            <v>Wages and salaries</v>
          </cell>
        </row>
        <row r="11">
          <cell r="H11">
            <v>2408.19</v>
          </cell>
          <cell r="I11" t="str">
            <v>Petty cash drawn/reimbursed</v>
          </cell>
        </row>
        <row r="12">
          <cell r="H12">
            <v>27000</v>
          </cell>
          <cell r="I12" t="str">
            <v>Transfers to other accounts</v>
          </cell>
        </row>
        <row r="13">
          <cell r="H13">
            <v>3899.66</v>
          </cell>
          <cell r="I13" t="str">
            <v>PAYE/National Insurance paid</v>
          </cell>
        </row>
        <row r="14">
          <cell r="H14">
            <v>560</v>
          </cell>
          <cell r="I14" t="str">
            <v>Sundry expenses</v>
          </cell>
        </row>
        <row r="15">
          <cell r="H15">
            <v>5</v>
          </cell>
          <cell r="I15" t="str">
            <v>Bank and credit card charges</v>
          </cell>
        </row>
        <row r="16">
          <cell r="H16">
            <v>17.84</v>
          </cell>
          <cell r="I16" t="str">
            <v>Bank and credit card charges</v>
          </cell>
        </row>
        <row r="17">
          <cell r="H17">
            <v>10000</v>
          </cell>
          <cell r="I17" t="str">
            <v>Transfers to other accounts</v>
          </cell>
        </row>
        <row r="18">
          <cell r="H18">
            <v>2851.1</v>
          </cell>
          <cell r="I18" t="str">
            <v>Legal and professional fees</v>
          </cell>
        </row>
        <row r="19">
          <cell r="H19">
            <v>17.5</v>
          </cell>
          <cell r="I19" t="str">
            <v>Bank and credit card charges</v>
          </cell>
        </row>
        <row r="20">
          <cell r="H20">
            <v>0</v>
          </cell>
          <cell r="I20" t="str">
            <v>Travel, accommodation and subsistence</v>
          </cell>
        </row>
        <row r="21">
          <cell r="H21">
            <v>0</v>
          </cell>
          <cell r="I21" t="str">
            <v>Travel, accommodation and subsistence</v>
          </cell>
        </row>
        <row r="22">
          <cell r="H22">
            <v>0</v>
          </cell>
          <cell r="I22" t="str">
            <v>Entertaining</v>
          </cell>
        </row>
        <row r="23">
          <cell r="H23">
            <v>0</v>
          </cell>
          <cell r="I23" t="str">
            <v>Travel, accommodation and subsistence</v>
          </cell>
        </row>
        <row r="24">
          <cell r="H24">
            <v>0</v>
          </cell>
          <cell r="I24" t="str">
            <v>Travel, accommodation and subsistence</v>
          </cell>
        </row>
        <row r="25">
          <cell r="H25">
            <v>0</v>
          </cell>
          <cell r="I25" t="str">
            <v>Travel, accommodation and subsistence</v>
          </cell>
        </row>
        <row r="26">
          <cell r="H26">
            <v>0</v>
          </cell>
          <cell r="I26" t="str">
            <v>Motor Travel</v>
          </cell>
        </row>
        <row r="27">
          <cell r="H27">
            <v>0</v>
          </cell>
          <cell r="I27" t="str">
            <v>Travel, accommodation and subsistence</v>
          </cell>
        </row>
        <row r="28">
          <cell r="H28">
            <v>0</v>
          </cell>
          <cell r="I28" t="str">
            <v>Travel, accommodation and subsistence</v>
          </cell>
        </row>
        <row r="29">
          <cell r="H29">
            <v>0</v>
          </cell>
          <cell r="I29" t="str">
            <v>Travel, accommodation and subsistence</v>
          </cell>
        </row>
        <row r="30">
          <cell r="H30">
            <v>0</v>
          </cell>
          <cell r="I30" t="str">
            <v>Travel, accommodation and subsistence</v>
          </cell>
        </row>
        <row r="31">
          <cell r="H31">
            <v>0</v>
          </cell>
          <cell r="I31" t="str">
            <v>Travel, accommodation and subsistence</v>
          </cell>
        </row>
        <row r="32">
          <cell r="H32">
            <v>0</v>
          </cell>
          <cell r="I32" t="str">
            <v>Entertaining</v>
          </cell>
        </row>
        <row r="33">
          <cell r="H33">
            <v>0</v>
          </cell>
          <cell r="I33" t="str">
            <v>Travel, accommodation and subsistence</v>
          </cell>
        </row>
        <row r="34">
          <cell r="H34">
            <v>0</v>
          </cell>
          <cell r="I34" t="str">
            <v>Travel, accommodation and subsistence</v>
          </cell>
        </row>
        <row r="35">
          <cell r="H35">
            <v>0</v>
          </cell>
          <cell r="I35" t="str">
            <v>Travel, accommodation and subsistence</v>
          </cell>
        </row>
        <row r="36">
          <cell r="H36">
            <v>0</v>
          </cell>
          <cell r="I36" t="str">
            <v>Motor Travel</v>
          </cell>
        </row>
        <row r="37">
          <cell r="H37">
            <v>0</v>
          </cell>
          <cell r="I37" t="str">
            <v>Travel, accommodation and subsistence</v>
          </cell>
        </row>
        <row r="38">
          <cell r="H38">
            <v>0</v>
          </cell>
          <cell r="I38" t="str">
            <v>Travel, accommodation and subsistence</v>
          </cell>
        </row>
        <row r="39">
          <cell r="H39">
            <v>0</v>
          </cell>
          <cell r="I39" t="str">
            <v>Motor Travel</v>
          </cell>
        </row>
        <row r="40">
          <cell r="H40">
            <v>0</v>
          </cell>
          <cell r="I40" t="str">
            <v>Telephone &amp; Internet</v>
          </cell>
        </row>
        <row r="41">
          <cell r="H41">
            <v>0</v>
          </cell>
          <cell r="I41" t="str">
            <v>Telephone &amp; Internet</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53322.15</v>
          </cell>
          <cell r="G47">
            <v>3.35</v>
          </cell>
        </row>
      </sheetData>
      <sheetData sheetId="28">
        <row r="5">
          <cell r="D5" t="str">
            <v>Cassel Consulting Limited</v>
          </cell>
        </row>
        <row r="7">
          <cell r="H7">
            <v>341.5</v>
          </cell>
          <cell r="I7" t="str">
            <v>Travel, accommodation and subsistence</v>
          </cell>
        </row>
        <row r="8">
          <cell r="H8">
            <v>175.5</v>
          </cell>
          <cell r="I8" t="str">
            <v>Travel, accommodation and subsistence</v>
          </cell>
        </row>
        <row r="9">
          <cell r="H9">
            <v>5.05</v>
          </cell>
          <cell r="I9" t="str">
            <v>Travel, accommodation and subsistence</v>
          </cell>
        </row>
        <row r="10">
          <cell r="H10">
            <v>11.7</v>
          </cell>
          <cell r="I10" t="str">
            <v>Travel, accommodation and subsistence</v>
          </cell>
        </row>
        <row r="11">
          <cell r="H11">
            <v>9.36</v>
          </cell>
          <cell r="I11" t="str">
            <v>Travel, accommodation and subsistence</v>
          </cell>
        </row>
        <row r="12">
          <cell r="H12">
            <v>7.96</v>
          </cell>
          <cell r="I12" t="str">
            <v>Travel, accommodation and subsistence</v>
          </cell>
        </row>
        <row r="13">
          <cell r="H13">
            <v>1.03</v>
          </cell>
          <cell r="I13" t="str">
            <v>Travel, accommodation and subsistence</v>
          </cell>
        </row>
        <row r="14">
          <cell r="H14">
            <v>1.03</v>
          </cell>
          <cell r="I14" t="str">
            <v>Travel, accommodation and subsistence</v>
          </cell>
        </row>
        <row r="15">
          <cell r="H15">
            <v>3.84</v>
          </cell>
          <cell r="I15" t="str">
            <v>Travel, accommodation and subsistence</v>
          </cell>
        </row>
        <row r="16">
          <cell r="H16">
            <v>1.92</v>
          </cell>
          <cell r="I16" t="str">
            <v>Travel, accommodation and subsistence</v>
          </cell>
        </row>
        <row r="17">
          <cell r="H17">
            <v>3.23</v>
          </cell>
          <cell r="I17" t="str">
            <v>Travel, accommodation and subsistence</v>
          </cell>
        </row>
        <row r="18">
          <cell r="H18">
            <v>171.5</v>
          </cell>
          <cell r="I18" t="str">
            <v>Travel, accommodation and subsistence</v>
          </cell>
        </row>
        <row r="19">
          <cell r="H19">
            <v>74.5</v>
          </cell>
          <cell r="I19" t="str">
            <v>Travel, accommodation and subsistence</v>
          </cell>
        </row>
        <row r="20">
          <cell r="H20">
            <v>1.03</v>
          </cell>
          <cell r="I20" t="str">
            <v>Travel, accommodation and subsistence</v>
          </cell>
        </row>
        <row r="21">
          <cell r="H21">
            <v>1.03</v>
          </cell>
          <cell r="I21" t="str">
            <v>Travel, accommodation and subsistence</v>
          </cell>
        </row>
        <row r="22">
          <cell r="H22">
            <v>4.53</v>
          </cell>
          <cell r="I22" t="str">
            <v>Travel, accommodation and subsistence</v>
          </cell>
        </row>
        <row r="23">
          <cell r="H23">
            <v>8.19</v>
          </cell>
          <cell r="I23" t="str">
            <v>Travel, accommodation and subsistence</v>
          </cell>
        </row>
        <row r="24">
          <cell r="H24">
            <v>1.03</v>
          </cell>
          <cell r="I24" t="str">
            <v>Travel, accommodation and subsistence</v>
          </cell>
        </row>
        <row r="25">
          <cell r="H25">
            <v>1.03</v>
          </cell>
          <cell r="I25" t="str">
            <v>Travel, accommodation and subsistence</v>
          </cell>
        </row>
        <row r="26">
          <cell r="H26">
            <v>4.07</v>
          </cell>
          <cell r="I26" t="str">
            <v>Travel, accommodation and subsistence</v>
          </cell>
        </row>
        <row r="27">
          <cell r="H27">
            <v>7.09</v>
          </cell>
          <cell r="I27" t="str">
            <v>Travel, accommodation and subsistence</v>
          </cell>
        </row>
        <row r="28">
          <cell r="H28">
            <v>132</v>
          </cell>
          <cell r="I28" t="str">
            <v>Sundry expenses</v>
          </cell>
        </row>
        <row r="29">
          <cell r="H29">
            <v>75</v>
          </cell>
          <cell r="I29" t="str">
            <v>Sundry expenses</v>
          </cell>
        </row>
        <row r="30">
          <cell r="H30">
            <v>260</v>
          </cell>
          <cell r="I30" t="str">
            <v>Sundry expenses</v>
          </cell>
        </row>
        <row r="31">
          <cell r="H31">
            <v>1.03</v>
          </cell>
          <cell r="I31" t="str">
            <v>Travel, accommodation and subsistence</v>
          </cell>
        </row>
        <row r="32">
          <cell r="H32">
            <v>1.03</v>
          </cell>
          <cell r="I32" t="str">
            <v>Travel, accommodation and subsistence</v>
          </cell>
        </row>
        <row r="33">
          <cell r="H33">
            <v>4.45</v>
          </cell>
          <cell r="I33" t="str">
            <v>Travel, accommodation and subsistence</v>
          </cell>
        </row>
        <row r="34">
          <cell r="H34">
            <v>3.51</v>
          </cell>
          <cell r="I34" t="str">
            <v>Travel, accommodation and subsistence</v>
          </cell>
        </row>
        <row r="35">
          <cell r="H35">
            <v>68.09</v>
          </cell>
          <cell r="I35" t="str">
            <v>Travel, accommodation and subsistence</v>
          </cell>
        </row>
        <row r="36">
          <cell r="H36">
            <v>350</v>
          </cell>
          <cell r="I36" t="str">
            <v>Legal and professional fees</v>
          </cell>
        </row>
        <row r="37">
          <cell r="H37">
            <v>53.6</v>
          </cell>
          <cell r="I37" t="str">
            <v>Motor Travel</v>
          </cell>
        </row>
        <row r="38">
          <cell r="H38">
            <v>224.61</v>
          </cell>
          <cell r="I38" t="str">
            <v>Travel, accommodation and subsistence</v>
          </cell>
        </row>
        <row r="39">
          <cell r="H39">
            <v>146.30000000000001</v>
          </cell>
          <cell r="I39" t="str">
            <v>Travel, accommodation and subsistence</v>
          </cell>
        </row>
        <row r="40">
          <cell r="H40">
            <v>366.3</v>
          </cell>
          <cell r="I40" t="str">
            <v>Travel, accommodation and subsistence</v>
          </cell>
        </row>
        <row r="41">
          <cell r="H41">
            <v>5.5</v>
          </cell>
          <cell r="I41" t="str">
            <v>Travel, accommodation and subsistence</v>
          </cell>
        </row>
        <row r="42">
          <cell r="H42">
            <v>11.63</v>
          </cell>
          <cell r="I42" t="str">
            <v>Travel, accommodation and subsistence</v>
          </cell>
        </row>
        <row r="43">
          <cell r="H43">
            <v>1.02</v>
          </cell>
          <cell r="I43" t="str">
            <v>Travel, accommodation and subsistence</v>
          </cell>
        </row>
        <row r="44">
          <cell r="H44">
            <v>10.24</v>
          </cell>
          <cell r="I44" t="str">
            <v>Travel, accommodation and subsistence</v>
          </cell>
        </row>
        <row r="45">
          <cell r="H45">
            <v>5.58</v>
          </cell>
          <cell r="I45" t="str">
            <v>Travel, accommodation and subsistence</v>
          </cell>
        </row>
        <row r="46">
          <cell r="H46">
            <v>12.75</v>
          </cell>
          <cell r="I46" t="str">
            <v>Travel, accommodation and subsistence</v>
          </cell>
        </row>
        <row r="47">
          <cell r="F47">
            <v>2641.92</v>
          </cell>
          <cell r="G47">
            <v>73.16</v>
          </cell>
        </row>
      </sheetData>
      <sheetData sheetId="29">
        <row r="7">
          <cell r="H7">
            <v>5.05</v>
          </cell>
          <cell r="I7" t="str">
            <v>Travel, accommodation and subsistence</v>
          </cell>
        </row>
        <row r="8">
          <cell r="H8">
            <v>11.56</v>
          </cell>
          <cell r="I8" t="str">
            <v>Travel, accommodation and subsistence</v>
          </cell>
        </row>
        <row r="9">
          <cell r="H9">
            <v>1.02</v>
          </cell>
          <cell r="I9" t="str">
            <v>Travel, accommodation and subsistence</v>
          </cell>
        </row>
        <row r="10">
          <cell r="H10">
            <v>3.47</v>
          </cell>
          <cell r="I10" t="str">
            <v>Travel, accommodation and subsistence</v>
          </cell>
        </row>
        <row r="11">
          <cell r="H11">
            <v>5.57</v>
          </cell>
          <cell r="I11" t="str">
            <v>Travel, accommodation and subsistence</v>
          </cell>
        </row>
        <row r="12">
          <cell r="H12">
            <v>1.02</v>
          </cell>
          <cell r="I12" t="str">
            <v>Travel, accommodation and subsistence</v>
          </cell>
        </row>
        <row r="13">
          <cell r="H13">
            <v>1.02</v>
          </cell>
          <cell r="I13" t="str">
            <v>Travel, accommodation and subsistence</v>
          </cell>
        </row>
        <row r="14">
          <cell r="H14">
            <v>2.2200000000000002</v>
          </cell>
          <cell r="I14" t="str">
            <v>Travel, accommodation and subsistence</v>
          </cell>
        </row>
        <row r="15">
          <cell r="H15">
            <v>2.77</v>
          </cell>
          <cell r="I15" t="str">
            <v>Travel, accommodation and subsistence</v>
          </cell>
        </row>
        <row r="16">
          <cell r="H16">
            <v>1.94</v>
          </cell>
          <cell r="I16" t="str">
            <v>Travel, accommodation and subsistence</v>
          </cell>
        </row>
        <row r="17">
          <cell r="H17">
            <v>1.02</v>
          </cell>
          <cell r="I17" t="str">
            <v>Travel, accommodation and subsistence</v>
          </cell>
        </row>
        <row r="18">
          <cell r="H18">
            <v>1.02</v>
          </cell>
          <cell r="I18" t="str">
            <v>Travel, accommodation and subsistence</v>
          </cell>
        </row>
        <row r="19">
          <cell r="H19">
            <v>6.86</v>
          </cell>
          <cell r="I19" t="str">
            <v>Travel, accommodation and subsistence</v>
          </cell>
        </row>
        <row r="20">
          <cell r="H20">
            <v>4.04</v>
          </cell>
          <cell r="I20" t="str">
            <v>Travel, accommodation and subsistence</v>
          </cell>
        </row>
        <row r="21">
          <cell r="H21">
            <v>1.02</v>
          </cell>
          <cell r="I21" t="str">
            <v>Travel, accommodation and subsistence</v>
          </cell>
        </row>
        <row r="22">
          <cell r="H22">
            <v>1.02</v>
          </cell>
          <cell r="I22" t="str">
            <v>Travel, accommodation and subsistence</v>
          </cell>
        </row>
        <row r="23">
          <cell r="H23">
            <v>3.14</v>
          </cell>
          <cell r="I23" t="str">
            <v>Travel, accommodation and subsistence</v>
          </cell>
        </row>
        <row r="24">
          <cell r="H24">
            <v>2.2200000000000002</v>
          </cell>
          <cell r="I24" t="str">
            <v>Travel, accommodation and subsistence</v>
          </cell>
        </row>
        <row r="25">
          <cell r="H25">
            <v>2.08</v>
          </cell>
          <cell r="I25" t="str">
            <v>Travel, accommodation and subsistence</v>
          </cell>
        </row>
        <row r="26">
          <cell r="H26">
            <v>183.05</v>
          </cell>
          <cell r="I26" t="str">
            <v>Travel, accommodation and subsistence</v>
          </cell>
        </row>
        <row r="27">
          <cell r="H27">
            <v>1.02</v>
          </cell>
          <cell r="I27" t="str">
            <v>Travel, accommodation and subsistence</v>
          </cell>
        </row>
        <row r="28">
          <cell r="H28">
            <v>1.02</v>
          </cell>
          <cell r="I28" t="str">
            <v>Travel, accommodation and subsistence</v>
          </cell>
        </row>
        <row r="29">
          <cell r="H29">
            <v>2.13</v>
          </cell>
          <cell r="I29" t="str">
            <v>Travel, accommodation and subsistence</v>
          </cell>
        </row>
        <row r="30">
          <cell r="H30">
            <v>3.47</v>
          </cell>
          <cell r="I30" t="str">
            <v>Travel, accommodation and subsistence</v>
          </cell>
        </row>
        <row r="31">
          <cell r="H31">
            <v>72.34</v>
          </cell>
          <cell r="I31" t="str">
            <v>Travel, accommodation and subsistence</v>
          </cell>
        </row>
        <row r="32">
          <cell r="H32">
            <v>52.8</v>
          </cell>
          <cell r="I32" t="str">
            <v>Motor Travel</v>
          </cell>
        </row>
        <row r="33">
          <cell r="H33">
            <v>122.2</v>
          </cell>
          <cell r="I33" t="str">
            <v>Travel, accommodation and subsistence</v>
          </cell>
        </row>
        <row r="34">
          <cell r="H34">
            <v>102.2</v>
          </cell>
          <cell r="I34" t="str">
            <v>Travel, accommodation and subsistence</v>
          </cell>
        </row>
        <row r="35">
          <cell r="H35">
            <v>2.52</v>
          </cell>
          <cell r="I35" t="str">
            <v>Printing, postage and stationery</v>
          </cell>
        </row>
        <row r="36">
          <cell r="H36">
            <v>5.05</v>
          </cell>
          <cell r="I36" t="str">
            <v>Travel, accommodation and subsistence</v>
          </cell>
        </row>
        <row r="37">
          <cell r="H37">
            <v>11.52</v>
          </cell>
          <cell r="I37" t="str">
            <v>Travel, accommodation and subsistence</v>
          </cell>
        </row>
        <row r="38">
          <cell r="H38">
            <v>1.01</v>
          </cell>
          <cell r="I38" t="str">
            <v>Travel, accommodation and subsistence</v>
          </cell>
        </row>
        <row r="39">
          <cell r="H39">
            <v>1.01</v>
          </cell>
          <cell r="I39" t="str">
            <v>Travel, accommodation and subsistence</v>
          </cell>
        </row>
        <row r="40">
          <cell r="H40">
            <v>1.01</v>
          </cell>
          <cell r="I40" t="str">
            <v>Travel, accommodation and subsistence</v>
          </cell>
        </row>
        <row r="41">
          <cell r="H41">
            <v>3.13</v>
          </cell>
          <cell r="I41" t="str">
            <v>Travel, accommodation and subsistence</v>
          </cell>
        </row>
        <row r="42">
          <cell r="H42">
            <v>4.6100000000000003</v>
          </cell>
          <cell r="I42" t="str">
            <v>Travel, accommodation and subsistence</v>
          </cell>
        </row>
        <row r="43">
          <cell r="H43">
            <v>1.01</v>
          </cell>
          <cell r="I43" t="str">
            <v>Travel, accommodation and subsistence</v>
          </cell>
        </row>
        <row r="44">
          <cell r="H44">
            <v>1.01</v>
          </cell>
          <cell r="I44" t="str">
            <v>Travel, accommodation and subsistence</v>
          </cell>
        </row>
        <row r="45">
          <cell r="H45">
            <v>5.76</v>
          </cell>
          <cell r="I45" t="str">
            <v>Travel, accommodation and subsistence</v>
          </cell>
        </row>
        <row r="46">
          <cell r="H46">
            <v>3.46</v>
          </cell>
          <cell r="I46" t="str">
            <v>Travel, accommodation and subsistence</v>
          </cell>
        </row>
        <row r="47">
          <cell r="F47">
            <v>652.49</v>
          </cell>
          <cell r="G47">
            <v>13.1</v>
          </cell>
        </row>
      </sheetData>
      <sheetData sheetId="30">
        <row r="7">
          <cell r="H7">
            <v>11.21</v>
          </cell>
          <cell r="I7" t="str">
            <v>Travel, accommodation and subsistence</v>
          </cell>
        </row>
        <row r="8">
          <cell r="H8">
            <v>0.99</v>
          </cell>
          <cell r="I8" t="str">
            <v>Travel, accommodation and subsistence</v>
          </cell>
        </row>
        <row r="9">
          <cell r="H9">
            <v>5.65</v>
          </cell>
          <cell r="I9" t="str">
            <v>Travel, accommodation and subsistence</v>
          </cell>
        </row>
        <row r="10">
          <cell r="H10">
            <v>3.86</v>
          </cell>
          <cell r="I10" t="str">
            <v>Travel, accommodation and subsistence</v>
          </cell>
        </row>
        <row r="11">
          <cell r="H11">
            <v>0.99</v>
          </cell>
          <cell r="I11" t="str">
            <v>Travel, accommodation and subsistence</v>
          </cell>
        </row>
        <row r="12">
          <cell r="H12">
            <v>0.99</v>
          </cell>
          <cell r="I12" t="str">
            <v>Travel, accommodation and subsistence</v>
          </cell>
        </row>
        <row r="13">
          <cell r="H13">
            <v>1.52</v>
          </cell>
          <cell r="I13" t="str">
            <v>Travel, accommodation and subsistence</v>
          </cell>
        </row>
        <row r="14">
          <cell r="H14">
            <v>3.52</v>
          </cell>
          <cell r="I14" t="str">
            <v>Travel, accommodation and subsistence</v>
          </cell>
        </row>
        <row r="15">
          <cell r="H15">
            <v>0.99</v>
          </cell>
          <cell r="I15" t="str">
            <v>Travel, accommodation and subsistence</v>
          </cell>
        </row>
        <row r="16">
          <cell r="H16">
            <v>0.99</v>
          </cell>
          <cell r="I16" t="str">
            <v>Travel, accommodation and subsistence</v>
          </cell>
        </row>
        <row r="17">
          <cell r="H17">
            <v>2.69</v>
          </cell>
          <cell r="I17" t="str">
            <v>Travel, accommodation and subsistence</v>
          </cell>
        </row>
        <row r="18">
          <cell r="H18">
            <v>3.56</v>
          </cell>
          <cell r="I18" t="str">
            <v>Travel, accommodation and subsistence</v>
          </cell>
        </row>
        <row r="19">
          <cell r="H19">
            <v>0.99</v>
          </cell>
          <cell r="I19" t="str">
            <v>Travel, accommodation and subsistence</v>
          </cell>
        </row>
        <row r="20">
          <cell r="H20">
            <v>5.74</v>
          </cell>
          <cell r="I20" t="str">
            <v>Travel, accommodation and subsistence</v>
          </cell>
        </row>
        <row r="21">
          <cell r="H21">
            <v>14.34</v>
          </cell>
          <cell r="I21" t="str">
            <v>Travel, accommodation and subsistence</v>
          </cell>
        </row>
        <row r="22">
          <cell r="H22">
            <v>177.5</v>
          </cell>
          <cell r="I22" t="str">
            <v>Travel, accommodation and subsistence</v>
          </cell>
        </row>
        <row r="23">
          <cell r="H23">
            <v>0.99</v>
          </cell>
          <cell r="I23" t="str">
            <v>Travel, accommodation and subsistence</v>
          </cell>
        </row>
        <row r="24">
          <cell r="H24">
            <v>0.99</v>
          </cell>
          <cell r="I24" t="str">
            <v>Travel, accommodation and subsistence</v>
          </cell>
        </row>
        <row r="25">
          <cell r="H25">
            <v>4.4400000000000004</v>
          </cell>
          <cell r="I25" t="str">
            <v>Travel, accommodation and subsistence</v>
          </cell>
        </row>
        <row r="26">
          <cell r="H26">
            <v>2.42</v>
          </cell>
          <cell r="I26" t="str">
            <v>Travel, accommodation and subsistence</v>
          </cell>
        </row>
        <row r="27">
          <cell r="H27">
            <v>3.36</v>
          </cell>
          <cell r="I27" t="str">
            <v>Travel, accommodation and subsistence</v>
          </cell>
        </row>
        <row r="28">
          <cell r="H28">
            <v>72.34</v>
          </cell>
          <cell r="I28" t="str">
            <v>Travel, accommodation and subsistence</v>
          </cell>
        </row>
        <row r="29">
          <cell r="H29">
            <v>52.8</v>
          </cell>
          <cell r="I29" t="str">
            <v>Travel, accommodation and subsistence</v>
          </cell>
        </row>
        <row r="30">
          <cell r="H30">
            <v>11.22</v>
          </cell>
          <cell r="I30" t="str">
            <v>Travel, accommodation and subsistence</v>
          </cell>
        </row>
        <row r="31">
          <cell r="H31">
            <v>0.99</v>
          </cell>
          <cell r="I31" t="str">
            <v>Travel, accommodation and subsistence</v>
          </cell>
        </row>
        <row r="32">
          <cell r="H32">
            <v>0.99</v>
          </cell>
          <cell r="I32" t="str">
            <v>Travel, accommodation and subsistence</v>
          </cell>
        </row>
        <row r="33">
          <cell r="H33">
            <v>0.99</v>
          </cell>
          <cell r="I33" t="str">
            <v>Travel, accommodation and subsistence</v>
          </cell>
        </row>
        <row r="34">
          <cell r="H34">
            <v>2.15</v>
          </cell>
          <cell r="I34" t="str">
            <v>Travel, accommodation and subsistence</v>
          </cell>
        </row>
        <row r="35">
          <cell r="H35">
            <v>2.2400000000000002</v>
          </cell>
          <cell r="I35" t="str">
            <v>Travel, accommodation and subsistence</v>
          </cell>
        </row>
        <row r="36">
          <cell r="H36">
            <v>4.4000000000000004</v>
          </cell>
          <cell r="I36" t="str">
            <v>Travel, accommodation and subsistence</v>
          </cell>
        </row>
        <row r="37">
          <cell r="H37">
            <v>0.99</v>
          </cell>
          <cell r="I37" t="str">
            <v>Travel, accommodation and subsistence</v>
          </cell>
        </row>
        <row r="38">
          <cell r="H38">
            <v>0.99</v>
          </cell>
          <cell r="I38" t="str">
            <v>Travel, accommodation and subsistence</v>
          </cell>
        </row>
        <row r="39">
          <cell r="H39">
            <v>3.77</v>
          </cell>
          <cell r="I39" t="str">
            <v>Travel, accommodation and subsistence</v>
          </cell>
        </row>
        <row r="40">
          <cell r="H40">
            <v>3.05</v>
          </cell>
          <cell r="I40" t="str">
            <v>Travel, accommodation and subsistence</v>
          </cell>
        </row>
        <row r="41">
          <cell r="H41">
            <v>3.93</v>
          </cell>
          <cell r="I41" t="str">
            <v>Travel, accommodation and subsistence</v>
          </cell>
        </row>
        <row r="42">
          <cell r="H42">
            <v>0.99</v>
          </cell>
          <cell r="I42" t="str">
            <v>Travel, accommodation and subsistence</v>
          </cell>
        </row>
        <row r="43">
          <cell r="H43">
            <v>0.99</v>
          </cell>
          <cell r="I43" t="str">
            <v>Travel, accommodation and subsistence</v>
          </cell>
        </row>
        <row r="44">
          <cell r="H44">
            <v>2.06</v>
          </cell>
          <cell r="I44" t="str">
            <v>Travel, accommodation and subsistence</v>
          </cell>
        </row>
        <row r="45">
          <cell r="H45">
            <v>2.63</v>
          </cell>
          <cell r="I45" t="str">
            <v>Travel, accommodation and subsistence</v>
          </cell>
        </row>
        <row r="46">
          <cell r="H46">
            <v>3.37</v>
          </cell>
          <cell r="I46" t="str">
            <v>Travel, accommodation and subsistence</v>
          </cell>
        </row>
        <row r="47">
          <cell r="F47">
            <v>431.28000000000009</v>
          </cell>
          <cell r="G47">
            <v>12.66</v>
          </cell>
        </row>
      </sheetData>
      <sheetData sheetId="31">
        <row r="7">
          <cell r="H7">
            <v>7.8199999999999994</v>
          </cell>
          <cell r="I7" t="str">
            <v>Printing, postage and stationery</v>
          </cell>
        </row>
        <row r="8">
          <cell r="H8">
            <v>6.43</v>
          </cell>
          <cell r="I8" t="str">
            <v>Printing, postage and stationery</v>
          </cell>
        </row>
        <row r="9">
          <cell r="H9">
            <v>5.05</v>
          </cell>
          <cell r="I9" t="str">
            <v>Travel, accommodation and subsistence</v>
          </cell>
        </row>
        <row r="10">
          <cell r="H10">
            <v>11.24</v>
          </cell>
          <cell r="I10" t="str">
            <v>Travel, accommodation and subsistence</v>
          </cell>
        </row>
        <row r="11">
          <cell r="H11">
            <v>0.99</v>
          </cell>
          <cell r="I11" t="str">
            <v>Travel, accommodation and subsistence</v>
          </cell>
        </row>
        <row r="12">
          <cell r="H12">
            <v>5.87</v>
          </cell>
          <cell r="I12" t="str">
            <v>Travel, accommodation and subsistence</v>
          </cell>
        </row>
        <row r="13">
          <cell r="H13">
            <v>4.45</v>
          </cell>
          <cell r="I13" t="str">
            <v>Travel, accommodation and subsistence</v>
          </cell>
        </row>
        <row r="14">
          <cell r="H14">
            <v>0.99</v>
          </cell>
          <cell r="I14" t="str">
            <v>Travel, accommodation and subsistence</v>
          </cell>
        </row>
        <row r="15">
          <cell r="H15">
            <v>0.99</v>
          </cell>
          <cell r="I15" t="str">
            <v>Travel, accommodation and subsistence</v>
          </cell>
        </row>
        <row r="16">
          <cell r="H16">
            <v>2.88</v>
          </cell>
          <cell r="I16" t="str">
            <v>Travel, accommodation and subsistence</v>
          </cell>
        </row>
        <row r="17">
          <cell r="H17">
            <v>2.4500000000000002</v>
          </cell>
          <cell r="I17" t="str">
            <v>Travel, accommodation and subsistence</v>
          </cell>
        </row>
        <row r="18">
          <cell r="H18">
            <v>0.99</v>
          </cell>
          <cell r="I18" t="str">
            <v>Travel, accommodation and subsistence</v>
          </cell>
        </row>
        <row r="19">
          <cell r="H19">
            <v>0.99</v>
          </cell>
          <cell r="I19" t="str">
            <v>Travel, accommodation and subsistence</v>
          </cell>
        </row>
        <row r="20">
          <cell r="H20">
            <v>2.16</v>
          </cell>
          <cell r="I20" t="str">
            <v>Travel, accommodation and subsistence</v>
          </cell>
        </row>
        <row r="21">
          <cell r="H21">
            <v>2.83</v>
          </cell>
          <cell r="I21" t="str">
            <v>Travel, accommodation and subsistence</v>
          </cell>
        </row>
        <row r="22">
          <cell r="H22">
            <v>3.55</v>
          </cell>
          <cell r="I22" t="str">
            <v>Travel, accommodation and subsistence</v>
          </cell>
        </row>
        <row r="23">
          <cell r="H23">
            <v>133.54</v>
          </cell>
          <cell r="I23" t="str">
            <v>Travel, accommodation and subsistence</v>
          </cell>
        </row>
        <row r="24">
          <cell r="H24">
            <v>0.99</v>
          </cell>
          <cell r="I24" t="str">
            <v>Travel, accommodation and subsistence</v>
          </cell>
        </row>
        <row r="25">
          <cell r="H25">
            <v>0.99</v>
          </cell>
          <cell r="I25" t="str">
            <v>Travel, accommodation and subsistence</v>
          </cell>
        </row>
        <row r="26">
          <cell r="H26">
            <v>1.93</v>
          </cell>
          <cell r="I26" t="str">
            <v>Travel, accommodation and subsistence</v>
          </cell>
        </row>
        <row r="27">
          <cell r="H27">
            <v>3.37</v>
          </cell>
          <cell r="I27" t="str">
            <v>Travel, accommodation and subsistence</v>
          </cell>
        </row>
        <row r="28">
          <cell r="H28">
            <v>57.87</v>
          </cell>
          <cell r="I28" t="str">
            <v>Travel, accommodation and subsistence</v>
          </cell>
        </row>
        <row r="29">
          <cell r="H29">
            <v>53.6</v>
          </cell>
          <cell r="I29" t="str">
            <v>Motor Travel</v>
          </cell>
        </row>
        <row r="30">
          <cell r="H30">
            <v>1350.9399999999998</v>
          </cell>
          <cell r="I30" t="str">
            <v>Accountancy fees</v>
          </cell>
        </row>
        <row r="31">
          <cell r="H31">
            <v>411.25</v>
          </cell>
          <cell r="I31" t="str">
            <v>Sundry expenses</v>
          </cell>
        </row>
        <row r="32">
          <cell r="H32">
            <v>5.05</v>
          </cell>
          <cell r="I32" t="str">
            <v>Travel, accommodation and subsistence</v>
          </cell>
        </row>
        <row r="33">
          <cell r="H33">
            <v>11.39</v>
          </cell>
          <cell r="I33" t="str">
            <v>Travel, accommodation and subsistence</v>
          </cell>
        </row>
        <row r="34">
          <cell r="H34">
            <v>1</v>
          </cell>
          <cell r="I34" t="str">
            <v>Travel, accommodation and subsistence</v>
          </cell>
        </row>
        <row r="35">
          <cell r="H35">
            <v>4.53</v>
          </cell>
          <cell r="I35" t="str">
            <v>Travel, accommodation and subsistence</v>
          </cell>
        </row>
        <row r="36">
          <cell r="H36">
            <v>1</v>
          </cell>
          <cell r="I36" t="str">
            <v>Travel, accommodation and subsistence</v>
          </cell>
        </row>
        <row r="37">
          <cell r="H37">
            <v>2.1</v>
          </cell>
          <cell r="I37" t="str">
            <v>Travel, accommodation and subsistence</v>
          </cell>
        </row>
        <row r="38">
          <cell r="H38">
            <v>14.57</v>
          </cell>
          <cell r="I38" t="str">
            <v>Travel, accommodation and subsistence</v>
          </cell>
        </row>
        <row r="39">
          <cell r="H39">
            <v>1</v>
          </cell>
          <cell r="I39" t="str">
            <v>Travel, accommodation and subsistence</v>
          </cell>
        </row>
        <row r="40">
          <cell r="H40">
            <v>1</v>
          </cell>
          <cell r="I40" t="str">
            <v>Travel, accommodation and subsistence</v>
          </cell>
        </row>
        <row r="41">
          <cell r="H41">
            <v>6.31</v>
          </cell>
          <cell r="I41" t="str">
            <v>Travel, accommodation and subsistence</v>
          </cell>
        </row>
        <row r="42">
          <cell r="H42">
            <v>6.65</v>
          </cell>
          <cell r="I42" t="str">
            <v>Travel, accommodation and subsistence</v>
          </cell>
        </row>
        <row r="43">
          <cell r="H43">
            <v>1</v>
          </cell>
          <cell r="I43" t="str">
            <v>Travel, accommodation and subsistence</v>
          </cell>
        </row>
        <row r="44">
          <cell r="H44">
            <v>1</v>
          </cell>
          <cell r="I44" t="str">
            <v>Travel, accommodation and subsistence</v>
          </cell>
        </row>
        <row r="45">
          <cell r="H45">
            <v>5.01</v>
          </cell>
          <cell r="I45" t="str">
            <v>Travel, accommodation and subsistence</v>
          </cell>
        </row>
        <row r="46">
          <cell r="H46">
            <v>1.23</v>
          </cell>
          <cell r="I46" t="str">
            <v>Travel, accommodation and subsistence</v>
          </cell>
        </row>
        <row r="47">
          <cell r="F47">
            <v>2384.9100000000003</v>
          </cell>
          <cell r="G47">
            <v>247.91</v>
          </cell>
        </row>
      </sheetData>
      <sheetData sheetId="32">
        <row r="7">
          <cell r="H7">
            <v>8.5</v>
          </cell>
          <cell r="I7" t="str">
            <v>Telephone &amp; Internet</v>
          </cell>
        </row>
        <row r="8">
          <cell r="H8">
            <v>47.66</v>
          </cell>
          <cell r="I8" t="str">
            <v>Printing, postage and stationery</v>
          </cell>
        </row>
        <row r="9">
          <cell r="H9">
            <v>21.6</v>
          </cell>
          <cell r="I9" t="str">
            <v>Motor Travel</v>
          </cell>
        </row>
        <row r="10">
          <cell r="H10">
            <v>19.57</v>
          </cell>
          <cell r="I10" t="str">
            <v>Sundry expenses</v>
          </cell>
        </row>
        <row r="11">
          <cell r="H11">
            <v>346.4</v>
          </cell>
          <cell r="I11" t="str">
            <v>Travel, accommodation and subsistence</v>
          </cell>
        </row>
        <row r="12">
          <cell r="H12">
            <v>8.3000000000000007</v>
          </cell>
          <cell r="I12" t="str">
            <v>Telephone &amp; Internet</v>
          </cell>
        </row>
        <row r="13">
          <cell r="H13">
            <v>22</v>
          </cell>
          <cell r="I13" t="str">
            <v>Motor Travel</v>
          </cell>
        </row>
        <row r="14">
          <cell r="H14">
            <v>21.6</v>
          </cell>
          <cell r="I14" t="str">
            <v>Motor Travel</v>
          </cell>
        </row>
        <row r="15">
          <cell r="H15">
            <v>22.8</v>
          </cell>
          <cell r="I15" t="str">
            <v>Motor Travel</v>
          </cell>
        </row>
        <row r="16">
          <cell r="H16">
            <v>22</v>
          </cell>
          <cell r="I16" t="str">
            <v>Motor Travel</v>
          </cell>
        </row>
        <row r="17">
          <cell r="H17">
            <v>76.5</v>
          </cell>
          <cell r="I17" t="str">
            <v>Entertaining</v>
          </cell>
        </row>
        <row r="18">
          <cell r="H18">
            <v>35.200000000000003</v>
          </cell>
          <cell r="I18" t="str">
            <v>Travel, accommodation and subsistence</v>
          </cell>
        </row>
        <row r="19">
          <cell r="H19">
            <v>285.31</v>
          </cell>
          <cell r="I19" t="str">
            <v>Travel, accommodation and subsistence</v>
          </cell>
        </row>
        <row r="20">
          <cell r="H20">
            <v>10.88</v>
          </cell>
          <cell r="I20" t="str">
            <v>Travel, accommodation and subsistence</v>
          </cell>
        </row>
        <row r="21">
          <cell r="H21">
            <v>57.87</v>
          </cell>
          <cell r="I21" t="str">
            <v>Travel, accommodation and subsistence</v>
          </cell>
        </row>
        <row r="22">
          <cell r="H22">
            <v>52.4</v>
          </cell>
          <cell r="I22" t="str">
            <v>Travel, accommodation and subsistence</v>
          </cell>
        </row>
        <row r="23">
          <cell r="H23">
            <v>18.48</v>
          </cell>
          <cell r="I23" t="str">
            <v>Telephone &amp; Internet</v>
          </cell>
        </row>
        <row r="24">
          <cell r="H24">
            <v>136.32</v>
          </cell>
          <cell r="I24" t="str">
            <v>Telephone &amp; Internet</v>
          </cell>
        </row>
        <row r="25">
          <cell r="H25">
            <v>0</v>
          </cell>
          <cell r="I25" t="str">
            <v>Travel, accommodation and subsistence</v>
          </cell>
        </row>
        <row r="26">
          <cell r="H26">
            <v>0</v>
          </cell>
          <cell r="I26" t="str">
            <v>Travel, accommodation and subsistence</v>
          </cell>
        </row>
        <row r="27">
          <cell r="H27">
            <v>0</v>
          </cell>
          <cell r="I27" t="str">
            <v>Travel, accommodation and subsistence</v>
          </cell>
        </row>
        <row r="28">
          <cell r="H28">
            <v>0</v>
          </cell>
          <cell r="I28" t="str">
            <v>Motor Travel</v>
          </cell>
        </row>
        <row r="29">
          <cell r="H29">
            <v>0</v>
          </cell>
          <cell r="I29" t="str">
            <v>Telephone &amp; Internet</v>
          </cell>
        </row>
        <row r="30">
          <cell r="H30">
            <v>0</v>
          </cell>
          <cell r="I30" t="str">
            <v>Motor Travel</v>
          </cell>
        </row>
        <row r="31">
          <cell r="H31">
            <v>0</v>
          </cell>
          <cell r="I31" t="str">
            <v>Motor Travel</v>
          </cell>
        </row>
        <row r="32">
          <cell r="H32">
            <v>0</v>
          </cell>
          <cell r="I32" t="str">
            <v>Travel, accommodation and subsistence</v>
          </cell>
        </row>
        <row r="33">
          <cell r="H33">
            <v>0</v>
          </cell>
          <cell r="I33" t="str">
            <v>Travel, accommodation and subsistence</v>
          </cell>
        </row>
        <row r="34">
          <cell r="H34">
            <v>0</v>
          </cell>
          <cell r="I34" t="str">
            <v>Travel, accommodation and subsistence</v>
          </cell>
        </row>
        <row r="35">
          <cell r="H35">
            <v>0</v>
          </cell>
          <cell r="I35" t="str">
            <v>Travel, accommodation and subsistence</v>
          </cell>
        </row>
        <row r="36">
          <cell r="H36">
            <v>0</v>
          </cell>
          <cell r="I36" t="str">
            <v>Travel, accommodation and subsistence</v>
          </cell>
        </row>
        <row r="37">
          <cell r="H37">
            <v>0</v>
          </cell>
          <cell r="I37" t="str">
            <v>Travel, accommodation and subsistence</v>
          </cell>
        </row>
        <row r="38">
          <cell r="H38">
            <v>0</v>
          </cell>
          <cell r="I38" t="str">
            <v>Travel, accommodation and subsistence</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Motor Travel</v>
          </cell>
        </row>
        <row r="43">
          <cell r="H43">
            <v>0</v>
          </cell>
          <cell r="I43" t="str">
            <v>Travel, accommodation and subsistence</v>
          </cell>
        </row>
        <row r="44">
          <cell r="H44">
            <v>0</v>
          </cell>
          <cell r="I44" t="str">
            <v>Motor Travel</v>
          </cell>
        </row>
        <row r="45">
          <cell r="H45">
            <v>0</v>
          </cell>
          <cell r="I45" t="str">
            <v>Travel, accommodation and subsistence</v>
          </cell>
        </row>
        <row r="46">
          <cell r="H46">
            <v>0</v>
          </cell>
          <cell r="I46" t="str">
            <v>Travel, accommodation and subsistence</v>
          </cell>
        </row>
        <row r="47">
          <cell r="F47">
            <v>1241.4600000000003</v>
          </cell>
          <cell r="G47">
            <v>28.07</v>
          </cell>
        </row>
      </sheetData>
      <sheetData sheetId="33">
        <row r="7">
          <cell r="H7">
            <v>21.6</v>
          </cell>
          <cell r="I7" t="str">
            <v>Motor Travel</v>
          </cell>
        </row>
        <row r="8">
          <cell r="H8">
            <v>21.6</v>
          </cell>
          <cell r="I8" t="str">
            <v>Motor Travel</v>
          </cell>
        </row>
        <row r="9">
          <cell r="H9">
            <v>186.4</v>
          </cell>
          <cell r="I9" t="str">
            <v>Travel, accommodation and subsistence</v>
          </cell>
        </row>
        <row r="10">
          <cell r="H10">
            <v>21.6</v>
          </cell>
          <cell r="I10" t="str">
            <v>Motor Travel</v>
          </cell>
        </row>
        <row r="11">
          <cell r="H11">
            <v>22</v>
          </cell>
          <cell r="I11" t="str">
            <v>Motor Travel</v>
          </cell>
        </row>
        <row r="12">
          <cell r="H12">
            <v>38.89</v>
          </cell>
          <cell r="I12" t="str">
            <v>Travel, accommodation and subsistence</v>
          </cell>
        </row>
        <row r="13">
          <cell r="H13">
            <v>13.58</v>
          </cell>
          <cell r="I13" t="str">
            <v>Entertaining</v>
          </cell>
        </row>
        <row r="14">
          <cell r="H14">
            <v>31.82</v>
          </cell>
          <cell r="I14" t="str">
            <v>Travel, accommodation and subsistence</v>
          </cell>
        </row>
        <row r="15">
          <cell r="H15">
            <v>407.29</v>
          </cell>
          <cell r="I15" t="str">
            <v>Travel, accommodation and subsistence</v>
          </cell>
        </row>
        <row r="16">
          <cell r="H16">
            <v>20.51</v>
          </cell>
          <cell r="I16" t="str">
            <v>Travel, accommodation and subsistence</v>
          </cell>
        </row>
        <row r="17">
          <cell r="H17">
            <v>31.82</v>
          </cell>
          <cell r="I17" t="str">
            <v>Travel, accommodation and subsistence</v>
          </cell>
        </row>
        <row r="18">
          <cell r="H18">
            <v>21.21</v>
          </cell>
          <cell r="I18" t="str">
            <v>Travel, accommodation and subsistence</v>
          </cell>
        </row>
        <row r="19">
          <cell r="H19">
            <v>12.02</v>
          </cell>
          <cell r="I19" t="str">
            <v>Travel, accommodation and subsistence</v>
          </cell>
        </row>
        <row r="20">
          <cell r="H20">
            <v>74.25</v>
          </cell>
          <cell r="I20" t="str">
            <v>Travel, accommodation and subsistence</v>
          </cell>
        </row>
        <row r="21">
          <cell r="H21">
            <v>12.52</v>
          </cell>
          <cell r="I21" t="str">
            <v>Entertaining</v>
          </cell>
        </row>
        <row r="22">
          <cell r="H22">
            <v>531.03</v>
          </cell>
          <cell r="I22" t="str">
            <v>Travel, accommodation and subsistence</v>
          </cell>
        </row>
        <row r="23">
          <cell r="H23">
            <v>21.21</v>
          </cell>
          <cell r="I23" t="str">
            <v>Travel, accommodation and subsistence</v>
          </cell>
        </row>
        <row r="24">
          <cell r="H24">
            <v>8.5</v>
          </cell>
          <cell r="I24" t="str">
            <v>Telephone &amp; Internet</v>
          </cell>
        </row>
        <row r="25">
          <cell r="H25">
            <v>9.8699999999999992</v>
          </cell>
          <cell r="I25" t="str">
            <v>Telephone &amp; Internet</v>
          </cell>
        </row>
        <row r="26">
          <cell r="H26">
            <v>54.830000000000005</v>
          </cell>
          <cell r="I26" t="str">
            <v>Telephone &amp; Internet</v>
          </cell>
        </row>
        <row r="27">
          <cell r="H27">
            <v>67.34</v>
          </cell>
          <cell r="I27" t="str">
            <v>Travel, accommodation and subsistence</v>
          </cell>
        </row>
        <row r="28">
          <cell r="H28">
            <v>15.2</v>
          </cell>
          <cell r="I28" t="str">
            <v>Motor Travel</v>
          </cell>
        </row>
        <row r="29">
          <cell r="H29">
            <v>52.74</v>
          </cell>
          <cell r="I29" t="str">
            <v>Travel, accommodation and subsistence</v>
          </cell>
        </row>
        <row r="30">
          <cell r="H30">
            <v>0</v>
          </cell>
          <cell r="I30" t="str">
            <v>Travel, accommodation and subsistence</v>
          </cell>
        </row>
        <row r="31">
          <cell r="H31">
            <v>0</v>
          </cell>
          <cell r="I31" t="str">
            <v>Telephone &amp; Internet</v>
          </cell>
        </row>
        <row r="32">
          <cell r="H32">
            <v>0</v>
          </cell>
          <cell r="I32" t="str">
            <v>Telephone &amp; Internet</v>
          </cell>
        </row>
        <row r="33">
          <cell r="H33">
            <v>0</v>
          </cell>
          <cell r="I33" t="str">
            <v>Software &amp; IT Consumables</v>
          </cell>
        </row>
        <row r="34">
          <cell r="H34">
            <v>0</v>
          </cell>
          <cell r="I34" t="str">
            <v>Telephone &amp; Internet</v>
          </cell>
        </row>
        <row r="35">
          <cell r="H35">
            <v>0</v>
          </cell>
          <cell r="I35" t="str">
            <v>Telephone &amp; Internet</v>
          </cell>
        </row>
        <row r="36">
          <cell r="H36">
            <v>0</v>
          </cell>
          <cell r="I36" t="str">
            <v>Telephone &amp; Internet</v>
          </cell>
        </row>
        <row r="37">
          <cell r="H37">
            <v>0</v>
          </cell>
          <cell r="I37" t="str">
            <v>Printing, postage and stationery</v>
          </cell>
        </row>
        <row r="38">
          <cell r="H38">
            <v>0</v>
          </cell>
          <cell r="I38" t="str">
            <v>Travel, accommodation and subsistence</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Motor Travel</v>
          </cell>
        </row>
        <row r="43">
          <cell r="H43">
            <v>0</v>
          </cell>
          <cell r="I43" t="str">
            <v>Travel, accommodation and subsistence</v>
          </cell>
        </row>
        <row r="44">
          <cell r="H44">
            <v>0</v>
          </cell>
          <cell r="I44" t="str">
            <v>Motor Travel</v>
          </cell>
        </row>
        <row r="45">
          <cell r="H45">
            <v>0</v>
          </cell>
          <cell r="I45" t="str">
            <v>Travel, accommodation and subsistence</v>
          </cell>
        </row>
        <row r="46">
          <cell r="H46">
            <v>0</v>
          </cell>
          <cell r="I46" t="str">
            <v>Travel, accommodation and subsistence</v>
          </cell>
        </row>
        <row r="47">
          <cell r="F47">
            <v>1710.6499999999999</v>
          </cell>
          <cell r="G47">
            <v>12.82</v>
          </cell>
        </row>
      </sheetData>
      <sheetData sheetId="34">
        <row r="7">
          <cell r="H7">
            <v>202.51</v>
          </cell>
          <cell r="I7" t="str">
            <v>Travel, accommodation and subsistence</v>
          </cell>
        </row>
        <row r="8">
          <cell r="H8">
            <v>52.74</v>
          </cell>
          <cell r="I8" t="str">
            <v>Travel, accommodation and subsistence</v>
          </cell>
        </row>
        <row r="9">
          <cell r="H9">
            <v>45.96</v>
          </cell>
          <cell r="I9" t="str">
            <v>Travel, accommodation and subsistence</v>
          </cell>
        </row>
        <row r="10">
          <cell r="H10">
            <v>16</v>
          </cell>
          <cell r="I10" t="str">
            <v>Motor Travel</v>
          </cell>
        </row>
        <row r="11">
          <cell r="H11">
            <v>1235</v>
          </cell>
          <cell r="I11" t="str">
            <v>Travel, accommodation and subsistence</v>
          </cell>
        </row>
        <row r="12">
          <cell r="H12">
            <v>247.36</v>
          </cell>
          <cell r="I12" t="str">
            <v>Travel, accommodation and subsistence</v>
          </cell>
        </row>
        <row r="13">
          <cell r="H13">
            <v>3.95</v>
          </cell>
          <cell r="I13" t="str">
            <v>Travel, accommodation and subsistence</v>
          </cell>
        </row>
        <row r="14">
          <cell r="H14">
            <v>6.4</v>
          </cell>
          <cell r="I14" t="str">
            <v>Travel, accommodation and subsistence</v>
          </cell>
        </row>
        <row r="15">
          <cell r="H15">
            <v>21.96</v>
          </cell>
          <cell r="I15" t="str">
            <v>Entertaining</v>
          </cell>
        </row>
        <row r="16">
          <cell r="H16">
            <v>52</v>
          </cell>
          <cell r="I16" t="str">
            <v>Entertaining</v>
          </cell>
        </row>
        <row r="17">
          <cell r="H17">
            <v>17.34</v>
          </cell>
          <cell r="I17" t="str">
            <v>Travel, accommodation and subsistence</v>
          </cell>
        </row>
        <row r="18">
          <cell r="H18">
            <v>359.29</v>
          </cell>
          <cell r="I18" t="str">
            <v>Travel, accommodation and subsistence</v>
          </cell>
        </row>
        <row r="19">
          <cell r="H19">
            <v>15.2</v>
          </cell>
          <cell r="I19" t="str">
            <v>Motor Travel</v>
          </cell>
        </row>
        <row r="20">
          <cell r="H20">
            <v>52.57</v>
          </cell>
          <cell r="I20" t="str">
            <v>Travel, accommodation and subsistence</v>
          </cell>
        </row>
        <row r="21">
          <cell r="H21">
            <v>11.21</v>
          </cell>
          <cell r="I21" t="str">
            <v>Travel, accommodation and subsistence</v>
          </cell>
        </row>
        <row r="22">
          <cell r="H22">
            <v>167.28</v>
          </cell>
          <cell r="I22" t="str">
            <v>Travel, accommodation and subsistence</v>
          </cell>
        </row>
        <row r="23">
          <cell r="H23">
            <v>8.41</v>
          </cell>
          <cell r="I23" t="str">
            <v>Travel, accommodation and subsistence</v>
          </cell>
        </row>
        <row r="24">
          <cell r="H24">
            <v>8.41</v>
          </cell>
          <cell r="I24" t="str">
            <v>Travel, accommodation and subsistence</v>
          </cell>
        </row>
        <row r="25">
          <cell r="H25">
            <v>438.35</v>
          </cell>
          <cell r="I25" t="str">
            <v>Travel, accommodation and subsistence</v>
          </cell>
        </row>
        <row r="26">
          <cell r="H26">
            <v>52.57</v>
          </cell>
          <cell r="I26" t="str">
            <v>Travel, accommodation and subsistence</v>
          </cell>
        </row>
        <row r="27">
          <cell r="H27">
            <v>76.599999999999994</v>
          </cell>
          <cell r="I27" t="str">
            <v>Travel, accommodation and subsistence</v>
          </cell>
        </row>
        <row r="28">
          <cell r="H28">
            <v>16</v>
          </cell>
          <cell r="I28" t="str">
            <v>Motor Travel</v>
          </cell>
        </row>
        <row r="29">
          <cell r="H29">
            <v>8.5</v>
          </cell>
          <cell r="I29" t="str">
            <v>Telephone &amp; Internet</v>
          </cell>
        </row>
        <row r="30">
          <cell r="H30">
            <v>58.8</v>
          </cell>
          <cell r="I30" t="str">
            <v>Motor Travel</v>
          </cell>
        </row>
        <row r="31">
          <cell r="H31">
            <v>15.2</v>
          </cell>
          <cell r="I31" t="str">
            <v>Motor Travel</v>
          </cell>
        </row>
        <row r="32">
          <cell r="H32">
            <v>52.37</v>
          </cell>
          <cell r="I32" t="str">
            <v>Travel, accommodation and subsistence</v>
          </cell>
        </row>
        <row r="33">
          <cell r="H33">
            <v>12.57</v>
          </cell>
          <cell r="I33" t="str">
            <v>Travel, accommodation and subsistence</v>
          </cell>
        </row>
        <row r="34">
          <cell r="H34">
            <v>13.97</v>
          </cell>
          <cell r="I34" t="str">
            <v>Travel, accommodation and subsistence</v>
          </cell>
        </row>
        <row r="35">
          <cell r="H35">
            <v>3.94</v>
          </cell>
          <cell r="I35" t="str">
            <v>Travel, accommodation and subsistence</v>
          </cell>
        </row>
        <row r="36">
          <cell r="H36">
            <v>12.57</v>
          </cell>
          <cell r="I36" t="str">
            <v>Travel, accommodation and subsistence</v>
          </cell>
        </row>
        <row r="37">
          <cell r="H37">
            <v>3.02</v>
          </cell>
          <cell r="I37" t="str">
            <v>Travel, accommodation and subsistence</v>
          </cell>
        </row>
        <row r="38">
          <cell r="H38">
            <v>5.52</v>
          </cell>
          <cell r="I38" t="str">
            <v>Travel, accommodation and subsistence</v>
          </cell>
        </row>
        <row r="39">
          <cell r="H39">
            <v>402.23</v>
          </cell>
          <cell r="I39" t="str">
            <v>Travel, accommodation and subsistence</v>
          </cell>
        </row>
        <row r="40">
          <cell r="H40">
            <v>52.37</v>
          </cell>
          <cell r="I40" t="str">
            <v>Travel, accommodation and subsistence</v>
          </cell>
        </row>
        <row r="41">
          <cell r="H41">
            <v>76.599999999999994</v>
          </cell>
          <cell r="I41" t="str">
            <v>Travel, accommodation and subsistence</v>
          </cell>
        </row>
        <row r="42">
          <cell r="H42">
            <v>16</v>
          </cell>
          <cell r="I42" t="str">
            <v>Motor Travel</v>
          </cell>
        </row>
        <row r="43">
          <cell r="H43">
            <v>57.28</v>
          </cell>
          <cell r="I43" t="str">
            <v>Travel, accommodation and subsistence</v>
          </cell>
        </row>
        <row r="44">
          <cell r="H44">
            <v>15.2</v>
          </cell>
          <cell r="I44" t="str">
            <v>Motor Travel</v>
          </cell>
        </row>
        <row r="45">
          <cell r="H45">
            <v>53.11</v>
          </cell>
          <cell r="I45" t="str">
            <v>Travel, accommodation and subsistence</v>
          </cell>
        </row>
        <row r="46">
          <cell r="H46">
            <v>5.08</v>
          </cell>
          <cell r="I46" t="str">
            <v>Travel, accommodation and subsistence</v>
          </cell>
        </row>
        <row r="47">
          <cell r="F47">
            <v>4007.77</v>
          </cell>
          <cell r="G47">
            <v>36.33</v>
          </cell>
        </row>
      </sheetData>
      <sheetData sheetId="35">
        <row r="7">
          <cell r="H7">
            <v>47.24</v>
          </cell>
          <cell r="I7" t="str">
            <v>Travel, accommodation and subsistence</v>
          </cell>
        </row>
        <row r="8">
          <cell r="H8">
            <v>7.8</v>
          </cell>
          <cell r="I8" t="str">
            <v>Travel, accommodation and subsistence</v>
          </cell>
        </row>
        <row r="9">
          <cell r="H9">
            <v>534.32000000000005</v>
          </cell>
          <cell r="I9" t="str">
            <v>Software &amp; IT Consumables</v>
          </cell>
        </row>
        <row r="10">
          <cell r="H10">
            <v>11</v>
          </cell>
          <cell r="I10" t="str">
            <v>Sundry expenses</v>
          </cell>
        </row>
        <row r="11">
          <cell r="H11">
            <v>53.15</v>
          </cell>
          <cell r="I11" t="str">
            <v>Travel, accommodation and subsistence</v>
          </cell>
        </row>
        <row r="12">
          <cell r="H12">
            <v>3.1</v>
          </cell>
          <cell r="I12" t="str">
            <v>Travel, accommodation and subsistence</v>
          </cell>
        </row>
        <row r="13">
          <cell r="H13">
            <v>4.96</v>
          </cell>
          <cell r="I13" t="str">
            <v>Travel, accommodation and subsistence</v>
          </cell>
        </row>
        <row r="14">
          <cell r="H14">
            <v>5.32</v>
          </cell>
          <cell r="I14" t="str">
            <v>Travel, accommodation and subsistence</v>
          </cell>
        </row>
        <row r="15">
          <cell r="H15">
            <v>2.72</v>
          </cell>
          <cell r="I15" t="str">
            <v>Travel, accommodation and subsistence</v>
          </cell>
        </row>
        <row r="16">
          <cell r="H16">
            <v>2.91</v>
          </cell>
          <cell r="I16" t="str">
            <v>Travel, accommodation and subsistence</v>
          </cell>
        </row>
        <row r="17">
          <cell r="H17">
            <v>12.05</v>
          </cell>
          <cell r="I17" t="str">
            <v>Travel, accommodation and subsistence</v>
          </cell>
        </row>
        <row r="18">
          <cell r="H18">
            <v>5.67</v>
          </cell>
          <cell r="I18" t="str">
            <v>Travel, accommodation and subsistence</v>
          </cell>
        </row>
        <row r="19">
          <cell r="H19">
            <v>2.98</v>
          </cell>
          <cell r="I19" t="str">
            <v>Travel, accommodation and subsistence</v>
          </cell>
        </row>
        <row r="20">
          <cell r="H20">
            <v>924.95</v>
          </cell>
          <cell r="I20" t="str">
            <v>Travel, accommodation and subsistence</v>
          </cell>
        </row>
        <row r="21">
          <cell r="H21">
            <v>53.15</v>
          </cell>
          <cell r="I21" t="str">
            <v>Travel, accommodation and subsistence</v>
          </cell>
        </row>
        <row r="22">
          <cell r="H22">
            <v>3.54</v>
          </cell>
          <cell r="I22" t="str">
            <v>Travel, accommodation and subsistence</v>
          </cell>
        </row>
        <row r="23">
          <cell r="H23">
            <v>8.5</v>
          </cell>
          <cell r="I23" t="str">
            <v>Telephone &amp; Internet</v>
          </cell>
        </row>
        <row r="24">
          <cell r="H24">
            <v>829</v>
          </cell>
          <cell r="I24" t="str">
            <v>Purchase of fixed assets</v>
          </cell>
        </row>
        <row r="25">
          <cell r="H25">
            <v>34.950000000000003</v>
          </cell>
          <cell r="I25" t="str">
            <v>Purchase of fixed assets</v>
          </cell>
        </row>
        <row r="26">
          <cell r="H26">
            <v>169.36</v>
          </cell>
          <cell r="I26" t="str">
            <v>Software &amp; IT Consumables</v>
          </cell>
        </row>
        <row r="27">
          <cell r="H27">
            <v>9.43</v>
          </cell>
          <cell r="I27" t="str">
            <v>Sundry expenses</v>
          </cell>
        </row>
        <row r="28">
          <cell r="H28">
            <v>14.95</v>
          </cell>
          <cell r="I28" t="str">
            <v>Sundry expenses</v>
          </cell>
        </row>
        <row r="29">
          <cell r="H29">
            <v>56.99</v>
          </cell>
          <cell r="I29" t="str">
            <v>Travel, accommodation and subsistence</v>
          </cell>
        </row>
        <row r="30">
          <cell r="H30">
            <v>64.47</v>
          </cell>
          <cell r="I30" t="str">
            <v>Travel, accommodation and subsistence</v>
          </cell>
        </row>
        <row r="31">
          <cell r="H31">
            <v>50</v>
          </cell>
          <cell r="I31" t="str">
            <v>Telephone &amp; Internet</v>
          </cell>
        </row>
        <row r="32">
          <cell r="H32">
            <v>18.709999999999997</v>
          </cell>
          <cell r="I32" t="str">
            <v>Telephone &amp; Internet</v>
          </cell>
        </row>
        <row r="33">
          <cell r="H33">
            <v>59.56</v>
          </cell>
          <cell r="I33" t="str">
            <v>Software &amp; IT Consumables</v>
          </cell>
        </row>
        <row r="34">
          <cell r="H34">
            <v>102.39</v>
          </cell>
          <cell r="I34" t="str">
            <v>Telephone &amp; Internet</v>
          </cell>
        </row>
        <row r="35">
          <cell r="H35">
            <v>58.7</v>
          </cell>
          <cell r="I35" t="str">
            <v>Telephone &amp; Internet</v>
          </cell>
        </row>
        <row r="36">
          <cell r="H36">
            <v>76.55</v>
          </cell>
          <cell r="I36" t="str">
            <v>Telephone &amp; Internet</v>
          </cell>
        </row>
        <row r="37">
          <cell r="H37">
            <v>6.12</v>
          </cell>
          <cell r="I37" t="str">
            <v>Printing, postage and stationery</v>
          </cell>
        </row>
        <row r="38">
          <cell r="H38">
            <v>6</v>
          </cell>
          <cell r="I38" t="str">
            <v>Travel, accommodation and subsistence</v>
          </cell>
        </row>
        <row r="39">
          <cell r="H39">
            <v>6.94</v>
          </cell>
          <cell r="I39" t="str">
            <v>Travel, accommodation and subsistence</v>
          </cell>
        </row>
        <row r="40">
          <cell r="H40">
            <v>100.14</v>
          </cell>
          <cell r="I40" t="str">
            <v>Travel, accommodation and subsistence</v>
          </cell>
        </row>
        <row r="41">
          <cell r="H41">
            <v>14.54</v>
          </cell>
          <cell r="I41" t="str">
            <v>Travel, accommodation and subsistence</v>
          </cell>
        </row>
        <row r="42">
          <cell r="H42">
            <v>0</v>
          </cell>
          <cell r="I42" t="str">
            <v>Motor Travel</v>
          </cell>
        </row>
        <row r="43">
          <cell r="H43">
            <v>0</v>
          </cell>
          <cell r="I43" t="str">
            <v>Travel, accommodation and subsistence</v>
          </cell>
        </row>
        <row r="44">
          <cell r="H44">
            <v>0</v>
          </cell>
          <cell r="I44" t="str">
            <v>Motor Travel</v>
          </cell>
        </row>
        <row r="45">
          <cell r="H45">
            <v>0</v>
          </cell>
          <cell r="I45" t="str">
            <v>Travel, accommodation and subsistence</v>
          </cell>
        </row>
        <row r="46">
          <cell r="H46">
            <v>0</v>
          </cell>
          <cell r="I46" t="str">
            <v>Travel, accommodation and subsistence</v>
          </cell>
        </row>
        <row r="47">
          <cell r="F47">
            <v>3699.0199999999991</v>
          </cell>
          <cell r="G47">
            <v>336.85999999999996</v>
          </cell>
        </row>
      </sheetData>
      <sheetData sheetId="36">
        <row r="7">
          <cell r="H7">
            <v>2.85</v>
          </cell>
          <cell r="I7" t="str">
            <v>Travel, accommodation and subsistence</v>
          </cell>
        </row>
        <row r="8">
          <cell r="H8">
            <v>12.83</v>
          </cell>
          <cell r="I8" t="str">
            <v>Travel, accommodation and subsistence</v>
          </cell>
        </row>
        <row r="9">
          <cell r="H9">
            <v>4.6399999999999997</v>
          </cell>
          <cell r="I9" t="str">
            <v>Travel, accommodation and subsistence</v>
          </cell>
        </row>
        <row r="10">
          <cell r="H10">
            <v>14.44</v>
          </cell>
          <cell r="I10" t="str">
            <v>Travel, accommodation and subsistence</v>
          </cell>
        </row>
        <row r="11">
          <cell r="H11">
            <v>346.17</v>
          </cell>
          <cell r="I11" t="str">
            <v>Travel, accommodation and subsistence</v>
          </cell>
        </row>
        <row r="12">
          <cell r="H12">
            <v>12.12</v>
          </cell>
          <cell r="I12" t="str">
            <v>Travel, accommodation and subsistence</v>
          </cell>
        </row>
        <row r="13">
          <cell r="H13">
            <v>3.29</v>
          </cell>
          <cell r="I13" t="str">
            <v>Travel, accommodation and subsistence</v>
          </cell>
        </row>
        <row r="14">
          <cell r="H14">
            <v>53.48</v>
          </cell>
          <cell r="I14" t="str">
            <v>Travel, accommodation and subsistence</v>
          </cell>
        </row>
        <row r="15">
          <cell r="H15">
            <v>3.57</v>
          </cell>
          <cell r="I15" t="str">
            <v>Travel, accommodation and subsistence</v>
          </cell>
        </row>
        <row r="16">
          <cell r="H16">
            <v>50</v>
          </cell>
          <cell r="I16" t="str">
            <v>Travel, accommodation and subsistence</v>
          </cell>
        </row>
        <row r="17">
          <cell r="H17">
            <v>144.97999999999999</v>
          </cell>
          <cell r="I17" t="str">
            <v>Travel, accommodation and subsistence</v>
          </cell>
        </row>
        <row r="18">
          <cell r="H18">
            <v>4.24</v>
          </cell>
          <cell r="I18" t="str">
            <v>Travel, accommodation and subsistence</v>
          </cell>
        </row>
        <row r="19">
          <cell r="H19">
            <v>2.38</v>
          </cell>
          <cell r="I19" t="str">
            <v>Travel, accommodation and subsistence</v>
          </cell>
        </row>
        <row r="20">
          <cell r="H20">
            <v>33.299999999999997</v>
          </cell>
          <cell r="I20" t="str">
            <v>Travel, accommodation and subsistence</v>
          </cell>
        </row>
        <row r="21">
          <cell r="H21">
            <v>21.41</v>
          </cell>
          <cell r="I21" t="str">
            <v>Travel, accommodation and subsistence</v>
          </cell>
        </row>
        <row r="22">
          <cell r="H22">
            <v>177.63</v>
          </cell>
          <cell r="I22" t="str">
            <v>Travel, accommodation and subsistence</v>
          </cell>
        </row>
        <row r="23">
          <cell r="H23">
            <v>35.68</v>
          </cell>
          <cell r="I23" t="str">
            <v>Travel, accommodation and subsistence</v>
          </cell>
        </row>
        <row r="24">
          <cell r="H24">
            <v>3.33</v>
          </cell>
          <cell r="I24" t="str">
            <v>Travel, accommodation and subsistence</v>
          </cell>
        </row>
        <row r="25">
          <cell r="H25">
            <v>44.68</v>
          </cell>
          <cell r="I25" t="str">
            <v>Travel, accommodation and subsistence</v>
          </cell>
        </row>
        <row r="26">
          <cell r="H26">
            <v>44.4</v>
          </cell>
          <cell r="I26" t="str">
            <v>Motor Travel</v>
          </cell>
        </row>
        <row r="27">
          <cell r="H27">
            <v>167.56</v>
          </cell>
          <cell r="I27" t="str">
            <v>Travel, accommodation and subsistence</v>
          </cell>
        </row>
        <row r="28">
          <cell r="H28">
            <v>18.709999999999997</v>
          </cell>
          <cell r="I28" t="str">
            <v>Telephone &amp; Internet</v>
          </cell>
        </row>
        <row r="29">
          <cell r="H29">
            <v>84.26</v>
          </cell>
          <cell r="I29" t="str">
            <v>Sundry expenses</v>
          </cell>
        </row>
        <row r="30">
          <cell r="H30">
            <v>414.5</v>
          </cell>
          <cell r="I30" t="str">
            <v>Travel, accommodation and subsistence</v>
          </cell>
        </row>
        <row r="31">
          <cell r="H31">
            <v>53.81</v>
          </cell>
          <cell r="I31" t="str">
            <v>Travel, accommodation and subsistence</v>
          </cell>
        </row>
        <row r="32">
          <cell r="H32">
            <v>3.16</v>
          </cell>
          <cell r="I32" t="str">
            <v>Travel, accommodation and subsistence</v>
          </cell>
        </row>
        <row r="33">
          <cell r="H33">
            <v>2.2400000000000002</v>
          </cell>
          <cell r="I33" t="str">
            <v>Travel, accommodation and subsistence</v>
          </cell>
        </row>
        <row r="34">
          <cell r="H34">
            <v>212</v>
          </cell>
          <cell r="I34" t="str">
            <v>Travel, accommodation and subsistence</v>
          </cell>
        </row>
        <row r="35">
          <cell r="H35">
            <v>20.8</v>
          </cell>
          <cell r="I35" t="str">
            <v>Travel, accommodation and subsistence</v>
          </cell>
        </row>
        <row r="36">
          <cell r="H36">
            <v>3.26</v>
          </cell>
          <cell r="I36" t="str">
            <v>Travel, accommodation and subsistence</v>
          </cell>
        </row>
        <row r="37">
          <cell r="H37">
            <v>2.33</v>
          </cell>
          <cell r="I37" t="str">
            <v>Travel, accommodation and subsistence</v>
          </cell>
        </row>
        <row r="38">
          <cell r="H38">
            <v>33.96</v>
          </cell>
          <cell r="I38" t="str">
            <v>Travel, accommodation and subsistence</v>
          </cell>
        </row>
        <row r="39">
          <cell r="H39">
            <v>74.430000000000007</v>
          </cell>
          <cell r="I39" t="str">
            <v>Travel, accommodation and subsistence</v>
          </cell>
        </row>
        <row r="40">
          <cell r="H40">
            <v>7.07</v>
          </cell>
          <cell r="I40" t="str">
            <v>Travel, accommodation and subsistence</v>
          </cell>
        </row>
        <row r="41">
          <cell r="H41">
            <v>36.75</v>
          </cell>
          <cell r="I41" t="str">
            <v>Travel, accommodation and subsistence</v>
          </cell>
        </row>
        <row r="42">
          <cell r="H42">
            <v>129.79</v>
          </cell>
          <cell r="I42" t="str">
            <v>Travel, accommodation and subsistence</v>
          </cell>
        </row>
        <row r="43">
          <cell r="H43">
            <v>2.14</v>
          </cell>
          <cell r="I43" t="str">
            <v>Travel, accommodation and subsistence</v>
          </cell>
        </row>
        <row r="44">
          <cell r="H44">
            <v>2.33</v>
          </cell>
          <cell r="I44" t="str">
            <v>Travel, accommodation and subsistence</v>
          </cell>
        </row>
        <row r="45">
          <cell r="H45">
            <v>21.52</v>
          </cell>
          <cell r="I45" t="str">
            <v>Travel, accommodation and subsistence</v>
          </cell>
        </row>
        <row r="46">
          <cell r="H46">
            <v>1.99</v>
          </cell>
          <cell r="I46" t="str">
            <v>Travel, accommodation and subsistence</v>
          </cell>
        </row>
        <row r="47">
          <cell r="F47">
            <v>2333.8699999999994</v>
          </cell>
          <cell r="G47">
            <v>25.84</v>
          </cell>
        </row>
      </sheetData>
      <sheetData sheetId="37">
        <row r="5">
          <cell r="D5" t="str">
            <v>Cassel Consulting Limited</v>
          </cell>
        </row>
        <row r="7">
          <cell r="H7">
            <v>191.56</v>
          </cell>
          <cell r="I7" t="str">
            <v>Travel, accommodation and subsistence</v>
          </cell>
        </row>
        <row r="8">
          <cell r="H8">
            <v>132.56</v>
          </cell>
          <cell r="I8" t="str">
            <v>Travel, accommodation and subsistence</v>
          </cell>
        </row>
        <row r="9">
          <cell r="H9">
            <v>145.9</v>
          </cell>
          <cell r="I9" t="str">
            <v>Travel, accommodation and subsistence</v>
          </cell>
        </row>
        <row r="10">
          <cell r="H10">
            <v>54.34</v>
          </cell>
          <cell r="I10" t="str">
            <v>Travel, accommodation and subsistence</v>
          </cell>
        </row>
        <row r="11">
          <cell r="H11">
            <v>389.05</v>
          </cell>
          <cell r="I11" t="str">
            <v>Travel, accommodation and subsistence</v>
          </cell>
        </row>
        <row r="12">
          <cell r="H12">
            <v>61.28</v>
          </cell>
          <cell r="I12" t="str">
            <v>Travel, accommodation and subsistence</v>
          </cell>
        </row>
        <row r="13">
          <cell r="H13">
            <v>31.6</v>
          </cell>
          <cell r="I13" t="str">
            <v>Motor Travel</v>
          </cell>
        </row>
        <row r="14">
          <cell r="H14">
            <v>18.709999999999997</v>
          </cell>
          <cell r="I14" t="str">
            <v>Telephone &amp; Internet</v>
          </cell>
        </row>
        <row r="15">
          <cell r="H15">
            <v>144.9</v>
          </cell>
          <cell r="I15" t="str">
            <v>Travel, accommodation and subsistence</v>
          </cell>
        </row>
        <row r="16">
          <cell r="H16">
            <v>2.2400000000000002</v>
          </cell>
          <cell r="I16" t="str">
            <v>Travel, accommodation and subsistence</v>
          </cell>
        </row>
        <row r="17">
          <cell r="H17">
            <v>11.94</v>
          </cell>
          <cell r="I17" t="str">
            <v>Travel, accommodation and subsistence</v>
          </cell>
        </row>
        <row r="18">
          <cell r="H18">
            <v>27.17</v>
          </cell>
          <cell r="I18" t="str">
            <v>Travel, accommodation and subsistence</v>
          </cell>
        </row>
        <row r="19">
          <cell r="H19">
            <v>3.98</v>
          </cell>
          <cell r="I19" t="str">
            <v>Travel, accommodation and subsistence</v>
          </cell>
        </row>
        <row r="20">
          <cell r="H20">
            <v>14.49</v>
          </cell>
          <cell r="I20" t="str">
            <v>Travel, accommodation and subsistence</v>
          </cell>
        </row>
        <row r="21">
          <cell r="H21">
            <v>4.16</v>
          </cell>
          <cell r="I21" t="str">
            <v>Travel, accommodation and subsistence</v>
          </cell>
        </row>
        <row r="22">
          <cell r="H22">
            <v>86.94</v>
          </cell>
          <cell r="I22" t="str">
            <v>Entertaining</v>
          </cell>
        </row>
        <row r="23">
          <cell r="H23">
            <v>427.66</v>
          </cell>
          <cell r="I23" t="str">
            <v>Travel, accommodation and subsistence</v>
          </cell>
        </row>
        <row r="24">
          <cell r="H24">
            <v>13.04</v>
          </cell>
          <cell r="I24" t="str">
            <v>Travel, accommodation and subsistence</v>
          </cell>
        </row>
        <row r="25">
          <cell r="H25">
            <v>76.599999999999994</v>
          </cell>
          <cell r="I25" t="str">
            <v>Travel, accommodation and subsistence</v>
          </cell>
        </row>
        <row r="26">
          <cell r="H26">
            <v>32.799999999999997</v>
          </cell>
          <cell r="I26" t="str">
            <v>Motor Travel</v>
          </cell>
        </row>
        <row r="27">
          <cell r="H27">
            <v>354.1</v>
          </cell>
          <cell r="I27" t="str">
            <v>Travel, accommodation and subsistence</v>
          </cell>
        </row>
        <row r="28">
          <cell r="H28">
            <v>12.48</v>
          </cell>
          <cell r="I28" t="str">
            <v>Travel, accommodation and subsistence</v>
          </cell>
        </row>
        <row r="29">
          <cell r="H29">
            <v>4.8099999999999996</v>
          </cell>
          <cell r="I29" t="str">
            <v>Travel, accommodation and subsistence</v>
          </cell>
        </row>
        <row r="30">
          <cell r="H30">
            <v>0.99</v>
          </cell>
          <cell r="I30" t="str">
            <v>Travel, accommodation and subsistence</v>
          </cell>
        </row>
        <row r="31">
          <cell r="H31">
            <v>11</v>
          </cell>
          <cell r="I31" t="str">
            <v>Travel, accommodation and subsistence</v>
          </cell>
        </row>
        <row r="32">
          <cell r="H32">
            <v>110.09</v>
          </cell>
          <cell r="I32" t="str">
            <v>Entertaining</v>
          </cell>
        </row>
        <row r="33">
          <cell r="H33">
            <v>323.3</v>
          </cell>
          <cell r="I33" t="str">
            <v>Travel, accommodation and subsistence</v>
          </cell>
        </row>
        <row r="34">
          <cell r="H34">
            <v>11.74</v>
          </cell>
          <cell r="I34" t="str">
            <v>Travel, accommodation and subsistence</v>
          </cell>
        </row>
        <row r="35">
          <cell r="H35">
            <v>57.87</v>
          </cell>
          <cell r="I35" t="str">
            <v>Travel, accommodation and subsistence</v>
          </cell>
        </row>
        <row r="36">
          <cell r="H36">
            <v>52.8</v>
          </cell>
          <cell r="I36" t="str">
            <v>Motor Travel</v>
          </cell>
        </row>
        <row r="37">
          <cell r="H37">
            <v>210.59</v>
          </cell>
          <cell r="I37" t="str">
            <v>Travel, accommodation and subsistence</v>
          </cell>
        </row>
        <row r="38">
          <cell r="H38">
            <v>57.87</v>
          </cell>
          <cell r="I38" t="str">
            <v>Travel, accommodation and subsistence</v>
          </cell>
        </row>
        <row r="39">
          <cell r="H39">
            <v>53.2</v>
          </cell>
          <cell r="I39" t="str">
            <v>Motor Travel</v>
          </cell>
        </row>
        <row r="40">
          <cell r="H40">
            <v>151.69</v>
          </cell>
          <cell r="I40" t="str">
            <v>Telephone &amp; Internet</v>
          </cell>
        </row>
        <row r="41">
          <cell r="H41">
            <v>399.37</v>
          </cell>
          <cell r="I41" t="str">
            <v>Telephone &amp; Internet</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3757.0200000000004</v>
          </cell>
          <cell r="G47">
            <v>74.2</v>
          </cell>
        </row>
      </sheetData>
      <sheetData sheetId="38">
        <row r="5">
          <cell r="D5" t="str">
            <v>Cassel Consulting Limited</v>
          </cell>
        </row>
        <row r="7">
          <cell r="H7">
            <v>1.36</v>
          </cell>
          <cell r="I7" t="str">
            <v>Travel, accommodation and subsistence</v>
          </cell>
        </row>
        <row r="8">
          <cell r="H8">
            <v>147.88999999999999</v>
          </cell>
          <cell r="I8" t="str">
            <v>Entertaining</v>
          </cell>
        </row>
        <row r="9">
          <cell r="H9">
            <v>4.4400000000000004</v>
          </cell>
          <cell r="I9" t="str">
            <v>Travel, accommodation and subsistence</v>
          </cell>
        </row>
        <row r="10">
          <cell r="H10">
            <v>9.24</v>
          </cell>
          <cell r="I10" t="str">
            <v>Entertaining</v>
          </cell>
        </row>
        <row r="11">
          <cell r="H11">
            <v>6.49</v>
          </cell>
          <cell r="I11" t="str">
            <v>Entertaining</v>
          </cell>
        </row>
        <row r="12">
          <cell r="H12">
            <v>155.28</v>
          </cell>
          <cell r="I12" t="str">
            <v>Entertaining</v>
          </cell>
        </row>
        <row r="13">
          <cell r="H13">
            <v>5.18</v>
          </cell>
          <cell r="I13" t="str">
            <v>Travel, accommodation and subsistence</v>
          </cell>
        </row>
        <row r="14">
          <cell r="H14">
            <v>11.83</v>
          </cell>
          <cell r="I14" t="str">
            <v>Travel, accommodation and subsistence</v>
          </cell>
        </row>
        <row r="15">
          <cell r="H15">
            <v>68.03</v>
          </cell>
          <cell r="I15" t="str">
            <v>Entertaining</v>
          </cell>
        </row>
        <row r="16">
          <cell r="H16">
            <v>2.2200000000000002</v>
          </cell>
          <cell r="I16" t="str">
            <v>Travel, accommodation and subsistence</v>
          </cell>
        </row>
        <row r="17">
          <cell r="H17">
            <v>2.9</v>
          </cell>
          <cell r="I17" t="str">
            <v>Travel, accommodation and subsistence</v>
          </cell>
        </row>
        <row r="18">
          <cell r="H18">
            <v>3.97</v>
          </cell>
          <cell r="I18" t="str">
            <v>Entertaining</v>
          </cell>
        </row>
        <row r="19">
          <cell r="H19">
            <v>1315.14</v>
          </cell>
          <cell r="I19" t="str">
            <v>Travel, accommodation and subsistence</v>
          </cell>
        </row>
        <row r="20">
          <cell r="H20">
            <v>6.17</v>
          </cell>
          <cell r="I20" t="str">
            <v>Entertaining</v>
          </cell>
        </row>
        <row r="21">
          <cell r="H21">
            <v>56.58</v>
          </cell>
          <cell r="I21" t="str">
            <v>Travel, accommodation and subsistence</v>
          </cell>
        </row>
        <row r="22">
          <cell r="H22">
            <v>18.709999999999997</v>
          </cell>
          <cell r="I22" t="str">
            <v>Telephone &amp; Internet</v>
          </cell>
        </row>
        <row r="23">
          <cell r="H23">
            <v>10.620000000000001</v>
          </cell>
          <cell r="I23" t="str">
            <v>Printing, postage and stationery</v>
          </cell>
        </row>
        <row r="24">
          <cell r="H24">
            <v>33.799999999999997</v>
          </cell>
          <cell r="I24" t="str">
            <v>Printing, postage and stationery</v>
          </cell>
        </row>
        <row r="25">
          <cell r="H25">
            <v>3.36</v>
          </cell>
          <cell r="I25" t="str">
            <v>Printing, postage and stationery</v>
          </cell>
        </row>
        <row r="26">
          <cell r="H26">
            <v>7.8</v>
          </cell>
          <cell r="I26" t="str">
            <v>Travel, accommodation and subsistence</v>
          </cell>
        </row>
        <row r="27">
          <cell r="H27">
            <v>3.35</v>
          </cell>
          <cell r="I27" t="str">
            <v>Travel, accommodation and subsistence</v>
          </cell>
        </row>
        <row r="28">
          <cell r="H28">
            <v>80.86</v>
          </cell>
          <cell r="I28" t="str">
            <v>Entertaining</v>
          </cell>
        </row>
        <row r="29">
          <cell r="H29">
            <v>326.02999999999997</v>
          </cell>
          <cell r="I29" t="str">
            <v>Travel, accommodation and subsistence</v>
          </cell>
        </row>
        <row r="30">
          <cell r="H30">
            <v>61.28</v>
          </cell>
          <cell r="I30" t="str">
            <v>Travel, accommodation and subsistence</v>
          </cell>
        </row>
        <row r="31">
          <cell r="H31">
            <v>31.2</v>
          </cell>
          <cell r="I31" t="str">
            <v>Motor Travel</v>
          </cell>
        </row>
        <row r="32">
          <cell r="H32">
            <v>116.56</v>
          </cell>
          <cell r="I32" t="str">
            <v>Travel, accommodation and subsistence</v>
          </cell>
        </row>
        <row r="33">
          <cell r="H33">
            <v>107.56</v>
          </cell>
          <cell r="I33" t="str">
            <v>Travel, accommodation and subsistence</v>
          </cell>
        </row>
        <row r="34">
          <cell r="H34">
            <v>55.56</v>
          </cell>
          <cell r="I34" t="str">
            <v>Travel, accommodation and subsistence</v>
          </cell>
        </row>
        <row r="35">
          <cell r="H35">
            <v>4.21</v>
          </cell>
          <cell r="I35" t="str">
            <v>Travel, accommodation and subsistence</v>
          </cell>
        </row>
        <row r="36">
          <cell r="H36">
            <v>2.65</v>
          </cell>
          <cell r="I36" t="str">
            <v>Travel, accommodation and subsistence</v>
          </cell>
        </row>
        <row r="37">
          <cell r="H37">
            <v>3.14</v>
          </cell>
          <cell r="I37" t="str">
            <v>Travel, accommodation and subsistence</v>
          </cell>
        </row>
        <row r="38">
          <cell r="H38">
            <v>13.23</v>
          </cell>
          <cell r="I38" t="str">
            <v>Travel, accommodation and subsistence</v>
          </cell>
        </row>
        <row r="39">
          <cell r="H39">
            <v>2.41</v>
          </cell>
          <cell r="I39" t="str">
            <v>Travel, accommodation and subsistence</v>
          </cell>
        </row>
        <row r="40">
          <cell r="H40">
            <v>14.7</v>
          </cell>
          <cell r="I40" t="str">
            <v>Travel, accommodation and subsistence</v>
          </cell>
        </row>
        <row r="41">
          <cell r="H41">
            <v>33.08</v>
          </cell>
          <cell r="I41" t="str">
            <v>Travel, accommodation and subsistence</v>
          </cell>
        </row>
        <row r="42">
          <cell r="H42">
            <v>14.7</v>
          </cell>
          <cell r="I42" t="str">
            <v>Travel, accommodation and subsistence</v>
          </cell>
        </row>
        <row r="43">
          <cell r="H43">
            <v>4.3899999999999997</v>
          </cell>
          <cell r="I43" t="str">
            <v>Travel, accommodation and subsistence</v>
          </cell>
        </row>
        <row r="44">
          <cell r="H44">
            <v>33.450000000000003</v>
          </cell>
          <cell r="I44" t="str">
            <v>Travel, accommodation and subsistence</v>
          </cell>
        </row>
        <row r="45">
          <cell r="H45">
            <v>446.23</v>
          </cell>
          <cell r="I45" t="str">
            <v>Travel, accommodation and subsistence</v>
          </cell>
        </row>
        <row r="46">
          <cell r="H46">
            <v>12.5</v>
          </cell>
          <cell r="I46" t="str">
            <v>Travel, accommodation and subsistence</v>
          </cell>
        </row>
        <row r="47">
          <cell r="F47">
            <v>3260.1199999999985</v>
          </cell>
          <cell r="G47">
            <v>22.020000000000003</v>
          </cell>
        </row>
      </sheetData>
      <sheetData sheetId="39">
        <row r="7">
          <cell r="H7">
            <v>101.56</v>
          </cell>
          <cell r="I7" t="str">
            <v>Travel, accommodation and subsistence</v>
          </cell>
        </row>
        <row r="8">
          <cell r="H8">
            <v>249.67</v>
          </cell>
          <cell r="I8" t="str">
            <v>Entertaining</v>
          </cell>
        </row>
        <row r="9">
          <cell r="H9">
            <v>7.6</v>
          </cell>
          <cell r="I9" t="str">
            <v>Travel, accommodation and subsistence</v>
          </cell>
        </row>
        <row r="10">
          <cell r="H10">
            <v>422.9</v>
          </cell>
          <cell r="I10" t="str">
            <v>Travel, accommodation and subsistence</v>
          </cell>
        </row>
        <row r="11">
          <cell r="H11">
            <v>13.22</v>
          </cell>
          <cell r="I11" t="str">
            <v>Travel, accommodation and subsistence</v>
          </cell>
        </row>
        <row r="12">
          <cell r="H12">
            <v>76.59</v>
          </cell>
          <cell r="I12" t="str">
            <v>Travel, accommodation and subsistence</v>
          </cell>
        </row>
        <row r="13">
          <cell r="H13">
            <v>32.799999999999997</v>
          </cell>
          <cell r="I13" t="str">
            <v>Motor Travel</v>
          </cell>
        </row>
        <row r="14">
          <cell r="H14">
            <v>37.56</v>
          </cell>
          <cell r="I14" t="str">
            <v>Travel, accommodation and subsistence</v>
          </cell>
        </row>
        <row r="15">
          <cell r="H15">
            <v>3.7</v>
          </cell>
          <cell r="I15" t="str">
            <v>Travel, accommodation and subsistence</v>
          </cell>
        </row>
        <row r="16">
          <cell r="H16">
            <v>13.77</v>
          </cell>
          <cell r="I16" t="str">
            <v>Travel, accommodation and subsistence</v>
          </cell>
        </row>
        <row r="17">
          <cell r="H17">
            <v>3.02</v>
          </cell>
          <cell r="I17" t="str">
            <v>Travel, accommodation and subsistence</v>
          </cell>
        </row>
        <row r="18">
          <cell r="H18">
            <v>13.77</v>
          </cell>
          <cell r="I18" t="str">
            <v>Travel, accommodation and subsistence</v>
          </cell>
        </row>
        <row r="19">
          <cell r="H19">
            <v>1.96</v>
          </cell>
          <cell r="I19" t="str">
            <v>Travel, accommodation and subsistence</v>
          </cell>
        </row>
        <row r="20">
          <cell r="H20">
            <v>374.25</v>
          </cell>
          <cell r="I20" t="str">
            <v>Travel, accommodation and subsistence</v>
          </cell>
        </row>
        <row r="21">
          <cell r="H21">
            <v>13.05</v>
          </cell>
          <cell r="I21" t="str">
            <v>Travel, accommodation and subsistence</v>
          </cell>
        </row>
        <row r="22">
          <cell r="H22">
            <v>5.94</v>
          </cell>
          <cell r="I22" t="str">
            <v>Travel, accommodation and subsistence</v>
          </cell>
        </row>
        <row r="23">
          <cell r="H23">
            <v>61.269999999999996</v>
          </cell>
          <cell r="I23" t="str">
            <v>Travel, accommodation and subsistence</v>
          </cell>
        </row>
        <row r="24">
          <cell r="H24">
            <v>32.4</v>
          </cell>
          <cell r="I24" t="str">
            <v>Motor Travel</v>
          </cell>
        </row>
        <row r="25">
          <cell r="H25">
            <v>18.709999999999997</v>
          </cell>
          <cell r="I25" t="str">
            <v>Telephone &amp; Internet</v>
          </cell>
        </row>
        <row r="26">
          <cell r="H26">
            <v>45.089999999999996</v>
          </cell>
          <cell r="I26" t="str">
            <v>Printing, postage and stationery</v>
          </cell>
        </row>
        <row r="27">
          <cell r="H27">
            <v>4.91</v>
          </cell>
          <cell r="I27" t="str">
            <v>Travel, accommodation and subsistence</v>
          </cell>
        </row>
        <row r="28">
          <cell r="H28">
            <v>76.099999999999994</v>
          </cell>
          <cell r="I28" t="str">
            <v>Entertaining</v>
          </cell>
        </row>
        <row r="29">
          <cell r="H29">
            <v>5.07</v>
          </cell>
          <cell r="I29" t="str">
            <v>Travel, accommodation and subsistence</v>
          </cell>
        </row>
        <row r="30">
          <cell r="H30">
            <v>2.23</v>
          </cell>
          <cell r="I30" t="str">
            <v>Travel, accommodation and subsistence</v>
          </cell>
        </row>
        <row r="31">
          <cell r="H31">
            <v>2.31</v>
          </cell>
          <cell r="I31" t="str">
            <v>Travel, accommodation and subsistence</v>
          </cell>
        </row>
        <row r="32">
          <cell r="H32">
            <v>13.05</v>
          </cell>
          <cell r="I32" t="str">
            <v>Travel, accommodation and subsistence</v>
          </cell>
        </row>
        <row r="33">
          <cell r="H33">
            <v>457.35</v>
          </cell>
          <cell r="I33" t="str">
            <v>Travel, accommodation and subsistence</v>
          </cell>
        </row>
        <row r="34">
          <cell r="H34">
            <v>12.32</v>
          </cell>
          <cell r="I34" t="str">
            <v>Travel, accommodation and subsistence</v>
          </cell>
        </row>
        <row r="35">
          <cell r="H35">
            <v>4.6399999999999997</v>
          </cell>
          <cell r="I35" t="str">
            <v>Travel, accommodation and subsistence</v>
          </cell>
        </row>
        <row r="36">
          <cell r="H36">
            <v>735.4</v>
          </cell>
          <cell r="I36" t="str">
            <v>Travel, accommodation and subsistence</v>
          </cell>
        </row>
        <row r="37">
          <cell r="H37">
            <v>735.4</v>
          </cell>
          <cell r="I37" t="str">
            <v>Travel, accommodation and subsistence</v>
          </cell>
        </row>
        <row r="38">
          <cell r="H38">
            <v>121.77</v>
          </cell>
          <cell r="I38" t="str">
            <v>Telephone &amp; Internet</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3755.9900000000002</v>
          </cell>
          <cell r="G47">
            <v>56.61</v>
          </cell>
        </row>
      </sheetData>
      <sheetData sheetId="40">
        <row r="3">
          <cell r="C3" t="str">
            <v>August 2004</v>
          </cell>
        </row>
        <row r="73">
          <cell r="C73" t="str">
            <v>1 January 2004</v>
          </cell>
        </row>
        <row r="74">
          <cell r="C74" t="str">
            <v>1 February 2004</v>
          </cell>
        </row>
        <row r="75">
          <cell r="C75" t="str">
            <v>1 March 2004</v>
          </cell>
        </row>
        <row r="76">
          <cell r="C76" t="str">
            <v>1 April 2004</v>
          </cell>
        </row>
        <row r="77">
          <cell r="C77" t="str">
            <v>1 May 2004</v>
          </cell>
        </row>
        <row r="78">
          <cell r="C78" t="str">
            <v>1 June 2004</v>
          </cell>
        </row>
        <row r="79">
          <cell r="C79" t="str">
            <v>1 July 2004</v>
          </cell>
        </row>
        <row r="80">
          <cell r="C80" t="str">
            <v>1 August 2004</v>
          </cell>
        </row>
        <row r="81">
          <cell r="C81" t="str">
            <v>1 September 2004</v>
          </cell>
        </row>
        <row r="82">
          <cell r="C82" t="str">
            <v>1 October 2004</v>
          </cell>
        </row>
        <row r="83">
          <cell r="C83" t="str">
            <v>1 November 2004</v>
          </cell>
        </row>
        <row r="84">
          <cell r="C84" t="str">
            <v>1 December 2004</v>
          </cell>
        </row>
      </sheetData>
      <sheetData sheetId="41">
        <row r="6">
          <cell r="E6">
            <v>12</v>
          </cell>
        </row>
      </sheetData>
      <sheetData sheetId="42">
        <row r="6">
          <cell r="E6">
            <v>12</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5">
          <cell r="D5" t="str">
            <v>Cassel Consulting Limited</v>
          </cell>
        </row>
      </sheetData>
      <sheetData sheetId="59">
        <row r="6">
          <cell r="E6">
            <v>12</v>
          </cell>
        </row>
      </sheetData>
      <sheetData sheetId="60">
        <row r="6">
          <cell r="E6">
            <v>12</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5">
          <cell r="D5" t="str">
            <v>Cassel Consulting Limited</v>
          </cell>
        </row>
      </sheetData>
      <sheetData sheetId="77">
        <row r="6">
          <cell r="E6">
            <v>12</v>
          </cell>
        </row>
      </sheetData>
      <sheetData sheetId="78">
        <row r="6">
          <cell r="E6">
            <v>12</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5">
          <cell r="D5" t="str">
            <v>Cassel Consulting Limited</v>
          </cell>
        </row>
      </sheetData>
      <sheetData sheetId="95">
        <row r="6">
          <cell r="E6">
            <v>12</v>
          </cell>
        </row>
      </sheetData>
      <sheetData sheetId="96">
        <row r="6">
          <cell r="E6">
            <v>12</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row r="7">
          <cell r="E7" t="str">
            <v>Yes</v>
          </cell>
        </row>
      </sheetData>
      <sheetData sheetId="4">
        <row r="7">
          <cell r="E7" t="str">
            <v>Yes</v>
          </cell>
        </row>
      </sheetData>
      <sheetData sheetId="5">
        <row r="7">
          <cell r="E7" t="str">
            <v>Yes</v>
          </cell>
        </row>
      </sheetData>
      <sheetData sheetId="6">
        <row r="7">
          <cell r="E7" t="str">
            <v>Yes</v>
          </cell>
        </row>
      </sheetData>
      <sheetData sheetId="7">
        <row r="7">
          <cell r="E7" t="str">
            <v>Yes</v>
          </cell>
        </row>
      </sheetData>
      <sheetData sheetId="8">
        <row r="7">
          <cell r="E7" t="str">
            <v>Yes</v>
          </cell>
        </row>
      </sheetData>
      <sheetData sheetId="9">
        <row r="7">
          <cell r="E7" t="str">
            <v>Yes</v>
          </cell>
        </row>
      </sheetData>
      <sheetData sheetId="10">
        <row r="7">
          <cell r="E7" t="str">
            <v>Yes</v>
          </cell>
        </row>
      </sheetData>
      <sheetData sheetId="11">
        <row r="7">
          <cell r="E7" t="str">
            <v>Yes</v>
          </cell>
        </row>
      </sheetData>
      <sheetData sheetId="12">
        <row r="7">
          <cell r="E7" t="str">
            <v>Yes</v>
          </cell>
        </row>
      </sheetData>
      <sheetData sheetId="13">
        <row r="7">
          <cell r="E7" t="str">
            <v>Yes</v>
          </cell>
        </row>
      </sheetData>
      <sheetData sheetId="14">
        <row r="7">
          <cell r="E7" t="str">
            <v>Yes</v>
          </cell>
        </row>
      </sheetData>
      <sheetData sheetId="15">
        <row r="7">
          <cell r="E7" t="str">
            <v>Yes</v>
          </cell>
        </row>
      </sheetData>
      <sheetData sheetId="16">
        <row r="7">
          <cell r="E7" t="str">
            <v>Yes</v>
          </cell>
        </row>
        <row r="8">
          <cell r="E8" t="str">
            <v>Yes</v>
          </cell>
        </row>
        <row r="9">
          <cell r="E9" t="str">
            <v>Yes</v>
          </cell>
        </row>
        <row r="10">
          <cell r="E10" t="str">
            <v>Yes</v>
          </cell>
        </row>
      </sheetData>
      <sheetData sheetId="17">
        <row r="7">
          <cell r="E7" t="str">
            <v>yes</v>
          </cell>
        </row>
      </sheetData>
      <sheetData sheetId="18">
        <row r="7">
          <cell r="E7" t="str">
            <v>Yes</v>
          </cell>
        </row>
      </sheetData>
      <sheetData sheetId="19">
        <row r="7">
          <cell r="E7" t="str">
            <v>Yes</v>
          </cell>
        </row>
      </sheetData>
      <sheetData sheetId="20">
        <row r="7">
          <cell r="E7" t="str">
            <v>Yes</v>
          </cell>
        </row>
      </sheetData>
      <sheetData sheetId="21">
        <row r="7">
          <cell r="E7" t="str">
            <v>Yes</v>
          </cell>
        </row>
      </sheetData>
      <sheetData sheetId="22">
        <row r="7">
          <cell r="E7" t="str">
            <v>Yes</v>
          </cell>
        </row>
      </sheetData>
      <sheetData sheetId="23">
        <row r="7">
          <cell r="E7" t="str">
            <v>Yes</v>
          </cell>
        </row>
      </sheetData>
      <sheetData sheetId="24">
        <row r="7">
          <cell r="E7" t="str">
            <v>Yes</v>
          </cell>
        </row>
      </sheetData>
      <sheetData sheetId="25">
        <row r="7">
          <cell r="E7" t="str">
            <v>Yes</v>
          </cell>
        </row>
      </sheetData>
      <sheetData sheetId="26">
        <row r="7">
          <cell r="E7" t="str">
            <v>Yes</v>
          </cell>
        </row>
      </sheetData>
      <sheetData sheetId="27">
        <row r="7">
          <cell r="E7" t="str">
            <v>Yes</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sheetData sheetId="4">
        <row r="8">
          <cell r="E8" t="str">
            <v>Yes</v>
          </cell>
          <cell r="F8">
            <v>1299.55</v>
          </cell>
        </row>
        <row r="9">
          <cell r="E9" t="str">
            <v>Yes</v>
          </cell>
          <cell r="F9">
            <v>31.84</v>
          </cell>
        </row>
      </sheetData>
      <sheetData sheetId="5">
        <row r="7">
          <cell r="E7" t="str">
            <v>Yes</v>
          </cell>
          <cell r="F7">
            <v>25.34</v>
          </cell>
        </row>
      </sheetData>
      <sheetData sheetId="6">
        <row r="7">
          <cell r="E7" t="str">
            <v>Yes</v>
          </cell>
          <cell r="F7">
            <v>12.76</v>
          </cell>
        </row>
      </sheetData>
      <sheetData sheetId="7">
        <row r="7">
          <cell r="E7" t="str">
            <v>Yes</v>
          </cell>
          <cell r="F7">
            <v>9.34</v>
          </cell>
        </row>
      </sheetData>
      <sheetData sheetId="8"/>
      <sheetData sheetId="9">
        <row r="7">
          <cell r="E7" t="str">
            <v>Yes</v>
          </cell>
          <cell r="F7">
            <v>2941.85</v>
          </cell>
        </row>
        <row r="8">
          <cell r="E8" t="str">
            <v>Yes</v>
          </cell>
          <cell r="F8">
            <v>530.04999999999995</v>
          </cell>
        </row>
      </sheetData>
      <sheetData sheetId="10">
        <row r="7">
          <cell r="E7" t="str">
            <v>Yes</v>
          </cell>
          <cell r="F7">
            <v>3059.94</v>
          </cell>
        </row>
        <row r="8">
          <cell r="E8" t="str">
            <v>Yes</v>
          </cell>
          <cell r="F8">
            <v>3663.3</v>
          </cell>
        </row>
        <row r="9">
          <cell r="E9" t="str">
            <v>Yes</v>
          </cell>
          <cell r="F9">
            <v>4.21</v>
          </cell>
        </row>
      </sheetData>
      <sheetData sheetId="11">
        <row r="7">
          <cell r="E7" t="str">
            <v>Yes</v>
          </cell>
          <cell r="F7">
            <v>4800.46</v>
          </cell>
        </row>
        <row r="8">
          <cell r="E8" t="str">
            <v>Yes</v>
          </cell>
          <cell r="F8">
            <v>3036.79</v>
          </cell>
        </row>
        <row r="9">
          <cell r="E9" t="str">
            <v>Yes</v>
          </cell>
          <cell r="F9">
            <v>146.88</v>
          </cell>
        </row>
        <row r="10">
          <cell r="E10" t="str">
            <v>Yes</v>
          </cell>
          <cell r="F10">
            <v>17.95</v>
          </cell>
        </row>
      </sheetData>
      <sheetData sheetId="12">
        <row r="7">
          <cell r="E7" t="str">
            <v>Yes</v>
          </cell>
          <cell r="F7">
            <v>2958.65</v>
          </cell>
        </row>
        <row r="8">
          <cell r="E8" t="str">
            <v>Yes</v>
          </cell>
          <cell r="F8">
            <v>3057.31</v>
          </cell>
        </row>
        <row r="9">
          <cell r="E9" t="str">
            <v>Yes</v>
          </cell>
          <cell r="F9">
            <v>37.130000000000003</v>
          </cell>
        </row>
      </sheetData>
      <sheetData sheetId="13">
        <row r="7">
          <cell r="E7" t="str">
            <v>Yes</v>
          </cell>
          <cell r="F7">
            <v>1597.3</v>
          </cell>
        </row>
        <row r="8">
          <cell r="E8" t="str">
            <v>Yes</v>
          </cell>
          <cell r="F8">
            <v>8225</v>
          </cell>
        </row>
        <row r="9">
          <cell r="E9" t="str">
            <v>Yes</v>
          </cell>
          <cell r="F9">
            <v>3489.63</v>
          </cell>
        </row>
        <row r="10">
          <cell r="E10" t="str">
            <v>Yes</v>
          </cell>
          <cell r="F10">
            <v>64.069999999999993</v>
          </cell>
        </row>
      </sheetData>
      <sheetData sheetId="14">
        <row r="7">
          <cell r="E7" t="str">
            <v>Yes</v>
          </cell>
          <cell r="F7">
            <v>3.38</v>
          </cell>
        </row>
        <row r="8">
          <cell r="E8" t="str">
            <v>Yes</v>
          </cell>
          <cell r="F8">
            <v>881.25</v>
          </cell>
        </row>
        <row r="9">
          <cell r="E9" t="str">
            <v>Yes</v>
          </cell>
          <cell r="F9">
            <v>5291.26</v>
          </cell>
        </row>
        <row r="10">
          <cell r="E10" t="str">
            <v>Yes</v>
          </cell>
          <cell r="F10">
            <v>3435</v>
          </cell>
        </row>
        <row r="11">
          <cell r="E11" t="str">
            <v>Yes</v>
          </cell>
          <cell r="F11">
            <v>67.599999999999994</v>
          </cell>
        </row>
      </sheetData>
      <sheetData sheetId="15">
        <row r="7">
          <cell r="E7" t="str">
            <v>Yes</v>
          </cell>
          <cell r="F7">
            <v>3092.6</v>
          </cell>
        </row>
        <row r="8">
          <cell r="E8" t="str">
            <v>Yes</v>
          </cell>
          <cell r="F8">
            <v>4168.78</v>
          </cell>
        </row>
        <row r="9">
          <cell r="E9" t="str">
            <v>Yes</v>
          </cell>
          <cell r="F9">
            <v>1365.84</v>
          </cell>
        </row>
        <row r="10">
          <cell r="E10" t="str">
            <v>Yes</v>
          </cell>
          <cell r="F10">
            <v>41.71</v>
          </cell>
        </row>
      </sheetData>
      <sheetData sheetId="16">
        <row r="7">
          <cell r="F7">
            <v>40.200000000000003</v>
          </cell>
        </row>
        <row r="8">
          <cell r="F8">
            <v>38.49</v>
          </cell>
        </row>
        <row r="9">
          <cell r="F9">
            <v>145.4</v>
          </cell>
        </row>
        <row r="10">
          <cell r="F10">
            <v>1000</v>
          </cell>
        </row>
      </sheetData>
      <sheetData sheetId="17">
        <row r="7">
          <cell r="E7" t="str">
            <v>yes</v>
          </cell>
          <cell r="F7">
            <v>1315.5</v>
          </cell>
        </row>
        <row r="8">
          <cell r="E8" t="str">
            <v>Yes</v>
          </cell>
          <cell r="F8">
            <v>6.4</v>
          </cell>
        </row>
        <row r="9">
          <cell r="E9" t="str">
            <v>Yes</v>
          </cell>
          <cell r="F9">
            <v>925.95</v>
          </cell>
        </row>
        <row r="10">
          <cell r="E10" t="str">
            <v>Yes</v>
          </cell>
          <cell r="F10">
            <v>36.840000000000003</v>
          </cell>
        </row>
        <row r="11">
          <cell r="E11" t="str">
            <v>Yes</v>
          </cell>
          <cell r="F11">
            <v>822.29</v>
          </cell>
        </row>
        <row r="12">
          <cell r="E12" t="str">
            <v>Yes</v>
          </cell>
          <cell r="F12">
            <v>38.49</v>
          </cell>
        </row>
        <row r="13">
          <cell r="E13" t="str">
            <v>Yes</v>
          </cell>
          <cell r="F13">
            <v>139.53</v>
          </cell>
        </row>
        <row r="14">
          <cell r="E14" t="str">
            <v>Yes</v>
          </cell>
          <cell r="F14">
            <v>1000</v>
          </cell>
        </row>
      </sheetData>
      <sheetData sheetId="18">
        <row r="7">
          <cell r="E7" t="str">
            <v>Yes</v>
          </cell>
          <cell r="F7">
            <v>27.08</v>
          </cell>
        </row>
        <row r="8">
          <cell r="E8" t="str">
            <v>Yes</v>
          </cell>
          <cell r="F8">
            <v>633.05999999999995</v>
          </cell>
        </row>
        <row r="9">
          <cell r="E9" t="str">
            <v>Yes</v>
          </cell>
          <cell r="F9">
            <v>731.32</v>
          </cell>
        </row>
        <row r="10">
          <cell r="E10" t="str">
            <v>Yes</v>
          </cell>
          <cell r="F10">
            <v>35.479999999999997</v>
          </cell>
        </row>
        <row r="11">
          <cell r="E11" t="str">
            <v>Yes</v>
          </cell>
          <cell r="F11">
            <v>139.53</v>
          </cell>
        </row>
        <row r="12">
          <cell r="E12" t="str">
            <v>Yes</v>
          </cell>
          <cell r="F12">
            <v>481.75</v>
          </cell>
        </row>
        <row r="13">
          <cell r="E13" t="str">
            <v>Yes</v>
          </cell>
          <cell r="F13">
            <v>1000</v>
          </cell>
        </row>
        <row r="14">
          <cell r="E14" t="str">
            <v>Yes</v>
          </cell>
          <cell r="F14">
            <v>116.33</v>
          </cell>
        </row>
      </sheetData>
      <sheetData sheetId="19">
        <row r="7">
          <cell r="E7" t="str">
            <v>Yes</v>
          </cell>
          <cell r="F7">
            <v>40.659999999999997</v>
          </cell>
        </row>
        <row r="8">
          <cell r="E8" t="str">
            <v>Yes</v>
          </cell>
          <cell r="F8">
            <v>388.44</v>
          </cell>
        </row>
        <row r="9">
          <cell r="E9" t="str">
            <v>Yes</v>
          </cell>
          <cell r="F9">
            <v>35.479999999999997</v>
          </cell>
        </row>
        <row r="10">
          <cell r="E10" t="str">
            <v>Yes</v>
          </cell>
          <cell r="F10">
            <v>139.53</v>
          </cell>
        </row>
        <row r="11">
          <cell r="E11" t="str">
            <v>Yes</v>
          </cell>
          <cell r="F11">
            <v>708.62</v>
          </cell>
        </row>
        <row r="12">
          <cell r="E12" t="str">
            <v>Yes</v>
          </cell>
          <cell r="F12">
            <v>1000</v>
          </cell>
        </row>
      </sheetData>
      <sheetData sheetId="20">
        <row r="7">
          <cell r="E7" t="str">
            <v>Yes</v>
          </cell>
          <cell r="F7">
            <v>39.729999999999997</v>
          </cell>
        </row>
        <row r="8">
          <cell r="E8" t="str">
            <v>Yes</v>
          </cell>
          <cell r="F8">
            <v>569.29</v>
          </cell>
        </row>
        <row r="9">
          <cell r="E9" t="str">
            <v>Yes</v>
          </cell>
          <cell r="F9">
            <v>35.6</v>
          </cell>
        </row>
        <row r="10">
          <cell r="E10" t="str">
            <v>Yes</v>
          </cell>
          <cell r="F10">
            <v>139.53</v>
          </cell>
        </row>
        <row r="11">
          <cell r="E11" t="str">
            <v>Yes</v>
          </cell>
          <cell r="F11">
            <v>1000</v>
          </cell>
        </row>
      </sheetData>
      <sheetData sheetId="21">
        <row r="7">
          <cell r="E7" t="str">
            <v>Yes</v>
          </cell>
          <cell r="F7">
            <v>30.53</v>
          </cell>
        </row>
        <row r="8">
          <cell r="E8" t="str">
            <v>Yes</v>
          </cell>
          <cell r="F8">
            <v>1422.68</v>
          </cell>
        </row>
        <row r="9">
          <cell r="E9" t="str">
            <v>Yes</v>
          </cell>
          <cell r="F9">
            <v>533</v>
          </cell>
        </row>
        <row r="10">
          <cell r="E10" t="str">
            <v>Yes</v>
          </cell>
          <cell r="F10">
            <v>35.479999999999997</v>
          </cell>
        </row>
        <row r="11">
          <cell r="E11" t="str">
            <v>Yes</v>
          </cell>
          <cell r="F11">
            <v>139.53</v>
          </cell>
        </row>
        <row r="12">
          <cell r="E12" t="str">
            <v>Yes</v>
          </cell>
          <cell r="F12">
            <v>1000</v>
          </cell>
        </row>
      </sheetData>
      <sheetData sheetId="22">
        <row r="7">
          <cell r="E7" t="str">
            <v>Yes</v>
          </cell>
          <cell r="F7">
            <v>39.78</v>
          </cell>
        </row>
        <row r="8">
          <cell r="E8" t="str">
            <v>Yes</v>
          </cell>
          <cell r="F8">
            <v>441.67</v>
          </cell>
        </row>
        <row r="9">
          <cell r="E9" t="str">
            <v>Yes</v>
          </cell>
          <cell r="F9">
            <v>35.479999999999997</v>
          </cell>
        </row>
        <row r="10">
          <cell r="E10" t="str">
            <v>Yes</v>
          </cell>
          <cell r="F10">
            <v>433.99</v>
          </cell>
        </row>
        <row r="11">
          <cell r="E11" t="str">
            <v>Yes</v>
          </cell>
          <cell r="F11">
            <v>1000</v>
          </cell>
        </row>
        <row r="12">
          <cell r="E12" t="str">
            <v>yes</v>
          </cell>
          <cell r="F12">
            <v>139.53</v>
          </cell>
        </row>
      </sheetData>
      <sheetData sheetId="23">
        <row r="7">
          <cell r="E7" t="str">
            <v>Yes</v>
          </cell>
          <cell r="F7">
            <v>3.2</v>
          </cell>
        </row>
        <row r="8">
          <cell r="E8" t="str">
            <v>Yes</v>
          </cell>
          <cell r="F8">
            <v>333</v>
          </cell>
        </row>
        <row r="9">
          <cell r="E9" t="str">
            <v>Yes</v>
          </cell>
          <cell r="F9">
            <v>35.479999999999997</v>
          </cell>
        </row>
        <row r="10">
          <cell r="E10" t="str">
            <v>Yes</v>
          </cell>
          <cell r="F10">
            <v>139.53</v>
          </cell>
        </row>
        <row r="11">
          <cell r="E11" t="str">
            <v>Yes</v>
          </cell>
          <cell r="F11">
            <v>1000</v>
          </cell>
        </row>
      </sheetData>
      <sheetData sheetId="24">
        <row r="7">
          <cell r="E7" t="str">
            <v>Yes</v>
          </cell>
          <cell r="F7">
            <v>152</v>
          </cell>
        </row>
        <row r="8">
          <cell r="E8" t="str">
            <v>Yes</v>
          </cell>
          <cell r="F8">
            <v>36.17</v>
          </cell>
        </row>
        <row r="9">
          <cell r="E9" t="str">
            <v>Yes</v>
          </cell>
          <cell r="F9">
            <v>1771.06</v>
          </cell>
        </row>
        <row r="10">
          <cell r="E10" t="str">
            <v>Yes</v>
          </cell>
          <cell r="F10">
            <v>750.69</v>
          </cell>
        </row>
        <row r="11">
          <cell r="E11" t="str">
            <v>Yes</v>
          </cell>
          <cell r="F11">
            <v>32.549999999999997</v>
          </cell>
        </row>
        <row r="12">
          <cell r="E12" t="str">
            <v>Yes</v>
          </cell>
          <cell r="F12">
            <v>1612.37</v>
          </cell>
        </row>
        <row r="13">
          <cell r="E13" t="str">
            <v>Yes</v>
          </cell>
          <cell r="F13">
            <v>35.479999999999997</v>
          </cell>
        </row>
        <row r="14">
          <cell r="E14" t="str">
            <v>Yes</v>
          </cell>
          <cell r="F14">
            <v>139.53</v>
          </cell>
        </row>
        <row r="15">
          <cell r="E15" t="str">
            <v>Yes</v>
          </cell>
          <cell r="F15">
            <v>1000</v>
          </cell>
        </row>
      </sheetData>
      <sheetData sheetId="25">
        <row r="7">
          <cell r="E7" t="str">
            <v>Yes</v>
          </cell>
          <cell r="F7">
            <v>46.93</v>
          </cell>
        </row>
        <row r="8">
          <cell r="E8" t="str">
            <v>Yes</v>
          </cell>
          <cell r="F8">
            <v>716.05</v>
          </cell>
        </row>
        <row r="9">
          <cell r="E9" t="str">
            <v>Yes</v>
          </cell>
          <cell r="F9">
            <v>95</v>
          </cell>
        </row>
        <row r="10">
          <cell r="E10" t="str">
            <v>Yes</v>
          </cell>
          <cell r="F10">
            <v>35.479999999999997</v>
          </cell>
        </row>
        <row r="11">
          <cell r="E11" t="str">
            <v>Yes</v>
          </cell>
          <cell r="F11">
            <v>139.53</v>
          </cell>
        </row>
        <row r="12">
          <cell r="E12" t="str">
            <v>Yes</v>
          </cell>
          <cell r="F12">
            <v>2572</v>
          </cell>
        </row>
        <row r="13">
          <cell r="E13" t="str">
            <v>Yes</v>
          </cell>
          <cell r="F13">
            <v>1000</v>
          </cell>
        </row>
      </sheetData>
      <sheetData sheetId="26">
        <row r="7">
          <cell r="E7" t="str">
            <v>Yes</v>
          </cell>
          <cell r="F7">
            <v>132.18</v>
          </cell>
        </row>
        <row r="8">
          <cell r="E8" t="str">
            <v>Yes</v>
          </cell>
          <cell r="F8">
            <v>1279.5</v>
          </cell>
        </row>
        <row r="9">
          <cell r="E9" t="str">
            <v>Yes</v>
          </cell>
          <cell r="F9">
            <v>49.13</v>
          </cell>
        </row>
        <row r="10">
          <cell r="E10" t="str">
            <v>Yes</v>
          </cell>
          <cell r="F10">
            <v>35.6</v>
          </cell>
        </row>
        <row r="11">
          <cell r="E11" t="str">
            <v>Yes</v>
          </cell>
          <cell r="F11">
            <v>139.53</v>
          </cell>
        </row>
        <row r="12">
          <cell r="E12" t="str">
            <v>Yes</v>
          </cell>
          <cell r="F12">
            <v>1000</v>
          </cell>
        </row>
      </sheetData>
      <sheetData sheetId="27">
        <row r="7">
          <cell r="E7" t="str">
            <v>Yes</v>
          </cell>
          <cell r="F7">
            <v>10000</v>
          </cell>
        </row>
        <row r="8">
          <cell r="E8" t="str">
            <v>Yes</v>
          </cell>
          <cell r="F8">
            <v>1771.06</v>
          </cell>
        </row>
        <row r="9">
          <cell r="E9" t="str">
            <v>Yes</v>
          </cell>
          <cell r="F9">
            <v>1767.81</v>
          </cell>
        </row>
        <row r="10">
          <cell r="E10" t="str">
            <v>Yes</v>
          </cell>
          <cell r="F10">
            <v>51.24</v>
          </cell>
        </row>
        <row r="11">
          <cell r="E11" t="str">
            <v>Yes</v>
          </cell>
          <cell r="F11">
            <v>70</v>
          </cell>
        </row>
        <row r="12">
          <cell r="E12" t="str">
            <v>Yes</v>
          </cell>
          <cell r="F12">
            <v>10000</v>
          </cell>
        </row>
        <row r="13">
          <cell r="E13" t="str">
            <v>Yes</v>
          </cell>
          <cell r="F13">
            <v>413.62</v>
          </cell>
        </row>
        <row r="14">
          <cell r="E14" t="str">
            <v>Yes</v>
          </cell>
          <cell r="F14">
            <v>35.479999999999997</v>
          </cell>
        </row>
        <row r="15">
          <cell r="E15" t="str">
            <v>Yes</v>
          </cell>
          <cell r="F15">
            <v>37.6</v>
          </cell>
        </row>
        <row r="16">
          <cell r="E16" t="str">
            <v>Yes</v>
          </cell>
          <cell r="F16">
            <v>139.53</v>
          </cell>
        </row>
        <row r="17">
          <cell r="E17" t="str">
            <v>Yes</v>
          </cell>
          <cell r="F17">
            <v>1000</v>
          </cell>
        </row>
        <row r="18">
          <cell r="E18" t="str">
            <v>No</v>
          </cell>
          <cell r="F18">
            <v>303.20999999999998</v>
          </cell>
        </row>
        <row r="19">
          <cell r="E19" t="str">
            <v>No</v>
          </cell>
          <cell r="F19">
            <v>3943.25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sheetData sheetId="4">
        <row r="8">
          <cell r="E8" t="str">
            <v>Yes</v>
          </cell>
          <cell r="F8">
            <v>1299.55</v>
          </cell>
        </row>
        <row r="9">
          <cell r="E9" t="str">
            <v>Yes</v>
          </cell>
          <cell r="F9">
            <v>31.84</v>
          </cell>
        </row>
      </sheetData>
      <sheetData sheetId="5">
        <row r="7">
          <cell r="E7" t="str">
            <v>Yes</v>
          </cell>
          <cell r="F7">
            <v>25.34</v>
          </cell>
        </row>
      </sheetData>
      <sheetData sheetId="6">
        <row r="7">
          <cell r="E7" t="str">
            <v>Yes</v>
          </cell>
          <cell r="F7">
            <v>12.76</v>
          </cell>
        </row>
      </sheetData>
      <sheetData sheetId="7">
        <row r="7">
          <cell r="E7" t="str">
            <v>Yes</v>
          </cell>
          <cell r="F7">
            <v>9.34</v>
          </cell>
        </row>
      </sheetData>
      <sheetData sheetId="8"/>
      <sheetData sheetId="9">
        <row r="7">
          <cell r="E7" t="str">
            <v>Yes</v>
          </cell>
          <cell r="F7">
            <v>2941.85</v>
          </cell>
        </row>
        <row r="8">
          <cell r="E8" t="str">
            <v>Yes</v>
          </cell>
          <cell r="F8">
            <v>530.04999999999995</v>
          </cell>
        </row>
      </sheetData>
      <sheetData sheetId="10">
        <row r="7">
          <cell r="E7" t="str">
            <v>Yes</v>
          </cell>
          <cell r="F7">
            <v>3059.94</v>
          </cell>
        </row>
        <row r="8">
          <cell r="E8" t="str">
            <v>Yes</v>
          </cell>
          <cell r="F8">
            <v>3663.3</v>
          </cell>
        </row>
        <row r="9">
          <cell r="E9" t="str">
            <v>Yes</v>
          </cell>
          <cell r="F9">
            <v>4.21</v>
          </cell>
        </row>
      </sheetData>
      <sheetData sheetId="11">
        <row r="7">
          <cell r="E7" t="str">
            <v>Yes</v>
          </cell>
          <cell r="F7">
            <v>4800.46</v>
          </cell>
        </row>
        <row r="8">
          <cell r="E8" t="str">
            <v>Yes</v>
          </cell>
          <cell r="F8">
            <v>3036.79</v>
          </cell>
        </row>
        <row r="9">
          <cell r="E9" t="str">
            <v>Yes</v>
          </cell>
          <cell r="F9">
            <v>146.88</v>
          </cell>
        </row>
        <row r="10">
          <cell r="E10" t="str">
            <v>Yes</v>
          </cell>
          <cell r="F10">
            <v>17.95</v>
          </cell>
        </row>
      </sheetData>
      <sheetData sheetId="12">
        <row r="7">
          <cell r="E7" t="str">
            <v>Yes</v>
          </cell>
          <cell r="F7">
            <v>2958.65</v>
          </cell>
        </row>
        <row r="8">
          <cell r="E8" t="str">
            <v>Yes</v>
          </cell>
          <cell r="F8">
            <v>3057.31</v>
          </cell>
        </row>
        <row r="9">
          <cell r="E9" t="str">
            <v>Yes</v>
          </cell>
          <cell r="F9">
            <v>37.130000000000003</v>
          </cell>
        </row>
      </sheetData>
      <sheetData sheetId="13">
        <row r="7">
          <cell r="E7" t="str">
            <v>Yes</v>
          </cell>
          <cell r="F7">
            <v>1597.3</v>
          </cell>
        </row>
        <row r="8">
          <cell r="E8" t="str">
            <v>Yes</v>
          </cell>
          <cell r="F8">
            <v>8225</v>
          </cell>
        </row>
        <row r="9">
          <cell r="E9" t="str">
            <v>Yes</v>
          </cell>
          <cell r="F9">
            <v>3489.63</v>
          </cell>
        </row>
        <row r="10">
          <cell r="E10" t="str">
            <v>Yes</v>
          </cell>
          <cell r="F10">
            <v>64.069999999999993</v>
          </cell>
        </row>
      </sheetData>
      <sheetData sheetId="14">
        <row r="7">
          <cell r="E7" t="str">
            <v>Yes</v>
          </cell>
          <cell r="F7">
            <v>3.38</v>
          </cell>
        </row>
        <row r="8">
          <cell r="E8" t="str">
            <v>Yes</v>
          </cell>
          <cell r="F8">
            <v>881.25</v>
          </cell>
        </row>
        <row r="9">
          <cell r="E9" t="str">
            <v>Yes</v>
          </cell>
          <cell r="F9">
            <v>5291.26</v>
          </cell>
        </row>
        <row r="10">
          <cell r="E10" t="str">
            <v>Yes</v>
          </cell>
          <cell r="F10">
            <v>3435</v>
          </cell>
        </row>
        <row r="11">
          <cell r="E11" t="str">
            <v>Yes</v>
          </cell>
          <cell r="F11">
            <v>67.599999999999994</v>
          </cell>
        </row>
      </sheetData>
      <sheetData sheetId="15">
        <row r="7">
          <cell r="E7" t="str">
            <v>Yes</v>
          </cell>
          <cell r="F7">
            <v>3092.6</v>
          </cell>
        </row>
        <row r="8">
          <cell r="E8" t="str">
            <v>Yes</v>
          </cell>
          <cell r="F8">
            <v>4168.78</v>
          </cell>
        </row>
        <row r="9">
          <cell r="E9" t="str">
            <v>Yes</v>
          </cell>
          <cell r="F9">
            <v>1365.84</v>
          </cell>
        </row>
        <row r="10">
          <cell r="E10" t="str">
            <v>Yes</v>
          </cell>
          <cell r="F10">
            <v>41.71</v>
          </cell>
        </row>
      </sheetData>
      <sheetData sheetId="16">
        <row r="7">
          <cell r="F7">
            <v>40.200000000000003</v>
          </cell>
        </row>
        <row r="8">
          <cell r="F8">
            <v>38.49</v>
          </cell>
        </row>
        <row r="9">
          <cell r="F9">
            <v>145.4</v>
          </cell>
        </row>
        <row r="10">
          <cell r="F10">
            <v>1000</v>
          </cell>
        </row>
      </sheetData>
      <sheetData sheetId="17">
        <row r="7">
          <cell r="E7" t="str">
            <v>yes</v>
          </cell>
          <cell r="F7">
            <v>1315.5</v>
          </cell>
        </row>
        <row r="8">
          <cell r="E8" t="str">
            <v>Yes</v>
          </cell>
          <cell r="F8">
            <v>6.4</v>
          </cell>
        </row>
        <row r="9">
          <cell r="E9" t="str">
            <v>Yes</v>
          </cell>
          <cell r="F9">
            <v>925.95</v>
          </cell>
        </row>
        <row r="10">
          <cell r="E10" t="str">
            <v>Yes</v>
          </cell>
          <cell r="F10">
            <v>36.840000000000003</v>
          </cell>
        </row>
        <row r="11">
          <cell r="E11" t="str">
            <v>Yes</v>
          </cell>
          <cell r="F11">
            <v>822.29</v>
          </cell>
        </row>
        <row r="12">
          <cell r="E12" t="str">
            <v>Yes</v>
          </cell>
          <cell r="F12">
            <v>38.49</v>
          </cell>
        </row>
        <row r="13">
          <cell r="E13" t="str">
            <v>Yes</v>
          </cell>
          <cell r="F13">
            <v>139.53</v>
          </cell>
        </row>
        <row r="14">
          <cell r="E14" t="str">
            <v>Yes</v>
          </cell>
          <cell r="F14">
            <v>1000</v>
          </cell>
        </row>
      </sheetData>
      <sheetData sheetId="18">
        <row r="7">
          <cell r="E7" t="str">
            <v>Yes</v>
          </cell>
          <cell r="F7">
            <v>27.08</v>
          </cell>
        </row>
        <row r="8">
          <cell r="E8" t="str">
            <v>Yes</v>
          </cell>
          <cell r="F8">
            <v>633.05999999999995</v>
          </cell>
        </row>
        <row r="9">
          <cell r="E9" t="str">
            <v>Yes</v>
          </cell>
          <cell r="F9">
            <v>731.32</v>
          </cell>
        </row>
        <row r="10">
          <cell r="E10" t="str">
            <v>Yes</v>
          </cell>
          <cell r="F10">
            <v>35.479999999999997</v>
          </cell>
        </row>
        <row r="11">
          <cell r="E11" t="str">
            <v>Yes</v>
          </cell>
          <cell r="F11">
            <v>139.53</v>
          </cell>
        </row>
        <row r="12">
          <cell r="E12" t="str">
            <v>Yes</v>
          </cell>
          <cell r="F12">
            <v>481.75</v>
          </cell>
        </row>
        <row r="13">
          <cell r="E13" t="str">
            <v>Yes</v>
          </cell>
          <cell r="F13">
            <v>1000</v>
          </cell>
        </row>
        <row r="14">
          <cell r="E14" t="str">
            <v>Yes</v>
          </cell>
          <cell r="F14">
            <v>116.33</v>
          </cell>
        </row>
      </sheetData>
      <sheetData sheetId="19">
        <row r="7">
          <cell r="E7" t="str">
            <v>Yes</v>
          </cell>
          <cell r="F7">
            <v>40.659999999999997</v>
          </cell>
        </row>
        <row r="8">
          <cell r="E8" t="str">
            <v>Yes</v>
          </cell>
          <cell r="F8">
            <v>388.44</v>
          </cell>
        </row>
        <row r="9">
          <cell r="E9" t="str">
            <v>Yes</v>
          </cell>
          <cell r="F9">
            <v>35.479999999999997</v>
          </cell>
        </row>
        <row r="10">
          <cell r="E10" t="str">
            <v>Yes</v>
          </cell>
          <cell r="F10">
            <v>139.53</v>
          </cell>
        </row>
        <row r="11">
          <cell r="E11" t="str">
            <v>Yes</v>
          </cell>
          <cell r="F11">
            <v>708.62</v>
          </cell>
        </row>
        <row r="12">
          <cell r="E12" t="str">
            <v>Yes</v>
          </cell>
          <cell r="F12">
            <v>1000</v>
          </cell>
        </row>
      </sheetData>
      <sheetData sheetId="20">
        <row r="7">
          <cell r="E7" t="str">
            <v>Yes</v>
          </cell>
          <cell r="F7">
            <v>39.729999999999997</v>
          </cell>
        </row>
        <row r="8">
          <cell r="E8" t="str">
            <v>Yes</v>
          </cell>
          <cell r="F8">
            <v>569.29</v>
          </cell>
        </row>
        <row r="9">
          <cell r="E9" t="str">
            <v>Yes</v>
          </cell>
          <cell r="F9">
            <v>35.6</v>
          </cell>
        </row>
        <row r="10">
          <cell r="E10" t="str">
            <v>Yes</v>
          </cell>
          <cell r="F10">
            <v>139.53</v>
          </cell>
        </row>
        <row r="11">
          <cell r="E11" t="str">
            <v>Yes</v>
          </cell>
          <cell r="F11">
            <v>1000</v>
          </cell>
        </row>
      </sheetData>
      <sheetData sheetId="21">
        <row r="7">
          <cell r="E7" t="str">
            <v>Yes</v>
          </cell>
          <cell r="F7">
            <v>30.53</v>
          </cell>
        </row>
        <row r="8">
          <cell r="E8" t="str">
            <v>Yes</v>
          </cell>
          <cell r="F8">
            <v>1422.68</v>
          </cell>
        </row>
        <row r="9">
          <cell r="E9" t="str">
            <v>Yes</v>
          </cell>
          <cell r="F9">
            <v>533</v>
          </cell>
        </row>
        <row r="10">
          <cell r="E10" t="str">
            <v>Yes</v>
          </cell>
          <cell r="F10">
            <v>35.479999999999997</v>
          </cell>
        </row>
        <row r="11">
          <cell r="E11" t="str">
            <v>Yes</v>
          </cell>
          <cell r="F11">
            <v>139.53</v>
          </cell>
        </row>
        <row r="12">
          <cell r="E12" t="str">
            <v>Yes</v>
          </cell>
          <cell r="F12">
            <v>1000</v>
          </cell>
        </row>
      </sheetData>
      <sheetData sheetId="22">
        <row r="7">
          <cell r="E7" t="str">
            <v>Yes</v>
          </cell>
          <cell r="F7">
            <v>39.78</v>
          </cell>
        </row>
        <row r="8">
          <cell r="E8" t="str">
            <v>Yes</v>
          </cell>
          <cell r="F8">
            <v>441.67</v>
          </cell>
        </row>
        <row r="9">
          <cell r="E9" t="str">
            <v>Yes</v>
          </cell>
          <cell r="F9">
            <v>35.479999999999997</v>
          </cell>
        </row>
        <row r="10">
          <cell r="E10" t="str">
            <v>Yes</v>
          </cell>
          <cell r="F10">
            <v>433.99</v>
          </cell>
        </row>
        <row r="11">
          <cell r="E11" t="str">
            <v>Yes</v>
          </cell>
          <cell r="F11">
            <v>1000</v>
          </cell>
        </row>
        <row r="12">
          <cell r="E12" t="str">
            <v>yes</v>
          </cell>
          <cell r="F12">
            <v>139.53</v>
          </cell>
        </row>
      </sheetData>
      <sheetData sheetId="23">
        <row r="7">
          <cell r="E7" t="str">
            <v>Yes</v>
          </cell>
          <cell r="F7">
            <v>3.2</v>
          </cell>
        </row>
        <row r="8">
          <cell r="E8" t="str">
            <v>Yes</v>
          </cell>
          <cell r="F8">
            <v>333</v>
          </cell>
        </row>
        <row r="9">
          <cell r="E9" t="str">
            <v>Yes</v>
          </cell>
          <cell r="F9">
            <v>35.479999999999997</v>
          </cell>
        </row>
        <row r="10">
          <cell r="E10" t="str">
            <v>Yes</v>
          </cell>
          <cell r="F10">
            <v>139.53</v>
          </cell>
        </row>
        <row r="11">
          <cell r="E11" t="str">
            <v>Yes</v>
          </cell>
          <cell r="F11">
            <v>1000</v>
          </cell>
        </row>
      </sheetData>
      <sheetData sheetId="24">
        <row r="7">
          <cell r="E7" t="str">
            <v>Yes</v>
          </cell>
          <cell r="F7">
            <v>152</v>
          </cell>
        </row>
        <row r="8">
          <cell r="E8" t="str">
            <v>Yes</v>
          </cell>
          <cell r="F8">
            <v>36.17</v>
          </cell>
        </row>
        <row r="9">
          <cell r="E9" t="str">
            <v>Yes</v>
          </cell>
          <cell r="F9">
            <v>1771.06</v>
          </cell>
        </row>
        <row r="10">
          <cell r="E10" t="str">
            <v>Yes</v>
          </cell>
          <cell r="F10">
            <v>750.69</v>
          </cell>
        </row>
        <row r="11">
          <cell r="E11" t="str">
            <v>Yes</v>
          </cell>
          <cell r="F11">
            <v>32.549999999999997</v>
          </cell>
        </row>
        <row r="12">
          <cell r="E12" t="str">
            <v>Yes</v>
          </cell>
          <cell r="F12">
            <v>1612.37</v>
          </cell>
        </row>
        <row r="13">
          <cell r="E13" t="str">
            <v>Yes</v>
          </cell>
          <cell r="F13">
            <v>35.479999999999997</v>
          </cell>
        </row>
        <row r="14">
          <cell r="E14" t="str">
            <v>Yes</v>
          </cell>
          <cell r="F14">
            <v>139.53</v>
          </cell>
        </row>
        <row r="15">
          <cell r="E15" t="str">
            <v>Yes</v>
          </cell>
          <cell r="F15">
            <v>1000</v>
          </cell>
        </row>
      </sheetData>
      <sheetData sheetId="25">
        <row r="7">
          <cell r="E7" t="str">
            <v>Yes</v>
          </cell>
          <cell r="F7">
            <v>46.93</v>
          </cell>
        </row>
        <row r="8">
          <cell r="E8" t="str">
            <v>Yes</v>
          </cell>
          <cell r="F8">
            <v>716.05</v>
          </cell>
        </row>
        <row r="9">
          <cell r="E9" t="str">
            <v>Yes</v>
          </cell>
          <cell r="F9">
            <v>95</v>
          </cell>
        </row>
        <row r="10">
          <cell r="E10" t="str">
            <v>Yes</v>
          </cell>
          <cell r="F10">
            <v>35.479999999999997</v>
          </cell>
        </row>
        <row r="11">
          <cell r="E11" t="str">
            <v>Yes</v>
          </cell>
          <cell r="F11">
            <v>139.53</v>
          </cell>
        </row>
        <row r="12">
          <cell r="E12" t="str">
            <v>Yes</v>
          </cell>
          <cell r="F12">
            <v>2572</v>
          </cell>
        </row>
        <row r="13">
          <cell r="E13" t="str">
            <v>Yes</v>
          </cell>
          <cell r="F13">
            <v>1000</v>
          </cell>
        </row>
      </sheetData>
      <sheetData sheetId="26">
        <row r="7">
          <cell r="E7" t="str">
            <v>Yes</v>
          </cell>
          <cell r="F7">
            <v>132.18</v>
          </cell>
        </row>
        <row r="8">
          <cell r="E8" t="str">
            <v>Yes</v>
          </cell>
          <cell r="F8">
            <v>1279.5</v>
          </cell>
        </row>
        <row r="9">
          <cell r="E9" t="str">
            <v>Yes</v>
          </cell>
          <cell r="F9">
            <v>49.13</v>
          </cell>
        </row>
        <row r="10">
          <cell r="E10" t="str">
            <v>Yes</v>
          </cell>
          <cell r="F10">
            <v>35.6</v>
          </cell>
        </row>
        <row r="11">
          <cell r="E11" t="str">
            <v>Yes</v>
          </cell>
          <cell r="F11">
            <v>139.53</v>
          </cell>
        </row>
        <row r="12">
          <cell r="E12" t="str">
            <v>Yes</v>
          </cell>
          <cell r="F12">
            <v>1000</v>
          </cell>
        </row>
      </sheetData>
      <sheetData sheetId="27">
        <row r="7">
          <cell r="E7" t="str">
            <v>Yes</v>
          </cell>
          <cell r="F7">
            <v>10000</v>
          </cell>
        </row>
        <row r="8">
          <cell r="E8" t="str">
            <v>Yes</v>
          </cell>
          <cell r="F8">
            <v>1771.06</v>
          </cell>
        </row>
        <row r="9">
          <cell r="E9" t="str">
            <v>Yes</v>
          </cell>
          <cell r="F9">
            <v>1767.81</v>
          </cell>
        </row>
        <row r="10">
          <cell r="E10" t="str">
            <v>Yes</v>
          </cell>
          <cell r="F10">
            <v>51.24</v>
          </cell>
        </row>
        <row r="11">
          <cell r="E11" t="str">
            <v>Yes</v>
          </cell>
          <cell r="F11">
            <v>70</v>
          </cell>
        </row>
        <row r="12">
          <cell r="E12" t="str">
            <v>Yes</v>
          </cell>
          <cell r="F12">
            <v>10000</v>
          </cell>
        </row>
        <row r="13">
          <cell r="E13" t="str">
            <v>Yes</v>
          </cell>
          <cell r="F13">
            <v>413.62</v>
          </cell>
        </row>
        <row r="14">
          <cell r="E14" t="str">
            <v>Yes</v>
          </cell>
          <cell r="F14">
            <v>35.479999999999997</v>
          </cell>
        </row>
        <row r="15">
          <cell r="E15" t="str">
            <v>Yes</v>
          </cell>
          <cell r="F15">
            <v>37.6</v>
          </cell>
        </row>
        <row r="16">
          <cell r="E16" t="str">
            <v>Yes</v>
          </cell>
          <cell r="F16">
            <v>139.53</v>
          </cell>
        </row>
        <row r="17">
          <cell r="E17" t="str">
            <v>Yes</v>
          </cell>
          <cell r="F17">
            <v>1000</v>
          </cell>
        </row>
        <row r="18">
          <cell r="E18" t="str">
            <v>No</v>
          </cell>
          <cell r="F18">
            <v>303.20999999999998</v>
          </cell>
        </row>
        <row r="19">
          <cell r="E19" t="str">
            <v>No</v>
          </cell>
          <cell r="F19">
            <v>3943.25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sheetData sheetId="4">
        <row r="8">
          <cell r="E8" t="str">
            <v>Yes</v>
          </cell>
          <cell r="F8">
            <v>1299.55</v>
          </cell>
        </row>
        <row r="9">
          <cell r="E9" t="str">
            <v>Yes</v>
          </cell>
          <cell r="F9">
            <v>31.84</v>
          </cell>
        </row>
      </sheetData>
      <sheetData sheetId="5">
        <row r="7">
          <cell r="E7" t="str">
            <v>Yes</v>
          </cell>
          <cell r="F7">
            <v>25.34</v>
          </cell>
        </row>
      </sheetData>
      <sheetData sheetId="6">
        <row r="7">
          <cell r="E7" t="str">
            <v>Yes</v>
          </cell>
          <cell r="F7">
            <v>12.76</v>
          </cell>
        </row>
      </sheetData>
      <sheetData sheetId="7">
        <row r="7">
          <cell r="E7" t="str">
            <v>Yes</v>
          </cell>
          <cell r="F7">
            <v>9.34</v>
          </cell>
        </row>
      </sheetData>
      <sheetData sheetId="8"/>
      <sheetData sheetId="9">
        <row r="7">
          <cell r="E7" t="str">
            <v>Yes</v>
          </cell>
          <cell r="F7">
            <v>2941.85</v>
          </cell>
        </row>
        <row r="8">
          <cell r="E8" t="str">
            <v>Yes</v>
          </cell>
          <cell r="F8">
            <v>530.04999999999995</v>
          </cell>
        </row>
      </sheetData>
      <sheetData sheetId="10">
        <row r="7">
          <cell r="E7" t="str">
            <v>Yes</v>
          </cell>
          <cell r="F7">
            <v>3059.94</v>
          </cell>
        </row>
        <row r="8">
          <cell r="E8" t="str">
            <v>Yes</v>
          </cell>
          <cell r="F8">
            <v>3663.3</v>
          </cell>
        </row>
        <row r="9">
          <cell r="E9" t="str">
            <v>Yes</v>
          </cell>
          <cell r="F9">
            <v>4.21</v>
          </cell>
        </row>
      </sheetData>
      <sheetData sheetId="11">
        <row r="7">
          <cell r="E7" t="str">
            <v>Yes</v>
          </cell>
          <cell r="F7">
            <v>4800.46</v>
          </cell>
        </row>
        <row r="8">
          <cell r="E8" t="str">
            <v>Yes</v>
          </cell>
          <cell r="F8">
            <v>3036.79</v>
          </cell>
        </row>
        <row r="9">
          <cell r="E9" t="str">
            <v>Yes</v>
          </cell>
          <cell r="F9">
            <v>146.88</v>
          </cell>
        </row>
        <row r="10">
          <cell r="E10" t="str">
            <v>Yes</v>
          </cell>
          <cell r="F10">
            <v>17.95</v>
          </cell>
        </row>
      </sheetData>
      <sheetData sheetId="12">
        <row r="7">
          <cell r="E7" t="str">
            <v>Yes</v>
          </cell>
          <cell r="F7">
            <v>2958.65</v>
          </cell>
        </row>
        <row r="8">
          <cell r="E8" t="str">
            <v>Yes</v>
          </cell>
          <cell r="F8">
            <v>3057.31</v>
          </cell>
        </row>
        <row r="9">
          <cell r="E9" t="str">
            <v>Yes</v>
          </cell>
          <cell r="F9">
            <v>37.130000000000003</v>
          </cell>
        </row>
      </sheetData>
      <sheetData sheetId="13">
        <row r="7">
          <cell r="E7" t="str">
            <v>Yes</v>
          </cell>
          <cell r="F7">
            <v>1597.3</v>
          </cell>
        </row>
        <row r="8">
          <cell r="E8" t="str">
            <v>Yes</v>
          </cell>
          <cell r="F8">
            <v>8225</v>
          </cell>
        </row>
        <row r="9">
          <cell r="E9" t="str">
            <v>Yes</v>
          </cell>
          <cell r="F9">
            <v>3489.63</v>
          </cell>
        </row>
        <row r="10">
          <cell r="E10" t="str">
            <v>Yes</v>
          </cell>
          <cell r="F10">
            <v>64.069999999999993</v>
          </cell>
        </row>
      </sheetData>
      <sheetData sheetId="14">
        <row r="7">
          <cell r="E7" t="str">
            <v>Yes</v>
          </cell>
          <cell r="F7">
            <v>3.38</v>
          </cell>
        </row>
        <row r="8">
          <cell r="E8" t="str">
            <v>Yes</v>
          </cell>
          <cell r="F8">
            <v>881.25</v>
          </cell>
        </row>
        <row r="9">
          <cell r="E9" t="str">
            <v>Yes</v>
          </cell>
          <cell r="F9">
            <v>5291.26</v>
          </cell>
        </row>
        <row r="10">
          <cell r="E10" t="str">
            <v>Yes</v>
          </cell>
          <cell r="F10">
            <v>3435</v>
          </cell>
        </row>
        <row r="11">
          <cell r="E11" t="str">
            <v>Yes</v>
          </cell>
          <cell r="F11">
            <v>67.599999999999994</v>
          </cell>
        </row>
      </sheetData>
      <sheetData sheetId="15">
        <row r="7">
          <cell r="E7" t="str">
            <v>Yes</v>
          </cell>
          <cell r="F7">
            <v>3092.6</v>
          </cell>
        </row>
        <row r="8">
          <cell r="E8" t="str">
            <v>Yes</v>
          </cell>
          <cell r="F8">
            <v>4168.78</v>
          </cell>
        </row>
        <row r="9">
          <cell r="E9" t="str">
            <v>Yes</v>
          </cell>
          <cell r="F9">
            <v>1365.84</v>
          </cell>
        </row>
        <row r="10">
          <cell r="E10" t="str">
            <v>Yes</v>
          </cell>
          <cell r="F10">
            <v>41.71</v>
          </cell>
        </row>
      </sheetData>
      <sheetData sheetId="16">
        <row r="7">
          <cell r="F7">
            <v>40.200000000000003</v>
          </cell>
        </row>
        <row r="8">
          <cell r="F8">
            <v>38.49</v>
          </cell>
        </row>
        <row r="9">
          <cell r="F9">
            <v>145.4</v>
          </cell>
        </row>
        <row r="10">
          <cell r="F10">
            <v>1000</v>
          </cell>
        </row>
      </sheetData>
      <sheetData sheetId="17">
        <row r="7">
          <cell r="E7" t="str">
            <v>yes</v>
          </cell>
          <cell r="F7">
            <v>1315.5</v>
          </cell>
        </row>
        <row r="8">
          <cell r="E8" t="str">
            <v>Yes</v>
          </cell>
          <cell r="F8">
            <v>6.4</v>
          </cell>
        </row>
        <row r="9">
          <cell r="E9" t="str">
            <v>Yes</v>
          </cell>
          <cell r="F9">
            <v>925.95</v>
          </cell>
        </row>
        <row r="10">
          <cell r="E10" t="str">
            <v>Yes</v>
          </cell>
          <cell r="F10">
            <v>36.840000000000003</v>
          </cell>
        </row>
        <row r="11">
          <cell r="E11" t="str">
            <v>Yes</v>
          </cell>
          <cell r="F11">
            <v>822.29</v>
          </cell>
        </row>
        <row r="12">
          <cell r="E12" t="str">
            <v>Yes</v>
          </cell>
          <cell r="F12">
            <v>38.49</v>
          </cell>
        </row>
        <row r="13">
          <cell r="E13" t="str">
            <v>Yes</v>
          </cell>
          <cell r="F13">
            <v>139.53</v>
          </cell>
        </row>
        <row r="14">
          <cell r="E14" t="str">
            <v>Yes</v>
          </cell>
          <cell r="F14">
            <v>1000</v>
          </cell>
        </row>
      </sheetData>
      <sheetData sheetId="18">
        <row r="7">
          <cell r="E7" t="str">
            <v>Yes</v>
          </cell>
          <cell r="F7">
            <v>27.08</v>
          </cell>
        </row>
        <row r="8">
          <cell r="E8" t="str">
            <v>Yes</v>
          </cell>
          <cell r="F8">
            <v>633.05999999999995</v>
          </cell>
        </row>
        <row r="9">
          <cell r="E9" t="str">
            <v>Yes</v>
          </cell>
          <cell r="F9">
            <v>731.32</v>
          </cell>
        </row>
        <row r="10">
          <cell r="E10" t="str">
            <v>Yes</v>
          </cell>
          <cell r="F10">
            <v>35.479999999999997</v>
          </cell>
        </row>
        <row r="11">
          <cell r="E11" t="str">
            <v>Yes</v>
          </cell>
          <cell r="F11">
            <v>139.53</v>
          </cell>
        </row>
        <row r="12">
          <cell r="E12" t="str">
            <v>Yes</v>
          </cell>
          <cell r="F12">
            <v>481.75</v>
          </cell>
        </row>
        <row r="13">
          <cell r="E13" t="str">
            <v>Yes</v>
          </cell>
          <cell r="F13">
            <v>1000</v>
          </cell>
        </row>
        <row r="14">
          <cell r="E14" t="str">
            <v>Yes</v>
          </cell>
          <cell r="F14">
            <v>116.33</v>
          </cell>
        </row>
      </sheetData>
      <sheetData sheetId="19">
        <row r="7">
          <cell r="E7" t="str">
            <v>Yes</v>
          </cell>
          <cell r="F7">
            <v>40.659999999999997</v>
          </cell>
        </row>
        <row r="8">
          <cell r="E8" t="str">
            <v>Yes</v>
          </cell>
          <cell r="F8">
            <v>388.44</v>
          </cell>
        </row>
        <row r="9">
          <cell r="E9" t="str">
            <v>Yes</v>
          </cell>
          <cell r="F9">
            <v>35.479999999999997</v>
          </cell>
        </row>
        <row r="10">
          <cell r="E10" t="str">
            <v>Yes</v>
          </cell>
          <cell r="F10">
            <v>139.53</v>
          </cell>
        </row>
        <row r="11">
          <cell r="E11" t="str">
            <v>Yes</v>
          </cell>
          <cell r="F11">
            <v>708.62</v>
          </cell>
        </row>
        <row r="12">
          <cell r="E12" t="str">
            <v>Yes</v>
          </cell>
          <cell r="F12">
            <v>1000</v>
          </cell>
        </row>
      </sheetData>
      <sheetData sheetId="20">
        <row r="7">
          <cell r="E7" t="str">
            <v>Yes</v>
          </cell>
          <cell r="F7">
            <v>39.729999999999997</v>
          </cell>
        </row>
        <row r="8">
          <cell r="E8" t="str">
            <v>Yes</v>
          </cell>
          <cell r="F8">
            <v>569.29</v>
          </cell>
        </row>
        <row r="9">
          <cell r="E9" t="str">
            <v>Yes</v>
          </cell>
          <cell r="F9">
            <v>35.6</v>
          </cell>
        </row>
        <row r="10">
          <cell r="E10" t="str">
            <v>Yes</v>
          </cell>
          <cell r="F10">
            <v>139.53</v>
          </cell>
        </row>
        <row r="11">
          <cell r="E11" t="str">
            <v>Yes</v>
          </cell>
          <cell r="F11">
            <v>1000</v>
          </cell>
        </row>
      </sheetData>
      <sheetData sheetId="21">
        <row r="7">
          <cell r="E7" t="str">
            <v>Yes</v>
          </cell>
          <cell r="F7">
            <v>30.53</v>
          </cell>
        </row>
        <row r="8">
          <cell r="E8" t="str">
            <v>Yes</v>
          </cell>
          <cell r="F8">
            <v>1422.68</v>
          </cell>
        </row>
        <row r="9">
          <cell r="E9" t="str">
            <v>Yes</v>
          </cell>
          <cell r="F9">
            <v>533</v>
          </cell>
        </row>
        <row r="10">
          <cell r="E10" t="str">
            <v>Yes</v>
          </cell>
          <cell r="F10">
            <v>35.479999999999997</v>
          </cell>
        </row>
        <row r="11">
          <cell r="E11" t="str">
            <v>Yes</v>
          </cell>
          <cell r="F11">
            <v>139.53</v>
          </cell>
        </row>
        <row r="12">
          <cell r="E12" t="str">
            <v>Yes</v>
          </cell>
          <cell r="F12">
            <v>1000</v>
          </cell>
        </row>
      </sheetData>
      <sheetData sheetId="22">
        <row r="7">
          <cell r="E7" t="str">
            <v>Yes</v>
          </cell>
          <cell r="F7">
            <v>39.78</v>
          </cell>
        </row>
        <row r="8">
          <cell r="E8" t="str">
            <v>Yes</v>
          </cell>
          <cell r="F8">
            <v>441.67</v>
          </cell>
        </row>
        <row r="9">
          <cell r="E9" t="str">
            <v>Yes</v>
          </cell>
          <cell r="F9">
            <v>35.479999999999997</v>
          </cell>
        </row>
        <row r="10">
          <cell r="E10" t="str">
            <v>Yes</v>
          </cell>
          <cell r="F10">
            <v>433.99</v>
          </cell>
        </row>
        <row r="11">
          <cell r="E11" t="str">
            <v>Yes</v>
          </cell>
          <cell r="F11">
            <v>1000</v>
          </cell>
        </row>
        <row r="12">
          <cell r="E12" t="str">
            <v>yes</v>
          </cell>
          <cell r="F12">
            <v>139.53</v>
          </cell>
        </row>
      </sheetData>
      <sheetData sheetId="23">
        <row r="7">
          <cell r="E7" t="str">
            <v>Yes</v>
          </cell>
          <cell r="F7">
            <v>3.2</v>
          </cell>
        </row>
        <row r="8">
          <cell r="E8" t="str">
            <v>Yes</v>
          </cell>
          <cell r="F8">
            <v>333</v>
          </cell>
        </row>
        <row r="9">
          <cell r="E9" t="str">
            <v>Yes</v>
          </cell>
          <cell r="F9">
            <v>35.479999999999997</v>
          </cell>
        </row>
        <row r="10">
          <cell r="E10" t="str">
            <v>Yes</v>
          </cell>
          <cell r="F10">
            <v>139.53</v>
          </cell>
        </row>
        <row r="11">
          <cell r="E11" t="str">
            <v>Yes</v>
          </cell>
          <cell r="F11">
            <v>1000</v>
          </cell>
        </row>
      </sheetData>
      <sheetData sheetId="24">
        <row r="7">
          <cell r="E7" t="str">
            <v>Yes</v>
          </cell>
          <cell r="F7">
            <v>152</v>
          </cell>
        </row>
        <row r="8">
          <cell r="E8" t="str">
            <v>Yes</v>
          </cell>
          <cell r="F8">
            <v>36.17</v>
          </cell>
        </row>
        <row r="9">
          <cell r="E9" t="str">
            <v>Yes</v>
          </cell>
          <cell r="F9">
            <v>1771.06</v>
          </cell>
        </row>
        <row r="10">
          <cell r="E10" t="str">
            <v>Yes</v>
          </cell>
          <cell r="F10">
            <v>750.69</v>
          </cell>
        </row>
        <row r="11">
          <cell r="E11" t="str">
            <v>Yes</v>
          </cell>
          <cell r="F11">
            <v>32.549999999999997</v>
          </cell>
        </row>
        <row r="12">
          <cell r="E12" t="str">
            <v>Yes</v>
          </cell>
          <cell r="F12">
            <v>1612.37</v>
          </cell>
        </row>
        <row r="13">
          <cell r="E13" t="str">
            <v>Yes</v>
          </cell>
          <cell r="F13">
            <v>35.479999999999997</v>
          </cell>
        </row>
        <row r="14">
          <cell r="E14" t="str">
            <v>Yes</v>
          </cell>
          <cell r="F14">
            <v>139.53</v>
          </cell>
        </row>
        <row r="15">
          <cell r="E15" t="str">
            <v>Yes</v>
          </cell>
          <cell r="F15">
            <v>1000</v>
          </cell>
        </row>
      </sheetData>
      <sheetData sheetId="25">
        <row r="7">
          <cell r="E7" t="str">
            <v>Yes</v>
          </cell>
          <cell r="F7">
            <v>46.93</v>
          </cell>
        </row>
        <row r="8">
          <cell r="E8" t="str">
            <v>Yes</v>
          </cell>
          <cell r="F8">
            <v>716.05</v>
          </cell>
        </row>
        <row r="9">
          <cell r="E9" t="str">
            <v>Yes</v>
          </cell>
          <cell r="F9">
            <v>95</v>
          </cell>
        </row>
        <row r="10">
          <cell r="E10" t="str">
            <v>Yes</v>
          </cell>
          <cell r="F10">
            <v>35.479999999999997</v>
          </cell>
        </row>
        <row r="11">
          <cell r="E11" t="str">
            <v>Yes</v>
          </cell>
          <cell r="F11">
            <v>139.53</v>
          </cell>
        </row>
        <row r="12">
          <cell r="E12" t="str">
            <v>Yes</v>
          </cell>
          <cell r="F12">
            <v>2572</v>
          </cell>
        </row>
        <row r="13">
          <cell r="E13" t="str">
            <v>Yes</v>
          </cell>
          <cell r="F13">
            <v>1000</v>
          </cell>
        </row>
      </sheetData>
      <sheetData sheetId="26">
        <row r="7">
          <cell r="E7" t="str">
            <v>Yes</v>
          </cell>
          <cell r="F7">
            <v>132.18</v>
          </cell>
        </row>
        <row r="8">
          <cell r="E8" t="str">
            <v>Yes</v>
          </cell>
          <cell r="F8">
            <v>1279.5</v>
          </cell>
        </row>
        <row r="9">
          <cell r="E9" t="str">
            <v>Yes</v>
          </cell>
          <cell r="F9">
            <v>49.13</v>
          </cell>
        </row>
        <row r="10">
          <cell r="E10" t="str">
            <v>Yes</v>
          </cell>
          <cell r="F10">
            <v>35.6</v>
          </cell>
        </row>
        <row r="11">
          <cell r="E11" t="str">
            <v>Yes</v>
          </cell>
          <cell r="F11">
            <v>139.53</v>
          </cell>
        </row>
        <row r="12">
          <cell r="E12" t="str">
            <v>Yes</v>
          </cell>
          <cell r="F12">
            <v>1000</v>
          </cell>
        </row>
      </sheetData>
      <sheetData sheetId="27">
        <row r="7">
          <cell r="E7" t="str">
            <v>Yes</v>
          </cell>
          <cell r="F7">
            <v>10000</v>
          </cell>
        </row>
        <row r="8">
          <cell r="E8" t="str">
            <v>Yes</v>
          </cell>
          <cell r="F8">
            <v>1771.06</v>
          </cell>
        </row>
        <row r="9">
          <cell r="E9" t="str">
            <v>Yes</v>
          </cell>
          <cell r="F9">
            <v>1767.81</v>
          </cell>
        </row>
        <row r="10">
          <cell r="E10" t="str">
            <v>Yes</v>
          </cell>
          <cell r="F10">
            <v>51.24</v>
          </cell>
        </row>
        <row r="11">
          <cell r="E11" t="str">
            <v>Yes</v>
          </cell>
          <cell r="F11">
            <v>70</v>
          </cell>
        </row>
        <row r="12">
          <cell r="E12" t="str">
            <v>Yes</v>
          </cell>
          <cell r="F12">
            <v>10000</v>
          </cell>
        </row>
        <row r="13">
          <cell r="E13" t="str">
            <v>Yes</v>
          </cell>
          <cell r="F13">
            <v>413.62</v>
          </cell>
        </row>
        <row r="14">
          <cell r="E14" t="str">
            <v>Yes</v>
          </cell>
          <cell r="F14">
            <v>35.479999999999997</v>
          </cell>
        </row>
        <row r="15">
          <cell r="E15" t="str">
            <v>Yes</v>
          </cell>
          <cell r="F15">
            <v>37.6</v>
          </cell>
        </row>
        <row r="16">
          <cell r="E16" t="str">
            <v>Yes</v>
          </cell>
          <cell r="F16">
            <v>139.53</v>
          </cell>
        </row>
        <row r="17">
          <cell r="E17" t="str">
            <v>Yes</v>
          </cell>
          <cell r="F17">
            <v>1000</v>
          </cell>
        </row>
        <row r="18">
          <cell r="E18" t="str">
            <v>No</v>
          </cell>
          <cell r="F18">
            <v>303.20999999999998</v>
          </cell>
        </row>
        <row r="19">
          <cell r="E19" t="str">
            <v>No</v>
          </cell>
          <cell r="F19">
            <v>3943.25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port Setup Sheet"/>
      <sheetName val="Business Summary Financial"/>
      <sheetName val="Unit Breakup"/>
      <sheetName val="Segment"/>
      <sheetName val="Ughai"/>
      <sheetName val="KPM"/>
      <sheetName val="Project Progress"/>
      <sheetName val="Initiative Progress"/>
      <sheetName val="Business Position Paper"/>
      <sheetName val="Consolidated Busines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Report_Setup_Sheet1"/>
      <sheetName val="Business_Summary_Financial1"/>
      <sheetName val="Unit_Breakup1"/>
      <sheetName val="Project_Progress1"/>
      <sheetName val="Initiative_Progress1"/>
      <sheetName val="Business_Position_Paper1"/>
      <sheetName val="Consolidated_Business1"/>
      <sheetName val="Report_Setup_Sheet"/>
      <sheetName val="Business_Summary_Financial"/>
      <sheetName val="Unit_Breakup"/>
      <sheetName val="Project_Progress"/>
      <sheetName val="Initiative_Progress"/>
      <sheetName val="Business_Position_Paper"/>
      <sheetName val="Consolidated_Business"/>
      <sheetName val="Masters"/>
      <sheetName val="bloomberg Data"/>
      <sheetName val="Working"/>
      <sheetName val="FG"/>
      <sheetName val="Input"/>
      <sheetName val="Valuation"/>
      <sheetName val="IRR"/>
      <sheetName val="Assumptions"/>
      <sheetName val="Detail Grouping"/>
      <sheetName val="LEDGER"/>
      <sheetName val="COA-IPCL"/>
      <sheetName val="Report_Setup_Sheet2"/>
      <sheetName val="Business_Summary_Financial2"/>
      <sheetName val="Unit_Breakup2"/>
      <sheetName val="Project_Progress2"/>
      <sheetName val="Initiative_Progress2"/>
      <sheetName val="Business_Position_Paper2"/>
      <sheetName val="Consolidated_Business2"/>
      <sheetName val="bloomberg_Data"/>
      <sheetName val="Detail_Grouping"/>
    </sheetNames>
    <sheetDataSet>
      <sheetData sheetId="0" refreshError="1"/>
      <sheetData sheetId="1" refreshError="1">
        <row r="50">
          <cell r="B50" t="str">
            <v>Carbon Black</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B50" t="str">
            <v>Carbon Black</v>
          </cell>
        </row>
      </sheetData>
      <sheetData sheetId="27"/>
      <sheetData sheetId="28"/>
      <sheetData sheetId="29"/>
      <sheetData sheetId="30"/>
      <sheetData sheetId="31"/>
      <sheetData sheetId="32"/>
      <sheetData sheetId="33">
        <row r="50">
          <cell r="B50" t="str">
            <v>Carbon Black</v>
          </cell>
        </row>
      </sheetData>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0">
          <cell r="B50" t="str">
            <v>Carbon Black</v>
          </cell>
        </row>
      </sheetData>
      <sheetData sheetId="52"/>
      <sheetData sheetId="53"/>
      <sheetData sheetId="54"/>
      <sheetData sheetId="55"/>
      <sheetData sheetId="56"/>
      <sheetData sheetId="57"/>
      <sheetData sheetId="58"/>
      <sheetData sheetId="5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P&amp;L"/>
      <sheetName val="BS"/>
      <sheetName val="Cash Flow"/>
      <sheetName val="Stks"/>
      <sheetName val="Stk Stm"/>
      <sheetName val="CPC"/>
      <sheetName val="PwPf-Company"/>
      <sheetName val="Manu Exp-Co"/>
      <sheetName val="S&amp;D-Co"/>
      <sheetName val="Admin Exp-Co"/>
      <sheetName val="Salary"/>
      <sheetName val="PwPf-Depot"/>
      <sheetName val="S&amp;D-Oh"/>
      <sheetName val="S&amp;D-Sales"/>
      <sheetName val="Field Staff"/>
      <sheetName val="R&amp;D-Exp"/>
      <sheetName val="Factory"/>
      <sheetName val="Costing"/>
      <sheetName val="Factory-OH"/>
      <sheetName val="Wages"/>
      <sheetName val="Out-Std"/>
      <sheetName val="Cost Os"/>
      <sheetName val="capax summ"/>
      <sheetName val="projec_detail"/>
      <sheetName val="control cwip"/>
      <sheetName val="Csa Inv"/>
      <sheetName val="R&amp;D"/>
      <sheetName val="Advt"/>
      <sheetName val="NPC-CPC"/>
      <sheetName val="State Summ"/>
      <sheetName val="Unit Summ"/>
      <sheetName val="State Vol"/>
      <sheetName val="Volumes"/>
      <sheetName val="Cash_Flow1"/>
      <sheetName val="Stk_Stm1"/>
      <sheetName val="Manu_Exp-Co1"/>
      <sheetName val="Admin_Exp-Co1"/>
      <sheetName val="Field_Staff1"/>
      <sheetName val="Cost_Os1"/>
      <sheetName val="capax_summ1"/>
      <sheetName val="control_cwip1"/>
      <sheetName val="Csa_Inv1"/>
      <sheetName val="State_Summ1"/>
      <sheetName val="Unit_Summ1"/>
      <sheetName val="State_Vol1"/>
      <sheetName val="Cash_Flow"/>
      <sheetName val="Stk_Stm"/>
      <sheetName val="Manu_Exp-Co"/>
      <sheetName val="Admin_Exp-Co"/>
      <sheetName val="Field_Staff"/>
      <sheetName val="Cost_Os"/>
      <sheetName val="capax_summ"/>
      <sheetName val="control_cwip"/>
      <sheetName val="Csa_Inv"/>
      <sheetName val="State_Summ"/>
      <sheetName val="Unit_Summ"/>
      <sheetName val="State_Vol"/>
      <sheetName val="Cash_Flow2"/>
      <sheetName val="Stk_Stm2"/>
      <sheetName val="Manu_Exp-Co2"/>
      <sheetName val="Admin_Exp-Co2"/>
      <sheetName val="Field_Staff2"/>
      <sheetName val="Cost_Os2"/>
      <sheetName val="capax_summ2"/>
      <sheetName val="control_cwip2"/>
      <sheetName val="Csa_Inv2"/>
      <sheetName val="State_Summ2"/>
      <sheetName val="Unit_Summ2"/>
      <sheetName val="State_Vo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ow r="7">
          <cell r="A7">
            <v>1</v>
          </cell>
          <cell r="B7" t="str">
            <v>94C</v>
          </cell>
          <cell r="C7">
            <v>13711</v>
          </cell>
          <cell r="D7">
            <v>0</v>
          </cell>
          <cell r="E7">
            <v>0</v>
          </cell>
          <cell r="F7">
            <v>0</v>
          </cell>
          <cell r="G7">
            <v>0</v>
          </cell>
          <cell r="I7">
            <v>13711</v>
          </cell>
          <cell r="J7" t="str">
            <v>0</v>
          </cell>
          <cell r="L7">
            <v>533</v>
          </cell>
          <cell r="N7">
            <v>39094</v>
          </cell>
          <cell r="P7">
            <v>58</v>
          </cell>
          <cell r="Q7" t="str">
            <v>No</v>
          </cell>
          <cell r="R7">
            <v>0</v>
          </cell>
          <cell r="S7">
            <v>0</v>
          </cell>
        </row>
        <row r="8">
          <cell r="A8">
            <v>2</v>
          </cell>
          <cell r="B8" t="str">
            <v>94J</v>
          </cell>
          <cell r="C8">
            <v>5610</v>
          </cell>
          <cell r="D8">
            <v>0</v>
          </cell>
          <cell r="E8">
            <v>0</v>
          </cell>
          <cell r="F8">
            <v>0</v>
          </cell>
          <cell r="G8">
            <v>0</v>
          </cell>
          <cell r="I8">
            <v>5610</v>
          </cell>
          <cell r="J8" t="str">
            <v>0</v>
          </cell>
          <cell r="L8">
            <v>533</v>
          </cell>
          <cell r="N8">
            <v>39094</v>
          </cell>
          <cell r="P8">
            <v>56</v>
          </cell>
          <cell r="Q8" t="str">
            <v>No</v>
          </cell>
          <cell r="R8">
            <v>0</v>
          </cell>
          <cell r="S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A58" t="str">
            <v>Total</v>
          </cell>
          <cell r="C58">
            <v>19321</v>
          </cell>
          <cell r="D58">
            <v>0</v>
          </cell>
          <cell r="E58">
            <v>0</v>
          </cell>
          <cell r="F58">
            <v>0</v>
          </cell>
          <cell r="G58">
            <v>0</v>
          </cell>
          <cell r="H58">
            <v>0</v>
          </cell>
          <cell r="I58">
            <v>19321</v>
          </cell>
          <cell r="R58">
            <v>0</v>
          </cell>
          <cell r="S58">
            <v>0</v>
          </cell>
        </row>
      </sheetData>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7">
          <cell r="A7">
            <v>1</v>
          </cell>
          <cell r="B7" t="str">
            <v>94C</v>
          </cell>
          <cell r="G7">
            <v>0</v>
          </cell>
        </row>
        <row r="8">
          <cell r="A8">
            <v>2</v>
          </cell>
          <cell r="B8" t="str">
            <v>94C</v>
          </cell>
        </row>
        <row r="9">
          <cell r="A9">
            <v>3</v>
          </cell>
          <cell r="B9" t="str">
            <v>94C</v>
          </cell>
        </row>
        <row r="10">
          <cell r="A10">
            <v>4</v>
          </cell>
          <cell r="B10" t="str">
            <v>94J</v>
          </cell>
        </row>
        <row r="11">
          <cell r="A11">
            <v>5</v>
          </cell>
          <cell r="B11" t="str">
            <v>94H</v>
          </cell>
        </row>
        <row r="12">
          <cell r="A12">
            <v>6</v>
          </cell>
          <cell r="B12" t="str">
            <v>94A</v>
          </cell>
        </row>
        <row r="13">
          <cell r="A13">
            <v>7</v>
          </cell>
          <cell r="B13" t="str">
            <v>94A</v>
          </cell>
        </row>
        <row r="14">
          <cell r="I14">
            <v>0</v>
          </cell>
        </row>
        <row r="15">
          <cell r="A15" t="str">
            <v>Total</v>
          </cell>
          <cell r="C15">
            <v>0</v>
          </cell>
          <cell r="D15">
            <v>0</v>
          </cell>
          <cell r="E15">
            <v>0</v>
          </cell>
          <cell r="F15">
            <v>0</v>
          </cell>
          <cell r="G15">
            <v>0</v>
          </cell>
          <cell r="H15">
            <v>0</v>
          </cell>
          <cell r="I15">
            <v>0</v>
          </cell>
          <cell r="R15">
            <v>0</v>
          </cell>
          <cell r="S15">
            <v>0</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amp;PLA"/>
      <sheetName val="computation"/>
      <sheetName val="Sheet2"/>
      <sheetName val="IT- DEP"/>
      <sheetName val="fixed assets"/>
      <sheetName val="BS 590"/>
      <sheetName val="IT-_DEP1"/>
      <sheetName val="fixed_assets1"/>
      <sheetName val="BS_5901"/>
      <sheetName val="IT-_DEP"/>
      <sheetName val="fixed_assets"/>
      <sheetName val="BS_590"/>
      <sheetName val="IT-_DEP2"/>
      <sheetName val="fixed_assets2"/>
      <sheetName val="BS_590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tart"/>
      <sheetName val="Sum"/>
      <sheetName val="Upgrade"/>
      <sheetName val="M_S"/>
      <sheetName val="M_M"/>
      <sheetName val="M_C"/>
      <sheetName val="M_O"/>
      <sheetName val="M_A"/>
      <sheetName val="M_F"/>
      <sheetName val="M_B"/>
      <sheetName val="M_T"/>
      <sheetName val="M_Charts"/>
      <sheetName val="M_IS"/>
      <sheetName val="M_CF"/>
      <sheetName val="M_BS"/>
      <sheetName val="M_PR"/>
      <sheetName val="M_SY"/>
      <sheetName val="Q_A1"/>
      <sheetName val="Q_A2"/>
      <sheetName val="Q_Charts"/>
      <sheetName val="67_A"/>
      <sheetName val="A_Charts"/>
      <sheetName val="Q_IS"/>
      <sheetName val="Q_CF"/>
      <sheetName val="Q_BS"/>
      <sheetName val="Q_PR"/>
      <sheetName val="Text"/>
      <sheetName val="Quik"/>
      <sheetName val="Sens"/>
      <sheetName val="What-If"/>
      <sheetName val="Profit"/>
      <sheetName val="Cash"/>
      <sheetName val="Track"/>
      <sheetName val="Trends"/>
      <sheetName val="Check"/>
      <sheetName val="Calc"/>
      <sheetName val="MAIN"/>
      <sheetName val="COMMERCIAL"/>
      <sheetName val="SHARE"/>
      <sheetName val="ASS"/>
      <sheetName val="PROT"/>
      <sheetName val="PRINT-ASS"/>
      <sheetName val="OUT"/>
      <sheetName val="PRINT-OUT"/>
      <sheetName val="CHARTS"/>
      <sheetName val="PRINT-CHARTS"/>
      <sheetName val="TOOLS-SETUP"/>
      <sheetName val="HELP"/>
      <sheetName val="ADDITIONS"/>
      <sheetName val="DESCRIPTION"/>
      <sheetName val="BASICINFO"/>
      <sheetName val="PRINT"/>
      <sheetName val="ABOUT"/>
      <sheetName val="VIEW"/>
      <sheetName val="CHAR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ow r="6">
          <cell r="H6" t="str">
            <v>Sales tax</v>
          </cell>
        </row>
      </sheetData>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ow r="173">
          <cell r="H173" t="str">
            <v>000</v>
          </cell>
        </row>
        <row r="174">
          <cell r="H174" t="str">
            <v xml:space="preserve"> - Product A</v>
          </cell>
        </row>
        <row r="175">
          <cell r="H175" t="str">
            <v xml:space="preserve"> - Product B</v>
          </cell>
        </row>
        <row r="176">
          <cell r="H176" t="str">
            <v xml:space="preserve"> - Product C</v>
          </cell>
        </row>
        <row r="177">
          <cell r="H177" t="str">
            <v xml:space="preserve"> - Product D</v>
          </cell>
        </row>
        <row r="178">
          <cell r="H178" t="str">
            <v xml:space="preserve"> - Service A</v>
          </cell>
        </row>
        <row r="179">
          <cell r="H179" t="str">
            <v xml:space="preserve"> - Service B</v>
          </cell>
        </row>
        <row r="180">
          <cell r="H180" t="str">
            <v xml:space="preserve"> - Service C</v>
          </cell>
        </row>
        <row r="181">
          <cell r="H181" t="str">
            <v xml:space="preserve"> - Service D</v>
          </cell>
        </row>
        <row r="182">
          <cell r="H182" t="str">
            <v xml:space="preserve"> - Exports</v>
          </cell>
        </row>
        <row r="183">
          <cell r="H183" t="str">
            <v xml:space="preserve"> - Spares</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Inv"/>
      <sheetName val="BS sub sh"/>
      <sheetName val="Invest. thousand"/>
      <sheetName val="Investments"/>
      <sheetName val="pubres"/>
      <sheetName val="Sheet1"/>
      <sheetName val="Income"/>
      <sheetName val="Exp"/>
      <sheetName val="Leave encashement"/>
      <sheetName val="TB APJ"/>
      <sheetName val="Variance"/>
      <sheetName val="vari-1"/>
      <sheetName val="TB WORLI"/>
      <sheetName val="deftax"/>
      <sheetName val="Quar ABNL"/>
      <sheetName val="it depr."/>
      <sheetName val="FASCHEDULE"/>
      <sheetName val="G SecST&amp;LT "/>
      <sheetName val="itcomp"/>
      <sheetName val="ratio analysis"/>
      <sheetName val="Hyperian_Jvmar061"/>
      <sheetName val="FA_schedule1"/>
      <sheetName val="BS_sub_sh1"/>
      <sheetName val="Invest__thousand1"/>
      <sheetName val="Leave_encashement1"/>
      <sheetName val="TB_APJ1"/>
      <sheetName val="TB_WORLI1"/>
      <sheetName val="Quar_ABNL1"/>
      <sheetName val="it_depr_1"/>
      <sheetName val="G_SecST&amp;LT_1"/>
      <sheetName val="ratio_analysis1"/>
      <sheetName val="Hyperian_Jvmar06"/>
      <sheetName val="FA_schedule"/>
      <sheetName val="BS_sub_sh"/>
      <sheetName val="Invest__thousand"/>
      <sheetName val="Leave_encashement"/>
      <sheetName val="TB_APJ"/>
      <sheetName val="TB_WORLI"/>
      <sheetName val="Quar_ABNL"/>
      <sheetName val="it_depr_"/>
      <sheetName val="G_SecST&amp;LT_"/>
      <sheetName val="ratio_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7">
          <cell r="B67">
            <v>125873</v>
          </cell>
        </row>
        <row r="85">
          <cell r="B85">
            <v>53508</v>
          </cell>
        </row>
        <row r="97">
          <cell r="B97">
            <v>4803530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7">
          <cell r="B67">
            <v>125873</v>
          </cell>
        </row>
      </sheetData>
      <sheetData sheetId="33"/>
      <sheetData sheetId="34"/>
      <sheetData sheetId="35"/>
      <sheetData sheetId="36"/>
      <sheetData sheetId="37"/>
      <sheetData sheetId="38"/>
      <sheetData sheetId="39"/>
      <sheetData sheetId="40"/>
      <sheetData sheetId="41"/>
      <sheetData sheetId="42"/>
      <sheetData sheetId="43">
        <row r="67">
          <cell r="B67">
            <v>125873</v>
          </cell>
        </row>
      </sheetData>
      <sheetData sheetId="44"/>
      <sheetData sheetId="45"/>
      <sheetData sheetId="46"/>
      <sheetData sheetId="47"/>
      <sheetData sheetId="4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s"/>
      <sheetName val="tds"/>
      <sheetName val="43b"/>
      <sheetName val="depjc1&amp;2"/>
      <sheetName val="dep 99"/>
      <sheetName val="dep1&amp;2&amp;pla"/>
      <sheetName val="80IA"/>
      <sheetName val="80HHC"/>
      <sheetName val="80IA 2"/>
      <sheetName val="capgain"/>
      <sheetName val="ind"/>
      <sheetName val="dep_991"/>
      <sheetName val="80IA_21"/>
      <sheetName val="dep_99"/>
      <sheetName val="80IA_2"/>
      <sheetName val="dep_992"/>
      <sheetName val="80IA_22"/>
    </sheetNames>
    <sheetDataSet>
      <sheetData sheetId="0">
        <row r="28">
          <cell r="H28">
            <v>540967</v>
          </cell>
        </row>
      </sheetData>
      <sheetData sheetId="1">
        <row r="28">
          <cell r="H28">
            <v>540967</v>
          </cell>
        </row>
      </sheetData>
      <sheetData sheetId="2">
        <row r="28">
          <cell r="H28">
            <v>540967</v>
          </cell>
        </row>
      </sheetData>
      <sheetData sheetId="3" refreshError="1">
        <row r="28">
          <cell r="H28">
            <v>540967</v>
          </cell>
        </row>
        <row r="33">
          <cell r="H33">
            <v>2453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D FORM C "/>
      <sheetName val="FORM C ASD "/>
      <sheetName val="FORM C ASD"/>
      <sheetName val="MIS REPORT April 16 ~DEC 16"/>
    </sheetNames>
    <definedNames>
      <definedName name="End_Bal" refersTo="#REF!"/>
      <definedName name="Interest_Rate" refersTo="#REF!"/>
      <definedName name="Loan_Amount" refersTo="#REF!"/>
      <definedName name="Loan_Start" refersTo="#REF!"/>
      <definedName name="Loan_Years" refersTo="#REF!"/>
    </definedNames>
    <sheetDataSet>
      <sheetData sheetId="0"/>
      <sheetData sheetId="1"/>
      <sheetData sheetId="2"/>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D FORM C "/>
      <sheetName val="FORM C ASD "/>
      <sheetName val="FORM C ASD"/>
      <sheetName val="MIS REPORT April 16 ~DEC 16"/>
    </sheetNames>
    <definedNames>
      <definedName name="End_Bal" refersTo="#REF!"/>
      <definedName name="Interest_Rate" refersTo="#REF!"/>
      <definedName name="Loan_Amount" refersTo="#REF!"/>
      <definedName name="Loan_Start" refersTo="#REF!"/>
      <definedName name="Loan_Years" refersTo="#REF!"/>
    </definedNames>
    <sheetDataSet>
      <sheetData sheetId="0"/>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D FORM C "/>
      <sheetName val="FORM C ASD "/>
      <sheetName val="FORM C ASD"/>
      <sheetName val="MIS REPORT April 16 ~DEC 16"/>
    </sheetNames>
    <definedNames>
      <definedName name="End_Bal" refersTo="#REF!"/>
      <definedName name="Interest_Rate" refersTo="#REF!"/>
      <definedName name="Loan_Amount" refersTo="#REF!"/>
      <definedName name="Loan_Start" refersTo="#REF!"/>
      <definedName name="Loan_Years" refersTo="#REF!"/>
    </definedNames>
    <sheetDataSet>
      <sheetData sheetId="0"/>
      <sheetData sheetId="1"/>
      <sheetData sheetId="2"/>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rialbal"/>
      <sheetName val="expcfd"/>
      <sheetName val="defentry"/>
      <sheetName val="taxfree"/>
      <sheetName val="roi"/>
      <sheetName val="depre"/>
    </sheetNames>
    <sheetDataSet>
      <sheetData sheetId="0">
        <row r="145">
          <cell r="B145">
            <v>1204916880.8</v>
          </cell>
        </row>
      </sheetData>
      <sheetData sheetId="1">
        <row r="145">
          <cell r="B145">
            <v>1204916880.8</v>
          </cell>
        </row>
      </sheetData>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 analysis"/>
      <sheetName val="pubres"/>
      <sheetName val="BS"/>
      <sheetName val="PL"/>
      <sheetName val="Schedules"/>
      <sheetName val="Liab"/>
      <sheetName val="Assets"/>
      <sheetName val="Income"/>
      <sheetName val="Exp"/>
      <sheetName val="TB"/>
      <sheetName val="deftax"/>
      <sheetName val="wndeftax"/>
      <sheetName val="G SecST&amp;LT "/>
      <sheetName val="FA"/>
      <sheetName val="itcomp"/>
      <sheetName val="Recon"/>
      <sheetName val="BREAKUP"/>
      <sheetName val="ratio_analysis1"/>
      <sheetName val="G_SecST&amp;LT_1"/>
      <sheetName val="ratio_analysis"/>
      <sheetName val="G_SecST&amp;LT_"/>
    </sheetNames>
    <sheetDataSet>
      <sheetData sheetId="0"/>
      <sheetData sheetId="1"/>
      <sheetData sheetId="2"/>
      <sheetData sheetId="3"/>
      <sheetData sheetId="4"/>
      <sheetData sheetId="5"/>
      <sheetData sheetId="6"/>
      <sheetData sheetId="7"/>
      <sheetData sheetId="8"/>
      <sheetData sheetId="9">
        <row r="185">
          <cell r="B185">
            <v>2529</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Schedule"/>
      <sheetName val="Loan_Amortization_Schedule"/>
    </sheetNames>
    <sheetDataSet>
      <sheetData sheetId="0">
        <row r="5">
          <cell r="D5">
            <v>430000</v>
          </cell>
        </row>
        <row r="6">
          <cell r="D6">
            <v>0.13865</v>
          </cell>
        </row>
        <row r="7">
          <cell r="D7">
            <v>3</v>
          </cell>
        </row>
        <row r="9">
          <cell r="D9">
            <v>39203</v>
          </cell>
        </row>
        <row r="18">
          <cell r="I18">
            <v>420300.08945914567</v>
          </cell>
        </row>
        <row r="19">
          <cell r="I19">
            <v>410488.10453525058</v>
          </cell>
        </row>
        <row r="20">
          <cell r="I20">
            <v>400562.75030221394</v>
          </cell>
        </row>
        <row r="21">
          <cell r="I21">
            <v>390522.71687214309</v>
          </cell>
        </row>
        <row r="22">
          <cell r="I22">
            <v>380366.67922248231</v>
          </cell>
        </row>
        <row r="23">
          <cell r="I23">
            <v>370093.29702114442</v>
          </cell>
        </row>
        <row r="24">
          <cell r="I24">
            <v>359701.21444962191</v>
          </cell>
        </row>
        <row r="25">
          <cell r="I25">
            <v>349189.06002405426</v>
          </cell>
        </row>
        <row r="26">
          <cell r="I26">
            <v>338555.44641422789</v>
          </cell>
        </row>
        <row r="27">
          <cell r="I27">
            <v>327798.97026048461</v>
          </cell>
        </row>
        <row r="28">
          <cell r="I28">
            <v>316918.21198851499</v>
          </cell>
        </row>
        <row r="29">
          <cell r="I29">
            <v>305911.7356220113</v>
          </cell>
        </row>
        <row r="30">
          <cell r="I30">
            <v>294778.08859315631</v>
          </cell>
        </row>
        <row r="31">
          <cell r="I31">
            <v>283515.8015509221</v>
          </cell>
        </row>
        <row r="32">
          <cell r="I32">
            <v>272123.38816715404</v>
          </cell>
        </row>
        <row r="33">
          <cell r="I33">
            <v>260599.34494041439</v>
          </cell>
        </row>
        <row r="34">
          <cell r="I34">
            <v>248942.1509975591</v>
          </cell>
        </row>
        <row r="35">
          <cell r="I35">
            <v>237150.26789302242</v>
          </cell>
        </row>
        <row r="36">
          <cell r="I36">
            <v>225222.13940578207</v>
          </cell>
        </row>
        <row r="37">
          <cell r="I37">
            <v>213156.19133397873</v>
          </cell>
        </row>
        <row r="38">
          <cell r="I38">
            <v>200950.83128716244</v>
          </cell>
        </row>
        <row r="39">
          <cell r="I39">
            <v>188604.44847613855</v>
          </cell>
        </row>
        <row r="40">
          <cell r="I40">
            <v>176115.41350038562</v>
          </cell>
        </row>
        <row r="41">
          <cell r="I41">
            <v>163482.078133017</v>
          </cell>
        </row>
        <row r="42">
          <cell r="I42">
            <v>150702.77510325791</v>
          </cell>
        </row>
        <row r="43">
          <cell r="I43">
            <v>137775.81787640916</v>
          </cell>
        </row>
        <row r="44">
          <cell r="I44">
            <v>124699.50043126852</v>
          </cell>
        </row>
        <row r="45">
          <cell r="I45">
            <v>111472.09703498048</v>
          </cell>
        </row>
        <row r="46">
          <cell r="I46">
            <v>98091.862015284511</v>
          </cell>
        </row>
        <row r="47">
          <cell r="I47">
            <v>84557.029530131796</v>
          </cell>
        </row>
        <row r="48">
          <cell r="I48">
            <v>70865.813334640203</v>
          </cell>
        </row>
        <row r="49">
          <cell r="I49">
            <v>57016.406545356542</v>
          </cell>
        </row>
        <row r="50">
          <cell r="I50">
            <v>43006.981401795027</v>
          </cell>
        </row>
        <row r="51">
          <cell r="I51">
            <v>28835.689025220614</v>
          </cell>
        </row>
        <row r="52">
          <cell r="I52">
            <v>14500.6591746452</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 sheetId="1">
        <row r="5">
          <cell r="D5">
            <v>430000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Schedule"/>
      <sheetName val="Loan_Amortization_Schedule"/>
    </sheetNames>
    <sheetDataSet>
      <sheetData sheetId="0">
        <row r="5">
          <cell r="D5">
            <v>430000</v>
          </cell>
        </row>
        <row r="6">
          <cell r="D6">
            <v>0.13865</v>
          </cell>
        </row>
        <row r="7">
          <cell r="D7">
            <v>3</v>
          </cell>
        </row>
        <row r="9">
          <cell r="D9">
            <v>39203</v>
          </cell>
        </row>
        <row r="18">
          <cell r="I18">
            <v>420300.08945914567</v>
          </cell>
        </row>
        <row r="19">
          <cell r="I19">
            <v>410488.10453525058</v>
          </cell>
        </row>
        <row r="20">
          <cell r="I20">
            <v>400562.75030221394</v>
          </cell>
        </row>
        <row r="21">
          <cell r="I21">
            <v>390522.71687214309</v>
          </cell>
        </row>
        <row r="22">
          <cell r="I22">
            <v>380366.67922248231</v>
          </cell>
        </row>
        <row r="23">
          <cell r="I23">
            <v>370093.29702114442</v>
          </cell>
        </row>
        <row r="24">
          <cell r="I24">
            <v>359701.21444962191</v>
          </cell>
        </row>
        <row r="25">
          <cell r="I25">
            <v>349189.06002405426</v>
          </cell>
        </row>
        <row r="26">
          <cell r="I26">
            <v>338555.44641422789</v>
          </cell>
        </row>
        <row r="27">
          <cell r="I27">
            <v>327798.97026048461</v>
          </cell>
        </row>
        <row r="28">
          <cell r="I28">
            <v>316918.21198851499</v>
          </cell>
        </row>
        <row r="29">
          <cell r="I29">
            <v>305911.7356220113</v>
          </cell>
        </row>
        <row r="30">
          <cell r="I30">
            <v>294778.08859315631</v>
          </cell>
        </row>
        <row r="31">
          <cell r="I31">
            <v>283515.8015509221</v>
          </cell>
        </row>
        <row r="32">
          <cell r="I32">
            <v>272123.38816715404</v>
          </cell>
        </row>
        <row r="33">
          <cell r="I33">
            <v>260599.34494041439</v>
          </cell>
        </row>
        <row r="34">
          <cell r="I34">
            <v>248942.1509975591</v>
          </cell>
        </row>
        <row r="35">
          <cell r="I35">
            <v>237150.26789302242</v>
          </cell>
        </row>
        <row r="36">
          <cell r="I36">
            <v>225222.13940578207</v>
          </cell>
        </row>
        <row r="37">
          <cell r="I37">
            <v>213156.19133397873</v>
          </cell>
        </row>
        <row r="38">
          <cell r="I38">
            <v>200950.83128716244</v>
          </cell>
        </row>
        <row r="39">
          <cell r="I39">
            <v>188604.44847613855</v>
          </cell>
        </row>
        <row r="40">
          <cell r="I40">
            <v>176115.41350038562</v>
          </cell>
        </row>
        <row r="41">
          <cell r="I41">
            <v>163482.078133017</v>
          </cell>
        </row>
        <row r="42">
          <cell r="I42">
            <v>150702.77510325791</v>
          </cell>
        </row>
        <row r="43">
          <cell r="I43">
            <v>137775.81787640916</v>
          </cell>
        </row>
        <row r="44">
          <cell r="I44">
            <v>124699.50043126852</v>
          </cell>
        </row>
        <row r="45">
          <cell r="I45">
            <v>111472.09703498048</v>
          </cell>
        </row>
        <row r="46">
          <cell r="I46">
            <v>98091.862015284511</v>
          </cell>
        </row>
        <row r="47">
          <cell r="I47">
            <v>84557.029530131796</v>
          </cell>
        </row>
        <row r="48">
          <cell r="I48">
            <v>70865.813334640203</v>
          </cell>
        </row>
        <row r="49">
          <cell r="I49">
            <v>57016.406545356542</v>
          </cell>
        </row>
        <row r="50">
          <cell r="I50">
            <v>43006.981401795027</v>
          </cell>
        </row>
        <row r="51">
          <cell r="I51">
            <v>28835.689025220614</v>
          </cell>
        </row>
        <row r="52">
          <cell r="I52">
            <v>14500.6591746452</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 sheetId="1">
        <row r="5">
          <cell r="D5">
            <v>430000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it97"/>
      <sheetName val="DEPIT979"/>
    </sheetNames>
    <sheetDataSet>
      <sheetData sheetId="0"/>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Schedule"/>
    </sheetNames>
    <sheetDataSet>
      <sheetData sheetId="0">
        <row r="5">
          <cell r="D5">
            <v>430000</v>
          </cell>
        </row>
        <row r="6">
          <cell r="D6">
            <v>0.13865</v>
          </cell>
        </row>
        <row r="7">
          <cell r="D7">
            <v>3</v>
          </cell>
        </row>
        <row r="9">
          <cell r="D9">
            <v>39203</v>
          </cell>
        </row>
        <row r="18">
          <cell r="I18">
            <v>420300.08945914567</v>
          </cell>
        </row>
        <row r="19">
          <cell r="I19">
            <v>410488.10453525058</v>
          </cell>
        </row>
        <row r="20">
          <cell r="I20">
            <v>400562.75030221394</v>
          </cell>
        </row>
        <row r="21">
          <cell r="I21">
            <v>390522.71687214309</v>
          </cell>
        </row>
        <row r="22">
          <cell r="I22">
            <v>380366.67922248231</v>
          </cell>
        </row>
        <row r="23">
          <cell r="I23">
            <v>370093.29702114442</v>
          </cell>
        </row>
        <row r="24">
          <cell r="I24">
            <v>359701.21444962191</v>
          </cell>
        </row>
        <row r="25">
          <cell r="I25">
            <v>349189.06002405426</v>
          </cell>
        </row>
        <row r="26">
          <cell r="I26">
            <v>338555.44641422789</v>
          </cell>
        </row>
        <row r="27">
          <cell r="I27">
            <v>327798.97026048461</v>
          </cell>
        </row>
        <row r="28">
          <cell r="I28">
            <v>316918.21198851499</v>
          </cell>
        </row>
        <row r="29">
          <cell r="I29">
            <v>305911.7356220113</v>
          </cell>
        </row>
        <row r="30">
          <cell r="I30">
            <v>294778.08859315631</v>
          </cell>
        </row>
        <row r="31">
          <cell r="I31">
            <v>283515.8015509221</v>
          </cell>
        </row>
        <row r="32">
          <cell r="I32">
            <v>272123.38816715404</v>
          </cell>
        </row>
        <row r="33">
          <cell r="I33">
            <v>260599.34494041439</v>
          </cell>
        </row>
        <row r="34">
          <cell r="I34">
            <v>248942.1509975591</v>
          </cell>
        </row>
        <row r="35">
          <cell r="I35">
            <v>237150.26789302242</v>
          </cell>
        </row>
        <row r="36">
          <cell r="I36">
            <v>225222.13940578207</v>
          </cell>
        </row>
        <row r="37">
          <cell r="I37">
            <v>213156.19133397873</v>
          </cell>
        </row>
        <row r="38">
          <cell r="I38">
            <v>200950.83128716244</v>
          </cell>
        </row>
        <row r="39">
          <cell r="I39">
            <v>188604.44847613855</v>
          </cell>
        </row>
        <row r="40">
          <cell r="I40">
            <v>176115.41350038562</v>
          </cell>
        </row>
        <row r="41">
          <cell r="I41">
            <v>163482.078133017</v>
          </cell>
        </row>
        <row r="42">
          <cell r="I42">
            <v>150702.77510325791</v>
          </cell>
        </row>
        <row r="43">
          <cell r="I43">
            <v>137775.81787640916</v>
          </cell>
        </row>
        <row r="44">
          <cell r="I44">
            <v>124699.50043126852</v>
          </cell>
        </row>
        <row r="45">
          <cell r="I45">
            <v>111472.09703498048</v>
          </cell>
        </row>
        <row r="46">
          <cell r="I46">
            <v>98091.862015284511</v>
          </cell>
        </row>
        <row r="47">
          <cell r="I47">
            <v>84557.029530131796</v>
          </cell>
        </row>
        <row r="48">
          <cell r="I48">
            <v>70865.813334640203</v>
          </cell>
        </row>
        <row r="49">
          <cell r="I49">
            <v>57016.406545356542</v>
          </cell>
        </row>
        <row r="50">
          <cell r="I50">
            <v>43006.981401795027</v>
          </cell>
        </row>
        <row r="51">
          <cell r="I51">
            <v>28835.689025220614</v>
          </cell>
        </row>
        <row r="52">
          <cell r="I52">
            <v>14500.6591746452</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ange fluctuation"/>
      <sheetName val="Debtors Bal.con"/>
      <sheetName val="Sheet2"/>
      <sheetName val="Sheet3"/>
      <sheetName val="depreciation"/>
      <sheetName val="final  Bsheet &amp; P&amp; L "/>
      <sheetName val="Calc"/>
      <sheetName val="M_T"/>
      <sheetName val="exchange_fluctuation1"/>
      <sheetName val="Debtors_Bal_con1"/>
      <sheetName val="final__Bsheet_&amp;_P&amp;_L_1"/>
      <sheetName val="exchange_fluctuation"/>
      <sheetName val="Debtors_Bal_con"/>
      <sheetName val="final__Bsheet_&amp;_P&amp;_L_"/>
      <sheetName val="exchange_fluctuation2"/>
      <sheetName val="Debtors_Bal_con2"/>
      <sheetName val="final__Bsheet_&amp;_P&amp;_L_2"/>
    </sheetNames>
    <sheetDataSet>
      <sheetData sheetId="0">
        <row r="178">
          <cell r="U178" t="str">
            <v>AMOL PHARMACEUTICALS PRIVATE LIMITED</v>
          </cell>
        </row>
        <row r="180">
          <cell r="U180" t="str">
            <v>CALCULATION OF EXCHANGE FLUCTUATION AS ON 31.3.2001</v>
          </cell>
        </row>
        <row r="182">
          <cell r="U182" t="str">
            <v>Invoice</v>
          </cell>
          <cell r="V182" t="str">
            <v xml:space="preserve">Date of </v>
          </cell>
          <cell r="W182" t="str">
            <v xml:space="preserve">Amount in </v>
          </cell>
          <cell r="X182" t="str">
            <v>Rate</v>
          </cell>
          <cell r="Y182" t="str">
            <v xml:space="preserve">Amount </v>
          </cell>
          <cell r="Z182" t="str">
            <v xml:space="preserve">Amount </v>
          </cell>
          <cell r="AA182" t="str">
            <v xml:space="preserve">Exchange </v>
          </cell>
        </row>
        <row r="183">
          <cell r="V183" t="str">
            <v>Receipt</v>
          </cell>
          <cell r="W183" t="str">
            <v>$</v>
          </cell>
          <cell r="Y183" t="str">
            <v>Receivable</v>
          </cell>
          <cell r="Z183" t="str">
            <v>Accounted</v>
          </cell>
          <cell r="AA183" t="str">
            <v>Difference</v>
          </cell>
        </row>
        <row r="184">
          <cell r="U184" t="str">
            <v>AP/2001/USA/089</v>
          </cell>
          <cell r="V184" t="str">
            <v>12.04.2001</v>
          </cell>
          <cell r="W184">
            <v>35000</v>
          </cell>
          <cell r="X184">
            <v>46.77</v>
          </cell>
          <cell r="Y184">
            <v>1636950</v>
          </cell>
          <cell r="Z184">
            <v>1629250</v>
          </cell>
          <cell r="AA184">
            <v>7700</v>
          </cell>
        </row>
        <row r="185">
          <cell r="U185" t="str">
            <v>AP/2001/USA/90</v>
          </cell>
          <cell r="V185" t="str">
            <v>28.05.2001</v>
          </cell>
          <cell r="W185">
            <v>19223.75</v>
          </cell>
          <cell r="X185">
            <v>46.77</v>
          </cell>
          <cell r="Y185">
            <v>899094.78750000009</v>
          </cell>
          <cell r="Z185">
            <v>894865.5625</v>
          </cell>
          <cell r="AA185">
            <v>4229.2250000000931</v>
          </cell>
        </row>
        <row r="186">
          <cell r="U186" t="str">
            <v>AP/2001/HBL/07</v>
          </cell>
          <cell r="V186" t="str">
            <v>18.05.2001</v>
          </cell>
          <cell r="W186">
            <v>45000</v>
          </cell>
          <cell r="X186">
            <v>46.77</v>
          </cell>
          <cell r="Y186">
            <v>2104650</v>
          </cell>
          <cell r="Z186">
            <v>2094750</v>
          </cell>
          <cell r="AA186">
            <v>9900</v>
          </cell>
        </row>
        <row r="187">
          <cell r="U187" t="str">
            <v>AP/2000/TRA/09</v>
          </cell>
          <cell r="V187" t="str">
            <v>28.05.2001</v>
          </cell>
          <cell r="W187">
            <v>7600</v>
          </cell>
          <cell r="X187">
            <v>46.77</v>
          </cell>
          <cell r="Y187">
            <v>355452</v>
          </cell>
          <cell r="Z187">
            <v>353780</v>
          </cell>
          <cell r="AA187">
            <v>1672</v>
          </cell>
        </row>
        <row r="188">
          <cell r="U188" t="str">
            <v>AP/2001/USA/91</v>
          </cell>
          <cell r="V188" t="str">
            <v>09.05.2001</v>
          </cell>
          <cell r="W188">
            <v>1.3</v>
          </cell>
          <cell r="X188">
            <v>46.77</v>
          </cell>
          <cell r="Y188">
            <v>60.801000000000009</v>
          </cell>
          <cell r="Z188">
            <v>60.515000000000001</v>
          </cell>
          <cell r="AA188">
            <v>0.28600000000000847</v>
          </cell>
        </row>
        <row r="189">
          <cell r="U189" t="str">
            <v>AP/2001/USA/91</v>
          </cell>
          <cell r="V189" t="str">
            <v>18.05.2001</v>
          </cell>
          <cell r="W189">
            <v>398.7</v>
          </cell>
          <cell r="X189">
            <v>46.77</v>
          </cell>
          <cell r="Y189">
            <v>18647.199000000001</v>
          </cell>
          <cell r="Z189">
            <v>18559.484999999997</v>
          </cell>
          <cell r="AA189">
            <v>87.71400000000358</v>
          </cell>
        </row>
        <row r="190">
          <cell r="U190" t="str">
            <v>AP/2001/HBL/08</v>
          </cell>
          <cell r="V190" t="str">
            <v>19.04.2001</v>
          </cell>
          <cell r="W190">
            <v>19325</v>
          </cell>
          <cell r="X190">
            <v>46.77</v>
          </cell>
          <cell r="Y190">
            <v>903830.25000000012</v>
          </cell>
          <cell r="Z190">
            <v>899578.75</v>
          </cell>
          <cell r="AA190">
            <v>4251.5000000001164</v>
          </cell>
        </row>
        <row r="191">
          <cell r="U191" t="str">
            <v>AP/2000/TRA/10</v>
          </cell>
          <cell r="V191" t="str">
            <v>19.04.2001</v>
          </cell>
          <cell r="W191">
            <v>14700</v>
          </cell>
          <cell r="X191">
            <v>46.77</v>
          </cell>
          <cell r="Y191">
            <v>687519</v>
          </cell>
          <cell r="Z191">
            <v>684285</v>
          </cell>
          <cell r="AA191">
            <v>3234</v>
          </cell>
        </row>
        <row r="192">
          <cell r="U192" t="str">
            <v>AP/2001/USA/92</v>
          </cell>
          <cell r="V192" t="str">
            <v>09.05.2001</v>
          </cell>
          <cell r="W192">
            <v>45398.7</v>
          </cell>
          <cell r="X192">
            <v>46.77</v>
          </cell>
          <cell r="Y192">
            <v>2123297.199</v>
          </cell>
          <cell r="Z192">
            <v>2097419.94</v>
          </cell>
          <cell r="AA192">
            <v>25877.259000000078</v>
          </cell>
        </row>
        <row r="193">
          <cell r="U193" t="str">
            <v>AP/2001/USA/93</v>
          </cell>
          <cell r="V193" t="str">
            <v>06.06.2001</v>
          </cell>
          <cell r="W193">
            <v>30000</v>
          </cell>
          <cell r="X193">
            <v>46.77</v>
          </cell>
          <cell r="Y193">
            <v>1403100</v>
          </cell>
          <cell r="Z193">
            <v>1386000</v>
          </cell>
          <cell r="AA193">
            <v>17100</v>
          </cell>
        </row>
        <row r="194">
          <cell r="U194" t="str">
            <v>AP/2001/USA/93</v>
          </cell>
          <cell r="V194" t="str">
            <v>08.06.2001</v>
          </cell>
          <cell r="W194">
            <v>6303.3</v>
          </cell>
          <cell r="X194">
            <v>46.77</v>
          </cell>
          <cell r="Y194">
            <v>294805.34100000001</v>
          </cell>
          <cell r="Z194">
            <v>291212.46000000002</v>
          </cell>
          <cell r="AA194">
            <v>3592.8809999999939</v>
          </cell>
        </row>
        <row r="195">
          <cell r="U195" t="str">
            <v>AP/2001/USA/94</v>
          </cell>
          <cell r="V195" t="str">
            <v>08.06.2001</v>
          </cell>
          <cell r="W195">
            <v>12856.5</v>
          </cell>
          <cell r="X195">
            <v>46.77</v>
          </cell>
          <cell r="Y195">
            <v>601298.505</v>
          </cell>
          <cell r="Z195">
            <v>593970.30000000005</v>
          </cell>
          <cell r="AA195">
            <v>7328.2049999999581</v>
          </cell>
        </row>
        <row r="196">
          <cell r="U196" t="str">
            <v>AP/2001/HBL/09</v>
          </cell>
          <cell r="V196" t="str">
            <v>08.06.2001</v>
          </cell>
          <cell r="W196">
            <v>6948.75</v>
          </cell>
          <cell r="X196">
            <v>46.77</v>
          </cell>
          <cell r="Y196">
            <v>324993.03750000003</v>
          </cell>
          <cell r="Z196">
            <v>321032.25</v>
          </cell>
          <cell r="AA196">
            <v>3960.7875000000349</v>
          </cell>
        </row>
        <row r="197">
          <cell r="U197" t="str">
            <v>AP/2001/HBL/10</v>
          </cell>
          <cell r="V197" t="str">
            <v>08.06.2001</v>
          </cell>
          <cell r="W197">
            <v>10337</v>
          </cell>
          <cell r="X197">
            <v>46.77</v>
          </cell>
          <cell r="Y197">
            <v>483461.49000000005</v>
          </cell>
          <cell r="Z197">
            <v>480670.5</v>
          </cell>
          <cell r="AA197">
            <v>2790.9900000000489</v>
          </cell>
        </row>
        <row r="198">
          <cell r="U198" t="str">
            <v>AP/2000/TRA/11</v>
          </cell>
          <cell r="V198" t="str">
            <v>08.06.2001</v>
          </cell>
          <cell r="W198">
            <v>7600</v>
          </cell>
          <cell r="X198">
            <v>46.77</v>
          </cell>
          <cell r="Y198">
            <v>355452</v>
          </cell>
          <cell r="Z198">
            <v>353400</v>
          </cell>
          <cell r="AA198">
            <v>2052</v>
          </cell>
        </row>
        <row r="199">
          <cell r="U199" t="str">
            <v>AP/2001/USA/95</v>
          </cell>
          <cell r="V199" t="str">
            <v>21.06.2001</v>
          </cell>
          <cell r="W199">
            <v>12099.9</v>
          </cell>
          <cell r="X199">
            <v>46.77</v>
          </cell>
          <cell r="Y199">
            <v>565912.32299999997</v>
          </cell>
          <cell r="Z199">
            <v>562645.35</v>
          </cell>
          <cell r="AA199">
            <v>3266.9729999999981</v>
          </cell>
        </row>
        <row r="200">
          <cell r="U200" t="str">
            <v>AP/2001/USA/96</v>
          </cell>
          <cell r="V200" t="str">
            <v>21.06.2001</v>
          </cell>
          <cell r="W200">
            <v>7987.6</v>
          </cell>
          <cell r="X200">
            <v>46.77</v>
          </cell>
          <cell r="Y200">
            <v>373580.05200000003</v>
          </cell>
          <cell r="Z200">
            <v>371423.4</v>
          </cell>
          <cell r="AA200">
            <v>2156.6520000000019</v>
          </cell>
        </row>
        <row r="201">
          <cell r="U201" t="str">
            <v>AP/2001/HBL/11</v>
          </cell>
          <cell r="V201" t="str">
            <v>4.7.2001</v>
          </cell>
          <cell r="W201">
            <v>25000</v>
          </cell>
          <cell r="X201">
            <v>46.77</v>
          </cell>
          <cell r="Y201">
            <v>1169250</v>
          </cell>
          <cell r="Z201">
            <v>1162500</v>
          </cell>
          <cell r="AA201">
            <v>6750</v>
          </cell>
        </row>
        <row r="202">
          <cell r="U202" t="str">
            <v>AP/2001/HBL/11</v>
          </cell>
          <cell r="V202" t="str">
            <v>Prov</v>
          </cell>
          <cell r="W202">
            <v>19960</v>
          </cell>
          <cell r="X202">
            <v>46.77</v>
          </cell>
          <cell r="Y202">
            <v>933529.20000000007</v>
          </cell>
          <cell r="Z202">
            <v>928140</v>
          </cell>
          <cell r="AA202">
            <v>5389.2000000000698</v>
          </cell>
        </row>
        <row r="203">
          <cell r="U203" t="str">
            <v>AP/2000/TRA/12</v>
          </cell>
          <cell r="V203" t="str">
            <v>21.06.2001</v>
          </cell>
          <cell r="W203">
            <v>2623.25</v>
          </cell>
          <cell r="X203">
            <v>46.77</v>
          </cell>
          <cell r="Y203">
            <v>122689.40250000001</v>
          </cell>
          <cell r="Z203">
            <v>121981.125</v>
          </cell>
          <cell r="AA203">
            <v>708.27750000001106</v>
          </cell>
        </row>
        <row r="204">
          <cell r="U204" t="str">
            <v>AP/2001/USA/97</v>
          </cell>
          <cell r="V204" t="str">
            <v>Prov</v>
          </cell>
          <cell r="W204">
            <v>6822</v>
          </cell>
          <cell r="X204">
            <v>46.77</v>
          </cell>
          <cell r="Y204">
            <v>319064.94</v>
          </cell>
          <cell r="Z204">
            <v>317223</v>
          </cell>
          <cell r="AA204">
            <v>1841.9400000000023</v>
          </cell>
        </row>
        <row r="205">
          <cell r="U205" t="str">
            <v>AP/2000/TRA/13</v>
          </cell>
          <cell r="V205" t="str">
            <v>Prov</v>
          </cell>
          <cell r="W205">
            <v>15000</v>
          </cell>
          <cell r="X205">
            <v>46.77</v>
          </cell>
          <cell r="Y205">
            <v>701550</v>
          </cell>
          <cell r="Z205">
            <v>697500</v>
          </cell>
          <cell r="AA205">
            <v>4050</v>
          </cell>
        </row>
        <row r="206">
          <cell r="U206" t="str">
            <v>AP/2001/USA/98</v>
          </cell>
          <cell r="V206" t="str">
            <v>Prov</v>
          </cell>
          <cell r="W206">
            <v>37235</v>
          </cell>
          <cell r="X206">
            <v>46.77</v>
          </cell>
          <cell r="Y206">
            <v>1741480.9500000002</v>
          </cell>
          <cell r="Z206">
            <v>1731432.15</v>
          </cell>
          <cell r="AA206">
            <v>10048.800000000279</v>
          </cell>
        </row>
        <row r="207">
          <cell r="U207" t="str">
            <v>AP/2001/HBL/12</v>
          </cell>
          <cell r="V207" t="str">
            <v>Prov</v>
          </cell>
          <cell r="W207">
            <v>23100</v>
          </cell>
          <cell r="X207">
            <v>46.77</v>
          </cell>
          <cell r="Y207">
            <v>1080387</v>
          </cell>
          <cell r="Z207">
            <v>1074150</v>
          </cell>
          <cell r="AA207">
            <v>6237</v>
          </cell>
        </row>
        <row r="208">
          <cell r="U208" t="str">
            <v>AP/2000/TRA/11(M)</v>
          </cell>
          <cell r="V208" t="str">
            <v>Prov</v>
          </cell>
          <cell r="W208">
            <v>17453.900000000001</v>
          </cell>
          <cell r="X208">
            <v>46.77</v>
          </cell>
          <cell r="Y208">
            <v>816318.90300000017</v>
          </cell>
          <cell r="Z208">
            <v>811606.35</v>
          </cell>
          <cell r="AA208">
            <v>4712.5530000001891</v>
          </cell>
        </row>
        <row r="209">
          <cell r="U209" t="str">
            <v>AP/2000/TRA/12(M)</v>
          </cell>
          <cell r="V209" t="str">
            <v>Prov</v>
          </cell>
          <cell r="W209">
            <v>15000</v>
          </cell>
          <cell r="X209">
            <v>46.77</v>
          </cell>
          <cell r="Y209">
            <v>701550</v>
          </cell>
          <cell r="Z209">
            <v>697500</v>
          </cell>
          <cell r="AA209">
            <v>4050</v>
          </cell>
        </row>
        <row r="210">
          <cell r="V210">
            <v>0</v>
          </cell>
          <cell r="W210">
            <v>442974.65</v>
          </cell>
          <cell r="X210">
            <v>1216.0199999999998</v>
          </cell>
          <cell r="Y210">
            <v>20717924.3805</v>
          </cell>
          <cell r="Z210">
            <v>20574936.137500003</v>
          </cell>
          <cell r="AA210">
            <v>142988.24300000089</v>
          </cell>
        </row>
      </sheetData>
      <sheetData sheetId="1"/>
      <sheetData sheetId="2"/>
      <sheetData sheetId="3"/>
      <sheetData sheetId="4" refreshError="1"/>
      <sheetData sheetId="5" refreshError="1"/>
      <sheetData sheetId="6" refreshError="1"/>
      <sheetData sheetId="7" refreshError="1"/>
      <sheetData sheetId="8">
        <row r="178">
          <cell r="U178" t="str">
            <v>AMOL PHARMACEUTICALS PRIVATE LIMITED</v>
          </cell>
        </row>
      </sheetData>
      <sheetData sheetId="9"/>
      <sheetData sheetId="10"/>
      <sheetData sheetId="11">
        <row r="178">
          <cell r="U178" t="str">
            <v>AMOL PHARMACEUTICALS PRIVATE LIMITED</v>
          </cell>
        </row>
      </sheetData>
      <sheetData sheetId="12"/>
      <sheetData sheetId="13"/>
      <sheetData sheetId="14">
        <row r="178">
          <cell r="U178" t="str">
            <v>AMOL PHARMACEUTICALS PRIVATE LIMITED</v>
          </cell>
        </row>
      </sheetData>
      <sheetData sheetId="15"/>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sheetName val="JOB WORK"/>
      <sheetName val="rough"/>
      <sheetName val="exchange fluctuation"/>
      <sheetName val="RAW_MATERIAL1"/>
      <sheetName val="JOB_WORK1"/>
      <sheetName val="exchange_fluctuation1"/>
      <sheetName val="RAW_MATERIAL"/>
      <sheetName val="JOB_WORK"/>
      <sheetName val="exchange_fluctuation"/>
      <sheetName val="RAW_MATERIAL2"/>
      <sheetName val="JOB_WORK2"/>
      <sheetName val="exchange_fluctuation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u-gau"/>
      <sheetName val="INT WORKING"/>
      <sheetName val="80 HHC-gau"/>
      <sheetName val="80IB+80 HHC"/>
      <sheetName val="ins, freight,excise"/>
      <sheetName val="BS &amp; Pr &amp; Loss"/>
      <sheetName val="ratios"/>
      <sheetName val="depreication"/>
      <sheetName val="Stock Reco."/>
      <sheetName val="RETROSPECTIVE DEPN"/>
      <sheetName val="gau"/>
      <sheetName val="JOB WORK"/>
      <sheetName val="rough"/>
      <sheetName val="INT_WORKING1"/>
      <sheetName val="80_HHC-gau1"/>
      <sheetName val="80IB+80_HHC1"/>
      <sheetName val="ins,_freight,excise1"/>
      <sheetName val="BS_&amp;_Pr_&amp;_Loss1"/>
      <sheetName val="Stock_Reco_1"/>
      <sheetName val="RETROSPECTIVE_DEPN1"/>
      <sheetName val="JOB_WORK1"/>
      <sheetName val="INT_WORKING"/>
      <sheetName val="80_HHC-gau"/>
      <sheetName val="80IB+80_HHC"/>
      <sheetName val="ins,_freight,excise"/>
      <sheetName val="BS_&amp;_Pr_&amp;_Loss"/>
      <sheetName val="Stock_Reco_"/>
      <sheetName val="RETROSPECTIVE_DEPN"/>
      <sheetName val="JOB_WORK"/>
      <sheetName val="INT_WORKING2"/>
      <sheetName val="80_HHC-gau2"/>
      <sheetName val="80IB+80_HHC2"/>
      <sheetName val="ins,_freight,excise2"/>
      <sheetName val="BS_&amp;_Pr_&amp;_Loss2"/>
      <sheetName val="Stock_Reco_2"/>
      <sheetName val="RETROSPECTIVE_DEPN2"/>
      <sheetName val="JOB_WORK2"/>
    </sheetNames>
    <sheetDataSet>
      <sheetData sheetId="0"/>
      <sheetData sheetId="1"/>
      <sheetData sheetId="2"/>
      <sheetData sheetId="3"/>
      <sheetData sheetId="4">
        <row r="434">
          <cell r="B434" t="str">
            <v>AMOL PHARMACEUTICALS P. LTD.</v>
          </cell>
        </row>
      </sheetData>
      <sheetData sheetId="5">
        <row r="434">
          <cell r="B434" t="str">
            <v>AMOL PHARMACEUTICALS P. LTD.</v>
          </cell>
        </row>
        <row r="436">
          <cell r="B436" t="str">
            <v>GROUPING TO THE BALANCE SHEET AND PROFIT &amp; LOSS ACCOUNT</v>
          </cell>
        </row>
        <row r="437">
          <cell r="B437" t="str">
            <v>FOR THE YEAR ENDED 2001</v>
          </cell>
        </row>
        <row r="439">
          <cell r="B439" t="str">
            <v>PARTICULARS</v>
          </cell>
          <cell r="C439">
            <v>0</v>
          </cell>
          <cell r="D439" t="str">
            <v>31.03.01</v>
          </cell>
        </row>
        <row r="441">
          <cell r="B441" t="str">
            <v>INTEREST ACCRUED</v>
          </cell>
        </row>
        <row r="442">
          <cell r="B442" t="str">
            <v>On National Saving Certificates</v>
          </cell>
          <cell r="D442">
            <v>2724</v>
          </cell>
        </row>
        <row r="443">
          <cell r="B443" t="str">
            <v>On Fixed Deposit with Bank</v>
          </cell>
          <cell r="D443">
            <v>25368</v>
          </cell>
        </row>
        <row r="444">
          <cell r="B444" t="str">
            <v>On F.D. with Llyod Finance</v>
          </cell>
          <cell r="D444" t="str">
            <v>-</v>
          </cell>
        </row>
        <row r="445">
          <cell r="D445">
            <v>28092</v>
          </cell>
        </row>
        <row r="448">
          <cell r="B448" t="str">
            <v>PREPAID EXPENSES</v>
          </cell>
        </row>
        <row r="449">
          <cell r="B449" t="str">
            <v>Insurance</v>
          </cell>
          <cell r="D449">
            <v>21866</v>
          </cell>
        </row>
        <row r="450">
          <cell r="B450" t="str">
            <v>Annual Maintainence Contract</v>
          </cell>
          <cell r="D450">
            <v>575</v>
          </cell>
        </row>
        <row r="452">
          <cell r="D452">
            <v>22441</v>
          </cell>
        </row>
        <row r="454">
          <cell r="B454" t="str">
            <v>CREDITORS FOR GOODS</v>
          </cell>
        </row>
        <row r="455">
          <cell r="B455" t="str">
            <v>Aahan Engineerrs P. Ltd.</v>
          </cell>
          <cell r="D455">
            <v>375000</v>
          </cell>
        </row>
        <row r="456">
          <cell r="B456" t="str">
            <v>Bansal  Metalic Oxides</v>
          </cell>
        </row>
        <row r="457">
          <cell r="B457" t="str">
            <v>Bectochem Engineers</v>
          </cell>
          <cell r="D457">
            <v>462392</v>
          </cell>
        </row>
        <row r="458">
          <cell r="B458" t="str">
            <v>Delite Medical Agencies</v>
          </cell>
        </row>
        <row r="459">
          <cell r="B459" t="str">
            <v>Harshad Agencies.</v>
          </cell>
        </row>
        <row r="460">
          <cell r="B460" t="str">
            <v>Kanara Industrial Corp.</v>
          </cell>
          <cell r="D460">
            <v>86527</v>
          </cell>
        </row>
        <row r="461">
          <cell r="B461" t="str">
            <v>Mool Chand &amp; Sons</v>
          </cell>
          <cell r="D461">
            <v>10439</v>
          </cell>
        </row>
        <row r="462">
          <cell r="B462" t="str">
            <v>Nupur Herbal P. Ltd.</v>
          </cell>
          <cell r="D462">
            <v>171080</v>
          </cell>
        </row>
        <row r="463">
          <cell r="B463" t="str">
            <v>Nandu Chemicals P.Ltd.</v>
          </cell>
        </row>
        <row r="464">
          <cell r="B464" t="str">
            <v>Northern Herbals P. Ltd.</v>
          </cell>
        </row>
        <row r="465">
          <cell r="B465" t="str">
            <v>Pankaj Industries</v>
          </cell>
          <cell r="D465">
            <v>251014.39999999999</v>
          </cell>
        </row>
        <row r="466">
          <cell r="B466" t="str">
            <v>Radhika Containers P.Ltd.</v>
          </cell>
          <cell r="D466">
            <v>92334</v>
          </cell>
        </row>
        <row r="467">
          <cell r="B467" t="str">
            <v>Raj Scientific Agencies</v>
          </cell>
        </row>
        <row r="468">
          <cell r="B468" t="str">
            <v>S.J. Chemicals Industries</v>
          </cell>
          <cell r="D468">
            <v>142256</v>
          </cell>
        </row>
        <row r="469">
          <cell r="B469" t="str">
            <v>Savita Scientific &amp; Plastic Product</v>
          </cell>
          <cell r="D469">
            <v>16842</v>
          </cell>
        </row>
        <row r="470">
          <cell r="B470" t="str">
            <v>Science House</v>
          </cell>
        </row>
        <row r="471">
          <cell r="B471" t="str">
            <v>Scientific Sales Syndicate</v>
          </cell>
        </row>
        <row r="472">
          <cell r="B472" t="str">
            <v>Shashi Phytochemical Industries</v>
          </cell>
          <cell r="D472">
            <v>550000</v>
          </cell>
        </row>
        <row r="473">
          <cell r="B473" t="str">
            <v>Spark Chem</v>
          </cell>
        </row>
        <row r="474">
          <cell r="B474" t="str">
            <v>The Gwalior Forest Product</v>
          </cell>
          <cell r="D474">
            <v>802723</v>
          </cell>
        </row>
        <row r="475">
          <cell r="B475" t="str">
            <v>The Scientific &amp; General Agencies</v>
          </cell>
        </row>
        <row r="476">
          <cell r="B476" t="str">
            <v>Themis Laboratories</v>
          </cell>
        </row>
        <row r="477">
          <cell r="B477" t="str">
            <v>Welworth Sales &amp; Services P.Ltd.</v>
          </cell>
          <cell r="D477">
            <v>608000</v>
          </cell>
        </row>
        <row r="479">
          <cell r="D479">
            <v>3568607.4</v>
          </cell>
        </row>
        <row r="481">
          <cell r="B481" t="str">
            <v>CREDITORS FOR EXPENSES</v>
          </cell>
        </row>
        <row r="482">
          <cell r="B482" t="str">
            <v>Abhinandan Associates</v>
          </cell>
        </row>
        <row r="483">
          <cell r="B483" t="str">
            <v>Adron Interior</v>
          </cell>
        </row>
        <row r="484">
          <cell r="B484" t="str">
            <v>Ajmera &amp; Associates</v>
          </cell>
        </row>
        <row r="485">
          <cell r="B485" t="str">
            <v>Abhinandan Associates</v>
          </cell>
        </row>
        <row r="486">
          <cell r="B486" t="str">
            <v>Ajmera &amp; Associates</v>
          </cell>
        </row>
        <row r="487">
          <cell r="B487" t="str">
            <v>Avantika Cooling Services</v>
          </cell>
          <cell r="D487">
            <v>16500</v>
          </cell>
        </row>
        <row r="488">
          <cell r="B488" t="str">
            <v>General Scientific Co.</v>
          </cell>
          <cell r="D488">
            <v>14915</v>
          </cell>
        </row>
        <row r="489">
          <cell r="B489" t="str">
            <v>Oasis Test House</v>
          </cell>
          <cell r="D489">
            <v>600</v>
          </cell>
        </row>
        <row r="490">
          <cell r="B490" t="str">
            <v>Prime Pharmaceuticals</v>
          </cell>
          <cell r="D490">
            <v>14270.85</v>
          </cell>
        </row>
        <row r="491">
          <cell r="B491" t="str">
            <v>American Express Card</v>
          </cell>
          <cell r="D491">
            <v>17458.54</v>
          </cell>
        </row>
        <row r="492">
          <cell r="B492" t="str">
            <v>Amirchand Arjundas</v>
          </cell>
        </row>
        <row r="493">
          <cell r="B493" t="str">
            <v>Audit fees Payable</v>
          </cell>
        </row>
        <row r="494">
          <cell r="B494" t="str">
            <v>Chitter Painter</v>
          </cell>
        </row>
        <row r="495">
          <cell r="B495" t="str">
            <v>Computer Growth</v>
          </cell>
          <cell r="D495">
            <v>1912</v>
          </cell>
        </row>
        <row r="496">
          <cell r="B496" t="str">
            <v>ECGC Payable</v>
          </cell>
        </row>
        <row r="497">
          <cell r="B497" t="str">
            <v>Expeditiors Internatioonal India P. Ltd.</v>
          </cell>
          <cell r="D497">
            <v>320629</v>
          </cell>
        </row>
        <row r="498">
          <cell r="B498" t="str">
            <v>Electric Charges Payable</v>
          </cell>
        </row>
        <row r="499">
          <cell r="B499" t="str">
            <v>Frieght Payable</v>
          </cell>
        </row>
        <row r="500">
          <cell r="B500" t="str">
            <v>Geeta Enterprises</v>
          </cell>
        </row>
        <row r="501">
          <cell r="B501" t="str">
            <v>Jaipur Golden Transport Co.</v>
          </cell>
        </row>
        <row r="502">
          <cell r="B502" t="str">
            <v>Jaipur Publicity Center</v>
          </cell>
        </row>
        <row r="503">
          <cell r="B503" t="str">
            <v>M.Sharma &amp; Associates</v>
          </cell>
        </row>
        <row r="504">
          <cell r="B504" t="str">
            <v>Misc. Expenses Payable</v>
          </cell>
        </row>
        <row r="505">
          <cell r="B505" t="str">
            <v>Nupur Harbals</v>
          </cell>
        </row>
        <row r="506">
          <cell r="B506" t="str">
            <v>Oasis Cellular</v>
          </cell>
        </row>
        <row r="507">
          <cell r="B507" t="str">
            <v>Oasis Test house</v>
          </cell>
        </row>
        <row r="508">
          <cell r="B508" t="str">
            <v>Pest Control Co.</v>
          </cell>
        </row>
        <row r="509">
          <cell r="B509" t="str">
            <v>Pinkcity Marbles</v>
          </cell>
        </row>
        <row r="510">
          <cell r="B510" t="str">
            <v>Postage &amp; Telegraph payable</v>
          </cell>
        </row>
        <row r="511">
          <cell r="B511" t="str">
            <v>Salary &amp; Wages Payable</v>
          </cell>
        </row>
        <row r="512">
          <cell r="B512" t="str">
            <v>Sea Star Services</v>
          </cell>
        </row>
        <row r="513">
          <cell r="B513" t="str">
            <v xml:space="preserve">Sita World Travels </v>
          </cell>
        </row>
        <row r="514">
          <cell r="B514" t="str">
            <v>Superwave Computer</v>
          </cell>
        </row>
        <row r="515">
          <cell r="B515" t="str">
            <v>Telephone Charges Payable</v>
          </cell>
        </row>
        <row r="516">
          <cell r="B516" t="str">
            <v>Utkarsh System Ltd.</v>
          </cell>
        </row>
        <row r="517">
          <cell r="B517" t="str">
            <v>Vinod General Store</v>
          </cell>
        </row>
        <row r="518">
          <cell r="B518" t="str">
            <v>Outstanding Expenses</v>
          </cell>
          <cell r="D518">
            <v>735535.79</v>
          </cell>
        </row>
        <row r="520">
          <cell r="D520">
            <v>1121821.1800000002</v>
          </cell>
        </row>
        <row r="522">
          <cell r="B522" t="str">
            <v>OUTSTANDING EXPENSES</v>
          </cell>
        </row>
        <row r="523">
          <cell r="B523" t="str">
            <v>Electricity</v>
          </cell>
          <cell r="D523">
            <v>97785</v>
          </cell>
        </row>
        <row r="524">
          <cell r="B524" t="str">
            <v>Salary</v>
          </cell>
          <cell r="D524">
            <v>182087</v>
          </cell>
        </row>
        <row r="525">
          <cell r="B525" t="str">
            <v>Wages</v>
          </cell>
          <cell r="D525">
            <v>59375</v>
          </cell>
        </row>
        <row r="526">
          <cell r="B526" t="str">
            <v>Garden Maintainence</v>
          </cell>
          <cell r="D526">
            <v>800</v>
          </cell>
        </row>
        <row r="527">
          <cell r="B527" t="str">
            <v>Professional; &amp; Consulatancy</v>
          </cell>
          <cell r="D527">
            <v>500</v>
          </cell>
        </row>
        <row r="528">
          <cell r="B528" t="str">
            <v>SalaryDeduction</v>
          </cell>
          <cell r="D528">
            <v>25868</v>
          </cell>
        </row>
        <row r="529">
          <cell r="B529" t="str">
            <v>Salary Deduction</v>
          </cell>
          <cell r="D529">
            <v>19637</v>
          </cell>
        </row>
        <row r="530">
          <cell r="B530" t="str">
            <v>Travelling</v>
          </cell>
          <cell r="D530">
            <v>1960</v>
          </cell>
        </row>
        <row r="531">
          <cell r="B531" t="str">
            <v>Power</v>
          </cell>
          <cell r="D531">
            <v>414</v>
          </cell>
        </row>
        <row r="532">
          <cell r="B532" t="str">
            <v>Telephone</v>
          </cell>
          <cell r="D532">
            <v>10000</v>
          </cell>
        </row>
        <row r="533">
          <cell r="B533" t="str">
            <v>Audit Fees</v>
          </cell>
          <cell r="D533">
            <v>52500</v>
          </cell>
        </row>
        <row r="534">
          <cell r="B534" t="str">
            <v>Ecgc Charges</v>
          </cell>
          <cell r="D534">
            <v>2906</v>
          </cell>
        </row>
        <row r="535">
          <cell r="B535" t="str">
            <v>Commission on Purchase</v>
          </cell>
          <cell r="D535">
            <v>159564</v>
          </cell>
        </row>
        <row r="536">
          <cell r="B536" t="str">
            <v>Service Charges</v>
          </cell>
          <cell r="D536">
            <v>12706</v>
          </cell>
        </row>
        <row r="537">
          <cell r="B537" t="str">
            <v>Staff Bonus</v>
          </cell>
          <cell r="D537">
            <v>109433.79</v>
          </cell>
        </row>
        <row r="539">
          <cell r="D539">
            <v>735535.79</v>
          </cell>
        </row>
        <row r="541">
          <cell r="B541" t="str">
            <v>T.D.S. PAYABLE</v>
          </cell>
        </row>
        <row r="542">
          <cell r="B542" t="str">
            <v>On Salary</v>
          </cell>
          <cell r="D542">
            <v>26264</v>
          </cell>
        </row>
        <row r="543">
          <cell r="B543" t="str">
            <v>On Professionals</v>
          </cell>
          <cell r="D543">
            <v>1250</v>
          </cell>
        </row>
        <row r="545">
          <cell r="D545">
            <v>27514</v>
          </cell>
        </row>
        <row r="547">
          <cell r="B547" t="str">
            <v>Steam Pure Chemicals</v>
          </cell>
          <cell r="D547">
            <v>0</v>
          </cell>
        </row>
        <row r="548">
          <cell r="B548" t="str">
            <v>Forbes Pharmaceuticals</v>
          </cell>
        </row>
        <row r="549">
          <cell r="B549" t="str">
            <v>Lason Engineering Co. Ltd.</v>
          </cell>
        </row>
        <row r="550">
          <cell r="B550" t="str">
            <v>Unimex</v>
          </cell>
          <cell r="D550">
            <v>0</v>
          </cell>
        </row>
        <row r="551">
          <cell r="B551" t="str">
            <v>Alta Laboratories</v>
          </cell>
          <cell r="D551">
            <v>0</v>
          </cell>
        </row>
        <row r="552">
          <cell r="B552" t="str">
            <v>S.d.Fine Chem Ltd.</v>
          </cell>
        </row>
        <row r="553">
          <cell r="D553">
            <v>0</v>
          </cell>
        </row>
      </sheetData>
      <sheetData sheetId="6"/>
      <sheetData sheetId="7"/>
      <sheetData sheetId="8"/>
      <sheetData sheetId="9"/>
      <sheetData sheetId="10"/>
      <sheetData sheetId="11" refreshError="1"/>
      <sheetData sheetId="12" refreshError="1"/>
      <sheetData sheetId="13"/>
      <sheetData sheetId="14"/>
      <sheetData sheetId="15"/>
      <sheetData sheetId="16">
        <row r="434">
          <cell r="B434" t="str">
            <v>AMOL PHARMACEUTICALS P. LTD.</v>
          </cell>
        </row>
      </sheetData>
      <sheetData sheetId="17">
        <row r="434">
          <cell r="B434" t="str">
            <v>AMOL PHARMACEUTICALS P. LTD.</v>
          </cell>
        </row>
      </sheetData>
      <sheetData sheetId="18"/>
      <sheetData sheetId="19"/>
      <sheetData sheetId="20"/>
      <sheetData sheetId="21"/>
      <sheetData sheetId="22"/>
      <sheetData sheetId="23"/>
      <sheetData sheetId="24">
        <row r="434">
          <cell r="B434" t="str">
            <v>AMOL PHARMACEUTICALS P. LTD.</v>
          </cell>
        </row>
      </sheetData>
      <sheetData sheetId="25">
        <row r="434">
          <cell r="B434" t="str">
            <v>AMOL PHARMACEUTICALS P. LTD.</v>
          </cell>
        </row>
      </sheetData>
      <sheetData sheetId="26"/>
      <sheetData sheetId="27"/>
      <sheetData sheetId="28"/>
      <sheetData sheetId="29"/>
      <sheetData sheetId="30"/>
      <sheetData sheetId="31"/>
      <sheetData sheetId="32">
        <row r="434">
          <cell r="B434" t="str">
            <v>AMOL PHARMACEUTICALS P. LTD.</v>
          </cell>
        </row>
      </sheetData>
      <sheetData sheetId="33">
        <row r="434">
          <cell r="B434" t="str">
            <v>AMOL PHARMACEUTICALS P. LTD.</v>
          </cell>
        </row>
      </sheetData>
      <sheetData sheetId="34"/>
      <sheetData sheetId="35"/>
      <sheetData sheetId="3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0HHC"/>
      <sheetName val="80"/>
      <sheetName val="80HHC- final"/>
      <sheetName val="FAAMOL"/>
      <sheetName val="rough"/>
      <sheetName val="BS &amp; Pr &amp; Loss"/>
      <sheetName val="80HHC-_final1"/>
      <sheetName val="BS_&amp;_Pr_&amp;_Loss1"/>
      <sheetName val="80HHC-_final"/>
      <sheetName val="BS_&amp;_Pr_&amp;_Loss"/>
      <sheetName val="80HHC-_final2"/>
      <sheetName val="BS_&amp;_Pr_&amp;_Loss2"/>
    </sheetNames>
    <sheetDataSet>
      <sheetData sheetId="0"/>
      <sheetData sheetId="1"/>
      <sheetData sheetId="2">
        <row r="3">
          <cell r="B3" t="str">
            <v>JASICA IMPEX</v>
          </cell>
        </row>
        <row r="5">
          <cell r="B5" t="str">
            <v>ASSESSMENT YEAR 2001-2002</v>
          </cell>
        </row>
        <row r="7">
          <cell r="B7" t="str">
            <v>ANNEXURE TO CALCULATION OF DEDUCTION UNDER SECTION 80HHC</v>
          </cell>
        </row>
        <row r="9">
          <cell r="B9" t="str">
            <v>EXPORT TUNOVER</v>
          </cell>
          <cell r="G9" t="str">
            <v>TRADED</v>
          </cell>
          <cell r="H9" t="str">
            <v>MANU.</v>
          </cell>
          <cell r="I9" t="str">
            <v>TOTAL</v>
          </cell>
        </row>
        <row r="10">
          <cell r="G10" t="str">
            <v>GOODS</v>
          </cell>
          <cell r="H10" t="str">
            <v>GOODS</v>
          </cell>
          <cell r="I10" t="str">
            <v>TURNOVER</v>
          </cell>
        </row>
        <row r="12">
          <cell r="B12" t="str">
            <v xml:space="preserve">Turnover As Per Balance Sheet </v>
          </cell>
          <cell r="G12">
            <v>37484055</v>
          </cell>
          <cell r="H12">
            <v>116802</v>
          </cell>
          <cell r="I12">
            <v>37600857</v>
          </cell>
        </row>
        <row r="13">
          <cell r="B13" t="str">
            <v>Add: Exchange Fluctuation</v>
          </cell>
          <cell r="G13">
            <v>241671</v>
          </cell>
          <cell r="H13">
            <v>0</v>
          </cell>
          <cell r="I13">
            <v>241671</v>
          </cell>
        </row>
        <row r="14">
          <cell r="C14" t="str">
            <v>(A)</v>
          </cell>
          <cell r="G14">
            <v>37725726</v>
          </cell>
          <cell r="H14">
            <v>116802</v>
          </cell>
          <cell r="I14">
            <v>37842528</v>
          </cell>
        </row>
        <row r="15">
          <cell r="B15" t="str">
            <v xml:space="preserve">Less : Expenses </v>
          </cell>
        </row>
        <row r="16">
          <cell r="B16" t="str">
            <v xml:space="preserve">   Freight &amp; Insurance Attributed to Transport Of</v>
          </cell>
        </row>
        <row r="17">
          <cell r="B17" t="str">
            <v xml:space="preserve">      Goods Beyond the Custom Limit</v>
          </cell>
          <cell r="F17">
            <v>0</v>
          </cell>
        </row>
        <row r="18">
          <cell r="D18" t="str">
            <v>Freight</v>
          </cell>
          <cell r="G18">
            <v>2374777</v>
          </cell>
          <cell r="H18">
            <v>6991</v>
          </cell>
          <cell r="I18">
            <v>2381768</v>
          </cell>
        </row>
        <row r="19">
          <cell r="D19" t="str">
            <v>Insurance</v>
          </cell>
          <cell r="G19">
            <v>35448</v>
          </cell>
          <cell r="H19">
            <v>0</v>
          </cell>
          <cell r="I19">
            <v>35448</v>
          </cell>
        </row>
        <row r="20">
          <cell r="D20" t="str">
            <v>(B)</v>
          </cell>
          <cell r="G20">
            <v>2410225</v>
          </cell>
          <cell r="H20">
            <v>6991</v>
          </cell>
          <cell r="I20">
            <v>2417216</v>
          </cell>
        </row>
        <row r="21">
          <cell r="C21" t="str">
            <v>Total Turnover (A-B)</v>
          </cell>
          <cell r="G21">
            <v>35315501</v>
          </cell>
          <cell r="H21">
            <v>109811</v>
          </cell>
          <cell r="I21">
            <v>35425312</v>
          </cell>
        </row>
        <row r="22">
          <cell r="C22" t="str">
            <v xml:space="preserve">Export Turnover </v>
          </cell>
          <cell r="G22">
            <v>35315501</v>
          </cell>
          <cell r="H22">
            <v>109811</v>
          </cell>
          <cell r="I22">
            <v>35425312</v>
          </cell>
        </row>
        <row r="25">
          <cell r="B25" t="str">
            <v>DIRECT COST</v>
          </cell>
          <cell r="G25">
            <v>36097615.441343293</v>
          </cell>
          <cell r="H25">
            <v>184146.58235386317</v>
          </cell>
          <cell r="I25">
            <v>36281762.023697153</v>
          </cell>
        </row>
        <row r="28">
          <cell r="B28" t="str">
            <v>INDIRECT COST</v>
          </cell>
        </row>
        <row r="30">
          <cell r="B30" t="str">
            <v>Administrative Expenses</v>
          </cell>
          <cell r="I30">
            <v>574394.53</v>
          </cell>
        </row>
        <row r="31">
          <cell r="B31" t="str">
            <v>Selling Expenses</v>
          </cell>
          <cell r="I31">
            <v>542614.5</v>
          </cell>
        </row>
        <row r="32">
          <cell r="B32" t="str">
            <v>Financial Expenses</v>
          </cell>
          <cell r="I32">
            <v>548391.67999999993</v>
          </cell>
        </row>
        <row r="34">
          <cell r="E34" t="str">
            <v>Indirect Cost</v>
          </cell>
          <cell r="I34">
            <v>1665400.71</v>
          </cell>
        </row>
        <row r="36">
          <cell r="B36" t="str">
            <v>PROFIT OF TRADING GOODS</v>
          </cell>
        </row>
        <row r="38">
          <cell r="B38" t="str">
            <v>Export Sale (Trading Goods)</v>
          </cell>
          <cell r="I38">
            <v>35315501</v>
          </cell>
        </row>
        <row r="39">
          <cell r="B39" t="str">
            <v>Less : Direct Cost</v>
          </cell>
          <cell r="I39">
            <v>36097615.441343293</v>
          </cell>
        </row>
        <row r="40">
          <cell r="B40" t="str">
            <v>Less  :  Indirect Cost</v>
          </cell>
          <cell r="I40">
            <v>1660238.3188440432</v>
          </cell>
        </row>
        <row r="42">
          <cell r="B42" t="str">
            <v>PROFIT OF TRADING GOODS</v>
          </cell>
          <cell r="I42">
            <v>-2442352.7601873358</v>
          </cell>
        </row>
        <row r="44">
          <cell r="B44" t="str">
            <v>PROFIT OF THE BUSINESS</v>
          </cell>
        </row>
        <row r="46">
          <cell r="B46" t="str">
            <v>Net Profit As Per P&amp;L Account</v>
          </cell>
          <cell r="I46">
            <v>3566371.6300000027</v>
          </cell>
        </row>
        <row r="47">
          <cell r="B47" t="str">
            <v>Add  :  Depreciation As Per Companies Act</v>
          </cell>
          <cell r="I47">
            <v>0</v>
          </cell>
        </row>
        <row r="48">
          <cell r="I48">
            <v>3566371.6300000027</v>
          </cell>
        </row>
        <row r="49">
          <cell r="B49" t="str">
            <v>Less  :  Depriciation As per Income Tax Act</v>
          </cell>
          <cell r="H49">
            <v>0</v>
          </cell>
        </row>
        <row r="50">
          <cell r="B50" t="str">
            <v xml:space="preserve">               90% of Export Incentives</v>
          </cell>
          <cell r="H50">
            <v>5629104</v>
          </cell>
        </row>
        <row r="51">
          <cell r="I51">
            <v>5629104</v>
          </cell>
        </row>
        <row r="52">
          <cell r="D52" t="str">
            <v>Profit of the business</v>
          </cell>
          <cell r="I52">
            <v>-2062732.3699999973</v>
          </cell>
        </row>
        <row r="54">
          <cell r="B54" t="str">
            <v>ADJUSTED PROFIT OF THE BUSINESS</v>
          </cell>
        </row>
        <row r="56">
          <cell r="B56" t="str">
            <v>Profit of the business</v>
          </cell>
          <cell r="I56">
            <v>-2062732.3699999973</v>
          </cell>
        </row>
        <row r="57">
          <cell r="B57" t="str">
            <v>Less  :  Profit of trading goods</v>
          </cell>
          <cell r="I57">
            <v>-2442352.7601873358</v>
          </cell>
        </row>
        <row r="59">
          <cell r="C59" t="str">
            <v>ADJUSTED PROFIT OF THE BUSINESS</v>
          </cell>
          <cell r="I59">
            <v>379620.39018733846</v>
          </cell>
        </row>
        <row r="61">
          <cell r="B61" t="str">
            <v>DEDUCTION AVAILABLE UNDER SECTION 80HHC</v>
          </cell>
        </row>
        <row r="63">
          <cell r="B63" t="str">
            <v>Profit Of Trading Goods</v>
          </cell>
          <cell r="I63">
            <v>0</v>
          </cell>
        </row>
        <row r="64">
          <cell r="B64" t="str">
            <v>Adjusted Profit Of The Business</v>
          </cell>
          <cell r="I64">
            <v>379620.39018733846</v>
          </cell>
        </row>
        <row r="65">
          <cell r="B65" t="str">
            <v>90% of Export Incentives</v>
          </cell>
          <cell r="I65">
            <v>5629104</v>
          </cell>
        </row>
        <row r="67">
          <cell r="B67" t="str">
            <v>DEDUCTION UNDER SECTION 80HHC</v>
          </cell>
          <cell r="I67">
            <v>6008724.390187338</v>
          </cell>
        </row>
        <row r="69">
          <cell r="B69" t="str">
            <v>80% of DEDUCTION AVAILABLE UNDER SECTION 80HHC</v>
          </cell>
          <cell r="I69">
            <v>4806979.5121498704</v>
          </cell>
        </row>
      </sheetData>
      <sheetData sheetId="3"/>
      <sheetData sheetId="4" refreshError="1"/>
      <sheetData sheetId="5" refreshError="1"/>
      <sheetData sheetId="6">
        <row r="3">
          <cell r="B3" t="str">
            <v>JASICA IMPEX</v>
          </cell>
        </row>
      </sheetData>
      <sheetData sheetId="7"/>
      <sheetData sheetId="8">
        <row r="3">
          <cell r="B3" t="str">
            <v>JASICA IMPEX</v>
          </cell>
        </row>
      </sheetData>
      <sheetData sheetId="9"/>
      <sheetData sheetId="10">
        <row r="3">
          <cell r="B3" t="str">
            <v>JASICA IMPEX</v>
          </cell>
        </row>
      </sheetData>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stic molded furniture"/>
      <sheetName val=" jobwork-val."/>
      <sheetName val="jobwork detail"/>
      <sheetName val="Rework"/>
      <sheetName val="bank stock 31.3.03"/>
      <sheetName val="rm &amp; pm Reco.&amp; val"/>
      <sheetName val="stock reco - excise"/>
      <sheetName val="FG valuation"/>
      <sheetName val="WORKING OF TDS"/>
      <sheetName val="TDS"/>
      <sheetName val="AS 31.3.2003"/>
      <sheetName val="AS 22 1.4.2002"/>
      <sheetName val="COMPENSATION"/>
      <sheetName val="bal sheet  31.3.03."/>
      <sheetName val="RATIOS"/>
      <sheetName val="COMPUTATION"/>
      <sheetName val="CO-DEP"/>
      <sheetName val="DEPN TAX"/>
      <sheetName val="Excise Reco.- duty"/>
      <sheetName val="I.T.Workings"/>
      <sheetName val="ELECTRICITY"/>
      <sheetName val="Stock"/>
      <sheetName val="workin"/>
      <sheetName val="Sheet2"/>
      <sheetName val="rough"/>
      <sheetName val="(EVL) compens."/>
      <sheetName val="work"/>
      <sheetName val="sch E ( a)"/>
      <sheetName val="working"/>
      <sheetName val="80HHC- final"/>
      <sheetName val="plastic_molded_furniture1"/>
      <sheetName val="_jobwork-val_1"/>
      <sheetName val="jobwork_detail1"/>
      <sheetName val="bank_stock_31_3_031"/>
      <sheetName val="rm_&amp;_pm_Reco_&amp;_val1"/>
      <sheetName val="stock_reco_-_excise1"/>
      <sheetName val="FG_valuation1"/>
      <sheetName val="WORKING_OF_TDS1"/>
      <sheetName val="AS_31_3_20031"/>
      <sheetName val="AS_22_1_4_20021"/>
      <sheetName val="bal_sheet__31_3_03_1"/>
      <sheetName val="DEPN_TAX1"/>
      <sheetName val="Excise_Reco_-_duty1"/>
      <sheetName val="I_T_Workings1"/>
      <sheetName val="(EVL)_compens_1"/>
      <sheetName val="sch_E_(_a)1"/>
      <sheetName val="80HHC-_final1"/>
      <sheetName val="plastic_molded_furniture"/>
      <sheetName val="_jobwork-val_"/>
      <sheetName val="jobwork_detail"/>
      <sheetName val="bank_stock_31_3_03"/>
      <sheetName val="rm_&amp;_pm_Reco_&amp;_val"/>
      <sheetName val="stock_reco_-_excise"/>
      <sheetName val="FG_valuation"/>
      <sheetName val="WORKING_OF_TDS"/>
      <sheetName val="AS_31_3_2003"/>
      <sheetName val="AS_22_1_4_2002"/>
      <sheetName val="bal_sheet__31_3_03_"/>
      <sheetName val="DEPN_TAX"/>
      <sheetName val="Excise_Reco_-_duty"/>
      <sheetName val="I_T_Workings"/>
      <sheetName val="(EVL)_compens_"/>
      <sheetName val="sch_E_(_a)"/>
      <sheetName val="80HHC-_final"/>
      <sheetName val="plastic_molded_furniture2"/>
      <sheetName val="_jobwork-val_2"/>
      <sheetName val="jobwork_detail2"/>
      <sheetName val="bank_stock_31_3_032"/>
      <sheetName val="rm_&amp;_pm_Reco_&amp;_val2"/>
      <sheetName val="stock_reco_-_excise2"/>
      <sheetName val="FG_valuation2"/>
      <sheetName val="WORKING_OF_TDS2"/>
      <sheetName val="AS_31_3_20032"/>
      <sheetName val="AS_22_1_4_20022"/>
      <sheetName val="bal_sheet__31_3_03_2"/>
      <sheetName val="DEPN_TAX2"/>
      <sheetName val="Excise_Reco_-_duty2"/>
      <sheetName val="I_T_Workings2"/>
      <sheetName val="(EVL)_compens_2"/>
      <sheetName val="sch_E_(_a)2"/>
      <sheetName val="80HHC-_fin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sheetName val="2"/>
      <sheetName val="3"/>
      <sheetName val="4"/>
      <sheetName val="5"/>
      <sheetName val="6"/>
      <sheetName val="7"/>
      <sheetName val="8"/>
      <sheetName val="9"/>
      <sheetName val="10"/>
      <sheetName val="11"/>
      <sheetName val="Useful_Life"/>
      <sheetName val="Settings"/>
      <sheetName val="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8">
          <cell r="C28" t="str">
            <v>Motor Cycles (Two-Wheelers)</v>
          </cell>
        </row>
        <row r="29">
          <cell r="C29" t="str">
            <v>Motor Cars</v>
          </cell>
        </row>
        <row r="30">
          <cell r="C30" t="str">
            <v>Motor Lorries</v>
          </cell>
        </row>
        <row r="31">
          <cell r="C31" t="str">
            <v>Motor Buses</v>
          </cell>
        </row>
        <row r="32">
          <cell r="C32" t="str">
            <v>Motor Cars used in a business of hire</v>
          </cell>
        </row>
        <row r="33">
          <cell r="C33" t="str">
            <v>Motor tractors, harvesting combines and heavy vehicles</v>
          </cell>
        </row>
        <row r="34">
          <cell r="C34" t="str">
            <v>Electrically operated vehicles</v>
          </cell>
        </row>
      </sheetData>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9SS (final)"/>
      <sheetName val="269T(final)"/>
      <sheetName val="269T_final_"/>
      <sheetName val="Data for Multiple &amp; ratios"/>
      <sheetName val="269SS_(final)1"/>
      <sheetName val="Data_for_Multiple_&amp;_ratios1"/>
      <sheetName val="269SS_(final)"/>
      <sheetName val="Data_for_Multiple_&amp;_ratios"/>
      <sheetName val="269SS_(final)2"/>
      <sheetName val="Data_for_Multiple_&amp;_ratios2"/>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
      <sheetName val="tb"/>
      <sheetName val="RAJNI01"/>
      <sheetName val="CRITERIA1"/>
      <sheetName val="269T(final)"/>
      <sheetName val="master"/>
      <sheetName val="BS SCH A-D"/>
      <sheetName val="ASSUMPTIONS"/>
      <sheetName val="FPS"/>
      <sheetName val="PBCLIST"/>
      <sheetName val="Sheet3 (2)"/>
      <sheetName val="DAMAGE"/>
      <sheetName val="Total ACA"/>
      <sheetName val="BIPR"/>
      <sheetName val="BPCA"/>
      <sheetName val="BBRS"/>
      <sheetName val="3-5"/>
      <sheetName val="tb31-03-03"/>
      <sheetName val="LE-FTE-Nos"/>
      <sheetName val="VCS - Dec - G&amp;T"/>
      <sheetName val="gen ledger data"/>
      <sheetName val="A"/>
      <sheetName val="INPUTMISC"/>
      <sheetName val="FAR Dec 15"/>
      <sheetName val="Insight 23-5-00"/>
      <sheetName val="Parameter_sheet"/>
      <sheetName val="A-D"/>
      <sheetName val="Plant Master"/>
      <sheetName val="Must Fill"/>
      <sheetName val="Sheet2"/>
      <sheetName val="RMPGR"/>
      <sheetName val="1"/>
      <sheetName val="2"/>
      <sheetName val="3"/>
      <sheetName val="4"/>
      <sheetName val="5"/>
      <sheetName val="6"/>
      <sheetName val="7"/>
      <sheetName val="8"/>
      <sheetName val="9"/>
      <sheetName val="10"/>
      <sheetName val="11"/>
      <sheetName val="12"/>
      <sheetName val="YTD"/>
      <sheetName val="Comp"/>
      <sheetName val="UPLA"/>
      <sheetName val="Cost Model"/>
      <sheetName val="Ledger"/>
      <sheetName val="HONOTES"/>
      <sheetName val="BS_SCH_A-D1"/>
      <sheetName val="Sheet3_(2)1"/>
      <sheetName val="Total_ACA1"/>
      <sheetName val="VCS_-_Dec_-_G&amp;T1"/>
      <sheetName val="gen_ledger_data1"/>
      <sheetName val="FAR_Dec_151"/>
      <sheetName val="Insight_23-5-001"/>
      <sheetName val="Plant_Master1"/>
      <sheetName val="Must_Fill1"/>
      <sheetName val="Cost_Model1"/>
      <sheetName val="BS_SCH_A-D"/>
      <sheetName val="Sheet3_(2)"/>
      <sheetName val="Total_ACA"/>
      <sheetName val="VCS_-_Dec_-_G&amp;T"/>
      <sheetName val="gen_ledger_data"/>
      <sheetName val="FAR_Dec_15"/>
      <sheetName val="Insight_23-5-00"/>
      <sheetName val="Plant_Master"/>
      <sheetName val="Must_Fill"/>
      <sheetName val="Cost_Model"/>
      <sheetName val="BS_SCH_A-D2"/>
      <sheetName val="Sheet3_(2)2"/>
      <sheetName val="Total_ACA2"/>
      <sheetName val="VCS_-_Dec_-_G&amp;T2"/>
      <sheetName val="gen_ledger_data2"/>
      <sheetName val="FAR_Dec_152"/>
      <sheetName val="Insight_23-5-002"/>
      <sheetName val="Plant_Master2"/>
      <sheetName val="Must_Fill2"/>
      <sheetName val="Cost_Model2"/>
      <sheetName val="Rates"/>
      <sheetName val="BS Rec Control Sheet"/>
      <sheetName val="Ann.II"/>
      <sheetName val="ras"/>
      <sheetName val="Credit Ratings"/>
      <sheetName val="Keys"/>
      <sheetName val="Sheet1"/>
      <sheetName val="Prodn Report"/>
      <sheetName val="inventories"/>
      <sheetName val="Lists"/>
      <sheetName val="PL"/>
      <sheetName val="F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stic"/>
      <sheetName val="jobwork reco"/>
      <sheetName val=" jobwork-val."/>
      <sheetName val="RM"/>
      <sheetName val="FG valuation(nos.)"/>
      <sheetName val="Stock"/>
      <sheetName val="workin"/>
      <sheetName val="Sheet2"/>
      <sheetName val="rough"/>
      <sheetName val="(EVL) compens."/>
      <sheetName val="work"/>
      <sheetName val="sch E ( a)"/>
      <sheetName val="working"/>
      <sheetName val="BS &amp; Pr &amp; Loss"/>
      <sheetName val="BS 590"/>
      <sheetName val="jobwork_reco1"/>
      <sheetName val="_jobwork-val_1"/>
      <sheetName val="FG_valuation(nos_)1"/>
      <sheetName val="(EVL)_compens_1"/>
      <sheetName val="sch_E_(_a)1"/>
      <sheetName val="BS_&amp;_Pr_&amp;_Loss1"/>
      <sheetName val="BS_5901"/>
      <sheetName val="jobwork_reco"/>
      <sheetName val="_jobwork-val_"/>
      <sheetName val="FG_valuation(nos_)"/>
      <sheetName val="(EVL)_compens_"/>
      <sheetName val="sch_E_(_a)"/>
      <sheetName val="BS_&amp;_Pr_&amp;_Loss"/>
      <sheetName val="BS_590"/>
      <sheetName val="jobwork_reco2"/>
      <sheetName val="_jobwork-val_2"/>
      <sheetName val="FG_valuation(nos_)2"/>
      <sheetName val="(EVL)_compens_2"/>
      <sheetName val="sch_E_(_a)2"/>
      <sheetName val="BS_&amp;_Pr_&amp;_Loss2"/>
      <sheetName val="BS_5902"/>
    </sheetNames>
    <sheetDataSet>
      <sheetData sheetId="0"/>
      <sheetData sheetId="1"/>
      <sheetData sheetId="2"/>
      <sheetData sheetId="3"/>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stic molded furniture"/>
      <sheetName val=" jobwork-val."/>
      <sheetName val="jobwork detail"/>
      <sheetName val="Rework"/>
      <sheetName val="bank stock 31.3.03"/>
      <sheetName val="rm &amp; pm Reco.&amp; val"/>
      <sheetName val="stock reco - excise"/>
      <sheetName val="FG valuation"/>
      <sheetName val="WORKING OF TDS"/>
      <sheetName val="TDS"/>
      <sheetName val="AS 31.3.2003"/>
      <sheetName val="AS 22 1.4.2002"/>
      <sheetName val="COMPENSATION"/>
      <sheetName val="bal sheet  31.3.03."/>
      <sheetName val="RATIOS"/>
      <sheetName val="COMPUTATION"/>
      <sheetName val="CO-DEP"/>
      <sheetName val="DEPN TAX"/>
      <sheetName val="Excise Reco.- duty"/>
      <sheetName val="I.T.Workings"/>
      <sheetName val="ELECTRICITY"/>
      <sheetName val="Stock"/>
      <sheetName val="workin"/>
      <sheetName val="Sheet2"/>
      <sheetName val="rough"/>
      <sheetName val="(EVL) compens."/>
      <sheetName val="work"/>
      <sheetName val="sch E ( a)"/>
      <sheetName val="working"/>
      <sheetName val="80HHC- final"/>
      <sheetName val="plastic_molded_furniture1"/>
      <sheetName val="_jobwork-val_1"/>
      <sheetName val="jobwork_detail1"/>
      <sheetName val="bank_stock_31_3_031"/>
      <sheetName val="rm_&amp;_pm_Reco_&amp;_val1"/>
      <sheetName val="stock_reco_-_excise1"/>
      <sheetName val="FG_valuation1"/>
      <sheetName val="WORKING_OF_TDS1"/>
      <sheetName val="AS_31_3_20031"/>
      <sheetName val="AS_22_1_4_20021"/>
      <sheetName val="bal_sheet__31_3_03_1"/>
      <sheetName val="DEPN_TAX1"/>
      <sheetName val="Excise_Reco_-_duty1"/>
      <sheetName val="I_T_Workings1"/>
      <sheetName val="(EVL)_compens_1"/>
      <sheetName val="sch_E_(_a)1"/>
      <sheetName val="80HHC-_final1"/>
      <sheetName val="plastic_molded_furniture"/>
      <sheetName val="_jobwork-val_"/>
      <sheetName val="jobwork_detail"/>
      <sheetName val="bank_stock_31_3_03"/>
      <sheetName val="rm_&amp;_pm_Reco_&amp;_val"/>
      <sheetName val="stock_reco_-_excise"/>
      <sheetName val="FG_valuation"/>
      <sheetName val="WORKING_OF_TDS"/>
      <sheetName val="AS_31_3_2003"/>
      <sheetName val="AS_22_1_4_2002"/>
      <sheetName val="bal_sheet__31_3_03_"/>
      <sheetName val="DEPN_TAX"/>
      <sheetName val="Excise_Reco_-_duty"/>
      <sheetName val="I_T_Workings"/>
      <sheetName val="(EVL)_compens_"/>
      <sheetName val="sch_E_(_a)"/>
      <sheetName val="80HHC-_final"/>
      <sheetName val="plastic_molded_furniture2"/>
      <sheetName val="_jobwork-val_2"/>
      <sheetName val="jobwork_detail2"/>
      <sheetName val="bank_stock_31_3_032"/>
      <sheetName val="rm_&amp;_pm_Reco_&amp;_val2"/>
      <sheetName val="stock_reco_-_excise2"/>
      <sheetName val="FG_valuation2"/>
      <sheetName val="WORKING_OF_TDS2"/>
      <sheetName val="AS_31_3_20032"/>
      <sheetName val="AS_22_1_4_20022"/>
      <sheetName val="bal_sheet__31_3_03_2"/>
      <sheetName val="DEPN_TAX2"/>
      <sheetName val="Excise_Reco_-_duty2"/>
      <sheetName val="I_T_Workings2"/>
      <sheetName val="(EVL)_compens_2"/>
      <sheetName val="sch_E_(_a)2"/>
      <sheetName val="80HHC-_fin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
      <sheetName val="BS"/>
      <sheetName val="Control"/>
      <sheetName val="Agency BS"/>
    </sheetNames>
    <sheetDataSet>
      <sheetData sheetId="0" refreshError="1">
        <row r="540">
          <cell r="A540">
            <v>200000</v>
          </cell>
          <cell r="B540" t="str">
            <v>Loss On Sales Of Fixed Assets</v>
          </cell>
          <cell r="C540">
            <v>15657.47</v>
          </cell>
        </row>
        <row r="541">
          <cell r="A541">
            <v>201000</v>
          </cell>
          <cell r="B541" t="str">
            <v>Other non operating expenses</v>
          </cell>
          <cell r="C541">
            <v>13950</v>
          </cell>
        </row>
        <row r="542">
          <cell r="A542">
            <v>203000</v>
          </cell>
          <cell r="B542" t="str">
            <v>Bad Debts written off</v>
          </cell>
          <cell r="C542">
            <v>2482968.1800000002</v>
          </cell>
        </row>
        <row r="543">
          <cell r="A543">
            <v>203100</v>
          </cell>
          <cell r="B543" t="str">
            <v>Balances Written Off</v>
          </cell>
          <cell r="C543">
            <v>55200.2</v>
          </cell>
        </row>
        <row r="544">
          <cell r="A544">
            <v>203101</v>
          </cell>
          <cell r="B544" t="str">
            <v>Balances Written Back</v>
          </cell>
          <cell r="C544">
            <v>-1333882.21</v>
          </cell>
        </row>
        <row r="545">
          <cell r="A545">
            <v>211130</v>
          </cell>
          <cell r="B545" t="str">
            <v>Depreciation-plant and machinery</v>
          </cell>
          <cell r="C545">
            <v>1259185.01</v>
          </cell>
        </row>
        <row r="546">
          <cell r="A546">
            <v>211150</v>
          </cell>
          <cell r="B546" t="str">
            <v>Depreciation-Vehicles</v>
          </cell>
          <cell r="C546">
            <v>512313.66</v>
          </cell>
        </row>
        <row r="547">
          <cell r="A547">
            <v>211160</v>
          </cell>
          <cell r="B547" t="str">
            <v>Depreciation-office equipment</v>
          </cell>
          <cell r="C547">
            <v>594911.77</v>
          </cell>
        </row>
        <row r="548">
          <cell r="A548">
            <v>211180</v>
          </cell>
          <cell r="B548" t="str">
            <v>Depreciation -Computers</v>
          </cell>
          <cell r="C548">
            <v>4349481.34</v>
          </cell>
        </row>
        <row r="549">
          <cell r="A549">
            <v>211190</v>
          </cell>
          <cell r="B549" t="str">
            <v>Depreciation on furniture</v>
          </cell>
          <cell r="C549">
            <v>831805.58</v>
          </cell>
        </row>
        <row r="550">
          <cell r="A550">
            <v>211300</v>
          </cell>
          <cell r="B550" t="str">
            <v>Goodwill Written Off</v>
          </cell>
          <cell r="C550">
            <v>7692300</v>
          </cell>
        </row>
        <row r="551">
          <cell r="A551">
            <v>211310</v>
          </cell>
          <cell r="B551" t="str">
            <v>Business value W/Off</v>
          </cell>
          <cell r="C551">
            <v>13643100</v>
          </cell>
        </row>
        <row r="552">
          <cell r="A552">
            <v>211320</v>
          </cell>
          <cell r="B552" t="str">
            <v>Non-Compete fees W/off</v>
          </cell>
          <cell r="C552">
            <v>34463269.299999997</v>
          </cell>
        </row>
        <row r="553">
          <cell r="A553">
            <v>211330</v>
          </cell>
          <cell r="B553" t="str">
            <v>Software Written Off</v>
          </cell>
          <cell r="C553">
            <v>1216045.05</v>
          </cell>
        </row>
        <row r="554">
          <cell r="A554">
            <v>211340</v>
          </cell>
          <cell r="B554" t="str">
            <v>Comm.righ Written Off</v>
          </cell>
          <cell r="C554">
            <v>5563880.2300000004</v>
          </cell>
        </row>
        <row r="555">
          <cell r="A555">
            <v>220100</v>
          </cell>
          <cell r="B555" t="str">
            <v>Interest Foreign Currency Loans. (Group</v>
          </cell>
          <cell r="C555">
            <v>7408030.9900000002</v>
          </cell>
        </row>
        <row r="556">
          <cell r="A556">
            <v>220210</v>
          </cell>
          <cell r="B556" t="str">
            <v>Interest Term Loan</v>
          </cell>
          <cell r="C556">
            <v>14430890.359999999</v>
          </cell>
        </row>
        <row r="557">
          <cell r="A557">
            <v>220220</v>
          </cell>
          <cell r="B557" t="str">
            <v>Interest Packing Credit</v>
          </cell>
          <cell r="C557">
            <v>848394.46</v>
          </cell>
        </row>
        <row r="558">
          <cell r="A558">
            <v>220230</v>
          </cell>
          <cell r="B558" t="str">
            <v>Interest Cash Credit</v>
          </cell>
          <cell r="C558">
            <v>107741.02</v>
          </cell>
        </row>
        <row r="559">
          <cell r="A559">
            <v>220300</v>
          </cell>
          <cell r="B559" t="str">
            <v>Interest - Others</v>
          </cell>
          <cell r="C559">
            <v>-2475375.92</v>
          </cell>
        </row>
        <row r="560">
          <cell r="A560">
            <v>220301</v>
          </cell>
          <cell r="B560" t="str">
            <v>interest subsidy for staff welfare</v>
          </cell>
          <cell r="C560">
            <v>2651</v>
          </cell>
        </row>
        <row r="561">
          <cell r="A561">
            <v>220310</v>
          </cell>
          <cell r="B561" t="str">
            <v>Int.on Security Dep.</v>
          </cell>
          <cell r="C561">
            <v>2334353</v>
          </cell>
        </row>
        <row r="562">
          <cell r="A562">
            <v>221010</v>
          </cell>
          <cell r="B562" t="str">
            <v>Interest on Bills Discounted/Purchased</v>
          </cell>
          <cell r="C562">
            <v>703416.84</v>
          </cell>
        </row>
        <row r="563">
          <cell r="A563">
            <v>221020</v>
          </cell>
          <cell r="B563" t="str">
            <v>Bank collection charges</v>
          </cell>
          <cell r="C563">
            <v>155504.14000000001</v>
          </cell>
        </row>
        <row r="564">
          <cell r="A564">
            <v>221030</v>
          </cell>
          <cell r="B564" t="str">
            <v>Bank Charges D/D.</v>
          </cell>
          <cell r="C564">
            <v>167325.81</v>
          </cell>
        </row>
        <row r="565">
          <cell r="A565">
            <v>221040</v>
          </cell>
          <cell r="B565" t="str">
            <v>Bank Charges Remittances.</v>
          </cell>
          <cell r="C565">
            <v>383883.28</v>
          </cell>
        </row>
        <row r="566">
          <cell r="A566">
            <v>221050</v>
          </cell>
          <cell r="B566" t="str">
            <v>Bank Charges Others.</v>
          </cell>
          <cell r="C566">
            <v>1210983.94</v>
          </cell>
        </row>
        <row r="567">
          <cell r="A567">
            <v>230000</v>
          </cell>
          <cell r="B567" t="str">
            <v>Exchange loss  operating activities - r</v>
          </cell>
          <cell r="C567">
            <v>2908771.96</v>
          </cell>
        </row>
        <row r="568">
          <cell r="A568">
            <v>230010</v>
          </cell>
          <cell r="B568" t="str">
            <v>Valuation Loss-Operating activities</v>
          </cell>
          <cell r="C568">
            <v>355598.29</v>
          </cell>
        </row>
        <row r="569">
          <cell r="A569">
            <v>230011</v>
          </cell>
          <cell r="B569" t="str">
            <v>Exchange Loss Non Operating Unrealised</v>
          </cell>
          <cell r="C569">
            <v>6780000.8100000005</v>
          </cell>
        </row>
        <row r="570">
          <cell r="A570">
            <v>231000</v>
          </cell>
          <cell r="B570" t="str">
            <v>Price Diffrences - Raw Materials</v>
          </cell>
          <cell r="C570">
            <v>-141985.79</v>
          </cell>
        </row>
        <row r="571">
          <cell r="A571">
            <v>231030</v>
          </cell>
          <cell r="B571" t="str">
            <v>Price Difference-TRADING</v>
          </cell>
          <cell r="C571">
            <v>-3132304.12</v>
          </cell>
        </row>
        <row r="572">
          <cell r="A572">
            <v>231500</v>
          </cell>
          <cell r="B572" t="str">
            <v>Loss-internal product price differences</v>
          </cell>
          <cell r="C572">
            <v>754290.06</v>
          </cell>
        </row>
        <row r="573">
          <cell r="A573">
            <v>231600</v>
          </cell>
          <cell r="B573" t="str">
            <v>Repacking Charges-CCL</v>
          </cell>
          <cell r="C573">
            <v>149000</v>
          </cell>
        </row>
        <row r="574">
          <cell r="A574">
            <v>231800</v>
          </cell>
          <cell r="B574" t="str">
            <v>DEPB Utilised account - Trading</v>
          </cell>
          <cell r="C574">
            <v>4210947.71</v>
          </cell>
        </row>
        <row r="575">
          <cell r="A575">
            <v>231900</v>
          </cell>
          <cell r="B575" t="str">
            <v>Material Small Differences Rm PM Traded</v>
          </cell>
          <cell r="C575">
            <v>-15.75</v>
          </cell>
        </row>
        <row r="576">
          <cell r="A576">
            <v>232000</v>
          </cell>
          <cell r="B576" t="str">
            <v>NRV-W/off RM &amp; Trading</v>
          </cell>
          <cell r="C576">
            <v>-1136860</v>
          </cell>
        </row>
        <row r="577">
          <cell r="A577">
            <v>232500</v>
          </cell>
          <cell r="B577" t="str">
            <v>NRV-W/off-FG &amp;SFG</v>
          </cell>
          <cell r="C577">
            <v>2630654.25</v>
          </cell>
        </row>
        <row r="578">
          <cell r="A578">
            <v>233000</v>
          </cell>
          <cell r="B578" t="str">
            <v>Physical Stock Difference Raw Materials</v>
          </cell>
          <cell r="C578">
            <v>-2191838.7999999998</v>
          </cell>
        </row>
        <row r="579">
          <cell r="A579">
            <v>233792</v>
          </cell>
          <cell r="B579" t="str">
            <v>Physical Stock Difference Finished Good</v>
          </cell>
          <cell r="C579">
            <v>13439.18</v>
          </cell>
        </row>
        <row r="580">
          <cell r="A580">
            <v>241000</v>
          </cell>
          <cell r="B580" t="str">
            <v>Corporate income tax expense</v>
          </cell>
          <cell r="C580">
            <v>27845000</v>
          </cell>
        </row>
        <row r="581">
          <cell r="A581">
            <v>241002</v>
          </cell>
          <cell r="B581" t="str">
            <v>Deferred Tax Expense 2000</v>
          </cell>
          <cell r="C581">
            <v>-605000</v>
          </cell>
        </row>
        <row r="582">
          <cell r="A582">
            <v>250000</v>
          </cell>
          <cell r="B582" t="str">
            <v>Gain-fixed asset retirement</v>
          </cell>
          <cell r="C582">
            <v>-63443.08</v>
          </cell>
        </row>
        <row r="583">
          <cell r="A583">
            <v>251000</v>
          </cell>
          <cell r="B583" t="str">
            <v>Other Non Operating Income</v>
          </cell>
          <cell r="C583">
            <v>37178.19</v>
          </cell>
        </row>
        <row r="584">
          <cell r="A584">
            <v>274000</v>
          </cell>
          <cell r="B584" t="str">
            <v>Int.Received Banks</v>
          </cell>
          <cell r="C584">
            <v>-13427.27</v>
          </cell>
        </row>
        <row r="585">
          <cell r="A585">
            <v>274100</v>
          </cell>
          <cell r="B585" t="str">
            <v>Int Received-Deposit</v>
          </cell>
          <cell r="C585">
            <v>-105569</v>
          </cell>
        </row>
        <row r="586">
          <cell r="A586">
            <v>275120</v>
          </cell>
          <cell r="B586" t="str">
            <v>Interest on overdue bills -customers</v>
          </cell>
          <cell r="C586">
            <v>-3495664.94</v>
          </cell>
        </row>
        <row r="587">
          <cell r="A587">
            <v>276000</v>
          </cell>
          <cell r="B587" t="str">
            <v>Cash discount received</v>
          </cell>
          <cell r="C587">
            <v>-1258422.8799999999</v>
          </cell>
        </row>
        <row r="588">
          <cell r="A588">
            <v>276001</v>
          </cell>
          <cell r="B588" t="str">
            <v>Trade Discount Recd.-frm Germany(Purcha</v>
          </cell>
          <cell r="C588">
            <v>-4722160.8600000003</v>
          </cell>
        </row>
        <row r="589">
          <cell r="A589">
            <v>276002</v>
          </cell>
          <cell r="B589" t="str">
            <v>Trade Discount Recd.-on stock taken ove</v>
          </cell>
          <cell r="C589">
            <v>-898995.92</v>
          </cell>
        </row>
        <row r="590">
          <cell r="A590">
            <v>280000</v>
          </cell>
          <cell r="B590" t="str">
            <v>Gain-exchange rate differences</v>
          </cell>
          <cell r="C590">
            <v>-2239701.2799999998</v>
          </cell>
        </row>
        <row r="591">
          <cell r="A591">
            <v>280001</v>
          </cell>
          <cell r="B591" t="str">
            <v>Exchange Gains from non operating activ</v>
          </cell>
          <cell r="C591">
            <v>-336206.76</v>
          </cell>
        </row>
        <row r="592">
          <cell r="A592">
            <v>280010</v>
          </cell>
          <cell r="B592" t="str">
            <v>Exchange Rate Gains from operating acti</v>
          </cell>
          <cell r="C592">
            <v>155514.35999999999</v>
          </cell>
        </row>
        <row r="593">
          <cell r="A593">
            <v>280011</v>
          </cell>
          <cell r="B593" t="str">
            <v>Exc.gains Non-Op.Unrealized</v>
          </cell>
          <cell r="C593">
            <v>0</v>
          </cell>
        </row>
        <row r="594">
          <cell r="A594">
            <v>299010</v>
          </cell>
          <cell r="B594" t="str">
            <v>Insurance claim Received</v>
          </cell>
          <cell r="C594">
            <v>-242214</v>
          </cell>
        </row>
        <row r="595">
          <cell r="A595">
            <v>400000</v>
          </cell>
          <cell r="B595" t="str">
            <v>Consumption-Raw Material</v>
          </cell>
          <cell r="C595">
            <v>195748707.42000002</v>
          </cell>
        </row>
        <row r="596">
          <cell r="A596">
            <v>400010</v>
          </cell>
          <cell r="B596" t="str">
            <v>Consumption-Raw Material Imported</v>
          </cell>
          <cell r="C596">
            <v>3345976.35</v>
          </cell>
        </row>
        <row r="597">
          <cell r="A597">
            <v>400020</v>
          </cell>
          <cell r="B597" t="str">
            <v>Mater. consumed-R.M AND P.M W/O COST EL</v>
          </cell>
          <cell r="C597">
            <v>6667166.0200000005</v>
          </cell>
        </row>
        <row r="598">
          <cell r="A598">
            <v>400040</v>
          </cell>
          <cell r="B598" t="str">
            <v>Cost of purchase-BASF</v>
          </cell>
          <cell r="C598">
            <v>-784332</v>
          </cell>
        </row>
        <row r="599">
          <cell r="A599">
            <v>405000</v>
          </cell>
          <cell r="B599" t="str">
            <v>Consumption - Packing Material</v>
          </cell>
          <cell r="C599">
            <v>13575950.300000001</v>
          </cell>
        </row>
        <row r="600">
          <cell r="A600">
            <v>417000</v>
          </cell>
          <cell r="B600" t="str">
            <v>Conversion Cost - Variable</v>
          </cell>
          <cell r="C600">
            <v>33772000</v>
          </cell>
        </row>
        <row r="601">
          <cell r="A601">
            <v>417001</v>
          </cell>
          <cell r="B601" t="str">
            <v>Conversion Cost - Fixed</v>
          </cell>
          <cell r="C601">
            <v>78731000</v>
          </cell>
        </row>
        <row r="602">
          <cell r="A602">
            <v>430000</v>
          </cell>
          <cell r="B602" t="str">
            <v>Salaries</v>
          </cell>
          <cell r="C602">
            <v>6427686</v>
          </cell>
        </row>
        <row r="603">
          <cell r="A603">
            <v>430010</v>
          </cell>
          <cell r="B603" t="str">
            <v>Stipends</v>
          </cell>
          <cell r="C603">
            <v>11000</v>
          </cell>
        </row>
        <row r="604">
          <cell r="A604">
            <v>430020</v>
          </cell>
          <cell r="B604" t="str">
            <v>M.D's Salary</v>
          </cell>
          <cell r="C604">
            <v>974280</v>
          </cell>
        </row>
        <row r="605">
          <cell r="A605">
            <v>430040</v>
          </cell>
          <cell r="B605" t="str">
            <v>M.D's Leave Travelling</v>
          </cell>
          <cell r="C605">
            <v>190755</v>
          </cell>
        </row>
        <row r="606">
          <cell r="A606">
            <v>430050</v>
          </cell>
          <cell r="B606" t="str">
            <v>M.D's Electricity</v>
          </cell>
          <cell r="C606">
            <v>165478.1</v>
          </cell>
        </row>
        <row r="607">
          <cell r="A607">
            <v>430060</v>
          </cell>
          <cell r="B607" t="str">
            <v>Managing Directors Remuneration -Others</v>
          </cell>
          <cell r="C607">
            <v>197933</v>
          </cell>
        </row>
        <row r="608">
          <cell r="A608">
            <v>430070</v>
          </cell>
          <cell r="B608" t="str">
            <v>M.D's HRA</v>
          </cell>
          <cell r="C608">
            <v>486410</v>
          </cell>
        </row>
        <row r="609">
          <cell r="A609">
            <v>430090</v>
          </cell>
          <cell r="B609" t="str">
            <v>gifts</v>
          </cell>
          <cell r="C609">
            <v>100000</v>
          </cell>
        </row>
        <row r="610">
          <cell r="A610">
            <v>430100</v>
          </cell>
          <cell r="B610" t="str">
            <v>Conveyance-Salaries</v>
          </cell>
          <cell r="C610">
            <v>414773</v>
          </cell>
        </row>
        <row r="611">
          <cell r="A611">
            <v>430110</v>
          </cell>
          <cell r="B611" t="str">
            <v>HRA</v>
          </cell>
          <cell r="C611">
            <v>1269677</v>
          </cell>
        </row>
        <row r="612">
          <cell r="A612">
            <v>430120</v>
          </cell>
          <cell r="B612" t="str">
            <v>Lunch</v>
          </cell>
          <cell r="C612">
            <v>240455</v>
          </cell>
        </row>
        <row r="613">
          <cell r="A613">
            <v>430130</v>
          </cell>
          <cell r="B613" t="str">
            <v>Reimbursement of Interest cost to Emplo</v>
          </cell>
          <cell r="C613">
            <v>34844</v>
          </cell>
        </row>
        <row r="614">
          <cell r="A614">
            <v>432000</v>
          </cell>
          <cell r="B614" t="str">
            <v>Leave Encashment</v>
          </cell>
          <cell r="C614">
            <v>-588955</v>
          </cell>
        </row>
        <row r="615">
          <cell r="A615">
            <v>433000</v>
          </cell>
          <cell r="B615" t="str">
            <v>Reimbursement of Medical Staff.</v>
          </cell>
          <cell r="C615">
            <v>535452.97</v>
          </cell>
        </row>
        <row r="616">
          <cell r="A616">
            <v>433020</v>
          </cell>
          <cell r="B616" t="str">
            <v>Medical Aid Medicines.</v>
          </cell>
          <cell r="C616">
            <v>5800</v>
          </cell>
        </row>
        <row r="617">
          <cell r="A617">
            <v>433030</v>
          </cell>
          <cell r="B617" t="str">
            <v>Welfare Expenses Parties.</v>
          </cell>
          <cell r="C617">
            <v>329874.44</v>
          </cell>
        </row>
        <row r="618">
          <cell r="A618">
            <v>433040</v>
          </cell>
          <cell r="B618" t="str">
            <v>Welfare Exp.canteen</v>
          </cell>
          <cell r="C618">
            <v>141306.5</v>
          </cell>
        </row>
        <row r="619">
          <cell r="A619">
            <v>433050</v>
          </cell>
          <cell r="B619" t="str">
            <v>Welfare ExpTransport</v>
          </cell>
          <cell r="C619">
            <v>818825.5</v>
          </cell>
        </row>
        <row r="620">
          <cell r="A620">
            <v>433060</v>
          </cell>
          <cell r="B620" t="str">
            <v>Welfare Exp.Other</v>
          </cell>
          <cell r="C620">
            <v>348195.32</v>
          </cell>
        </row>
        <row r="621">
          <cell r="A621">
            <v>434000</v>
          </cell>
          <cell r="B621" t="str">
            <v>LTA-Staff</v>
          </cell>
          <cell r="C621">
            <v>604937</v>
          </cell>
        </row>
        <row r="622">
          <cell r="A622">
            <v>435000</v>
          </cell>
          <cell r="B622" t="str">
            <v>Ex-Gratia</v>
          </cell>
          <cell r="C622">
            <v>2842904</v>
          </cell>
        </row>
        <row r="623">
          <cell r="A623">
            <v>445000</v>
          </cell>
          <cell r="B623" t="str">
            <v>Company Cont. to Family Pension Fund</v>
          </cell>
          <cell r="C623">
            <v>108193</v>
          </cell>
        </row>
        <row r="624">
          <cell r="A624">
            <v>445010</v>
          </cell>
          <cell r="B624" t="str">
            <v>Contribution to P.F</v>
          </cell>
          <cell r="C624">
            <v>236768</v>
          </cell>
        </row>
        <row r="625">
          <cell r="A625">
            <v>445020</v>
          </cell>
          <cell r="B625" t="str">
            <v>Cont. to Gratuity</v>
          </cell>
          <cell r="C625">
            <v>228149</v>
          </cell>
        </row>
        <row r="626">
          <cell r="A626">
            <v>445030</v>
          </cell>
          <cell r="B626" t="str">
            <v>Admn.chg. P.F</v>
          </cell>
          <cell r="C626">
            <v>31752</v>
          </cell>
        </row>
        <row r="627">
          <cell r="A627">
            <v>445040</v>
          </cell>
          <cell r="B627" t="str">
            <v>EDLI ContributionPF</v>
          </cell>
          <cell r="C627">
            <v>7264</v>
          </cell>
        </row>
        <row r="628">
          <cell r="A628">
            <v>445050</v>
          </cell>
          <cell r="B628" t="str">
            <v>Cont.superannuation</v>
          </cell>
          <cell r="C628">
            <v>1148880</v>
          </cell>
        </row>
        <row r="629">
          <cell r="A629">
            <v>445060</v>
          </cell>
          <cell r="B629" t="str">
            <v>E.S.I.C Contribution</v>
          </cell>
          <cell r="C629">
            <v>6582</v>
          </cell>
        </row>
        <row r="630">
          <cell r="A630">
            <v>447000</v>
          </cell>
          <cell r="B630" t="str">
            <v>Reimbursement Mediclaim</v>
          </cell>
          <cell r="C630">
            <v>135596</v>
          </cell>
        </row>
        <row r="631">
          <cell r="A631">
            <v>447010</v>
          </cell>
          <cell r="B631" t="str">
            <v>Welfare expInsurance</v>
          </cell>
          <cell r="C631">
            <v>84638</v>
          </cell>
        </row>
        <row r="632">
          <cell r="A632">
            <v>451000</v>
          </cell>
          <cell r="B632" t="str">
            <v>Repairs Building(Office)</v>
          </cell>
          <cell r="C632">
            <v>168764</v>
          </cell>
        </row>
        <row r="633">
          <cell r="A633">
            <v>451100</v>
          </cell>
          <cell r="B633" t="str">
            <v>Repairs-Building-Res</v>
          </cell>
          <cell r="C633">
            <v>1225</v>
          </cell>
        </row>
        <row r="634">
          <cell r="A634">
            <v>452010</v>
          </cell>
          <cell r="B634" t="str">
            <v>Repairs &amp; Maintenance - Vehicles</v>
          </cell>
          <cell r="C634">
            <v>202479</v>
          </cell>
        </row>
        <row r="635">
          <cell r="A635">
            <v>452020</v>
          </cell>
          <cell r="B635" t="str">
            <v>R&amp;M Office Equipmen</v>
          </cell>
          <cell r="C635">
            <v>168418.8</v>
          </cell>
        </row>
        <row r="636">
          <cell r="A636">
            <v>452030</v>
          </cell>
          <cell r="B636" t="str">
            <v>R&amp;M Computers</v>
          </cell>
          <cell r="C636">
            <v>177880</v>
          </cell>
        </row>
        <row r="637">
          <cell r="A637">
            <v>452040</v>
          </cell>
          <cell r="B637" t="str">
            <v>R&amp;M Others</v>
          </cell>
          <cell r="C637">
            <v>100736</v>
          </cell>
        </row>
        <row r="638">
          <cell r="A638">
            <v>452050</v>
          </cell>
          <cell r="B638" t="str">
            <v>Software modification chg -for connecti</v>
          </cell>
          <cell r="C638">
            <v>1053740</v>
          </cell>
        </row>
        <row r="639">
          <cell r="A639">
            <v>460200</v>
          </cell>
          <cell r="B639" t="str">
            <v>Sales Tax Expense</v>
          </cell>
          <cell r="C639">
            <v>-271335</v>
          </cell>
        </row>
        <row r="640">
          <cell r="A640">
            <v>464000</v>
          </cell>
          <cell r="B640" t="str">
            <v>Motor Vehicle Expenses Taxes.</v>
          </cell>
          <cell r="C640">
            <v>9927</v>
          </cell>
        </row>
        <row r="641">
          <cell r="A641">
            <v>465000</v>
          </cell>
          <cell r="B641" t="str">
            <v>Excise duty paid</v>
          </cell>
          <cell r="C641">
            <v>48131814.890000001</v>
          </cell>
        </row>
        <row r="642">
          <cell r="A642">
            <v>465050</v>
          </cell>
          <cell r="B642" t="str">
            <v>Rates &amp; Taxes Others</v>
          </cell>
          <cell r="C642">
            <v>153522</v>
          </cell>
        </row>
        <row r="643">
          <cell r="A643">
            <v>466010</v>
          </cell>
          <cell r="B643" t="str">
            <v>Insurance Fixed Assets- Fire policy 'A'</v>
          </cell>
          <cell r="C643">
            <v>89406</v>
          </cell>
        </row>
        <row r="644">
          <cell r="A644">
            <v>466020</v>
          </cell>
          <cell r="B644" t="str">
            <v>Fire insurance - Finished Goods - fire</v>
          </cell>
          <cell r="C644">
            <v>897161</v>
          </cell>
        </row>
        <row r="645">
          <cell r="A645">
            <v>466030</v>
          </cell>
          <cell r="B645" t="str">
            <v>Transit Insurance - Exports- Marine &amp; A</v>
          </cell>
          <cell r="C645">
            <v>25015</v>
          </cell>
        </row>
        <row r="646">
          <cell r="A646">
            <v>466040</v>
          </cell>
          <cell r="B646" t="str">
            <v>Transit Insurance - Local-special decla</v>
          </cell>
          <cell r="C646">
            <v>308438</v>
          </cell>
        </row>
        <row r="647">
          <cell r="A647">
            <v>470050</v>
          </cell>
          <cell r="B647" t="str">
            <v>Operating Cost-CCL</v>
          </cell>
          <cell r="C647">
            <v>240000</v>
          </cell>
        </row>
        <row r="648">
          <cell r="A648">
            <v>471010</v>
          </cell>
          <cell r="B648" t="str">
            <v>Rent-Office Building</v>
          </cell>
          <cell r="C648">
            <v>4142130</v>
          </cell>
        </row>
        <row r="649">
          <cell r="A649">
            <v>471030</v>
          </cell>
          <cell r="B649" t="str">
            <v>Lease Rent Vehicles.</v>
          </cell>
          <cell r="C649">
            <v>2114273</v>
          </cell>
        </row>
        <row r="650">
          <cell r="A650">
            <v>471040</v>
          </cell>
          <cell r="B650" t="str">
            <v>Lease Rent Computers</v>
          </cell>
          <cell r="C650">
            <v>85176</v>
          </cell>
        </row>
        <row r="651">
          <cell r="A651">
            <v>471050</v>
          </cell>
          <cell r="B651" t="str">
            <v>Vehicle Hire Charges.</v>
          </cell>
          <cell r="C651">
            <v>63262</v>
          </cell>
        </row>
        <row r="652">
          <cell r="A652">
            <v>472000</v>
          </cell>
          <cell r="B652" t="str">
            <v>Freight Charge-FG</v>
          </cell>
          <cell r="C652">
            <v>3097718.78</v>
          </cell>
        </row>
        <row r="653">
          <cell r="A653">
            <v>472010</v>
          </cell>
          <cell r="B653" t="str">
            <v>Octroi on FG</v>
          </cell>
          <cell r="C653">
            <v>2170895.27</v>
          </cell>
        </row>
        <row r="654">
          <cell r="A654">
            <v>472020</v>
          </cell>
          <cell r="B654" t="str">
            <v>Freight Chg-others</v>
          </cell>
          <cell r="C654">
            <v>190690.24</v>
          </cell>
        </row>
        <row r="655">
          <cell r="A655">
            <v>472030</v>
          </cell>
          <cell r="B655" t="str">
            <v>Freight Chg.Exports</v>
          </cell>
          <cell r="C655">
            <v>1688777</v>
          </cell>
        </row>
        <row r="656">
          <cell r="A656">
            <v>472040</v>
          </cell>
          <cell r="B656" t="str">
            <v>C&amp;Fagents Commission</v>
          </cell>
          <cell r="C656">
            <v>6841582</v>
          </cell>
        </row>
        <row r="657">
          <cell r="A657">
            <v>472050</v>
          </cell>
          <cell r="B657" t="str">
            <v>C&amp;F Agents Charges</v>
          </cell>
          <cell r="C657">
            <v>93235.85</v>
          </cell>
        </row>
        <row r="658">
          <cell r="A658">
            <v>472060</v>
          </cell>
          <cell r="B658" t="str">
            <v>Export expenses</v>
          </cell>
          <cell r="C658">
            <v>1618410.22</v>
          </cell>
        </row>
        <row r="659">
          <cell r="A659">
            <v>472080</v>
          </cell>
          <cell r="B659" t="str">
            <v>C&amp;F agent Chg.Exports</v>
          </cell>
          <cell r="C659">
            <v>377339</v>
          </cell>
        </row>
        <row r="660">
          <cell r="A660">
            <v>473000</v>
          </cell>
          <cell r="B660" t="str">
            <v>Postage Courier.</v>
          </cell>
          <cell r="C660">
            <v>643144.54</v>
          </cell>
        </row>
        <row r="661">
          <cell r="A661">
            <v>473120</v>
          </cell>
          <cell r="B661" t="str">
            <v>Telecommunication Telephone</v>
          </cell>
          <cell r="C661">
            <v>2190153.09</v>
          </cell>
        </row>
        <row r="662">
          <cell r="A662">
            <v>473130</v>
          </cell>
          <cell r="B662" t="str">
            <v>E-mail/Internet  Charges</v>
          </cell>
          <cell r="C662">
            <v>24926</v>
          </cell>
        </row>
        <row r="663">
          <cell r="A663">
            <v>474210</v>
          </cell>
          <cell r="B663" t="str">
            <v>Travelling Boarding &amp; Lodging.</v>
          </cell>
          <cell r="C663">
            <v>1042819.13</v>
          </cell>
        </row>
        <row r="664">
          <cell r="A664">
            <v>474220</v>
          </cell>
          <cell r="B664" t="str">
            <v>Travelling Outstation Allowance</v>
          </cell>
          <cell r="C664">
            <v>3365</v>
          </cell>
        </row>
        <row r="665">
          <cell r="A665">
            <v>474230</v>
          </cell>
          <cell r="B665" t="str">
            <v>Travelling Foreign Fare.</v>
          </cell>
          <cell r="C665">
            <v>1329090.75</v>
          </cell>
        </row>
        <row r="666">
          <cell r="A666">
            <v>474235</v>
          </cell>
          <cell r="B666" t="str">
            <v>Travelling Local Fare.</v>
          </cell>
          <cell r="C666">
            <v>2196982.23</v>
          </cell>
        </row>
        <row r="667">
          <cell r="A667">
            <v>474240</v>
          </cell>
          <cell r="B667" t="str">
            <v>Travelling Expenses Others</v>
          </cell>
          <cell r="C667">
            <v>158299.76</v>
          </cell>
        </row>
        <row r="668">
          <cell r="A668">
            <v>474260</v>
          </cell>
          <cell r="B668" t="str">
            <v>Travelling Foreign Exchange.</v>
          </cell>
          <cell r="C668">
            <v>555275.72</v>
          </cell>
        </row>
        <row r="669">
          <cell r="A669">
            <v>474270</v>
          </cell>
          <cell r="B669" t="str">
            <v>Conveyance Local</v>
          </cell>
          <cell r="C669">
            <v>925281</v>
          </cell>
        </row>
        <row r="670">
          <cell r="A670">
            <v>474275</v>
          </cell>
          <cell r="B670" t="str">
            <v>Conveyance Outstation.</v>
          </cell>
          <cell r="C670">
            <v>120523</v>
          </cell>
        </row>
        <row r="671">
          <cell r="A671">
            <v>474500</v>
          </cell>
          <cell r="B671" t="str">
            <v>Lunch on Office Duty.</v>
          </cell>
          <cell r="C671">
            <v>26967</v>
          </cell>
        </row>
        <row r="672">
          <cell r="A672">
            <v>474510</v>
          </cell>
          <cell r="B672" t="str">
            <v>M.D's House main</v>
          </cell>
          <cell r="C672">
            <v>14400</v>
          </cell>
        </row>
        <row r="673">
          <cell r="A673">
            <v>474520</v>
          </cell>
          <cell r="B673" t="str">
            <v>Entertainment Exp.</v>
          </cell>
          <cell r="C673">
            <v>284116</v>
          </cell>
        </row>
        <row r="674">
          <cell r="A674">
            <v>474530</v>
          </cell>
          <cell r="B674" t="str">
            <v>Credit Card Fees</v>
          </cell>
          <cell r="C674">
            <v>22168</v>
          </cell>
        </row>
        <row r="675">
          <cell r="A675">
            <v>475000</v>
          </cell>
          <cell r="B675" t="str">
            <v>Vehicle costs</v>
          </cell>
          <cell r="C675">
            <v>0</v>
          </cell>
        </row>
        <row r="676">
          <cell r="A676">
            <v>476000</v>
          </cell>
          <cell r="B676" t="str">
            <v>Printing  - Invoices &amp; Forms.</v>
          </cell>
          <cell r="C676">
            <v>241305</v>
          </cell>
        </row>
        <row r="677">
          <cell r="A677">
            <v>476010</v>
          </cell>
          <cell r="B677" t="str">
            <v>Printing -Xerox.</v>
          </cell>
          <cell r="C677">
            <v>839</v>
          </cell>
        </row>
        <row r="678">
          <cell r="A678">
            <v>476020</v>
          </cell>
          <cell r="B678" t="str">
            <v>Printing -Others.</v>
          </cell>
          <cell r="C678">
            <v>8982</v>
          </cell>
        </row>
        <row r="679">
          <cell r="A679">
            <v>476030</v>
          </cell>
          <cell r="B679" t="str">
            <v>Stationery Computer</v>
          </cell>
          <cell r="C679">
            <v>239332</v>
          </cell>
        </row>
        <row r="680">
          <cell r="A680">
            <v>476040</v>
          </cell>
          <cell r="B680" t="str">
            <v>Stationery Pre-printed</v>
          </cell>
          <cell r="C680">
            <v>210362</v>
          </cell>
        </row>
        <row r="681">
          <cell r="A681">
            <v>476050</v>
          </cell>
          <cell r="B681" t="str">
            <v>stationery-others</v>
          </cell>
          <cell r="C681">
            <v>225344.25</v>
          </cell>
        </row>
        <row r="682">
          <cell r="A682">
            <v>476200</v>
          </cell>
          <cell r="B682" t="str">
            <v>Office &amp; Other Expenses House keeping.</v>
          </cell>
          <cell r="C682">
            <v>752531.5</v>
          </cell>
        </row>
        <row r="683">
          <cell r="A683">
            <v>476210</v>
          </cell>
          <cell r="B683" t="str">
            <v>Office &amp; Other Expenses Petty Purchases</v>
          </cell>
          <cell r="C683">
            <v>176888.28</v>
          </cell>
        </row>
        <row r="684">
          <cell r="A684">
            <v>476300</v>
          </cell>
          <cell r="B684" t="str">
            <v>Books&amp;Subs-Books</v>
          </cell>
          <cell r="C684">
            <v>8260</v>
          </cell>
        </row>
        <row r="685">
          <cell r="A685">
            <v>476310</v>
          </cell>
          <cell r="B685" t="str">
            <v>Books&amp;Subs-Memb.Fees</v>
          </cell>
          <cell r="C685">
            <v>60029.63</v>
          </cell>
        </row>
        <row r="686">
          <cell r="A686">
            <v>476420</v>
          </cell>
          <cell r="B686" t="str">
            <v>Prof.Chg.EDP</v>
          </cell>
          <cell r="C686">
            <v>1738446.83</v>
          </cell>
        </row>
        <row r="687">
          <cell r="A687">
            <v>476430</v>
          </cell>
          <cell r="B687" t="str">
            <v>Prof.chg.recruitment</v>
          </cell>
          <cell r="C687">
            <v>45675</v>
          </cell>
        </row>
        <row r="688">
          <cell r="A688">
            <v>476440</v>
          </cell>
          <cell r="B688" t="str">
            <v>Prof.chg-Sales tax</v>
          </cell>
          <cell r="C688">
            <v>0</v>
          </cell>
        </row>
        <row r="689">
          <cell r="A689">
            <v>476450</v>
          </cell>
          <cell r="B689" t="str">
            <v>ProfChgcertification</v>
          </cell>
          <cell r="C689">
            <v>500</v>
          </cell>
        </row>
        <row r="690">
          <cell r="A690">
            <v>476460</v>
          </cell>
          <cell r="B690" t="str">
            <v>Prof.Chg.Consultants</v>
          </cell>
          <cell r="C690">
            <v>495509</v>
          </cell>
        </row>
        <row r="691">
          <cell r="A691">
            <v>476470</v>
          </cell>
          <cell r="B691" t="str">
            <v>Professional Charges-Others</v>
          </cell>
          <cell r="C691">
            <v>0</v>
          </cell>
        </row>
        <row r="692">
          <cell r="A692">
            <v>476600</v>
          </cell>
          <cell r="B692" t="str">
            <v>Electricity Charges.</v>
          </cell>
          <cell r="C692">
            <v>766603</v>
          </cell>
        </row>
        <row r="693">
          <cell r="A693">
            <v>476610</v>
          </cell>
          <cell r="B693" t="str">
            <v>Water Charges</v>
          </cell>
          <cell r="C693">
            <v>91704</v>
          </cell>
        </row>
        <row r="694">
          <cell r="A694">
            <v>476690</v>
          </cell>
          <cell r="B694" t="str">
            <v>Filing Fee&amp;StampDuty</v>
          </cell>
          <cell r="C694">
            <v>272545</v>
          </cell>
        </row>
        <row r="695">
          <cell r="A695">
            <v>476700</v>
          </cell>
          <cell r="B695" t="str">
            <v>Statutory audit fees</v>
          </cell>
          <cell r="C695">
            <v>1118250</v>
          </cell>
        </row>
        <row r="696">
          <cell r="A696">
            <v>476710</v>
          </cell>
          <cell r="B696" t="str">
            <v>Statutory audit-Exp</v>
          </cell>
          <cell r="C696">
            <v>30623</v>
          </cell>
        </row>
        <row r="697">
          <cell r="A697">
            <v>476720</v>
          </cell>
          <cell r="B697" t="str">
            <v>Tax Audit fees</v>
          </cell>
          <cell r="C697">
            <v>42250</v>
          </cell>
        </row>
        <row r="698">
          <cell r="A698">
            <v>476740</v>
          </cell>
          <cell r="B698" t="str">
            <v>Audit Expenses - other fees</v>
          </cell>
          <cell r="C698">
            <v>-3400</v>
          </cell>
        </row>
        <row r="699">
          <cell r="A699">
            <v>476800</v>
          </cell>
          <cell r="B699" t="str">
            <v>Lab Testing material</v>
          </cell>
          <cell r="C699">
            <v>288033</v>
          </cell>
        </row>
        <row r="700">
          <cell r="A700">
            <v>476810</v>
          </cell>
          <cell r="B700" t="str">
            <v>Vendor Dev.CCl</v>
          </cell>
          <cell r="C700">
            <v>188805</v>
          </cell>
        </row>
        <row r="701">
          <cell r="A701">
            <v>477000</v>
          </cell>
          <cell r="B701" t="str">
            <v>Advertising Calendars</v>
          </cell>
          <cell r="C701">
            <v>157635</v>
          </cell>
        </row>
        <row r="702">
          <cell r="A702">
            <v>477001</v>
          </cell>
          <cell r="B702" t="str">
            <v>Adv.Exhibitions</v>
          </cell>
          <cell r="C702">
            <v>110357</v>
          </cell>
        </row>
        <row r="703">
          <cell r="A703">
            <v>477030</v>
          </cell>
          <cell r="B703" t="str">
            <v>Adv.news papers</v>
          </cell>
          <cell r="C703">
            <v>307924.55</v>
          </cell>
        </row>
        <row r="704">
          <cell r="A704">
            <v>477040</v>
          </cell>
          <cell r="B704" t="str">
            <v>printing shade cards</v>
          </cell>
          <cell r="C704">
            <v>69420</v>
          </cell>
        </row>
        <row r="705">
          <cell r="A705">
            <v>477050</v>
          </cell>
          <cell r="B705" t="str">
            <v>Printing -Product Literature.</v>
          </cell>
          <cell r="C705">
            <v>0</v>
          </cell>
        </row>
        <row r="706">
          <cell r="A706">
            <v>477060</v>
          </cell>
          <cell r="B706" t="str">
            <v>Corporate ser.CCL</v>
          </cell>
          <cell r="C706">
            <v>41400</v>
          </cell>
        </row>
        <row r="707">
          <cell r="A707">
            <v>477070</v>
          </cell>
          <cell r="B707" t="str">
            <v>Ent.exp.Customer</v>
          </cell>
          <cell r="C707">
            <v>111706.67</v>
          </cell>
        </row>
        <row r="708">
          <cell r="A708">
            <v>477080</v>
          </cell>
          <cell r="B708" t="str">
            <v>Ent.exp.stockist</v>
          </cell>
          <cell r="C708">
            <v>2922</v>
          </cell>
        </row>
        <row r="709">
          <cell r="A709">
            <v>477100</v>
          </cell>
          <cell r="B709" t="str">
            <v>information technology services</v>
          </cell>
          <cell r="C709">
            <v>123000</v>
          </cell>
        </row>
        <row r="710">
          <cell r="A710">
            <v>477200</v>
          </cell>
          <cell r="B710" t="str">
            <v>Advertising gifts</v>
          </cell>
          <cell r="C710">
            <v>11260</v>
          </cell>
        </row>
        <row r="711">
          <cell r="A711">
            <v>477400</v>
          </cell>
          <cell r="B711" t="str">
            <v>Cost of samples received</v>
          </cell>
          <cell r="C711">
            <v>765777.12</v>
          </cell>
        </row>
        <row r="712">
          <cell r="A712">
            <v>477410</v>
          </cell>
          <cell r="B712" t="str">
            <v>Cost of samples from Stock</v>
          </cell>
          <cell r="C712">
            <v>289402.31</v>
          </cell>
        </row>
        <row r="713">
          <cell r="A713">
            <v>477900</v>
          </cell>
          <cell r="B713" t="str">
            <v>Sales commission (brokerage)</v>
          </cell>
          <cell r="C713">
            <v>2896822.9</v>
          </cell>
        </row>
        <row r="714">
          <cell r="A714">
            <v>477910</v>
          </cell>
          <cell r="B714" t="str">
            <v>Comm.to sub-indent</v>
          </cell>
          <cell r="C714">
            <v>294222.51</v>
          </cell>
        </row>
        <row r="715">
          <cell r="A715">
            <v>800000</v>
          </cell>
          <cell r="B715" t="str">
            <v>Local Sales</v>
          </cell>
          <cell r="C715">
            <v>-636906883.39999998</v>
          </cell>
        </row>
        <row r="716">
          <cell r="A716">
            <v>800005</v>
          </cell>
          <cell r="B716" t="str">
            <v>Local Sales</v>
          </cell>
          <cell r="C716">
            <v>-33211.410000000003</v>
          </cell>
        </row>
        <row r="717">
          <cell r="A717">
            <v>800010</v>
          </cell>
          <cell r="B717" t="str">
            <v>Raw Mat. Local Sale</v>
          </cell>
          <cell r="C717">
            <v>-1484762.6</v>
          </cell>
        </row>
        <row r="718">
          <cell r="A718">
            <v>800100</v>
          </cell>
          <cell r="B718" t="str">
            <v>Handling charges</v>
          </cell>
          <cell r="C718">
            <v>-569591.38</v>
          </cell>
        </row>
        <row r="719">
          <cell r="A719">
            <v>800110</v>
          </cell>
          <cell r="B719" t="str">
            <v>Freight Recovered</v>
          </cell>
          <cell r="C719">
            <v>-72141.100000000006</v>
          </cell>
        </row>
        <row r="720">
          <cell r="A720">
            <v>800120</v>
          </cell>
          <cell r="B720" t="str">
            <v>Insurance Recovered</v>
          </cell>
          <cell r="C720">
            <v>-699171.23</v>
          </cell>
        </row>
        <row r="721">
          <cell r="A721">
            <v>800130</v>
          </cell>
          <cell r="B721" t="str">
            <v>Octroi Recovered-L</v>
          </cell>
          <cell r="C721">
            <v>-2151284.75</v>
          </cell>
        </row>
        <row r="722">
          <cell r="A722">
            <v>800150</v>
          </cell>
          <cell r="B722" t="str">
            <v>Excise Recovered on sales</v>
          </cell>
          <cell r="C722">
            <v>-92794475.75</v>
          </cell>
        </row>
        <row r="723">
          <cell r="A723">
            <v>801000</v>
          </cell>
          <cell r="B723" t="str">
            <v>Export Sales</v>
          </cell>
          <cell r="C723">
            <v>-100089981.04000001</v>
          </cell>
        </row>
        <row r="724">
          <cell r="A724">
            <v>802010</v>
          </cell>
          <cell r="B724" t="str">
            <v>Indent Comm.Foreign</v>
          </cell>
          <cell r="C724">
            <v>-7509837.3900000006</v>
          </cell>
        </row>
        <row r="725">
          <cell r="A725">
            <v>802020</v>
          </cell>
          <cell r="B725" t="str">
            <v>Reverse Indent Commission-Foreign</v>
          </cell>
          <cell r="C725">
            <v>-30546715.060000002</v>
          </cell>
        </row>
        <row r="726">
          <cell r="A726">
            <v>803000</v>
          </cell>
          <cell r="B726" t="str">
            <v>Service Charges</v>
          </cell>
          <cell r="C726">
            <v>-5633304.29</v>
          </cell>
        </row>
        <row r="727">
          <cell r="A727">
            <v>860010</v>
          </cell>
          <cell r="B727" t="str">
            <v>Duty drawback</v>
          </cell>
          <cell r="C727">
            <v>602991.15</v>
          </cell>
        </row>
        <row r="728">
          <cell r="A728">
            <v>860020</v>
          </cell>
          <cell r="B728" t="str">
            <v>Brand duty received</v>
          </cell>
          <cell r="C728">
            <v>497030.67</v>
          </cell>
        </row>
        <row r="729">
          <cell r="A729">
            <v>860030</v>
          </cell>
          <cell r="B729" t="str">
            <v>D.E.P.B. Income</v>
          </cell>
          <cell r="C729">
            <v>-3764545.15</v>
          </cell>
        </row>
        <row r="730">
          <cell r="A730">
            <v>860040</v>
          </cell>
          <cell r="B730" t="str">
            <v>Brand duty received on imports (1% S.V.B)</v>
          </cell>
          <cell r="C730">
            <v>-85492</v>
          </cell>
        </row>
        <row r="731">
          <cell r="A731">
            <v>880000</v>
          </cell>
          <cell r="B731" t="str">
            <v>Customer discounts(Cash Discount)</v>
          </cell>
          <cell r="C731">
            <v>8861119.0399999991</v>
          </cell>
        </row>
        <row r="732">
          <cell r="A732">
            <v>881000</v>
          </cell>
          <cell r="B732" t="str">
            <v>Payment Differences (Rounding Off Diffe</v>
          </cell>
          <cell r="C732">
            <v>446.16</v>
          </cell>
        </row>
        <row r="733">
          <cell r="A733">
            <v>883000</v>
          </cell>
          <cell r="B733" t="str">
            <v>Discount on Sales-Packing Material Disc</v>
          </cell>
          <cell r="C733">
            <v>12849.71</v>
          </cell>
        </row>
        <row r="734">
          <cell r="A734">
            <v>883010</v>
          </cell>
          <cell r="B734" t="str">
            <v>Shortage,Leakage W/o</v>
          </cell>
          <cell r="C734">
            <v>208942.43</v>
          </cell>
        </row>
        <row r="735">
          <cell r="A735">
            <v>883020</v>
          </cell>
          <cell r="B735" t="str">
            <v>Excise/octroi Written Off</v>
          </cell>
          <cell r="C735">
            <v>228921.83</v>
          </cell>
        </row>
        <row r="736">
          <cell r="A736">
            <v>884000</v>
          </cell>
          <cell r="B736" t="str">
            <v>Rebate on Sales-Trade Discount, Qty dis</v>
          </cell>
          <cell r="C736">
            <v>11520973.59</v>
          </cell>
        </row>
        <row r="737">
          <cell r="A737">
            <v>889000</v>
          </cell>
          <cell r="B737" t="str">
            <v>Other sales deductions</v>
          </cell>
          <cell r="C737">
            <v>315497.11</v>
          </cell>
        </row>
        <row r="738">
          <cell r="A738">
            <v>890000</v>
          </cell>
          <cell r="B738" t="str">
            <v>Inventory change-SFG Issue to Prod. Ord</v>
          </cell>
          <cell r="C738">
            <v>382080329.37</v>
          </cell>
        </row>
        <row r="739">
          <cell r="A739">
            <v>891000</v>
          </cell>
          <cell r="B739" t="str">
            <v>Inventory change-work in process</v>
          </cell>
          <cell r="C739">
            <v>-967548.68</v>
          </cell>
        </row>
        <row r="740">
          <cell r="A740">
            <v>892000</v>
          </cell>
          <cell r="B740" t="str">
            <v>Inventory change-F.G.-Reprocessing</v>
          </cell>
          <cell r="C740">
            <v>4210344.32</v>
          </cell>
        </row>
        <row r="741">
          <cell r="A741">
            <v>893100</v>
          </cell>
          <cell r="B741" t="str">
            <v>Inv.Chg.cost MFG/SF Sold</v>
          </cell>
          <cell r="C741">
            <v>626680.34</v>
          </cell>
        </row>
        <row r="742">
          <cell r="A742">
            <v>893150</v>
          </cell>
          <cell r="B742" t="str">
            <v>Inv.Chg.-Valuation for excis etc</v>
          </cell>
          <cell r="C742">
            <v>0</v>
          </cell>
        </row>
        <row r="743">
          <cell r="A743">
            <v>893200</v>
          </cell>
          <cell r="B743" t="str">
            <v>Inv.Chg.Cost MfG/FG Sold</v>
          </cell>
          <cell r="C743">
            <v>325102023.63999999</v>
          </cell>
        </row>
        <row r="744">
          <cell r="A744">
            <v>894005</v>
          </cell>
          <cell r="B744" t="str">
            <v>Cost of RM Sold</v>
          </cell>
          <cell r="C744">
            <v>1884410.17</v>
          </cell>
        </row>
        <row r="745">
          <cell r="A745">
            <v>894010</v>
          </cell>
          <cell r="B745" t="str">
            <v>Inventory change-cost of Trading Goods</v>
          </cell>
          <cell r="C745">
            <v>285429072.79000002</v>
          </cell>
        </row>
        <row r="746">
          <cell r="A746">
            <v>894020</v>
          </cell>
          <cell r="B746" t="str">
            <v>Inventory change-Trading Goods(High Sea</v>
          </cell>
          <cell r="C746">
            <v>3885217.67</v>
          </cell>
        </row>
        <row r="747">
          <cell r="A747">
            <v>895000</v>
          </cell>
          <cell r="B747" t="str">
            <v>Inventory change-SFG-Receipt from Prod.</v>
          </cell>
          <cell r="C747">
            <v>-384459592.77999997</v>
          </cell>
        </row>
        <row r="748">
          <cell r="A748">
            <v>895200</v>
          </cell>
          <cell r="B748" t="str">
            <v>Inventory change-FG-Receipt from Produc</v>
          </cell>
          <cell r="C748">
            <v>-309160446.94</v>
          </cell>
        </row>
        <row r="749">
          <cell r="A749" t="str">
            <v>Administration Cost</v>
          </cell>
        </row>
        <row r="750">
          <cell r="A750" t="str">
            <v>Administration Cost</v>
          </cell>
          <cell r="C750">
            <v>108955421.69</v>
          </cell>
        </row>
        <row r="751">
          <cell r="A751" t="str">
            <v>Audit Expenses</v>
          </cell>
        </row>
        <row r="752">
          <cell r="A752" t="str">
            <v>Audit Expenses</v>
          </cell>
          <cell r="C752">
            <v>1187723</v>
          </cell>
        </row>
        <row r="753">
          <cell r="A753" t="str">
            <v>Consumption Raw Materials</v>
          </cell>
        </row>
        <row r="754">
          <cell r="A754" t="str">
            <v>Consumption Raw Materials</v>
          </cell>
          <cell r="C754">
            <v>218553468.09000003</v>
          </cell>
        </row>
        <row r="755">
          <cell r="A755" t="str">
            <v>Consumption Trading Goods</v>
          </cell>
        </row>
        <row r="756">
          <cell r="A756" t="str">
            <v>Consumption Trading Goods</v>
          </cell>
          <cell r="C756">
            <v>289314290.46000004</v>
          </cell>
        </row>
        <row r="757">
          <cell r="A757" t="str">
            <v>Conversion Charges</v>
          </cell>
        </row>
        <row r="758">
          <cell r="A758" t="str">
            <v>Conversion Charges</v>
          </cell>
          <cell r="C758">
            <v>112652000</v>
          </cell>
        </row>
        <row r="759">
          <cell r="A759" t="str">
            <v>Depreciation</v>
          </cell>
        </row>
        <row r="760">
          <cell r="A760" t="str">
            <v>Depreciation</v>
          </cell>
          <cell r="C760">
            <v>70126291.939999998</v>
          </cell>
        </row>
        <row r="761">
          <cell r="A761" t="str">
            <v>Excise Duty paid</v>
          </cell>
        </row>
        <row r="762">
          <cell r="A762" t="str">
            <v>Excise Duty paid</v>
          </cell>
          <cell r="C762">
            <v>48131814.890000001</v>
          </cell>
        </row>
        <row r="763">
          <cell r="A763" t="str">
            <v>Expenditure</v>
          </cell>
        </row>
        <row r="764">
          <cell r="A764" t="str">
            <v>Expenditure</v>
          </cell>
          <cell r="C764">
            <v>1598078735.4299998</v>
          </cell>
        </row>
        <row r="765">
          <cell r="A765" t="str">
            <v>Income</v>
          </cell>
          <cell r="C765">
            <v>-1583390919.79</v>
          </cell>
        </row>
        <row r="766">
          <cell r="A766" t="str">
            <v>Income-tax paid</v>
          </cell>
        </row>
        <row r="767">
          <cell r="A767" t="str">
            <v>Income-tax paid</v>
          </cell>
          <cell r="C767">
            <v>27240000</v>
          </cell>
        </row>
        <row r="768">
          <cell r="A768" t="str">
            <v>Interest</v>
          </cell>
        </row>
        <row r="769">
          <cell r="A769" t="str">
            <v>Interest</v>
          </cell>
          <cell r="C769">
            <v>23360101.750000004</v>
          </cell>
        </row>
        <row r="770">
          <cell r="A770" t="str">
            <v>Inventory Changes</v>
          </cell>
        </row>
        <row r="771">
          <cell r="A771" t="str">
            <v>Inventory Changes</v>
          </cell>
          <cell r="C771">
            <v>-694587588.39999998</v>
          </cell>
        </row>
        <row r="772">
          <cell r="A772" t="str">
            <v>Inventory Changes</v>
          </cell>
        </row>
        <row r="773">
          <cell r="A773" t="str">
            <v>Inventory Changes</v>
          </cell>
          <cell r="C773">
            <v>713903787.83999991</v>
          </cell>
        </row>
        <row r="774">
          <cell r="A774" t="str">
            <v>Micellaneous expenses</v>
          </cell>
        </row>
        <row r="775">
          <cell r="A775" t="str">
            <v>Micellaneous expenses</v>
          </cell>
          <cell r="C775">
            <v>38283896.520000003</v>
          </cell>
        </row>
        <row r="776">
          <cell r="A776" t="str">
            <v>Other Income</v>
          </cell>
        </row>
        <row r="777">
          <cell r="A777" t="str">
            <v>Other Income</v>
          </cell>
          <cell r="C777">
            <v>-57494017.189999998</v>
          </cell>
        </row>
        <row r="778">
          <cell r="A778" t="str">
            <v>Others Expenditure</v>
          </cell>
        </row>
        <row r="779">
          <cell r="A779" t="str">
            <v>Others Expenditure</v>
          </cell>
          <cell r="C779">
            <v>21148749.869999997</v>
          </cell>
        </row>
        <row r="780">
          <cell r="A780" t="str">
            <v>Personnel cost</v>
          </cell>
        </row>
        <row r="781">
          <cell r="A781" t="str">
            <v>Personnel cost</v>
          </cell>
          <cell r="C781">
            <v>17439453.829999998</v>
          </cell>
        </row>
        <row r="782">
          <cell r="A782" t="str">
            <v>Postage and communication cost</v>
          </cell>
        </row>
        <row r="783">
          <cell r="A783" t="str">
            <v>Postage and communication cost</v>
          </cell>
          <cell r="C783">
            <v>2858223.63</v>
          </cell>
        </row>
        <row r="784">
          <cell r="A784" t="str">
            <v>Printing &amp; Stationery</v>
          </cell>
        </row>
        <row r="785">
          <cell r="A785" t="str">
            <v>Printing &amp; Stationery</v>
          </cell>
          <cell r="C785">
            <v>1471798.43</v>
          </cell>
        </row>
        <row r="786">
          <cell r="A786" t="str">
            <v>Professional Charges</v>
          </cell>
        </row>
        <row r="787">
          <cell r="A787" t="str">
            <v>Professional Charges</v>
          </cell>
          <cell r="C787">
            <v>2280130.83</v>
          </cell>
        </row>
        <row r="788">
          <cell r="A788" t="str">
            <v>Profit &amp; Loss Account</v>
          </cell>
          <cell r="C788">
            <v>14687815.639999866</v>
          </cell>
        </row>
        <row r="789">
          <cell r="A789" t="str">
            <v>Rent Rates and Taxes</v>
          </cell>
        </row>
        <row r="790">
          <cell r="A790" t="str">
            <v>Rent Rates and Taxes</v>
          </cell>
          <cell r="C790">
            <v>6536955</v>
          </cell>
        </row>
        <row r="791">
          <cell r="A791" t="str">
            <v>Repairs &amp; Maintainence</v>
          </cell>
        </row>
        <row r="792">
          <cell r="A792" t="str">
            <v>Repairs &amp; Maintainence</v>
          </cell>
          <cell r="C792">
            <v>1873242.8</v>
          </cell>
        </row>
        <row r="793">
          <cell r="A793" t="str">
            <v>Sales</v>
          </cell>
        </row>
        <row r="794">
          <cell r="A794" t="str">
            <v>Sales</v>
          </cell>
          <cell r="C794">
            <v>-831309314.19999993</v>
          </cell>
        </row>
        <row r="795">
          <cell r="A795" t="str">
            <v>Stock Adjustments</v>
          </cell>
        </row>
        <row r="796">
          <cell r="A796" t="str">
            <v>Stock Adjustments</v>
          </cell>
          <cell r="C796">
            <v>-4614830.04</v>
          </cell>
        </row>
        <row r="797">
          <cell r="A797" t="str">
            <v>Travelling</v>
          </cell>
        </row>
        <row r="798">
          <cell r="A798" t="str">
            <v>Travelling</v>
          </cell>
          <cell r="C798">
            <v>6331636.5899999989</v>
          </cell>
        </row>
        <row r="799">
          <cell r="C799">
            <v>-638424857.40999997</v>
          </cell>
        </row>
        <row r="800">
          <cell r="C800">
            <v>-92794475.75</v>
          </cell>
        </row>
        <row r="801">
          <cell r="C801">
            <v>-731219333.15999997</v>
          </cell>
        </row>
        <row r="802">
          <cell r="C802">
            <v>-100089981.04000001</v>
          </cell>
        </row>
        <row r="804">
          <cell r="C804">
            <v>-38056552.450000003</v>
          </cell>
        </row>
        <row r="805">
          <cell r="C805">
            <v>-3492188.46</v>
          </cell>
        </row>
        <row r="806">
          <cell r="C806">
            <v>-2664523.33</v>
          </cell>
        </row>
        <row r="807">
          <cell r="C807">
            <v>-3614661.21</v>
          </cell>
        </row>
        <row r="808">
          <cell r="C808">
            <v>-63443.08</v>
          </cell>
        </row>
        <row r="809">
          <cell r="C809">
            <v>-9602648.6600000001</v>
          </cell>
        </row>
        <row r="811">
          <cell r="C811">
            <v>-384459592.77999997</v>
          </cell>
        </row>
        <row r="812">
          <cell r="C812">
            <v>-309160446.94</v>
          </cell>
        </row>
        <row r="813">
          <cell r="C813">
            <v>-967548.68</v>
          </cell>
        </row>
      </sheetData>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 val="Total MG "/>
      <sheetName val="AP_RA99-061"/>
      <sheetName val="HV_RA99-061"/>
      <sheetName val="IN_RA99-061"/>
      <sheetName val="CH_RA99-061"/>
      <sheetName val="TH_RA99-061"/>
      <sheetName val="HZ_RA99-061"/>
      <sheetName val="Total_MG_1"/>
      <sheetName val="AP_RA99-06"/>
      <sheetName val="HV_RA99-06"/>
      <sheetName val="IN_RA99-06"/>
      <sheetName val="CH_RA99-06"/>
      <sheetName val="TH_RA99-06"/>
      <sheetName val="HZ_RA99-06"/>
      <sheetName val="Total_MG_"/>
      <sheetName val="AP_RA99-062"/>
      <sheetName val="HV_RA99-062"/>
      <sheetName val="IN_RA99-062"/>
      <sheetName val="CH_RA99-062"/>
      <sheetName val="TH_RA99-062"/>
      <sheetName val="HZ_RA99-062"/>
      <sheetName val="Total_MG_2"/>
      <sheetName val="consolidated Budget"/>
      <sheetName val="Sheet1"/>
      <sheetName val="MAPPINGS"/>
      <sheetName val="RES"/>
      <sheetName val="Params"/>
      <sheetName val="Masters"/>
      <sheetName val="Price Testing - Used - 1"/>
      <sheetName val="Price_Testing_-_Used_-_11"/>
      <sheetName val="Price_Testing_-_Used_-_1"/>
      <sheetName val="Rates"/>
      <sheetName val="COA-IPCL"/>
      <sheetName val="TB"/>
      <sheetName val="Schedule"/>
      <sheetName val="Chart of Accounts"/>
      <sheetName val="Op Plan Sales"/>
      <sheetName val="M B-QtyRecn"/>
      <sheetName val="India"/>
      <sheetName val="BAL96-97"/>
      <sheetName val="Other notes"/>
      <sheetName val="MAIN"/>
      <sheetName val="IOPlan"/>
      <sheetName val="Lists"/>
      <sheetName val="Consol"/>
      <sheetName val="IT Only"/>
      <sheetName val="Sales &amp; Marketing Dashboard"/>
      <sheetName val="LIC"/>
      <sheetName val="PropertyList"/>
      <sheetName val="IT-accruals"/>
      <sheetName val="Input schedule"/>
      <sheetName val="TPM Tot"/>
      <sheetName val="StdMarginRegQtr"/>
      <sheetName val="Sept '99"/>
      <sheetName val="Trial Balance"/>
      <sheetName val="Control"/>
      <sheetName val="Op_Plan_Sales"/>
      <sheetName val="M_B-QtyRecn"/>
      <sheetName val="FBT Full"/>
      <sheetName val="Comp"/>
      <sheetName val="Risco-Accts"/>
      <sheetName val="Payroll_Statement"/>
      <sheetName val="Cash Flow.7"/>
      <sheetName val="Rollup_Summary"/>
      <sheetName val="Op_Plan_Sales1"/>
      <sheetName val="IT_Only"/>
      <sheetName val="Annexure"/>
      <sheetName val="New form 3CD A"/>
      <sheetName val="All Data"/>
      <sheetName val="POFG"/>
      <sheetName val="未着品BALANCE"/>
      <sheetName val="データシート"/>
      <sheetName val="3 Yr Revenue Analysis(old)"/>
      <sheetName val="List"/>
      <sheetName val="Opening Balance"/>
      <sheetName val="Jodalli-P&amp;L"/>
      <sheetName val="Graphdata"/>
      <sheetName val="Macro1"/>
      <sheetName val="Other"/>
      <sheetName val="Summary"/>
      <sheetName val="Categ"/>
      <sheetName val="Amortization Table"/>
      <sheetName val="riola don't know 9-26-99"/>
      <sheetName val="Spiltrates-Latest"/>
      <sheetName val="Travel Expense Report(1week)"/>
      <sheetName val="CRITERIA1"/>
      <sheetName val=""/>
      <sheetName val="d"/>
      <sheetName val="5Y_v2.14"/>
      <sheetName val="Cover"/>
      <sheetName val="Consolidated"/>
      <sheetName val="BAL0301"/>
      <sheetName val="Rate_dec02"/>
      <sheetName val="Push Diag on Premise"/>
      <sheetName val="CChannel Attract Input"/>
      <sheetName val="FStratPlan"/>
      <sheetName val="BS"/>
      <sheetName val="Aseet1998"/>
      <sheetName val="Assum"/>
      <sheetName val="VARFCST"/>
      <sheetName val="Trial_Balance"/>
      <sheetName val="Sales_&amp;_Marketing_Dashboard"/>
      <sheetName val="Input_schedule"/>
      <sheetName val="TPM_Tot"/>
      <sheetName val="Sept_'99"/>
      <sheetName val="EXPENSES"/>
      <sheetName val="Op_Plan_Sales2"/>
      <sheetName val="IT_Only1"/>
      <sheetName val="FINAL SHEET"/>
      <sheetName val="Results"/>
      <sheetName val="Main-Material"/>
      <sheetName val="MR08' Cost Manag"/>
      <sheetName val="List_ratios"/>
      <sheetName val="IS"/>
      <sheetName val="May 09"/>
      <sheetName val="Page1"/>
      <sheetName val="Wavg RM"/>
      <sheetName val="COV"/>
      <sheetName val="exp-m"/>
      <sheetName val="PAP"/>
      <sheetName val="Keyratios"/>
      <sheetName val="Facility"/>
      <sheetName val="P L"/>
      <sheetName val="1 - A (Narrative)"/>
      <sheetName val="Notes"/>
      <sheetName val="Cash Flows"/>
      <sheetName val="Val &amp; Multp"/>
      <sheetName val="Options"/>
      <sheetName val="Heating Div"/>
      <sheetName val="All other Div's"/>
      <sheetName val="CoCapital"/>
      <sheetName val="EPS"/>
      <sheetName val="Mult"/>
      <sheetName val="Synergies"/>
      <sheetName val="Mkt Mult"/>
      <sheetName val="Trans Mult"/>
      <sheetName val="Module1"/>
      <sheetName val="Project Resource Details"/>
      <sheetName val="Assets"/>
      <sheetName val="CLP_Value_Driver (14) Dec Old"/>
      <sheetName val="Other_notes"/>
      <sheetName val="M_B-QtyRecn1"/>
      <sheetName val="FBT_Full"/>
      <sheetName val="Chart_of_Accounts"/>
      <sheetName val="consolidated_Budget"/>
      <sheetName val="Other_notes1"/>
      <sheetName val="M_B-QtyRecn2"/>
      <sheetName val="Sales_&amp;_Marketing_Dashboard1"/>
      <sheetName val="Trial_Balance1"/>
      <sheetName val="Input_schedule1"/>
      <sheetName val="TPM_Tot1"/>
      <sheetName val="Sept_'991"/>
      <sheetName val="FBT_Full1"/>
      <sheetName val="Chart_of_Accounts1"/>
      <sheetName val="consolidated_Budget1"/>
      <sheetName val="AP_RA99-063"/>
      <sheetName val="HV_RA99-063"/>
      <sheetName val="IN_RA99-063"/>
      <sheetName val="CH_RA99-063"/>
      <sheetName val="TH_RA99-063"/>
      <sheetName val="HZ_RA99-063"/>
      <sheetName val="Op_Plan_Sales3"/>
      <sheetName val="Other_notes2"/>
      <sheetName val="M_B-QtyRecn3"/>
      <sheetName val="IT_Only2"/>
      <sheetName val="Sales_&amp;_Marketing_Dashboard2"/>
      <sheetName val="Trial_Balance2"/>
      <sheetName val="Input_schedule2"/>
      <sheetName val="TPM_Tot2"/>
      <sheetName val="Sept_'992"/>
      <sheetName val="FBT_Full2"/>
      <sheetName val="Chart_of_Accounts2"/>
      <sheetName val="consolidated_Budget2"/>
      <sheetName val="AP_RA99-064"/>
      <sheetName val="HV_RA99-064"/>
      <sheetName val="IN_RA99-064"/>
      <sheetName val="CH_RA99-064"/>
      <sheetName val="TH_RA99-064"/>
      <sheetName val="HZ_RA99-064"/>
      <sheetName val="Op_Plan_Sales4"/>
      <sheetName val="Other_notes3"/>
      <sheetName val="M_B-QtyRecn4"/>
      <sheetName val="IT_Only3"/>
      <sheetName val="Sales_&amp;_Marketing_Dashboard3"/>
      <sheetName val="Total_MG_3"/>
      <sheetName val="Trial_Balance3"/>
      <sheetName val="Input_schedule3"/>
      <sheetName val="TPM_Tot3"/>
      <sheetName val="Sept_'993"/>
      <sheetName val="FBT_Full3"/>
      <sheetName val="Chart_of_Accounts3"/>
      <sheetName val="consolidated_Budget3"/>
      <sheetName val="5Y_v2_14"/>
      <sheetName val="Price_Testing_-_Used_-_12"/>
      <sheetName val="Push_Diag_on_Premise"/>
      <sheetName val="CChannel_Attract_Input"/>
      <sheetName val="Cash_Flow_7"/>
      <sheetName val="Opening_Balance"/>
      <sheetName val="AP_RA99-065"/>
      <sheetName val="HV_RA99-065"/>
      <sheetName val="IN_RA99-065"/>
      <sheetName val="CH_RA99-065"/>
      <sheetName val="TH_RA99-065"/>
      <sheetName val="HZ_RA99-065"/>
      <sheetName val="Op_Plan_Sales5"/>
      <sheetName val="Other_notes4"/>
      <sheetName val="M_B-QtyRecn5"/>
      <sheetName val="IT_Only4"/>
      <sheetName val="Sales_&amp;_Marketing_Dashboard4"/>
      <sheetName val="Total_MG_4"/>
      <sheetName val="Trial_Balance4"/>
      <sheetName val="Input_schedule4"/>
      <sheetName val="TPM_Tot4"/>
      <sheetName val="Sept_'994"/>
      <sheetName val="FBT_Full4"/>
      <sheetName val="Chart_of_Accounts4"/>
      <sheetName val="consolidated_Budget4"/>
      <sheetName val="5Y_v2_141"/>
      <sheetName val="Price_Testing_-_Used_-_13"/>
      <sheetName val="Push_Diag_on_Premise1"/>
      <sheetName val="CChannel_Attract_Input1"/>
      <sheetName val="Cash_Flow_71"/>
      <sheetName val="Opening_Balance1"/>
      <sheetName val="AP_RA99-067"/>
      <sheetName val="HV_RA99-067"/>
      <sheetName val="IN_RA99-067"/>
      <sheetName val="CH_RA99-067"/>
      <sheetName val="TH_RA99-067"/>
      <sheetName val="HZ_RA99-067"/>
      <sheetName val="Op_Plan_Sales7"/>
      <sheetName val="Other_notes6"/>
      <sheetName val="M_B-QtyRecn7"/>
      <sheetName val="IT_Only6"/>
      <sheetName val="Sales_&amp;_Marketing_Dashboard6"/>
      <sheetName val="Total_MG_6"/>
      <sheetName val="Trial_Balance6"/>
      <sheetName val="Input_schedule6"/>
      <sheetName val="TPM_Tot6"/>
      <sheetName val="Sept_'996"/>
      <sheetName val="FBT_Full6"/>
      <sheetName val="Chart_of_Accounts6"/>
      <sheetName val="consolidated_Budget6"/>
      <sheetName val="5Y_v2_143"/>
      <sheetName val="Price_Testing_-_Used_-_15"/>
      <sheetName val="Push_Diag_on_Premise3"/>
      <sheetName val="CChannel_Attract_Input3"/>
      <sheetName val="Cash_Flow_73"/>
      <sheetName val="Opening_Balance3"/>
      <sheetName val="AP_RA99-066"/>
      <sheetName val="HV_RA99-066"/>
      <sheetName val="IN_RA99-066"/>
      <sheetName val="CH_RA99-066"/>
      <sheetName val="TH_RA99-066"/>
      <sheetName val="HZ_RA99-066"/>
      <sheetName val="Op_Plan_Sales6"/>
      <sheetName val="Other_notes5"/>
      <sheetName val="M_B-QtyRecn6"/>
      <sheetName val="IT_Only5"/>
      <sheetName val="Sales_&amp;_Marketing_Dashboard5"/>
      <sheetName val="Total_MG_5"/>
      <sheetName val="Trial_Balance5"/>
      <sheetName val="Input_schedule5"/>
      <sheetName val="TPM_Tot5"/>
      <sheetName val="Sept_'995"/>
      <sheetName val="FBT_Full5"/>
      <sheetName val="Chart_of_Accounts5"/>
      <sheetName val="consolidated_Budget5"/>
      <sheetName val="5Y_v2_142"/>
      <sheetName val="Price_Testing_-_Used_-_14"/>
      <sheetName val="Push_Diag_on_Premise2"/>
      <sheetName val="CChannel_Attract_Input2"/>
      <sheetName val="Cash_Flow_72"/>
      <sheetName val="Opening_Balance2"/>
      <sheetName val="AP_RA99-068"/>
      <sheetName val="HV_RA99-068"/>
      <sheetName val="IN_RA99-068"/>
      <sheetName val="CH_RA99-068"/>
      <sheetName val="TH_RA99-068"/>
      <sheetName val="HZ_RA99-068"/>
      <sheetName val="Op_Plan_Sales8"/>
      <sheetName val="Other_notes7"/>
      <sheetName val="M_B-QtyRecn8"/>
      <sheetName val="IT_Only7"/>
      <sheetName val="Sales_&amp;_Marketing_Dashboard7"/>
      <sheetName val="Total_MG_7"/>
      <sheetName val="Trial_Balance7"/>
      <sheetName val="Input_schedule7"/>
      <sheetName val="TPM_Tot7"/>
      <sheetName val="Sept_'997"/>
      <sheetName val="FBT_Full7"/>
      <sheetName val="Chart_of_Accounts7"/>
      <sheetName val="consolidated_Budget7"/>
      <sheetName val="5Y_v2_144"/>
      <sheetName val="Price_Testing_-_Used_-_16"/>
      <sheetName val="Push_Diag_on_Premise4"/>
      <sheetName val="CChannel_Attract_Input4"/>
      <sheetName val="Cash_Flow_74"/>
      <sheetName val="Opening_Balance4"/>
      <sheetName val="AP_RA99-069"/>
      <sheetName val="HV_RA99-069"/>
      <sheetName val="IN_RA99-069"/>
      <sheetName val="CH_RA99-069"/>
      <sheetName val="TH_RA99-069"/>
      <sheetName val="HZ_RA99-069"/>
      <sheetName val="Op_Plan_Sales9"/>
      <sheetName val="Other_notes8"/>
      <sheetName val="M_B-QtyRecn9"/>
      <sheetName val="IT_Only8"/>
      <sheetName val="Sales_&amp;_Marketing_Dashboard8"/>
      <sheetName val="Total_MG_8"/>
      <sheetName val="Trial_Balance8"/>
      <sheetName val="Input_schedule8"/>
      <sheetName val="TPM_Tot8"/>
      <sheetName val="Sept_'998"/>
      <sheetName val="FBT_Full8"/>
      <sheetName val="Chart_of_Accounts8"/>
      <sheetName val="consolidated_Budget8"/>
      <sheetName val="5Y_v2_145"/>
      <sheetName val="Price_Testing_-_Used_-_17"/>
      <sheetName val="Push_Diag_on_Premise5"/>
      <sheetName val="CChannel_Attract_Input5"/>
      <sheetName val="Cash_Flow_75"/>
      <sheetName val="Opening_Balance5"/>
      <sheetName val="AP_RA99-0610"/>
      <sheetName val="HV_RA99-0610"/>
      <sheetName val="IN_RA99-0610"/>
      <sheetName val="CH_RA99-0610"/>
      <sheetName val="TH_RA99-0610"/>
      <sheetName val="HZ_RA99-0610"/>
      <sheetName val="Op_Plan_Sales10"/>
      <sheetName val="Other_notes9"/>
      <sheetName val="M_B-QtyRecn10"/>
      <sheetName val="IT_Only9"/>
      <sheetName val="Sales_&amp;_Marketing_Dashboard9"/>
      <sheetName val="Total_MG_9"/>
      <sheetName val="Trial_Balance9"/>
      <sheetName val="Input_schedule9"/>
      <sheetName val="TPM_Tot9"/>
      <sheetName val="Sept_'999"/>
      <sheetName val="FBT_Full9"/>
      <sheetName val="Chart_of_Accounts9"/>
      <sheetName val="consolidated_Budget9"/>
      <sheetName val="5Y_v2_146"/>
      <sheetName val="Price_Testing_-_Used_-_18"/>
      <sheetName val="Push_Diag_on_Premise6"/>
      <sheetName val="CChannel_Attract_Input6"/>
      <sheetName val="Cash_Flow_76"/>
      <sheetName val="Opening_Balance6"/>
      <sheetName val="Rev"/>
      <sheetName val="Input Screen"/>
      <sheetName val="TB Round"/>
      <sheetName val="Cash Flow-WSL Base Fcst"/>
      <sheetName val="Sales &amp;Sale Cost"/>
      <sheetName val=".2 Reserve"/>
      <sheetName val="Maint Def Rev 03-04"/>
      <sheetName val="New-Growth Def Rev 03-04"/>
      <sheetName val="Perpetual Def Rev 03-04"/>
      <sheetName val="Renewal Def Rev 03-04"/>
      <sheetName val="ENCL6"/>
      <sheetName val="2003"/>
      <sheetName val="Grouping TB"/>
      <sheetName val="working"/>
      <sheetName val="AP_RA99-0611"/>
      <sheetName val="HV_RA99-0611"/>
      <sheetName val="IN_RA99-0611"/>
      <sheetName val="CH_RA99-0611"/>
      <sheetName val="TH_RA99-0611"/>
      <sheetName val="HZ_RA99-0611"/>
      <sheetName val="Op_Plan_Sales11"/>
      <sheetName val="Other_notes10"/>
      <sheetName val="M_B-QtyRecn11"/>
      <sheetName val="IT_Only10"/>
      <sheetName val="Sales_&amp;_Marketing_Dashboard10"/>
      <sheetName val="Total_MG_10"/>
      <sheetName val="Trial_Balance10"/>
      <sheetName val="Input_schedule10"/>
      <sheetName val="TPM_Tot10"/>
      <sheetName val="Sept_'9910"/>
      <sheetName val="FBT_Full10"/>
      <sheetName val="Chart_of_Accounts10"/>
      <sheetName val="consolidated_Budget10"/>
      <sheetName val="5Y_v2_147"/>
      <sheetName val="Price_Testing_-_Used_-_19"/>
      <sheetName val="Push_Diag_on_Premise7"/>
      <sheetName val="CChannel_Attract_Input7"/>
      <sheetName val="Cash_Flow_77"/>
      <sheetName val="Opening_Balance7"/>
      <sheetName val="Reference"/>
      <sheetName val="Balancesheet"/>
      <sheetName val="61750000 Consultancy Charges"/>
      <sheetName val="YTD"/>
      <sheetName val="Labour &amp; Plant"/>
      <sheetName val="Annexure B"/>
      <sheetName val="Res_Area"/>
      <sheetName val="Intro"/>
      <sheetName val="Staff"/>
      <sheetName val="IT_FBT_DDTP"/>
      <sheetName val="NLD - Assum"/>
      <sheetName val="Challan"/>
      <sheetName val="AP_RA99-0612"/>
      <sheetName val="HV_RA99-0612"/>
      <sheetName val="IN_RA99-0612"/>
      <sheetName val="CH_RA99-0612"/>
      <sheetName val="TH_RA99-0612"/>
      <sheetName val="HZ_RA99-0612"/>
      <sheetName val="Op_Plan_Sales12"/>
      <sheetName val="Other_notes11"/>
      <sheetName val="M_B-QtyRecn12"/>
      <sheetName val="IT_Only11"/>
      <sheetName val="Sales_&amp;_Marketing_Dashboard11"/>
      <sheetName val="Total_MG_11"/>
      <sheetName val="Trial_Balance11"/>
      <sheetName val="Input_schedule11"/>
      <sheetName val="TPM_Tot11"/>
      <sheetName val="Sept_'9911"/>
      <sheetName val="FBT_Full11"/>
      <sheetName val="Chart_of_Accounts11"/>
      <sheetName val="consolidated_Budget11"/>
      <sheetName val="5Y_v2_148"/>
      <sheetName val="Price_Testing_-_Used_-_110"/>
      <sheetName val="Push_Diag_on_Premise8"/>
      <sheetName val="CChannel_Attract_Input8"/>
      <sheetName val="Cash_Flow_78"/>
      <sheetName val="Opening_Balance8"/>
      <sheetName val="12.04.09"/>
      <sheetName val="MORE-MAR'2002"/>
      <sheetName val="SCHE-MARCH'2002"/>
      <sheetName val="Inputs"/>
      <sheetName val="mdd &amp; co Fdr jan.02 "/>
      <sheetName val="MPCP9899"/>
      <sheetName val="B0_111350"/>
      <sheetName val="A"/>
      <sheetName val="Listings 96-02"/>
      <sheetName val="SAP - Rightpak"/>
      <sheetName val="Excess Calc"/>
      <sheetName val="SCH-A"/>
      <sheetName val="Fx Rates"/>
      <sheetName val="AR JAN'02"/>
      <sheetName val="98ordbkg"/>
      <sheetName val="Power Cost sheet"/>
      <sheetName val="Steam Cost Sheet"/>
      <sheetName val="P&amp;L February"/>
      <sheetName val="P&amp;L Feb 2001 cumulative"/>
      <sheetName val="COLUMN"/>
      <sheetName val="PARTY DETAILS"/>
      <sheetName val="Power"/>
      <sheetName val="mar rep rev"/>
      <sheetName val="CF SALE.W.OFF 01-02"/>
      <sheetName val="stock data"/>
      <sheetName val="Turnover"/>
      <sheetName val="Sheet2"/>
      <sheetName val="sept-plan"/>
      <sheetName val="PREFACE"/>
      <sheetName val="12-19-00"/>
      <sheetName val="Rec"/>
      <sheetName val="Links"/>
      <sheetName val="Occ, Other Rev, Exp, Dispo"/>
      <sheetName val="P1 RM"/>
      <sheetName val="5-F-PAR"/>
      <sheetName val="LEGAL GUJ"/>
      <sheetName val="May_09"/>
      <sheetName val="3_Yr_Revenue_Analysis(old)"/>
      <sheetName val="Amortization_Table"/>
      <sheetName val="riola_don't_know_9-26-99"/>
      <sheetName val="New_form_3CD_A"/>
      <sheetName val="All_Data"/>
      <sheetName val="1_-_A_(Narrative)"/>
      <sheetName val="P_L"/>
      <sheetName val="MR08'_Cost_Manag"/>
      <sheetName val="Wavg_RM"/>
      <sheetName val="FINAL_SHEET"/>
      <sheetName val="12_04_09"/>
      <sheetName val="Travel_Expense_Report(1week)"/>
      <sheetName val="NLD_-_Assum"/>
      <sheetName val="PARTY_DETAILS"/>
      <sheetName val="mar_rep_rev"/>
      <sheetName val="CF_SALE_W_OFF_01-02"/>
      <sheetName val="stock_data"/>
      <sheetName val="P&amp;L_February"/>
      <sheetName val="P&amp;L_Feb_2001_cumulative"/>
      <sheetName val="Balance Sheet "/>
      <sheetName val="P&amp;L Summary Page"/>
      <sheetName val="Payslip"/>
      <sheetName val="Axis Bank Cheques"/>
      <sheetName val="Master Sheet"/>
      <sheetName val="RESULTS-BLR-BB"/>
      <sheetName val="TARGET"/>
      <sheetName val="Debtors Ageing"/>
      <sheetName val="PLAN-BLR-BB"/>
      <sheetName val="RESULTS-REALTY"/>
      <sheetName val="SME"/>
      <sheetName val="Region"/>
      <sheetName val="WO-List"/>
      <sheetName val="K-Summary"/>
      <sheetName val="RF2004_vs_OB2004"/>
      <sheetName val="BST"/>
      <sheetName val="Master"/>
      <sheetName val="BS face"/>
      <sheetName val="BS Notes"/>
      <sheetName val="PL face"/>
      <sheetName val="PL Notes"/>
      <sheetName val="CFS"/>
      <sheetName val="Grouping"/>
      <sheetName val="Fixed Assets"/>
      <sheetName val="Deferred tax"/>
      <sheetName val="MAT"/>
      <sheetName val="gp"/>
      <sheetName val="GP Ratio"/>
      <sheetName val="экспорт"/>
      <sheetName val="Transaction Inputs"/>
      <sheetName val="ValuationInput"/>
      <sheetName val="DebtInput"/>
      <sheetName val="Storage"/>
      <sheetName val="Valuation"/>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refreshError="1"/>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Bs"/>
      <sheetName val="p&amp;l"/>
      <sheetName val="SCH-BS"/>
      <sheetName val="SCH-PL"/>
      <sheetName val="sch2"/>
      <sheetName val="sch5"/>
      <sheetName val="sch6"/>
      <sheetName val="Grp-BS"/>
      <sheetName val="Grp-PL"/>
      <sheetName val="Trial"/>
      <sheetName val="Cash Flow"/>
      <sheetName val="Working FY 05"/>
      <sheetName val="sch19"/>
      <sheetName val="segmental"/>
      <sheetName val="Cashflow (2)"/>
      <sheetName val="Cash-WKI"/>
      <sheetName val="Cash_Flow1"/>
      <sheetName val="Working_FY_051"/>
      <sheetName val="Cashflow_(2)1"/>
      <sheetName val="Cash_Flow"/>
      <sheetName val="Working_FY_05"/>
      <sheetName val="Cashflow_(2)"/>
      <sheetName val="Cash_Flow2"/>
      <sheetName val="Working_FY_052"/>
      <sheetName val="Cashflow_(2)2"/>
    </sheetNames>
    <sheetDataSet>
      <sheetData sheetId="0" refreshError="1">
        <row r="2">
          <cell r="N2">
            <v>2</v>
          </cell>
        </row>
        <row r="6">
          <cell r="M6">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tock Records"/>
      <sheetName val="EEFc-new"/>
      <sheetName val="3CD"/>
      <sheetName val="Sheet2"/>
      <sheetName val="TP Margin"/>
      <sheetName val="80IB New"/>
      <sheetName val="EEFc-Pharma"/>
      <sheetName val="BS - 31.03.06"/>
      <sheetName val="L&amp;A"/>
      <sheetName val="Creditors"/>
      <sheetName val="nutra- TB"/>
      <sheetName val="pharma - TB"/>
      <sheetName val="80IB"/>
      <sheetName val="COMP."/>
      <sheetName val="Def. Tax"/>
      <sheetName val="Pending "/>
      <sheetName val="stk sum"/>
      <sheetName val="stock stat Reco"/>
      <sheetName val="valuation  of cl.stk"/>
      <sheetName val="Ratios - tax"/>
      <sheetName val="other asset"/>
      <sheetName val="building"/>
      <sheetName val="amol pharm dep "/>
      <sheetName val="amol nut dep"/>
      <sheetName val="dep-ssi"/>
      <sheetName val="Dep Tax"/>
      <sheetName val="ANNEX I"/>
      <sheetName val="ANEX-II"/>
      <sheetName val="Int"/>
      <sheetName val="ANN-A"/>
      <sheetName val="ANN-B"/>
      <sheetName val="ANN-C"/>
      <sheetName val="ANN-D"/>
      <sheetName val="ANN-E"/>
      <sheetName val=" ANN-G"/>
      <sheetName val="3CEB"/>
      <sheetName val="annexure for  3CEB"/>
      <sheetName val="Export MT"/>
      <sheetName val="ABL IMPORT EXPORT"/>
      <sheetName val="NUTRA TO US "/>
      <sheetName val="PHARMA TO US"/>
      <sheetName val="ratio"/>
      <sheetName val="TP New"/>
      <sheetName val="TP Old"/>
      <sheetName val="Stock_Records1"/>
      <sheetName val="TP_Margin1"/>
      <sheetName val="80IB_New1"/>
      <sheetName val="BS_-_31_03_061"/>
      <sheetName val="nutra-_TB1"/>
      <sheetName val="pharma_-_TB1"/>
      <sheetName val="COMP_1"/>
      <sheetName val="Def__Tax1"/>
      <sheetName val="Pending_1"/>
      <sheetName val="stk_sum1"/>
      <sheetName val="stock_stat_Reco1"/>
      <sheetName val="valuation__of_cl_stk1"/>
      <sheetName val="Ratios_-_tax1"/>
      <sheetName val="other_asset1"/>
      <sheetName val="amol_pharm_dep_1"/>
      <sheetName val="amol_nut_dep1"/>
      <sheetName val="Dep_Tax1"/>
      <sheetName val="ANNEX_I1"/>
      <sheetName val="_ANN-G1"/>
      <sheetName val="annexure_for__3CEB1"/>
      <sheetName val="Export_MT1"/>
      <sheetName val="ABL_IMPORT_EXPORT1"/>
      <sheetName val="NUTRA_TO_US_1"/>
      <sheetName val="PHARMA_TO_US1"/>
      <sheetName val="TP_New1"/>
      <sheetName val="TP_Old1"/>
      <sheetName val="Stock_Records"/>
      <sheetName val="TP_Margin"/>
      <sheetName val="80IB_New"/>
      <sheetName val="BS_-_31_03_06"/>
      <sheetName val="nutra-_TB"/>
      <sheetName val="pharma_-_TB"/>
      <sheetName val="COMP_"/>
      <sheetName val="Def__Tax"/>
      <sheetName val="Pending_"/>
      <sheetName val="stk_sum"/>
      <sheetName val="stock_stat_Reco"/>
      <sheetName val="valuation__of_cl_stk"/>
      <sheetName val="Ratios_-_tax"/>
      <sheetName val="other_asset"/>
      <sheetName val="amol_pharm_dep_"/>
      <sheetName val="amol_nut_dep"/>
      <sheetName val="Dep_Tax"/>
      <sheetName val="ANNEX_I"/>
      <sheetName val="_ANN-G"/>
      <sheetName val="annexure_for__3CEB"/>
      <sheetName val="Export_MT"/>
      <sheetName val="ABL_IMPORT_EXPORT"/>
      <sheetName val="NUTRA_TO_US_"/>
      <sheetName val="PHARMA_TO_US"/>
      <sheetName val="TP_New"/>
      <sheetName val="TP_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ept."/>
      <sheetName val="TB"/>
      <sheetName val="BS 2004"/>
      <sheetName val="CLOSING ENTRIES"/>
      <sheetName val="AGEING"/>
      <sheetName val="RATIOS"/>
      <sheetName val="Ratio Analysis"/>
      <sheetName val="COMP."/>
      <sheetName val="Co DEP"/>
      <sheetName val="I.T. DEPN"/>
      <sheetName val="Stock-august"/>
      <sheetName val="Stock"/>
      <sheetName val="CLOSING ENTRIES (2)"/>
      <sheetName val="Def. tax "/>
      <sheetName val="Deferred Tax 1.4.2002"/>
      <sheetName val="Sheet1"/>
      <sheetName val="Stock Records"/>
      <sheetName val="EEFc-new"/>
      <sheetName val="3CD"/>
      <sheetName val="Sheet2"/>
      <sheetName val="TP New"/>
      <sheetName val="TP Old"/>
      <sheetName val="80IB New"/>
      <sheetName val="EEFc-Pharma"/>
      <sheetName val="BS - 31.03.06"/>
      <sheetName val="L&amp;A"/>
      <sheetName val="Creditors"/>
      <sheetName val="nutra- TB"/>
      <sheetName val="pharma - TB"/>
      <sheetName val="80IB"/>
      <sheetName val="Def. Tax"/>
      <sheetName val="Pending "/>
      <sheetName val="stk sum"/>
      <sheetName val="stock stat Reco"/>
      <sheetName val="valuation  of cl.stk"/>
      <sheetName val="Ratios - tax"/>
      <sheetName val="other asset"/>
      <sheetName val="building"/>
      <sheetName val="amol pharm dep "/>
      <sheetName val="amol nut dep"/>
      <sheetName val="dep-ssi"/>
      <sheetName val="Dep Tax"/>
      <sheetName val="ANNEX I"/>
      <sheetName val="ANEX-II"/>
      <sheetName val="Int"/>
      <sheetName val="ANN-A"/>
      <sheetName val="ANN-B"/>
      <sheetName val="ANN-C"/>
      <sheetName val="ANN-D"/>
      <sheetName val="ANN-E"/>
      <sheetName val=" ANN-G"/>
      <sheetName val="3CEB"/>
      <sheetName val="annexure for  3CEB"/>
      <sheetName val="Export MT"/>
      <sheetName val="ABL IMPORT EXPORT"/>
      <sheetName val="NUTRA TO US "/>
      <sheetName val="PHARMA TO US"/>
      <sheetName val="ratio"/>
      <sheetName val="CAR LOAN"/>
      <sheetName val="TDS"/>
      <sheetName val="FBT"/>
      <sheetName val="Annexure II (FBT)"/>
      <sheetName val="COI"/>
      <sheetName val="BS "/>
      <sheetName val="29B"/>
      <sheetName val="SUM"/>
      <sheetName val="TB RR"/>
      <sheetName val="TB HR"/>
      <sheetName val="DEP.CO."/>
      <sheetName val="Dep"/>
      <sheetName val="IT DEP"/>
      <sheetName val="DR"/>
      <sheetName val="DT04"/>
      <sheetName val="DT06"/>
      <sheetName val="ANNEX"/>
      <sheetName val="SALES TAX(VAT)"/>
      <sheetName val="Interest"/>
      <sheetName val="Annex -F"/>
      <sheetName val="Annex -G"/>
      <sheetName val="ANN -H"/>
      <sheetName val="ANN-J"/>
      <sheetName val="Directors"/>
      <sheetName val="Shares"/>
      <sheetName val="ANN-F"/>
      <sheetName val="ANN-I"/>
      <sheetName val="WORKING OF TDS"/>
      <sheetName val="AS 31.3.2003"/>
      <sheetName val="FGR"/>
      <sheetName val="RMR"/>
      <sheetName val="WIP R"/>
      <sheetName val="FG"/>
      <sheetName val="Summary"/>
      <sheetName val="RMV"/>
      <sheetName val="WIPV"/>
      <sheetName val="D"/>
      <sheetName val="JWV"/>
      <sheetName val="JWR"/>
      <sheetName val="S-k"/>
      <sheetName val="bal sheet "/>
      <sheetName val="Prefernece Redm"/>
      <sheetName val="Chanplast"/>
      <sheetName val="Excise"/>
      <sheetName val="CO-DEP"/>
      <sheetName val="pref"/>
      <sheetName val="Corrections"/>
      <sheetName val="Pending"/>
      <sheetName val="analysis "/>
      <sheetName val="TDS Working"/>
      <sheetName val="Excise last year"/>
      <sheetName val="walter and chanvim"/>
      <sheetName val="workin"/>
      <sheetName val="rough"/>
      <sheetName val="(EVL) compens."/>
      <sheetName val="work"/>
      <sheetName val="sch E ( a)"/>
      <sheetName val="working"/>
      <sheetName val="Sheet5"/>
      <sheetName val="TB final (4)"/>
      <sheetName val="COVER PAGE"/>
      <sheetName val="REQ"/>
      <sheetName val="COMPUT"/>
      <sheetName val="B S"/>
      <sheetName val="FIX.ASS"/>
      <sheetName val="QTY "/>
      <sheetName val="AHO DRS"/>
      <sheetName val="3 CA ANNEX."/>
      <sheetName val="3CD ANNEX"/>
      <sheetName val="GROUP"/>
      <sheetName val="page 1 to 5 &amp; 7"/>
      <sheetName val="I.T DEP"/>
      <sheetName val="AS-22"/>
      <sheetName val="Master"/>
      <sheetName val="page 6"/>
      <sheetName val="DRS-180 D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 22 1.4.2002"/>
      <sheetName val="AS 31.3.2003"/>
      <sheetName val="Accounts"/>
      <sheetName val="Suppliers"/>
      <sheetName val="COMP."/>
      <sheetName val="ANNEX H"/>
      <sheetName val="BS&amp;PLA"/>
      <sheetName val="145 A"/>
      <sheetName val="Co - Dep"/>
      <sheetName val="Debit  note"/>
      <sheetName val="Modvat"/>
      <sheetName val="DEP IT"/>
      <sheetName val="costsheet"/>
      <sheetName val="POY Wastage Oil"/>
      <sheetName val="Stock Detail"/>
      <sheetName val="Trading"/>
      <sheetName val="Stock Details"/>
      <sheetName val="Sheet1"/>
      <sheetName val="ELECTRICITY"/>
      <sheetName val="Excise duty"/>
      <sheetName val="ANNEX C"/>
      <sheetName val="General exp."/>
      <sheetName val="fixed assets(0ld)"/>
      <sheetName val="RELIANCE "/>
      <sheetName val="ANNEX I"/>
      <sheetName val="pharma - TB"/>
      <sheetName val="rough"/>
      <sheetName val="AS_22_1_4_20021"/>
      <sheetName val="AS_31_3_20031"/>
      <sheetName val="COMP_1"/>
      <sheetName val="ANNEX_H1"/>
      <sheetName val="145_A1"/>
      <sheetName val="Co_-_Dep1"/>
      <sheetName val="Debit__note1"/>
      <sheetName val="DEP_IT1"/>
      <sheetName val="POY_Wastage_Oil1"/>
      <sheetName val="Stock_Detail1"/>
      <sheetName val="Stock_Details1"/>
      <sheetName val="Excise_duty1"/>
      <sheetName val="ANNEX_C1"/>
      <sheetName val="General_exp_1"/>
      <sheetName val="fixed_assets(0ld)1"/>
      <sheetName val="RELIANCE_1"/>
      <sheetName val="ANNEX_I1"/>
      <sheetName val="pharma_-_TB1"/>
      <sheetName val="AS_22_1_4_2002"/>
      <sheetName val="AS_31_3_2003"/>
      <sheetName val="COMP_"/>
      <sheetName val="ANNEX_H"/>
      <sheetName val="145_A"/>
      <sheetName val="Co_-_Dep"/>
      <sheetName val="Debit__note"/>
      <sheetName val="DEP_IT"/>
      <sheetName val="POY_Wastage_Oil"/>
      <sheetName val="Stock_Detail"/>
      <sheetName val="Stock_Details"/>
      <sheetName val="Excise_duty"/>
      <sheetName val="ANNEX_C"/>
      <sheetName val="General_exp_"/>
      <sheetName val="fixed_assets(0ld)"/>
      <sheetName val="RELIANCE_"/>
      <sheetName val="ANNEX_I"/>
      <sheetName val="pharma_-_TB"/>
      <sheetName val="AS_22_1_4_20022"/>
      <sheetName val="AS_31_3_20032"/>
      <sheetName val="COMP_2"/>
      <sheetName val="ANNEX_H2"/>
      <sheetName val="145_A2"/>
      <sheetName val="Co_-_Dep2"/>
      <sheetName val="Debit__note2"/>
      <sheetName val="DEP_IT2"/>
      <sheetName val="POY_Wastage_Oil2"/>
      <sheetName val="Stock_Detail2"/>
      <sheetName val="Stock_Details2"/>
      <sheetName val="Excise_duty2"/>
      <sheetName val="ANNEX_C2"/>
      <sheetName val="General_exp_2"/>
      <sheetName val="fixed_assets(0ld)2"/>
      <sheetName val="RELIANCE_2"/>
      <sheetName val="ANNEX_I2"/>
      <sheetName val="pharma_-_TB2"/>
    </sheetNames>
    <sheetDataSet>
      <sheetData sheetId="0"/>
      <sheetData sheetId="1"/>
      <sheetData sheetId="2"/>
      <sheetData sheetId="3"/>
      <sheetData sheetId="4"/>
      <sheetData sheetId="5"/>
      <sheetData sheetId="6" refreshError="1">
        <row r="578">
          <cell r="B578" t="str">
            <v>RAMANUJ SYNTHETICS PVT. LTD.</v>
          </cell>
        </row>
        <row r="580">
          <cell r="B580" t="str">
            <v xml:space="preserve">GROUPING OF BALANCE SHEET &amp; PROFIT &amp; LOSS ACCOUNT FOR THE  </v>
          </cell>
        </row>
        <row r="581">
          <cell r="B581" t="str">
            <v>YEAR ENDED 31ST MARCH, 2003</v>
          </cell>
        </row>
        <row r="583">
          <cell r="B583" t="str">
            <v>PARTICULARS</v>
          </cell>
          <cell r="D583" t="str">
            <v>31st March, 2003</v>
          </cell>
          <cell r="E583" t="str">
            <v>31st March, 2002</v>
          </cell>
          <cell r="F583" t="str">
            <v>31st March, 2001</v>
          </cell>
        </row>
        <row r="584">
          <cell r="D584" t="str">
            <v>(Rupees)</v>
          </cell>
          <cell r="E584" t="str">
            <v>(Rupees)</v>
          </cell>
          <cell r="F584" t="str">
            <v>(Rupees)</v>
          </cell>
        </row>
        <row r="586">
          <cell r="B586" t="str">
            <v>CREDITORS FOR EXPENSES</v>
          </cell>
        </row>
        <row r="587">
          <cell r="B587" t="str">
            <v>S.V.Enterprises</v>
          </cell>
          <cell r="D587">
            <v>1789</v>
          </cell>
        </row>
        <row r="588">
          <cell r="B588" t="str">
            <v>Vishwakarma  Electricals</v>
          </cell>
          <cell r="D588">
            <v>1000</v>
          </cell>
          <cell r="E588">
            <v>1050</v>
          </cell>
        </row>
        <row r="589">
          <cell r="B589" t="str">
            <v>Mahesh  Engineering   Works</v>
          </cell>
          <cell r="D589">
            <v>571</v>
          </cell>
          <cell r="E589">
            <v>3083</v>
          </cell>
        </row>
        <row r="590">
          <cell r="B590" t="str">
            <v>Daga Press</v>
          </cell>
          <cell r="D590">
            <v>4416</v>
          </cell>
          <cell r="E590">
            <v>10994</v>
          </cell>
          <cell r="H590" t="str">
            <v>new</v>
          </cell>
        </row>
        <row r="591">
          <cell r="B591" t="str">
            <v>CRP  Control Panel Pvt Ltd</v>
          </cell>
          <cell r="D591">
            <v>80473</v>
          </cell>
        </row>
        <row r="592">
          <cell r="B592" t="str">
            <v>Siemens Ltd</v>
          </cell>
          <cell r="D592">
            <v>42325</v>
          </cell>
          <cell r="E592">
            <v>15715</v>
          </cell>
        </row>
        <row r="593">
          <cell r="B593" t="str">
            <v>Shiv  Transport  Services</v>
          </cell>
          <cell r="E593">
            <v>160800</v>
          </cell>
        </row>
        <row r="594">
          <cell r="B594" t="str">
            <v>Sai Electric Service</v>
          </cell>
          <cell r="E594">
            <v>12200</v>
          </cell>
        </row>
        <row r="595">
          <cell r="B595" t="str">
            <v>Star  Electic  Works</v>
          </cell>
          <cell r="D595">
            <v>3250</v>
          </cell>
        </row>
        <row r="596">
          <cell r="B596" t="str">
            <v>Industrial Spares Co.</v>
          </cell>
          <cell r="D596">
            <v>7140</v>
          </cell>
          <cell r="E596">
            <v>15699</v>
          </cell>
          <cell r="H596" t="str">
            <v>new</v>
          </cell>
        </row>
        <row r="597">
          <cell r="B597" t="str">
            <v>Satya-Shiv Tex-Mech Pvt Ltd</v>
          </cell>
          <cell r="D597">
            <v>3385</v>
          </cell>
        </row>
        <row r="598">
          <cell r="B598" t="str">
            <v>R .K. Corporation</v>
          </cell>
          <cell r="D598">
            <v>32189</v>
          </cell>
          <cell r="E598">
            <v>7729.8</v>
          </cell>
        </row>
        <row r="599">
          <cell r="B599" t="str">
            <v>Rachna Corporation</v>
          </cell>
          <cell r="E599">
            <v>10000</v>
          </cell>
        </row>
        <row r="600">
          <cell r="B600" t="str">
            <v>Panchal Brothers Engg.Works</v>
          </cell>
          <cell r="D600">
            <v>4300</v>
          </cell>
          <cell r="E600">
            <v>8299.84</v>
          </cell>
        </row>
        <row r="601">
          <cell r="B601" t="str">
            <v>Shree  Siddivinayak  Engg</v>
          </cell>
          <cell r="D601">
            <v>6650</v>
          </cell>
          <cell r="E601">
            <v>0</v>
          </cell>
        </row>
        <row r="602">
          <cell r="B602" t="str">
            <v>Shri Jalaram Electronics</v>
          </cell>
          <cell r="D602">
            <v>0</v>
          </cell>
          <cell r="E602">
            <v>4724.8</v>
          </cell>
        </row>
        <row r="603">
          <cell r="B603" t="str">
            <v>Maharashtra Transport Corporation</v>
          </cell>
          <cell r="D603">
            <v>5309</v>
          </cell>
          <cell r="E603">
            <v>5309</v>
          </cell>
        </row>
        <row r="604">
          <cell r="B604" t="str">
            <v>Century  Enterprises</v>
          </cell>
          <cell r="D604">
            <v>1985</v>
          </cell>
          <cell r="E604">
            <v>0</v>
          </cell>
        </row>
        <row r="605">
          <cell r="B605" t="str">
            <v>Dhru  Cars Pvt Ltd</v>
          </cell>
          <cell r="E605">
            <v>0</v>
          </cell>
        </row>
        <row r="606">
          <cell r="B606" t="str">
            <v>R.R.Trade  Link</v>
          </cell>
          <cell r="D606">
            <v>5962</v>
          </cell>
          <cell r="E606">
            <v>0</v>
          </cell>
        </row>
        <row r="607">
          <cell r="B607" t="str">
            <v>Raksha  Enterprise</v>
          </cell>
          <cell r="D607">
            <v>3550</v>
          </cell>
          <cell r="E607">
            <v>0</v>
          </cell>
        </row>
        <row r="608">
          <cell r="B608" t="str">
            <v>Nandlal  Vishwakarma</v>
          </cell>
          <cell r="D608">
            <v>3150</v>
          </cell>
          <cell r="E608">
            <v>0</v>
          </cell>
        </row>
        <row r="609">
          <cell r="B609" t="str">
            <v>Sunera  Industies</v>
          </cell>
          <cell r="D609">
            <v>1025</v>
          </cell>
          <cell r="E609">
            <v>0</v>
          </cell>
        </row>
        <row r="610">
          <cell r="B610" t="str">
            <v>Ashok Electric  Works</v>
          </cell>
          <cell r="D610">
            <v>3015</v>
          </cell>
          <cell r="E610">
            <v>0</v>
          </cell>
        </row>
        <row r="611">
          <cell r="B611" t="str">
            <v>Shrinath  Suppliers</v>
          </cell>
          <cell r="D611">
            <v>1800</v>
          </cell>
          <cell r="E611">
            <v>0</v>
          </cell>
        </row>
        <row r="612">
          <cell r="B612" t="str">
            <v>The  Pnuematic  Spares</v>
          </cell>
          <cell r="D612">
            <v>1040</v>
          </cell>
          <cell r="E612">
            <v>0</v>
          </cell>
        </row>
        <row r="613">
          <cell r="B613" t="str">
            <v>Dol  Electric  Company  Pvt  Ltd</v>
          </cell>
          <cell r="D613">
            <v>34895</v>
          </cell>
          <cell r="E613">
            <v>0</v>
          </cell>
        </row>
        <row r="614">
          <cell r="B614" t="str">
            <v>Shri  Chamunda  Engg  Works</v>
          </cell>
          <cell r="D614">
            <v>800</v>
          </cell>
          <cell r="E614">
            <v>0</v>
          </cell>
        </row>
        <row r="615">
          <cell r="B615" t="str">
            <v>Jyoti  Traders</v>
          </cell>
          <cell r="D615">
            <v>1500</v>
          </cell>
          <cell r="E615">
            <v>0</v>
          </cell>
        </row>
        <row r="616">
          <cell r="B616" t="str">
            <v>Gujrat Industrial Products</v>
          </cell>
          <cell r="D616">
            <v>0</v>
          </cell>
          <cell r="E616">
            <v>5447</v>
          </cell>
        </row>
        <row r="617">
          <cell r="B617" t="str">
            <v>Babu   George</v>
          </cell>
          <cell r="D617">
            <v>41000</v>
          </cell>
          <cell r="E617">
            <v>98782</v>
          </cell>
        </row>
        <row r="622">
          <cell r="B622" t="str">
            <v>Ajmera &amp; Associates</v>
          </cell>
          <cell r="E622">
            <v>0</v>
          </cell>
          <cell r="F622">
            <v>2829</v>
          </cell>
        </row>
        <row r="623">
          <cell r="B623" t="str">
            <v>Texmach Marketing</v>
          </cell>
          <cell r="E623">
            <v>0</v>
          </cell>
          <cell r="F623">
            <v>2368</v>
          </cell>
        </row>
        <row r="624">
          <cell r="B624" t="str">
            <v>CRP Control Panels Pvt. Ltd.</v>
          </cell>
          <cell r="D624">
            <v>0</v>
          </cell>
        </row>
        <row r="625">
          <cell r="B625" t="str">
            <v>Panchal Brothers Engineering</v>
          </cell>
          <cell r="D625">
            <v>0</v>
          </cell>
        </row>
        <row r="626">
          <cell r="B626" t="str">
            <v>Ashok Electric works</v>
          </cell>
          <cell r="D626">
            <v>0</v>
          </cell>
        </row>
        <row r="627">
          <cell r="B627" t="str">
            <v>Om Clearing Agency</v>
          </cell>
          <cell r="D627">
            <v>0</v>
          </cell>
        </row>
        <row r="628">
          <cell r="B628" t="str">
            <v>Om Elecfronics</v>
          </cell>
          <cell r="D628">
            <v>0</v>
          </cell>
        </row>
        <row r="629">
          <cell r="B629" t="str">
            <v>Omkar Engineers</v>
          </cell>
          <cell r="D629">
            <v>0</v>
          </cell>
        </row>
        <row r="630">
          <cell r="B630" t="str">
            <v>Century Enterprises</v>
          </cell>
          <cell r="D630">
            <v>0</v>
          </cell>
        </row>
        <row r="631">
          <cell r="B631" t="str">
            <v>Cool Line</v>
          </cell>
          <cell r="D631">
            <v>0</v>
          </cell>
          <cell r="E631">
            <v>0</v>
          </cell>
          <cell r="F631">
            <v>9000</v>
          </cell>
        </row>
        <row r="632">
          <cell r="B632" t="str">
            <v>Omkar Industries</v>
          </cell>
          <cell r="D632">
            <v>0</v>
          </cell>
        </row>
        <row r="633">
          <cell r="B633" t="str">
            <v>Satya Shiv Tex Mach  Pvt ltd</v>
          </cell>
          <cell r="D633">
            <v>0</v>
          </cell>
          <cell r="E633">
            <v>0</v>
          </cell>
          <cell r="F633">
            <v>2130</v>
          </cell>
        </row>
        <row r="634">
          <cell r="B634" t="str">
            <v>Dhru Car Pvt. Ltd,</v>
          </cell>
          <cell r="D634">
            <v>0</v>
          </cell>
        </row>
        <row r="635">
          <cell r="B635" t="str">
            <v>R.R. Trade Link</v>
          </cell>
          <cell r="D635">
            <v>0</v>
          </cell>
        </row>
        <row r="636">
          <cell r="B636" t="str">
            <v>Jayantilal Bhaganji Khaliya</v>
          </cell>
          <cell r="D636">
            <v>0</v>
          </cell>
        </row>
        <row r="637">
          <cell r="B637" t="str">
            <v>Rasksha Enterprises</v>
          </cell>
          <cell r="D637">
            <v>0</v>
          </cell>
        </row>
        <row r="638">
          <cell r="B638" t="str">
            <v>Nandlal Vishwakarma</v>
          </cell>
          <cell r="D638">
            <v>0</v>
          </cell>
        </row>
        <row r="639">
          <cell r="B639" t="str">
            <v>Utility Services</v>
          </cell>
          <cell r="D639">
            <v>0</v>
          </cell>
        </row>
        <row r="640">
          <cell r="B640" t="str">
            <v>Siddhi Engineers</v>
          </cell>
          <cell r="D640">
            <v>0</v>
          </cell>
        </row>
        <row r="641">
          <cell r="B641" t="str">
            <v>Sunera  Industries</v>
          </cell>
          <cell r="D641">
            <v>0</v>
          </cell>
        </row>
        <row r="642">
          <cell r="B642" t="str">
            <v>Shree Suppliers</v>
          </cell>
          <cell r="D642">
            <v>0</v>
          </cell>
        </row>
        <row r="643">
          <cell r="B643" t="str">
            <v>Aafloat Textiles (India) Pvt. Ltd.</v>
          </cell>
          <cell r="D643">
            <v>0</v>
          </cell>
        </row>
        <row r="644">
          <cell r="B644" t="str">
            <v>Ahmed Raza Traders</v>
          </cell>
          <cell r="D644">
            <v>0</v>
          </cell>
        </row>
        <row r="645">
          <cell r="B645" t="str">
            <v>Kinal Tex</v>
          </cell>
          <cell r="D645">
            <v>0</v>
          </cell>
        </row>
        <row r="646">
          <cell r="B646" t="str">
            <v>Modern Petrofiles</v>
          </cell>
          <cell r="D646">
            <v>0</v>
          </cell>
        </row>
        <row r="647">
          <cell r="B647" t="str">
            <v>Shree Shyam Impex</v>
          </cell>
          <cell r="D647">
            <v>0</v>
          </cell>
        </row>
        <row r="648">
          <cell r="B648" t="str">
            <v>Babbu Packageing Enterprises</v>
          </cell>
          <cell r="D648">
            <v>0</v>
          </cell>
        </row>
        <row r="649">
          <cell r="B649" t="str">
            <v>The Pnuematic Spares</v>
          </cell>
          <cell r="D649">
            <v>0</v>
          </cell>
        </row>
        <row r="650">
          <cell r="B650" t="str">
            <v>Without Name</v>
          </cell>
          <cell r="D650">
            <v>0</v>
          </cell>
        </row>
        <row r="651">
          <cell r="B651" t="str">
            <v>Dol Electronic CO.</v>
          </cell>
          <cell r="D651">
            <v>0</v>
          </cell>
        </row>
        <row r="652">
          <cell r="B652" t="str">
            <v>Walter &amp; Associates</v>
          </cell>
        </row>
        <row r="653">
          <cell r="B653" t="str">
            <v>S.V. Enterprises</v>
          </cell>
          <cell r="D653">
            <v>0</v>
          </cell>
        </row>
        <row r="654">
          <cell r="B654" t="str">
            <v>HM Infotech Pvt Ltd</v>
          </cell>
          <cell r="E654">
            <v>0</v>
          </cell>
          <cell r="F654">
            <v>35000</v>
          </cell>
        </row>
        <row r="655">
          <cell r="B655" t="str">
            <v>J. D. Lubricants Pvt Ltd.</v>
          </cell>
          <cell r="E655">
            <v>0</v>
          </cell>
          <cell r="F655">
            <v>24975</v>
          </cell>
        </row>
        <row r="656">
          <cell r="B656" t="str">
            <v>Polycell Corporation</v>
          </cell>
          <cell r="E656">
            <v>0</v>
          </cell>
          <cell r="F656">
            <v>3148</v>
          </cell>
        </row>
        <row r="657">
          <cell r="B657" t="str">
            <v>Star Electric Works</v>
          </cell>
          <cell r="D657">
            <v>0</v>
          </cell>
          <cell r="E657">
            <v>0</v>
          </cell>
          <cell r="F657">
            <v>3070</v>
          </cell>
        </row>
        <row r="658">
          <cell r="B658" t="str">
            <v xml:space="preserve">Shree Sidhvinayak </v>
          </cell>
          <cell r="D658">
            <v>0</v>
          </cell>
        </row>
        <row r="659">
          <cell r="B659" t="str">
            <v>Walter &amp; Associates</v>
          </cell>
          <cell r="D659">
            <v>0</v>
          </cell>
        </row>
        <row r="660">
          <cell r="B660" t="str">
            <v>S.S Electricals</v>
          </cell>
          <cell r="E660">
            <v>0</v>
          </cell>
          <cell r="F660">
            <v>1100</v>
          </cell>
        </row>
        <row r="661">
          <cell r="B661" t="str">
            <v>Walter &amp; Associates</v>
          </cell>
          <cell r="D661">
            <v>3742</v>
          </cell>
          <cell r="E661">
            <v>2847</v>
          </cell>
        </row>
        <row r="662">
          <cell r="B662" t="str">
            <v>Outstanding Expenses</v>
          </cell>
          <cell r="D662">
            <v>246007</v>
          </cell>
          <cell r="E662">
            <v>1619707</v>
          </cell>
        </row>
        <row r="664">
          <cell r="B664" t="str">
            <v>TOTAL</v>
          </cell>
          <cell r="D664">
            <v>542268</v>
          </cell>
          <cell r="E664">
            <v>1982387.44</v>
          </cell>
          <cell r="F664">
            <v>83620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sch_51"/>
      <sheetName val="_BS-sch_1-41"/>
      <sheetName val="BS-sch_6_&amp;_71"/>
      <sheetName val="BS-sch_8_&amp;_91"/>
      <sheetName val="PL-sch_10,_11_&amp;_121"/>
      <sheetName val="PL-sch_13,_14_&amp;_151"/>
      <sheetName val="GP_Margin1"/>
      <sheetName val="TRIAL_BALANCE1"/>
      <sheetName val="Clause_12_(b)1"/>
      <sheetName val="sch_5"/>
      <sheetName val="_BS-sch_1-4"/>
      <sheetName val="BS-sch_6_&amp;_7"/>
      <sheetName val="BS-sch_8_&amp;_9"/>
      <sheetName val="PL-sch_10,_11_&amp;_12"/>
      <sheetName val="PL-sch_13,_14_&amp;_15"/>
      <sheetName val="GP_Margin"/>
      <sheetName val="TRIAL_BALANCE"/>
      <sheetName val="Clause_12_(b)"/>
      <sheetName val="sch_52"/>
      <sheetName val="_BS-sch_1-42"/>
      <sheetName val="BS-sch_6_&amp;_72"/>
      <sheetName val="BS-sch_8_&amp;_92"/>
      <sheetName val="PL-sch_10,_11_&amp;_122"/>
      <sheetName val="PL-sch_13,_14_&amp;_152"/>
      <sheetName val="GP_Margin2"/>
      <sheetName val="TRIAL_BALANCE2"/>
      <sheetName val="Clause_12_(b)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ding"/>
      <sheetName val="Directors Remuneration"/>
      <sheetName val="DT"/>
      <sheetName val="Final TB"/>
      <sheetName val="Br TB (2)"/>
      <sheetName val="COI"/>
      <sheetName val="Projected TB"/>
      <sheetName val="Branch TB"/>
      <sheetName val="Branch"/>
      <sheetName val="DR"/>
      <sheetName val="Ann A"/>
      <sheetName val="Ann.-B&amp;E"/>
      <sheetName val="Ann.-C"/>
      <sheetName val="Ann.-D"/>
      <sheetName val="Ann-F"/>
      <sheetName val="Ann.-G"/>
      <sheetName val="Ann.-H"/>
      <sheetName val="Ann.-I"/>
      <sheetName val="Statement"/>
      <sheetName val="Interest Accrued"/>
      <sheetName val="Sheet1"/>
      <sheetName val="Unsecured Loan"/>
      <sheetName val="TDS"/>
      <sheetName val="Dr Age"/>
      <sheetName val="Ann.-J"/>
      <sheetName val="Value"/>
      <sheetName val="Analysis"/>
      <sheetName val="3CD "/>
      <sheetName val="Pending m12"/>
      <sheetName val="Deposit &amp; exp electricity"/>
      <sheetName val="BS"/>
      <sheetName val="BS REV SHD"/>
      <sheetName val="Sheet2"/>
      <sheetName val="Dep"/>
    </sheetNames>
    <sheetDataSet>
      <sheetData sheetId="0"/>
      <sheetData sheetId="1"/>
      <sheetData sheetId="2"/>
      <sheetData sheetId="3"/>
      <sheetData sheetId="4"/>
      <sheetData sheetId="5">
        <row r="76">
          <cell r="C76" t="str">
            <v>Interest  u/s 234A, 234B  &amp;  234C</v>
          </cell>
        </row>
        <row r="77">
          <cell r="C77" t="str">
            <v>u/s  234 B</v>
          </cell>
          <cell r="J77">
            <v>41406.734427162191</v>
          </cell>
        </row>
        <row r="78">
          <cell r="C78" t="str">
            <v>April to Sept.</v>
          </cell>
          <cell r="F78" t="str">
            <v>months</v>
          </cell>
          <cell r="H78">
            <v>0</v>
          </cell>
        </row>
        <row r="80">
          <cell r="C80" t="str">
            <v>u/s  234 C</v>
          </cell>
          <cell r="I80" t="str">
            <v>Shortfall</v>
          </cell>
          <cell r="J80" t="str">
            <v>Interest</v>
          </cell>
        </row>
        <row r="81">
          <cell r="C81" t="str">
            <v>Due Date</v>
          </cell>
          <cell r="D81" t="str">
            <v>Installment  Payable</v>
          </cell>
          <cell r="F81" t="str">
            <v>Paid</v>
          </cell>
          <cell r="G81" t="str">
            <v>Shortfall</v>
          </cell>
          <cell r="H81" t="str">
            <v>Interest</v>
          </cell>
        </row>
        <row r="82">
          <cell r="I82">
            <v>0</v>
          </cell>
          <cell r="J82">
            <v>0</v>
          </cell>
        </row>
        <row r="83">
          <cell r="C83" t="str">
            <v>15th  June</v>
          </cell>
          <cell r="D83">
            <v>549490.04999999993</v>
          </cell>
          <cell r="F83">
            <v>500000</v>
          </cell>
          <cell r="G83">
            <v>0</v>
          </cell>
          <cell r="H83">
            <v>0</v>
          </cell>
          <cell r="I83">
            <v>0</v>
          </cell>
          <cell r="J83">
            <v>0</v>
          </cell>
        </row>
        <row r="84">
          <cell r="C84" t="str">
            <v>15th  September</v>
          </cell>
          <cell r="D84">
            <v>1648470.1500000001</v>
          </cell>
          <cell r="F84">
            <v>1500000</v>
          </cell>
          <cell r="G84">
            <v>0</v>
          </cell>
          <cell r="H84">
            <v>0</v>
          </cell>
          <cell r="I84">
            <v>221101.01640743297</v>
          </cell>
          <cell r="J84">
            <v>6633.0304922229889</v>
          </cell>
        </row>
        <row r="85">
          <cell r="C85" t="str">
            <v>15th  December</v>
          </cell>
          <cell r="D85">
            <v>2747450.25</v>
          </cell>
          <cell r="F85">
            <v>2500000</v>
          </cell>
          <cell r="G85">
            <v>247450.25</v>
          </cell>
          <cell r="H85">
            <v>7423.5074999999997</v>
          </cell>
          <cell r="I85">
            <v>828134.6885432438</v>
          </cell>
          <cell r="J85">
            <v>8281.3468854324383</v>
          </cell>
        </row>
        <row r="86">
          <cell r="C86" t="str">
            <v>15th March</v>
          </cell>
          <cell r="D86">
            <v>3663267</v>
          </cell>
          <cell r="F86">
            <v>3500000</v>
          </cell>
          <cell r="G86">
            <v>163267</v>
          </cell>
          <cell r="H86">
            <v>1632.67</v>
          </cell>
          <cell r="J86">
            <v>14914.377377655426</v>
          </cell>
        </row>
        <row r="87">
          <cell r="D87" t="str">
            <v xml:space="preserve">Total  </v>
          </cell>
          <cell r="H87">
            <v>9056.1774999999998</v>
          </cell>
          <cell r="J87">
            <v>56321.111804817614</v>
          </cell>
        </row>
        <row r="88">
          <cell r="H88">
            <v>9056.1774999999998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66">
          <cell r="G266">
            <v>3612000</v>
          </cell>
        </row>
      </sheetData>
      <sheetData sheetId="32"/>
      <sheetData sheetId="33">
        <row r="9">
          <cell r="F9" t="str">
            <v>GROSS BLOCK</v>
          </cell>
          <cell r="J9" t="str">
            <v>DEPRECIATION</v>
          </cell>
        </row>
        <row r="10">
          <cell r="F10" t="str">
            <v>As On</v>
          </cell>
          <cell r="J10" t="str">
            <v>As On</v>
          </cell>
          <cell r="K10" t="str">
            <v xml:space="preserve">For the </v>
          </cell>
        </row>
        <row r="11">
          <cell r="F11" t="str">
            <v>1.4.2011</v>
          </cell>
          <cell r="J11" t="str">
            <v>1.4.2011</v>
          </cell>
          <cell r="K11" t="str">
            <v>period</v>
          </cell>
        </row>
        <row r="13">
          <cell r="F13">
            <v>0</v>
          </cell>
          <cell r="J13">
            <v>0</v>
          </cell>
          <cell r="K13">
            <v>24766.219999999998</v>
          </cell>
        </row>
        <row r="14">
          <cell r="F14">
            <v>35441727</v>
          </cell>
          <cell r="J14">
            <v>1352425</v>
          </cell>
          <cell r="K14">
            <v>711205</v>
          </cell>
        </row>
        <row r="15">
          <cell r="F15">
            <v>8797838</v>
          </cell>
          <cell r="J15">
            <v>4761027</v>
          </cell>
          <cell r="K15">
            <v>464526</v>
          </cell>
        </row>
        <row r="16">
          <cell r="F16">
            <v>3271975</v>
          </cell>
          <cell r="J16">
            <v>828792</v>
          </cell>
          <cell r="K16">
            <v>211158</v>
          </cell>
        </row>
        <row r="17">
          <cell r="F17">
            <v>1649200</v>
          </cell>
          <cell r="J17">
            <v>1317296</v>
          </cell>
          <cell r="K17">
            <v>267335</v>
          </cell>
        </row>
        <row r="18">
          <cell r="F18">
            <v>4987955</v>
          </cell>
          <cell r="J18">
            <v>1653085</v>
          </cell>
          <cell r="K18">
            <v>315738</v>
          </cell>
        </row>
        <row r="19">
          <cell r="F19">
            <v>1865846</v>
          </cell>
          <cell r="J19">
            <v>366252</v>
          </cell>
          <cell r="K19">
            <v>177255</v>
          </cell>
        </row>
        <row r="20">
          <cell r="F20">
            <v>5901074</v>
          </cell>
          <cell r="J20">
            <v>2751857</v>
          </cell>
          <cell r="K20">
            <v>560602.03</v>
          </cell>
        </row>
        <row r="21">
          <cell r="F21">
            <v>61915615</v>
          </cell>
          <cell r="J21">
            <v>13030734</v>
          </cell>
          <cell r="K21">
            <v>2732585.25</v>
          </cell>
        </row>
        <row r="22">
          <cell r="F22">
            <v>61488017.761250027</v>
          </cell>
          <cell r="J22">
            <v>10663387.5</v>
          </cell>
          <cell r="K22">
            <v>2367346</v>
          </cell>
        </row>
        <row r="23">
          <cell r="K23">
            <v>2559266</v>
          </cell>
        </row>
        <row r="24">
          <cell r="J24">
            <v>366</v>
          </cell>
          <cell r="K24">
            <v>-173319.25</v>
          </cell>
        </row>
        <row r="26">
          <cell r="F26" t="str">
            <v>Amount</v>
          </cell>
        </row>
        <row r="28">
          <cell r="F28">
            <v>0</v>
          </cell>
        </row>
        <row r="29">
          <cell r="F29">
            <v>0</v>
          </cell>
        </row>
        <row r="34">
          <cell r="F34" t="str">
            <v>Amount</v>
          </cell>
        </row>
        <row r="36">
          <cell r="F36">
            <v>72827.75</v>
          </cell>
        </row>
        <row r="37">
          <cell r="F37">
            <v>0</v>
          </cell>
        </row>
        <row r="38">
          <cell r="F38">
            <v>0</v>
          </cell>
        </row>
        <row r="39">
          <cell r="F39">
            <v>72827.75</v>
          </cell>
        </row>
        <row r="43">
          <cell r="F43" t="str">
            <v>Amount</v>
          </cell>
        </row>
        <row r="44">
          <cell r="F44">
            <v>1000000</v>
          </cell>
        </row>
        <row r="45">
          <cell r="F45">
            <v>5000000</v>
          </cell>
        </row>
        <row r="46">
          <cell r="F46">
            <v>619200</v>
          </cell>
        </row>
        <row r="47">
          <cell r="F47">
            <v>200000</v>
          </cell>
        </row>
        <row r="48">
          <cell r="F48">
            <v>10521000</v>
          </cell>
        </row>
        <row r="49">
          <cell r="F49">
            <v>1000500</v>
          </cell>
        </row>
        <row r="50">
          <cell r="F50">
            <v>18340700</v>
          </cell>
        </row>
        <row r="51">
          <cell r="F51">
            <v>16521000</v>
          </cell>
        </row>
        <row r="54">
          <cell r="F54" t="str">
            <v>Amount</v>
          </cell>
        </row>
        <row r="55">
          <cell r="F55">
            <v>5183000</v>
          </cell>
        </row>
        <row r="56">
          <cell r="F56">
            <v>5183000</v>
          </cell>
        </row>
        <row r="62">
          <cell r="F62" t="str">
            <v>WDV</v>
          </cell>
        </row>
        <row r="63">
          <cell r="F63">
            <v>527512.68041095894</v>
          </cell>
        </row>
        <row r="64">
          <cell r="F64">
            <v>475990.95041095896</v>
          </cell>
        </row>
        <row r="65">
          <cell r="F65">
            <v>424469.22041095898</v>
          </cell>
        </row>
        <row r="66">
          <cell r="F66">
            <v>372947.490410959</v>
          </cell>
        </row>
        <row r="67">
          <cell r="F67">
            <v>321425.76041095902</v>
          </cell>
        </row>
        <row r="68">
          <cell r="F68">
            <v>269904.03041095904</v>
          </cell>
        </row>
        <row r="69">
          <cell r="F69">
            <v>218382.30041095903</v>
          </cell>
        </row>
        <row r="70">
          <cell r="F70">
            <v>166860.57041095902</v>
          </cell>
        </row>
        <row r="71">
          <cell r="F71">
            <v>142225.86344374591</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I e-filing"/>
      <sheetName val="COI"/>
      <sheetName val="3CD "/>
      <sheetName val="DR"/>
      <sheetName val="Ann A"/>
      <sheetName val="Ann.-B&amp;E"/>
      <sheetName val="Ann.-C"/>
      <sheetName val="Ann.-D"/>
      <sheetName val="Pivot Table HO"/>
      <sheetName val="Ann-E"/>
      <sheetName val="Ann.-F"/>
      <sheetName val="Unsecured Loan"/>
      <sheetName val="Ann.-G"/>
      <sheetName val="Ann.-"/>
      <sheetName val="TDS"/>
      <sheetName val="Ann.-H"/>
      <sheetName val="Value"/>
      <sheetName val="Analysis"/>
      <sheetName val="DT"/>
      <sheetName val="Dr Age"/>
      <sheetName val="Trial Bal New HO"/>
      <sheetName val="BS REV SHD"/>
      <sheetName val="Pivot Table Branch"/>
      <sheetName val="Trial Bal Branch"/>
      <sheetName val="Dep"/>
      <sheetName val="Sheet2"/>
      <sheetName val="TB FINAL"/>
      <sheetName val="Statement"/>
      <sheetName val="Br TB (2)"/>
      <sheetName val="Final TB"/>
      <sheetName val="fabric details "/>
    </sheetNames>
    <sheetDataSet>
      <sheetData sheetId="0"/>
      <sheetData sheetId="1">
        <row r="78">
          <cell r="C78" t="str">
            <v>Interest  u/s 234A, 234B  &amp;  234C</v>
          </cell>
        </row>
        <row r="79">
          <cell r="C79" t="str">
            <v>u/s  234 B</v>
          </cell>
          <cell r="J79">
            <v>41406.734427162191</v>
          </cell>
        </row>
        <row r="80">
          <cell r="C80" t="str">
            <v>April to Sept.</v>
          </cell>
          <cell r="F80" t="str">
            <v>months</v>
          </cell>
          <cell r="H80" t="e">
            <v>#REF!</v>
          </cell>
        </row>
        <row r="82">
          <cell r="C82" t="str">
            <v>u/s  234 C</v>
          </cell>
          <cell r="I82" t="str">
            <v>Shortfall</v>
          </cell>
          <cell r="J82" t="str">
            <v>Interest</v>
          </cell>
        </row>
        <row r="83">
          <cell r="C83" t="str">
            <v>Due Date</v>
          </cell>
          <cell r="D83" t="str">
            <v>Installment  Payable</v>
          </cell>
          <cell r="F83" t="str">
            <v>Paid</v>
          </cell>
          <cell r="G83" t="str">
            <v>Shortfall</v>
          </cell>
          <cell r="H83" t="str">
            <v>Interest</v>
          </cell>
        </row>
        <row r="84">
          <cell r="I84">
            <v>0</v>
          </cell>
          <cell r="J84">
            <v>0</v>
          </cell>
        </row>
        <row r="85">
          <cell r="C85" t="str">
            <v>15th  June</v>
          </cell>
          <cell r="D85">
            <v>598294.79999999993</v>
          </cell>
          <cell r="F85">
            <v>500000</v>
          </cell>
          <cell r="G85">
            <v>0</v>
          </cell>
          <cell r="H85">
            <v>0</v>
          </cell>
          <cell r="I85">
            <v>0</v>
          </cell>
          <cell r="J85">
            <v>0</v>
          </cell>
        </row>
        <row r="86">
          <cell r="C86" t="str">
            <v>15th  September</v>
          </cell>
          <cell r="D86">
            <v>1794884.4000000001</v>
          </cell>
          <cell r="F86">
            <v>1500000</v>
          </cell>
          <cell r="G86">
            <v>0</v>
          </cell>
          <cell r="H86">
            <v>0</v>
          </cell>
          <cell r="I86">
            <v>221101.01640743297</v>
          </cell>
          <cell r="J86">
            <v>6633.0304922229889</v>
          </cell>
        </row>
        <row r="87">
          <cell r="C87" t="str">
            <v>15th  December</v>
          </cell>
          <cell r="D87">
            <v>2991474</v>
          </cell>
          <cell r="F87">
            <v>2500000</v>
          </cell>
          <cell r="G87">
            <v>491474</v>
          </cell>
          <cell r="H87">
            <v>14744.22</v>
          </cell>
          <cell r="I87">
            <v>828134.6885432438</v>
          </cell>
          <cell r="J87">
            <v>8281.3468854324383</v>
          </cell>
        </row>
        <row r="88">
          <cell r="C88" t="str">
            <v>15th March</v>
          </cell>
          <cell r="D88">
            <v>3988632</v>
          </cell>
          <cell r="F88" t="e">
            <v>#REF!</v>
          </cell>
          <cell r="G88" t="e">
            <v>#REF!</v>
          </cell>
          <cell r="H88" t="e">
            <v>#REF!</v>
          </cell>
          <cell r="J88">
            <v>14914.377377655426</v>
          </cell>
        </row>
        <row r="89">
          <cell r="D89" t="str">
            <v xml:space="preserve">Total  </v>
          </cell>
          <cell r="H89" t="e">
            <v>#REF!</v>
          </cell>
          <cell r="J89">
            <v>56321.111804817614</v>
          </cell>
        </row>
        <row r="90">
          <cell r="H90" t="e">
            <v>#REF!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F9" t="str">
            <v>GROSS BLOCK</v>
          </cell>
          <cell r="J9" t="str">
            <v>DEPRECIATION</v>
          </cell>
        </row>
        <row r="10">
          <cell r="F10" t="str">
            <v>As On</v>
          </cell>
          <cell r="J10" t="str">
            <v>As On</v>
          </cell>
          <cell r="K10" t="str">
            <v xml:space="preserve">For the </v>
          </cell>
        </row>
        <row r="11">
          <cell r="F11" t="str">
            <v>1.4.2012</v>
          </cell>
          <cell r="J11" t="str">
            <v>1.4.2012</v>
          </cell>
          <cell r="K11" t="str">
            <v>period</v>
          </cell>
        </row>
        <row r="13">
          <cell r="F13">
            <v>5183000</v>
          </cell>
          <cell r="J13">
            <v>24766</v>
          </cell>
          <cell r="K13">
            <v>84482.9</v>
          </cell>
        </row>
        <row r="14">
          <cell r="F14">
            <v>53782427</v>
          </cell>
          <cell r="J14">
            <v>2063630</v>
          </cell>
          <cell r="K14">
            <v>876653.56009999989</v>
          </cell>
        </row>
        <row r="15">
          <cell r="F15">
            <v>8797838</v>
          </cell>
          <cell r="J15">
            <v>5225553</v>
          </cell>
          <cell r="K15">
            <v>467691.84639999998</v>
          </cell>
        </row>
        <row r="16">
          <cell r="F16">
            <v>3344803</v>
          </cell>
          <cell r="J16">
            <v>1039950</v>
          </cell>
          <cell r="K16">
            <v>211726.02989999999</v>
          </cell>
        </row>
        <row r="17">
          <cell r="F17">
            <v>1649200</v>
          </cell>
          <cell r="J17">
            <v>1584631</v>
          </cell>
          <cell r="K17">
            <v>64569</v>
          </cell>
        </row>
        <row r="18">
          <cell r="F18">
            <v>4987955</v>
          </cell>
          <cell r="J18">
            <v>1968823</v>
          </cell>
          <cell r="K18">
            <v>315737.5515</v>
          </cell>
        </row>
        <row r="19">
          <cell r="F19">
            <v>1865846</v>
          </cell>
          <cell r="J19">
            <v>543507</v>
          </cell>
          <cell r="K19">
            <v>177255.37</v>
          </cell>
        </row>
        <row r="20">
          <cell r="F20">
            <v>5358740</v>
          </cell>
          <cell r="J20">
            <v>2912351</v>
          </cell>
          <cell r="K20">
            <v>527417.79485616437</v>
          </cell>
        </row>
        <row r="21">
          <cell r="F21">
            <v>84969809</v>
          </cell>
          <cell r="J21">
            <v>15363211</v>
          </cell>
          <cell r="K21">
            <v>2725534.0527561642</v>
          </cell>
        </row>
        <row r="22">
          <cell r="F22">
            <v>61915615</v>
          </cell>
          <cell r="J22">
            <v>13030734</v>
          </cell>
          <cell r="K22">
            <v>2732585</v>
          </cell>
        </row>
        <row r="23">
          <cell r="K23">
            <v>2559266</v>
          </cell>
        </row>
        <row r="24">
          <cell r="J24">
            <v>365</v>
          </cell>
          <cell r="K24">
            <v>-166268.05275616422</v>
          </cell>
        </row>
        <row r="26">
          <cell r="F26" t="str">
            <v>Amount</v>
          </cell>
        </row>
        <row r="28">
          <cell r="F28">
            <v>0</v>
          </cell>
        </row>
        <row r="29">
          <cell r="F29">
            <v>0</v>
          </cell>
        </row>
        <row r="31">
          <cell r="J31">
            <v>18063211</v>
          </cell>
        </row>
        <row r="33">
          <cell r="J33">
            <v>91295</v>
          </cell>
        </row>
        <row r="34">
          <cell r="F34" t="str">
            <v>Amount</v>
          </cell>
        </row>
        <row r="36">
          <cell r="F36">
            <v>79000</v>
          </cell>
          <cell r="J36">
            <v>6397.9799999999796</v>
          </cell>
        </row>
        <row r="37">
          <cell r="F37">
            <v>0</v>
          </cell>
        </row>
        <row r="38">
          <cell r="F38">
            <v>0</v>
          </cell>
        </row>
        <row r="39">
          <cell r="F39">
            <v>79000</v>
          </cell>
          <cell r="J39">
            <v>-16933</v>
          </cell>
        </row>
        <row r="43">
          <cell r="F43" t="str">
            <v>Amount</v>
          </cell>
        </row>
        <row r="46">
          <cell r="F46">
            <v>0</v>
          </cell>
        </row>
        <row r="49">
          <cell r="F49" t="str">
            <v>Amount</v>
          </cell>
        </row>
        <row r="50">
          <cell r="F50">
            <v>252518</v>
          </cell>
        </row>
        <row r="51">
          <cell r="F51">
            <v>596206.25</v>
          </cell>
        </row>
        <row r="52">
          <cell r="F52">
            <v>26212</v>
          </cell>
        </row>
        <row r="53">
          <cell r="F53">
            <v>67966</v>
          </cell>
        </row>
        <row r="54">
          <cell r="F54">
            <v>942902.25</v>
          </cell>
        </row>
        <row r="55">
          <cell r="F55">
            <v>40268</v>
          </cell>
          <cell r="J55">
            <v>348</v>
          </cell>
          <cell r="K55">
            <v>41000</v>
          </cell>
        </row>
        <row r="57">
          <cell r="F57" t="str">
            <v>Days</v>
          </cell>
          <cell r="K57" t="str">
            <v>total Dep</v>
          </cell>
        </row>
        <row r="58">
          <cell r="J58" t="str">
            <v>2012-13</v>
          </cell>
        </row>
        <row r="59">
          <cell r="F59">
            <v>276</v>
          </cell>
          <cell r="J59">
            <v>54262.691342465754</v>
          </cell>
          <cell r="K59">
            <v>211125.52895890409</v>
          </cell>
        </row>
      </sheetData>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M"/>
      <sheetName val="Anx-N"/>
      <sheetName val="Anx_M"/>
    </sheetNames>
    <sheetDataSet>
      <sheetData sheetId="0"/>
      <sheetData sheetId="1"/>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sheetName val="Result 1 P&amp;L"/>
      <sheetName val="Result 2 B&amp;S"/>
      <sheetName val="Result 3 CF"/>
      <sheetName val="Cash Flow Statement"/>
      <sheetName val="Term Loan"/>
      <sheetName val="PPE FY 2019-20"/>
      <sheetName val="Pivot22.7.21"/>
      <sheetName val="BSPL"/>
      <sheetName val="Pivot13.10.21"/>
      <sheetName val="FG Valuation"/>
      <sheetName val="Term Loan Bifurcation"/>
      <sheetName val="Results Q1"/>
      <sheetName val="CLOSING STOCK AS ON 30.09.21"/>
      <sheetName val="TB New"/>
      <sheetName val="TB MAIN"/>
      <sheetName val="Trial Balance"/>
      <sheetName val="TB 27.10.21"/>
      <sheetName val="TB2020-21"/>
      <sheetName val="TB11.08.21"/>
      <sheetName val="trial balance2021-22"/>
      <sheetName val="Pivot"/>
      <sheetName val="Depreciation Co. Act"/>
      <sheetName val="Closing Stock Valuation"/>
      <sheetName val="CLOSING STOCK 31-03-20"/>
      <sheetName val="Deffered Tax"/>
      <sheetName val="Depreciation as per Income Tax"/>
      <sheetName val="Term Loan111"/>
      <sheetName val="TB3103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7">
          <cell r="F97">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ct"/>
      <sheetName val="Result 1 P&amp;L"/>
      <sheetName val="Result 2 B&amp;S"/>
      <sheetName val="Result 3 CF"/>
      <sheetName val="Cash Flow"/>
      <sheetName val="BSPL"/>
      <sheetName val="Depreciation"/>
      <sheetName val="CLOSING STOCK21-22"/>
      <sheetName val="Working Capital"/>
      <sheetName val="Ratio Analysis"/>
      <sheetName val="Financial Ratios"/>
      <sheetName val="3CD ratios"/>
      <sheetName val="COI"/>
      <sheetName val="Pivot"/>
      <sheetName val="Share Holding"/>
      <sheetName val="FG Valuation"/>
      <sheetName val="DEBTORS AGEING 21-22"/>
      <sheetName val="DT"/>
      <sheetName val="IT Dep"/>
      <sheetName val="Ratios (2)"/>
      <sheetName val="Cost Sheet"/>
      <sheetName val="Loans to staff"/>
      <sheetName val="Advance to Supplier"/>
      <sheetName val="IPS Sanction Letter &amp; Books"/>
      <sheetName val="Advance for Capital Good"/>
      <sheetName val="FDR"/>
      <sheetName val="Bonus Sal"/>
      <sheetName val="Leave encashment"/>
      <sheetName val="Bank TL &amp; Int."/>
      <sheetName val="Unsecured Loan Int"/>
      <sheetName val="Director Remuneration"/>
      <sheetName val="Directors Rem"/>
      <sheetName val="Sheet1"/>
      <sheetName val="TB final"/>
      <sheetName val="2122"/>
    </sheetNames>
    <sheetDataSet>
      <sheetData sheetId="0"/>
      <sheetData sheetId="1">
        <row r="1">
          <cell r="A1">
            <v>100000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P&amp;L"/>
      <sheetName val="Result 2 BS"/>
      <sheetName val="Result 3 CF"/>
      <sheetName val="Cash Flow"/>
      <sheetName val="BSPL"/>
      <sheetName val="Working Capital"/>
      <sheetName val="COI"/>
      <sheetName val="Related Parties"/>
      <sheetName val="Depreciation"/>
      <sheetName val="Pivot"/>
      <sheetName val="TB Final"/>
      <sheetName val="TB"/>
      <sheetName val="Debtor's Ageing"/>
      <sheetName val="Dir Rem CA 2013"/>
      <sheetName val="Dir Rem"/>
      <sheetName val="DT"/>
      <sheetName val="FG Valuation"/>
      <sheetName val="TL &amp; intt."/>
      <sheetName val="Shareholders List"/>
      <sheetName val="Term Loans and Interest"/>
      <sheetName val="Cost Sheet"/>
      <sheetName val="IPS Sanction Letter &amp; Books"/>
      <sheetName val="Capital Advance"/>
      <sheetName val="Deferred taxation"/>
      <sheetName val="CLOSING STOCK 22-23"/>
      <sheetName val="Loans to staff"/>
      <sheetName val="Advance to Supplier"/>
      <sheetName val="IT Dep"/>
      <sheetName val="Leave Encashment"/>
    </sheetNames>
    <sheetDataSet>
      <sheetData sheetId="0"/>
      <sheetData sheetId="1"/>
      <sheetData sheetId="2"/>
      <sheetData sheetId="3"/>
      <sheetData sheetId="4">
        <row r="81">
          <cell r="E81">
            <v>815421272.66636157</v>
          </cell>
        </row>
        <row r="85">
          <cell r="E85">
            <v>8709815</v>
          </cell>
        </row>
        <row r="97">
          <cell r="E97">
            <v>-11872958.438882498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Cash Flow"/>
      <sheetName val="Notes (Liabilities)"/>
      <sheetName val="Note-Fixed Assets 2021-21"/>
      <sheetName val="Notes (Assets)"/>
      <sheetName val="Notes (P&amp;L)"/>
      <sheetName val="Related Party Disclosure"/>
      <sheetName val="Ratio Analysis"/>
      <sheetName val="Amended Regulatory Information"/>
      <sheetName val="3(i)(c)"/>
    </sheetNames>
    <sheetDataSet>
      <sheetData sheetId="0">
        <row r="33">
          <cell r="E33">
            <v>0</v>
          </cell>
        </row>
      </sheetData>
      <sheetData sheetId="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sheetName val="Result 2"/>
      <sheetName val="Result1"/>
      <sheetName val="Result 3"/>
      <sheetName val="Cash Flow"/>
      <sheetName val="BSPL"/>
      <sheetName val="Sheet1"/>
      <sheetName val="PPE"/>
      <sheetName val="Pivot"/>
      <sheetName val="TB final"/>
      <sheetName val="Trial Balance"/>
      <sheetName val="CLOSING STOCK AS ON 31-03-21"/>
      <sheetName val="DT"/>
      <sheetName val="COI"/>
      <sheetName val="IT Dep"/>
      <sheetName val="Prepaid Ins"/>
      <sheetName val="Advance for Capital Goods"/>
      <sheetName val="FDR"/>
      <sheetName val="Ratios"/>
      <sheetName val="FG Valuation"/>
      <sheetName val="Loans to staff"/>
      <sheetName val="PSI Bifurcation"/>
      <sheetName val="Cost Sheet"/>
      <sheetName val="Term Loan"/>
      <sheetName val="Share Holding"/>
      <sheetName val="Unsecured Loan"/>
      <sheetName val="Debtor's Ageing 2020-21"/>
      <sheetName val="TB18.06"/>
      <sheetName val="TB09.06.21"/>
      <sheetName val="TB 28.5.21"/>
      <sheetName val="TB 03.06.21"/>
      <sheetName val="TB2019-20"/>
      <sheetName val="Requirements"/>
    </sheetNames>
    <sheetDataSet>
      <sheetData sheetId="0" refreshError="1"/>
      <sheetData sheetId="1" refreshError="1"/>
      <sheetData sheetId="2" refreshError="1"/>
      <sheetData sheetId="3" refreshError="1"/>
      <sheetData sheetId="4" refreshError="1"/>
      <sheetData sheetId="5" refreshError="1">
        <row r="9">
          <cell r="F9">
            <v>313007.73999999836</v>
          </cell>
        </row>
        <row r="15">
          <cell r="F15">
            <v>67513794.217889339</v>
          </cell>
          <cell r="G15">
            <v>67823511.890000001</v>
          </cell>
        </row>
        <row r="17">
          <cell r="F17">
            <v>155760049.43000001</v>
          </cell>
          <cell r="G17">
            <v>94854388</v>
          </cell>
        </row>
        <row r="18">
          <cell r="F18">
            <v>333868.40000000002</v>
          </cell>
        </row>
        <row r="19">
          <cell r="F19">
            <v>0</v>
          </cell>
          <cell r="G19">
            <v>83453.5</v>
          </cell>
        </row>
        <row r="20">
          <cell r="F20">
            <v>7281000</v>
          </cell>
          <cell r="G20">
            <v>8543299.9600000009</v>
          </cell>
        </row>
        <row r="21">
          <cell r="F21">
            <v>4209495.0199999996</v>
          </cell>
          <cell r="G21">
            <v>5106736.3549999995</v>
          </cell>
        </row>
        <row r="22">
          <cell r="F22">
            <v>673307</v>
          </cell>
        </row>
        <row r="23">
          <cell r="F23">
            <v>235771514.06788936</v>
          </cell>
        </row>
        <row r="41">
          <cell r="G41">
            <v>59045466.559999995</v>
          </cell>
        </row>
        <row r="42">
          <cell r="G42">
            <v>8240996.9399999995</v>
          </cell>
        </row>
        <row r="43">
          <cell r="G43">
            <v>537842.43999999994</v>
          </cell>
        </row>
        <row r="127">
          <cell r="E127" t="str">
            <v>JARNAIL SINGH SAINI - CHIEF FINANCIAL OFFICER &amp; EXECUTIVE DIRECTOR</v>
          </cell>
        </row>
        <row r="353">
          <cell r="G353">
            <v>2183354.7000000002</v>
          </cell>
        </row>
        <row r="413">
          <cell r="G413">
            <v>1454879</v>
          </cell>
        </row>
        <row r="414">
          <cell r="G414">
            <v>1670270</v>
          </cell>
        </row>
      </sheetData>
      <sheetData sheetId="6" refreshError="1"/>
      <sheetData sheetId="7" refreshError="1"/>
      <sheetData sheetId="8" refreshError="1">
        <row r="3">
          <cell r="A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sheetName val="Result 2"/>
      <sheetName val="Result 3"/>
      <sheetName val="Cash Flow Statement"/>
      <sheetName val="BSPL"/>
      <sheetName val="Depreciation Co. Act"/>
      <sheetName val="Pivot"/>
      <sheetName val="Sheet2"/>
      <sheetName val="Closing Stock Valuation"/>
      <sheetName val="CLOSING STOCK 31-03-20"/>
      <sheetName val="Computation"/>
      <sheetName val="Deffered Tax"/>
      <sheetName val="Depreciation as per Income Tax"/>
      <sheetName val="Term Loan"/>
      <sheetName val="TB MAIN"/>
      <sheetName val="TB31032020"/>
      <sheetName val="TB310320119"/>
      <sheetName val="Sheet1"/>
    </sheetNames>
    <sheetDataSet>
      <sheetData sheetId="0" refreshError="1"/>
      <sheetData sheetId="1" refreshError="1"/>
      <sheetData sheetId="2" refreshError="1"/>
      <sheetData sheetId="3" refreshError="1"/>
      <sheetData sheetId="4" refreshError="1">
        <row r="9">
          <cell r="F9">
            <v>402479.2</v>
          </cell>
          <cell r="G9">
            <v>484789</v>
          </cell>
        </row>
        <row r="11">
          <cell r="G11">
            <v>2870555</v>
          </cell>
        </row>
        <row r="15">
          <cell r="G15">
            <v>51184927.105289809</v>
          </cell>
        </row>
        <row r="17">
          <cell r="G17">
            <v>89957465.5</v>
          </cell>
        </row>
        <row r="19">
          <cell r="G19">
            <v>192300</v>
          </cell>
        </row>
        <row r="20">
          <cell r="G20">
            <v>5769158.1199999992</v>
          </cell>
        </row>
        <row r="22">
          <cell r="F22">
            <v>585094</v>
          </cell>
          <cell r="G22">
            <v>572621</v>
          </cell>
        </row>
        <row r="40">
          <cell r="G40">
            <v>55675684.390000001</v>
          </cell>
        </row>
        <row r="41">
          <cell r="G41">
            <v>49656875.130000003</v>
          </cell>
        </row>
        <row r="43">
          <cell r="G43">
            <v>539205.43999999994</v>
          </cell>
        </row>
        <row r="99">
          <cell r="F99">
            <v>4514807.180287933</v>
          </cell>
          <cell r="G99">
            <v>16160409.421267949</v>
          </cell>
        </row>
        <row r="106">
          <cell r="F106">
            <v>-186251</v>
          </cell>
        </row>
        <row r="241">
          <cell r="G241">
            <v>1521769</v>
          </cell>
        </row>
        <row r="242">
          <cell r="G242">
            <v>1353400</v>
          </cell>
        </row>
        <row r="243">
          <cell r="G243">
            <v>2799620.3599999994</v>
          </cell>
        </row>
        <row r="291">
          <cell r="G291">
            <v>7276608.1800000006</v>
          </cell>
        </row>
        <row r="351">
          <cell r="G351">
            <v>31105627</v>
          </cell>
        </row>
        <row r="357">
          <cell r="G357">
            <v>1662107</v>
          </cell>
        </row>
        <row r="371">
          <cell r="F371">
            <v>-1808134</v>
          </cell>
          <cell r="G371">
            <v>-7089950.0863537798</v>
          </cell>
        </row>
        <row r="400">
          <cell r="G400">
            <v>17650350</v>
          </cell>
        </row>
        <row r="401">
          <cell r="G401">
            <v>928040</v>
          </cell>
        </row>
        <row r="403">
          <cell r="G403">
            <v>775995</v>
          </cell>
        </row>
        <row r="404">
          <cell r="G404">
            <v>192300</v>
          </cell>
        </row>
        <row r="406">
          <cell r="G406">
            <v>790876</v>
          </cell>
        </row>
        <row r="412">
          <cell r="F412">
            <v>0.18028793297708035</v>
          </cell>
          <cell r="G412">
            <v>1488650.421267949</v>
          </cell>
        </row>
        <row r="413">
          <cell r="G413">
            <v>1450129</v>
          </cell>
        </row>
        <row r="414">
          <cell r="G414">
            <v>1603900</v>
          </cell>
        </row>
      </sheetData>
      <sheetData sheetId="5" refreshError="1"/>
      <sheetData sheetId="6" refreshError="1"/>
      <sheetData sheetId="7" refreshError="1"/>
      <sheetData sheetId="8" refreshError="1"/>
      <sheetData sheetId="9" refreshError="1"/>
      <sheetData sheetId="10" refreshError="1">
        <row r="83">
          <cell r="I83">
            <v>655513</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
      <sheetName val="QTLY RESULT"/>
      <sheetName val="ANN-E (2)"/>
      <sheetName val="Ann. H (2)"/>
      <sheetName val="Cash Flow"/>
      <sheetName val="Balance Sheet"/>
      <sheetName val="PIVOT"/>
      <sheetName val="FA As per Co. Act"/>
      <sheetName val="Debtors Creditors"/>
      <sheetName val="FG Value"/>
      <sheetName val="Computation"/>
      <sheetName val="Sheet5"/>
      <sheetName val="DT sep17"/>
      <sheetName val="Dep as Income Tax"/>
      <sheetName val="FA AS per CA"/>
      <sheetName val="Adjustment 2017-18"/>
      <sheetName val="Adjustment1516"/>
      <sheetName val="Adjustment1617"/>
      <sheetName val="TB New (2)"/>
      <sheetName val="CMA"/>
      <sheetName val="Sheet1"/>
      <sheetName val="Sheet2"/>
      <sheetName val="DT"/>
      <sheetName val="Sheet4"/>
      <sheetName val="TB New"/>
      <sheetName val="TB210518"/>
      <sheetName val="TB JAN18"/>
      <sheetName val="ind AS reco"/>
      <sheetName val="tb 29.05.2017"/>
      <sheetName val="IND AS "/>
      <sheetName val="NEW 3CD"/>
      <sheetName val="Ann B"/>
      <sheetName val="Ann . C"/>
      <sheetName val="Ann D"/>
      <sheetName val="ANN-E"/>
      <sheetName val="Ann. F"/>
      <sheetName val="Ann G"/>
      <sheetName val="Ann. H"/>
      <sheetName val="Ann. G"/>
      <sheetName val="TB31032018"/>
      <sheetName val="TB150518"/>
      <sheetName val="TB200518"/>
      <sheetName val="Sheet3"/>
    </sheetNames>
    <sheetDataSet>
      <sheetData sheetId="0" refreshError="1"/>
      <sheetData sheetId="1" refreshError="1"/>
      <sheetData sheetId="2" refreshError="1"/>
      <sheetData sheetId="3" refreshError="1"/>
      <sheetData sheetId="4" refreshError="1"/>
      <sheetData sheetId="5" refreshError="1">
        <row r="28">
          <cell r="F28">
            <v>0</v>
          </cell>
        </row>
        <row r="29">
          <cell r="F29">
            <v>26922650</v>
          </cell>
        </row>
        <row r="33">
          <cell r="F33">
            <v>26922640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CD "/>
      <sheetName val="26 thtb"/>
      <sheetName val="final tb"/>
      <sheetName val="tbbbbb"/>
      <sheetName val="full final tb"/>
      <sheetName val="TB_02.12.15"/>
      <sheetName val="Power"/>
      <sheetName val="EXCISERECO'14-15"/>
      <sheetName val="Excise Duty on Fixed Assets"/>
      <sheetName val="Qty Reco"/>
      <sheetName val="Index"/>
      <sheetName val="FH"/>
      <sheetName val="DR"/>
      <sheetName val="Cntrl Sht Sept. 2014"/>
      <sheetName val="RESULT-BS"/>
      <sheetName val="Trial Balance (2)"/>
      <sheetName val="march 2016"/>
      <sheetName val="Sheet5"/>
      <sheetName val="COI -efiling"/>
      <sheetName val="Balance Sheet"/>
      <sheetName val="CF "/>
      <sheetName val="PIVOT"/>
      <sheetName val="Result-2"/>
      <sheetName val="10 Dep Co"/>
      <sheetName val="Sheet3"/>
      <sheetName val="Sheet4"/>
      <sheetName val="Control Sheet"/>
      <sheetName val="Highlights"/>
      <sheetName val="Ratios"/>
      <sheetName val="Sheet6"/>
      <sheetName val="27-5-2016"/>
      <sheetName val="Sheet7"/>
      <sheetName val="8-06-2016"/>
      <sheetName val="DT 16"/>
      <sheetName val="COI"/>
      <sheetName val="COI  e filing"/>
      <sheetName val="Result"/>
      <sheetName val="TB New"/>
      <sheetName val="NEW 3CD"/>
      <sheetName val="Ann A"/>
      <sheetName val="Ann B"/>
      <sheetName val="Ann . C"/>
      <sheetName val="Ann D"/>
      <sheetName val="ANN-E"/>
      <sheetName val="Unsecured Loan"/>
      <sheetName val="Ann. F"/>
      <sheetName val="Ann G"/>
      <sheetName val="Ann. H"/>
      <sheetName val="Ann. G"/>
      <sheetName val="tb 29.05.2017"/>
      <sheetName val="FG Value"/>
      <sheetName val="Trial Balance"/>
      <sheetName val="Sheet1"/>
      <sheetName val="STOCK"/>
      <sheetName val="RESULT March 14"/>
      <sheetName val="Sheet3 (2)"/>
      <sheetName val="Analysis"/>
      <sheetName val="Adv"/>
      <sheetName val="St Value"/>
      <sheetName val="Yield"/>
      <sheetName val="Advance To Capital Goods"/>
      <sheetName val="AS 28"/>
      <sheetName val="Interest"/>
      <sheetName val="loss on fire"/>
      <sheetName val="tb 02.05.2017"/>
      <sheetName val="Cash Note"/>
      <sheetName val="MSEB"/>
      <sheetName val="working Note 37"/>
      <sheetName val="tb 24.05.2017"/>
      <sheetName val="Sheet2"/>
      <sheetName val="QTLY RESULT"/>
      <sheetName val="ANN-E (2)"/>
      <sheetName val="Ann. H (2)"/>
      <sheetName val="Cash Flow"/>
      <sheetName val="Results 1"/>
      <sheetName val="Results 2"/>
      <sheetName val="1"/>
      <sheetName val="Q1 Result"/>
      <sheetName val="FA As per Co. Act"/>
      <sheetName val="Debtors Creditors"/>
      <sheetName val="Computation"/>
      <sheetName val="DT sep17"/>
      <sheetName val="Dep as Income Tax"/>
      <sheetName val="FA AS per CA"/>
      <sheetName val="Adjustment 2017-18"/>
      <sheetName val="Adjustment1516"/>
      <sheetName val="Adjustment1617"/>
      <sheetName val="TB New (2)"/>
      <sheetName val="CMA"/>
      <sheetName val="DT"/>
      <sheetName val="Q1 TB"/>
      <sheetName val="TB210518"/>
      <sheetName val="TB JAN18"/>
      <sheetName val="ind AS reco"/>
      <sheetName val="IND AS "/>
      <sheetName val="TB31032018"/>
      <sheetName val="TB150518"/>
      <sheetName val="TB200518"/>
      <sheetName val="Queries"/>
      <sheetName val="Sheet8"/>
      <sheetName val="Sheet9"/>
      <sheetName val="Sheet10"/>
      <sheetName val="Production"/>
      <sheetName val="Sundaram 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78">
          <cell r="E78">
            <v>454903714</v>
          </cell>
        </row>
        <row r="519">
          <cell r="B519" t="str">
            <v>Contribution to Funds</v>
          </cell>
        </row>
        <row r="538">
          <cell r="B538" t="str">
            <v>Raw Material Sorting Charges</v>
          </cell>
        </row>
        <row r="541">
          <cell r="B541" t="str">
            <v>Finished Goods Packing and Allied Charges</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P&amp;L"/>
      <sheetName val="Result 2 B&amp;S"/>
      <sheetName val="Result 3 CF"/>
      <sheetName val="Cash Flow"/>
      <sheetName val="BSPL"/>
      <sheetName val="Ratio Analysis"/>
      <sheetName val="COI"/>
      <sheetName val="Pivot"/>
      <sheetName val="Share Holding"/>
      <sheetName val="Depreciation"/>
      <sheetName val="CLOSING STOCK21-22"/>
      <sheetName val="DEBTORS AGEING 21-22"/>
      <sheetName val="FG Valuation"/>
      <sheetName val="DT"/>
      <sheetName val="IT Dep"/>
      <sheetName val="Ratios (2)"/>
      <sheetName val="3CD ratios"/>
      <sheetName val="Cost Sheet"/>
      <sheetName val="Loans to staff"/>
      <sheetName val="Advance to Supplier"/>
      <sheetName val="IPS Sanction Letter &amp; Books"/>
      <sheetName val="Advance for Capital Good"/>
      <sheetName val="FDR"/>
      <sheetName val="Bonus Sal"/>
      <sheetName val="Leave encashment"/>
      <sheetName val="Bank TL &amp; Int."/>
      <sheetName val="Unsecured Loan Int"/>
      <sheetName val="Director Remuneration"/>
      <sheetName val="Directors Rem"/>
      <sheetName val="Sheet1"/>
      <sheetName val="TB final"/>
      <sheetName val="2122"/>
    </sheetNames>
    <sheetDataSet>
      <sheetData sheetId="0"/>
      <sheetData sheetId="1"/>
      <sheetData sheetId="2"/>
      <sheetData sheetId="3"/>
      <sheetData sheetId="4">
        <row r="86">
          <cell r="G86">
            <v>7602953.1500000004</v>
          </cell>
          <cell r="H86">
            <v>6372184.9500000002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6">
          <cell r="F6">
            <v>4118537</v>
          </cell>
          <cell r="G6"/>
        </row>
      </sheetData>
      <sheetData sheetId="26"/>
      <sheetData sheetId="27"/>
      <sheetData sheetId="28"/>
      <sheetData sheetId="29"/>
      <sheetData sheetId="30"/>
      <sheetData sheetId="3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6-17"/>
      <sheetName val="17-18"/>
      <sheetName val="2018-19"/>
      <sheetName val=" Summary-19-20"/>
      <sheetName val="Summary-20-21"/>
      <sheetName val="Summary 2021-22"/>
      <sheetName val="Summary 2022-23"/>
      <sheetName val=" land"/>
      <sheetName val="Building"/>
      <sheetName val=" Plant &amp; Machinery"/>
      <sheetName val="Motor vehicle"/>
      <sheetName val=" Computer"/>
      <sheetName val=" Office Equipment"/>
      <sheetName val=" Furniture &amp; fixture"/>
      <sheetName val=" Electrical Installation"/>
      <sheetName val="W-I-P(Building)"/>
      <sheetName val="WIP(PL &amp; M)"/>
      <sheetName val=" Useful Life"/>
    </sheetNames>
    <sheetDataSet>
      <sheetData sheetId="0" refreshError="1"/>
      <sheetData sheetId="1" refreshError="1"/>
      <sheetData sheetId="2" refreshError="1"/>
      <sheetData sheetId="3" refreshError="1"/>
      <sheetData sheetId="4" refreshError="1"/>
      <sheetData sheetId="5" refreshError="1"/>
      <sheetData sheetId="6">
        <row r="4">
          <cell r="C4">
            <v>0</v>
          </cell>
          <cell r="G4">
            <v>0</v>
          </cell>
        </row>
        <row r="5">
          <cell r="C5">
            <v>2830332</v>
          </cell>
        </row>
        <row r="6">
          <cell r="C6">
            <v>63178</v>
          </cell>
        </row>
        <row r="7">
          <cell r="C7">
            <v>0</v>
          </cell>
        </row>
        <row r="8">
          <cell r="C8">
            <v>29800</v>
          </cell>
        </row>
        <row r="9">
          <cell r="C9">
            <v>0</v>
          </cell>
        </row>
        <row r="10">
          <cell r="C10">
            <v>540632</v>
          </cell>
        </row>
        <row r="11">
          <cell r="C11">
            <v>98460</v>
          </cell>
        </row>
      </sheetData>
      <sheetData sheetId="7" refreshError="1"/>
      <sheetData sheetId="8">
        <row r="464">
          <cell r="N464">
            <v>904835.60000000009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17"/>
      <sheetName val="17-18"/>
      <sheetName val="2018-19"/>
      <sheetName val=" Summary-19-20"/>
      <sheetName val="Summary-20-21"/>
      <sheetName val="Summary 2021-22"/>
      <sheetName val="W-I-P(Building)"/>
      <sheetName val="WIP(PL &amp; M)"/>
      <sheetName val=" land"/>
      <sheetName val="Building"/>
      <sheetName val=" Plant &amp; Machinery"/>
      <sheetName val="Motor vehicle"/>
      <sheetName val=" Computer"/>
      <sheetName val=" Office Equipment"/>
      <sheetName val=" Furniture &amp; fixture"/>
      <sheetName val=" Electrical Installation"/>
      <sheetName val=" Useful Life"/>
    </sheetNames>
    <sheetDataSet>
      <sheetData sheetId="0" refreshError="1"/>
      <sheetData sheetId="1" refreshError="1"/>
      <sheetData sheetId="2" refreshError="1"/>
      <sheetData sheetId="3" refreshError="1"/>
      <sheetData sheetId="4" refreshError="1">
        <row r="4">
          <cell r="E4">
            <v>33964999.899999999</v>
          </cell>
          <cell r="I4">
            <v>0</v>
          </cell>
        </row>
        <row r="5">
          <cell r="E5">
            <v>58923230.529999994</v>
          </cell>
          <cell r="I5">
            <v>5534893.9886987675</v>
          </cell>
        </row>
        <row r="6">
          <cell r="E6">
            <v>215300342.50799999</v>
          </cell>
          <cell r="I6">
            <v>99496168.438061088</v>
          </cell>
        </row>
        <row r="7">
          <cell r="E7">
            <v>2991111</v>
          </cell>
          <cell r="I7">
            <v>558719.83806600736</v>
          </cell>
        </row>
        <row r="8">
          <cell r="E8">
            <v>744525.7</v>
          </cell>
          <cell r="I8">
            <v>688913.61548858462</v>
          </cell>
        </row>
        <row r="9">
          <cell r="E9">
            <v>1024059.5</v>
          </cell>
          <cell r="I9">
            <v>598525.87082759</v>
          </cell>
        </row>
        <row r="10">
          <cell r="E10">
            <v>1330214.03</v>
          </cell>
          <cell r="I10">
            <v>1014017.3961523059</v>
          </cell>
        </row>
        <row r="11">
          <cell r="E11">
            <v>26188108.080000002</v>
          </cell>
          <cell r="I11">
            <v>16345550.182161208</v>
          </cell>
        </row>
        <row r="15">
          <cell r="E15">
            <v>133007.59999999963</v>
          </cell>
        </row>
        <row r="16">
          <cell r="E16">
            <v>179999.53999999957</v>
          </cell>
        </row>
      </sheetData>
      <sheetData sheetId="5" refreshError="1">
        <row r="4">
          <cell r="C4">
            <v>0</v>
          </cell>
          <cell r="D4">
            <v>0</v>
          </cell>
          <cell r="G4">
            <v>0</v>
          </cell>
        </row>
        <row r="5">
          <cell r="C5">
            <v>2363147.9900000002</v>
          </cell>
          <cell r="D5">
            <v>0</v>
          </cell>
          <cell r="G5">
            <v>1905326.4820191783</v>
          </cell>
          <cell r="H5">
            <v>0</v>
          </cell>
        </row>
        <row r="6">
          <cell r="C6">
            <v>6804071.8600000003</v>
          </cell>
          <cell r="D6">
            <v>0</v>
          </cell>
          <cell r="G6">
            <v>13628774.029168235</v>
          </cell>
          <cell r="H6">
            <v>0</v>
          </cell>
        </row>
        <row r="7">
          <cell r="C7">
            <v>0</v>
          </cell>
          <cell r="D7">
            <v>0</v>
          </cell>
          <cell r="G7">
            <v>369148.96419712796</v>
          </cell>
          <cell r="H7">
            <v>0</v>
          </cell>
        </row>
        <row r="8">
          <cell r="C8">
            <v>124110</v>
          </cell>
          <cell r="D8">
            <v>0</v>
          </cell>
          <cell r="G8">
            <v>41542.628027397266</v>
          </cell>
          <cell r="H8">
            <v>0</v>
          </cell>
        </row>
        <row r="9">
          <cell r="C9">
            <v>99683.63</v>
          </cell>
          <cell r="D9">
            <v>0</v>
          </cell>
          <cell r="G9">
            <v>113996.87240821918</v>
          </cell>
          <cell r="H9">
            <v>0</v>
          </cell>
        </row>
        <row r="10">
          <cell r="C10">
            <v>13983</v>
          </cell>
          <cell r="D10">
            <v>0</v>
          </cell>
          <cell r="G10">
            <v>48716.19506216341</v>
          </cell>
          <cell r="H10">
            <v>0</v>
          </cell>
        </row>
        <row r="11">
          <cell r="C11">
            <v>270480</v>
          </cell>
          <cell r="D11">
            <v>0</v>
          </cell>
          <cell r="G11">
            <v>1850243.3204432426</v>
          </cell>
          <cell r="H11">
            <v>0</v>
          </cell>
        </row>
        <row r="15">
          <cell r="C15">
            <v>1825887.73</v>
          </cell>
          <cell r="D15">
            <v>820398.42</v>
          </cell>
        </row>
        <row r="16">
          <cell r="D16">
            <v>3134481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tnal"/>
      <sheetName val="HONOTE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mit Darak" refreshedDate="45440.378517708334" createdVersion="8" refreshedVersion="8" minRefreshableVersion="3" recordCount="570" xr:uid="{51B2D364-CDE3-4C94-BE42-F9202F68D4A8}">
  <cacheSource type="worksheet">
    <worksheetSource ref="B3:Q573" sheet="TB Final"/>
  </cacheSource>
  <cacheFields count="16">
    <cacheField name="PARTICULARS" numFmtId="0">
      <sharedItems count="571">
        <s v="Opening Stock"/>
        <s v="Aayush Chem"/>
        <s v="Abirami Engineering Co.,Coimbatore"/>
        <s v="Discount &amp; Billing Diff Account"/>
        <s v="Insurance Claim Receivable"/>
        <s v="Interest Receivable on Power"/>
        <s v="JAI MAHALAXMI ENTERPRISES"/>
        <s v="PRL Concepts &amp; Business Solution Pvt Ltd (WP)"/>
        <s v="Reversal GST Payable(F.Y.21-22)"/>
        <s v="Shri Om Sai Enterprises"/>
        <s v="Advertisement Expenses"/>
        <s v="Agrawal Sales Corporation"/>
        <s v="A K R G &amp; Associates, Nagpur"/>
        <s v="ANANT SHREE AGENCY"/>
        <s v="AnilKumar M. Lakhotiya (Loan A/c)"/>
        <s v="Anilkumar M. Lakhotiya (REMUNERATION)"/>
        <s v="Annual Custody Fees"/>
        <s v="Annual Listing Fees"/>
        <s v="Anwar Akhtar"/>
        <s v="ASHWINI PACKAGING SOLUTIONS"/>
        <s v="Audit Expenses (Darak)"/>
        <s v="Audit Fees Payable"/>
        <s v="AVADHOOT PACKAGING SOLUTIONS PVT LTD."/>
        <s v="AVADHOOT PACKAGING SOLUTIONS PVT LTD[ WP]"/>
        <s v="Bad Debts"/>
        <s v="Balaji Enterprises"/>
        <s v="Baljit Kaur Manindersingh Saini"/>
        <s v="Bank Annual Processing Charges"/>
        <s v="Bank Commission &amp; Charges"/>
        <s v="BANK GUARANTEE CHARGES"/>
        <s v="Bank Loan Processing Fees"/>
        <s v="Batish Chemicals I India Pvt.Ltd."/>
        <s v="Bearing Centre"/>
        <s v="Bhavna Traders"/>
        <s v="Bhupinder Singh Coal Depot"/>
        <s v="Boiler Fireman  (Feeding Charges)"/>
        <s v="BOOKS NEWS PAPER &amp; PERODICALS"/>
        <s v="B R  ENTERPRISES"/>
        <s v="BUILDING"/>
        <s v="Capital Reserves"/>
        <s v="Carriage Inward : Machinery Rep&amp;Maint"/>
        <s v="Carriage Inward { Store }"/>
        <s v="Carriage Outward Machinery"/>
        <s v="CASH"/>
        <s v="CENTRAL DEPOSITORY SERVICE INDIA LTD."/>
        <s v="Central Mine Planning &amp; Design Institute Ltd"/>
        <s v="CGST PAYABLE ( F. Y. 2023-24 )"/>
        <s v="CGST RECEIVABLE (F. Y. 2023-24)"/>
        <s v="CHANDRA COAL PVT. LTD. (SALE)"/>
        <s v="Chemical Purchase"/>
        <s v="CHOWDHARY PACKAGERS"/>
        <s v="Claim Receivable Ag. Import OCC"/>
        <s v="Clearing &amp; Forwarding on WP Import"/>
        <s v="Clearing &amp; Forwarding on WP Import 6%"/>
        <s v="Coal Purchase"/>
        <s v="Commission on Sales"/>
        <s v="Computer"/>
        <s v="Consultation Charges"/>
        <s v="CONTAINER CORPORATION OF INDIA LTD"/>
        <s v="Contribution to ESIC Payable"/>
        <s v="Contribution to P.F. Payable"/>
        <s v="CONVEYANCE EXPENSES"/>
        <s v="COURIER &amp; POSTAGE CHARGES"/>
        <s v="Loss on Discardment of F A"/>
        <s v="Profit/(Loss) on sale of Asset"/>
        <s v="CUSTOM DUTY A/C."/>
        <s v="Dashmesh Dhaba (Kondhali Restaurnt)"/>
        <s v="Deekay &amp; Company"/>
        <s v="Deferred Tax Liabilities (Net)"/>
        <s v="Deposit for Coal to EAI-CIL Coal EAuction"/>
        <s v="Deposit for  COAL to MSMC"/>
        <s v="Deposit for LPG Domestic Cylender Connection"/>
        <s v="Deposits for Office Premises"/>
        <s v="Deposits for Telephone"/>
        <s v="Deposits Group Gratuity Fund (New Policy 707003372)"/>
        <s v="Deposits Group Gratuity Fund (Policy No. 707000291)"/>
        <s v="Deposit with Import (OCC)"/>
        <s v="Deposit with M.S.E.B."/>
        <s v="Deposit with SBI 9 Lac  [MSEB 36la] A/c 41131339460"/>
        <s v="Deposit with SBI for Custom 8.25 Lac BG[Rs. 206250]"/>
        <s v="Deposit With SBI for MPCB 5 Lac A/C38325014049"/>
        <s v="Depreciation Electrical Installation"/>
        <s v="Depreciation on Building"/>
        <s v="Depreciation on Computer"/>
        <s v="Depreciation on Furniture &amp; Fixture"/>
        <s v="Depreciation on Office Equipment"/>
        <s v="Depreciation on Plant &amp; Machinery"/>
        <s v="Depreciation on Vehicle"/>
        <s v="DILIPKUMAR PATEL"/>
        <s v="Directors Sitting Fees"/>
        <s v="Discount &amp; Billing Diff Account (HSN/SAC: 4804)"/>
        <s v="Discount &amp; Billing Diff. On Sales"/>
        <s v="DISTRIBUTION LOGISTICS INFRASTRUCTURE PVT.LTD."/>
        <s v="Donation Account"/>
        <s v="DURGA INDUSTRIAL  SECURITY, NAGPUR"/>
        <s v="Durga Traders"/>
        <s v="Electrical Installation"/>
        <s v="ELE+MECH ENGINEERING SOLUTIONS"/>
        <s v="Equity Share Capital"/>
        <s v="ESIC (Employees State Insurance Corpn)"/>
        <s v="E-Voting Expenses"/>
        <s v="Factory Cleaning Charges"/>
        <s v="Factory Misc Expenses"/>
        <s v="Factory Power &amp; Electricity Charges"/>
        <s v="Factory Tea &amp; Other Expenses"/>
        <s v="Fees to Registrar"/>
        <s v="Festival Expenses"/>
        <s v="Finished Goods Packing &amp; Allied Charges"/>
        <s v="FINISHED GOODS PACKING &amp; ALLIED PAYABLE"/>
        <s v="For Addl.FD[MSEB] 2.5Lac: A/c 40198297304"/>
        <s v="For BG[MSEB] 12.50 LAC :A/c 35633066338"/>
        <s v="Foreign Exchange Fluctuation"/>
        <s v="Freehold Land"/>
        <s v="FREIGHT ( SALES )"/>
        <s v="Friends Gears &amp; Engineering"/>
        <s v="Furniture &amp; Fixture"/>
        <s v="Ganpat Steel Industries"/>
        <s v="Gaurav Lakhotiya (Loan A/c)"/>
        <s v="General Reserves"/>
        <s v="Girish Murarka &amp; Co., Mumbai"/>
        <s v="Globe Engineering Company"/>
        <s v="Gratuity to Staff"/>
        <s v="GST E-Return Charges"/>
        <s v="HARIWANSH PACKAGING PRODUCT[WP]"/>
        <s v="Hazelkaur Manindersingh Saini"/>
        <s v="HEMANT MAHURE"/>
        <s v="Hindustan Mill Stores, Nagpur"/>
        <s v="IGST PAYABLE ( F.Y. 2023-24)"/>
        <s v="IGST RECEIVABLE ( F. Y. 2023-24 )"/>
        <s v="Import Waste Paper Purchase"/>
        <s v="Incentive/ Bonus to Contractor"/>
        <s v="Incentive/ Bonus to Staff"/>
        <s v="Income Tax Receivable (Refund)"/>
        <s v="Income Tax Refund (A.Y. 2022-23)"/>
        <s v="Income Tax Refunf A.Y. 2020-21"/>
        <s v="Inder Trade &amp; Industry, Bikaner"/>
        <s v="INDRAYANI PAPER PRODUCTS. PVT LTD"/>
        <s v="Innovative Solutions &amp; System"/>
        <s v="INSURANCE CHARGES FOR MARINE"/>
        <s v="Insurance Charges to Other"/>
        <s v="Insurance Claim Receivable( Accident Claim)"/>
        <s v="Insurance Pre-Paid"/>
        <s v="Interest  From Bank (F.D.)"/>
        <s v="Interest on CGST"/>
        <s v="Interest On Custom Duty"/>
        <s v="Interest on GECLBank T/L (1.46 Cr).....1281"/>
        <s v="Interest On IGST"/>
        <s v="Interest on SGST"/>
        <s v="Interest on TCS"/>
        <s v="Interest On TDS"/>
        <s v="Interest on T/L (1.40 Cr) 41345851422"/>
        <s v="Interest on TL (3 Cr) 42637205312"/>
        <s v="Interest on TL (7.75 Cr) 40667225452"/>
        <s v="Interest Receivable"/>
        <s v="Interest to Bank"/>
        <s v="Interest to Bank on T/L ( 73 Lakhs)....9457"/>
        <s v="Interest to Others"/>
        <s v="Internal Audit Fees (Khandelwal)"/>
        <s v="Jai Hanuman Industries, Nagpur"/>
        <s v="Jarnailsingh Saini (Loan A/c)"/>
        <s v="JARNAILSINGH SAINI [ REMMUNATION ]"/>
        <s v="JAYSHREE INDUSTRIES"/>
        <s v="J.S.M. MARKETING, NAGPUR"/>
        <s v="KAILASH CHAND AGRAWAL(REMUNERATION)"/>
        <s v="Kailashchandra P. Agrawal (Loan A/c)"/>
        <s v="Kailash Kaur Jarnailsingh Saini"/>
        <s v="KARAN ENTERPRISES (WP)"/>
        <s v="Kessels Engineering Works Pvt. Ltd."/>
        <s v="Khandelwal Consultants"/>
        <s v="K.R.V. Express"/>
        <s v="Labour Welfare Fund"/>
        <s v="Lakhotiya Traders Pvt. Ltd. (Sale)"/>
        <s v="LAKHOTIYA TRADERS [WP]"/>
        <s v="Lathia Rubber Mfg Co Pvt Ltd [Unit : Vapi]"/>
        <s v="LAXMI ENTERPRISES"/>
        <s v="Leave Encashment"/>
        <s v="Leave Encashment Payable"/>
        <s v="Legal &amp; Proffessional  Charges"/>
        <s v="L.I.C. Payable"/>
        <s v="Machinery Exp for Boiler Material BED"/>
        <s v="Machinery Repair &amp; Maint Diesel Exp."/>
        <s v="Machinery Repair &amp; Maintenance"/>
        <s v="Machinery Repair &amp; Maint to Electrical"/>
        <s v="Maharashtra State Mining Corp. Ltd."/>
        <s v="Maheshwari Agency"/>
        <s v="MEDICAL AIDS TO STAFF"/>
        <s v="NAGPUR AUTO SERVICES"/>
        <s v="Nagpur Techno Marketing P. Ltd."/>
        <s v="NARESH CHARDE"/>
        <s v="NAV DURGA BOILER &amp; EQUIPMENTS P. LTD."/>
        <s v="Nilkanth Nikhare"/>
        <s v="Nitin Thakre"/>
        <s v="Noor Industries, Muzaffarnagar"/>
        <s v="OFFICE CLEANING CHARGES"/>
        <s v="OFFICE ELECTRICITY CHARGES"/>
        <s v="Office Equipment"/>
        <s v="OFFICE MISC. EXPENSES"/>
        <s v="OFFICE RENT"/>
        <s v="OFFICE TEA &amp; OTHER EXP."/>
        <s v="OMPRAKASH D. RATHI (Loan A/c)"/>
        <s v="Omprakash D. Rathi (Remuneration)"/>
        <s v="ORIGAMI CELLULO PVT.LTD."/>
        <s v="OSWAL UDHYOG"/>
        <s v="Other Charges : Chemical"/>
        <s v="Other Charges : Coal"/>
        <s v="Other Charges : Packing Material"/>
        <s v="Other Import OCC Expenses"/>
        <s v="Other Sales"/>
        <s v="PACKING CHARGES"/>
        <s v="Packing Material Purchase"/>
        <s v="PACKSAFE"/>
        <s v="PACKSAFE [ WP]"/>
        <s v="PANCHSHEEL TRADING CORPN., NAGPUR"/>
        <s v="Payable to Boiler Fireman Charges"/>
        <s v="PAYABLE TO RAW MATERIAL SORTING"/>
        <s v="Payable Waste Paper Feeding Charges"/>
        <s v="PENALTY ON CGST"/>
        <s v="Penalty on Custom Duty"/>
        <s v="PENALTY ON SGST"/>
        <s v="Penalty on Staff Profession Tax"/>
        <s v="Plant &amp; Machinery"/>
        <s v="P.M.Logistics"/>
        <s v="POOJA EXPENSES"/>
        <s v="Power &amp; Electricity Payable"/>
        <s v="Power Excess Demand Chgs Receivable"/>
        <s v="Premier India Enterprises"/>
        <s v="Premier India Road Service, Nagpur"/>
        <s v="Pre-Operative Expenses on Elect Installation"/>
        <s v="Pre-Operative Exp. on Machinery"/>
        <s v="Pre-Operative (Intt &amp; Other ) Expenses"/>
        <s v="Pre-Operative Travelling Expenses"/>
        <s v="Pre-Paid Renewal &amp; Registration"/>
        <s v="P.R. GLOBAL RESOURCES INDIA PVT. LTD."/>
        <s v="Professional Fees"/>
        <s v="Professional Tax"/>
        <s v="Profit &amp; Loss A/c"/>
        <s v="Profit on Sales Tax Under P.S.I.Scheme"/>
        <s v="PROVIDENT FUND CONTRIBUTION EXP."/>
        <s v="Provision for Acturial Gratuity"/>
        <s v="Provision for Depreciation Building"/>
        <s v="Provision for Depreciation Computer"/>
        <s v="Provision for Depreciation Electrical Installation"/>
        <s v="Provision for Depreciation Factory Building"/>
        <s v="Provision for Depreciation Furniture &amp; Fixture"/>
        <s v="Provision for Depreciation Office Equipment"/>
        <s v="Provision for Depreciation Plant &amp; Machinery"/>
        <s v="Provision for Depreciation Vehicle"/>
        <s v="Provision For I.T. A.Y, 2005-06"/>
        <s v="Provision for I.T. A.Y. 2008-09"/>
        <s v="Provision for I.T. A.Y, 2013-14"/>
        <s v="Provision for I.T, A.Y.2017-18"/>
        <s v="Provisions for Gratuity Payable"/>
        <s v="PSI Under Sales Tax Deferal Receivable"/>
        <s v="Punamchand &amp; Sons ( Jaliwala)"/>
        <s v="PUNJAB MACHINE TOOLS"/>
        <s v="Purchase Expenses : Chemical"/>
        <s v="Purchase Expenses : Coal"/>
        <s v="Purchase Expenses : Packing Material"/>
        <s v="Purchase of Store"/>
        <s v="RADHIKA SALES CORPORATION"/>
        <s v="RADHIKA SALES CORPORATION [ WP]"/>
        <s v="Raghav Enterprises"/>
        <s v="Raj Engineering"/>
        <s v="Rates &amp; Taxes"/>
        <s v="RAVINDRA KUMBHARE"/>
        <s v="Raw Material Sorting Charges"/>
        <s v="R.C.CORRUPACK PVT. LTD."/>
        <s v="RCM CGST PAYABLE"/>
        <s v="RCM IGST PAYABLE"/>
        <s v="RCM SGST PAYABLE"/>
        <s v="Remuneration to Directors"/>
        <s v="Renewal &amp; Registration Expenses"/>
        <s v="RENUKA INDUSTRIES"/>
        <s v="Repair &amp; Maintenance to Other Assets"/>
        <s v="REPAIR &amp; MAINT. TO BUILDING"/>
        <s v="Retro Therm Innovations India Pvt. Ltd."/>
        <s v="Revaluation Reserve"/>
        <s v="R.K. Engineering Services"/>
        <s v="ROC Filing Charges"/>
        <s v="RoDTEP (Export Incentive Scheme) Claim Receivable"/>
        <s v="ROUNAK STEEL"/>
        <s v="Round Offf"/>
        <s v="R.S.KRAFT PAPERS PVT LTD"/>
        <s v="SAFETY PACKAGERS (P) LTD."/>
        <s v="Saini Transport Co."/>
        <s v="Salary Payable"/>
        <s v="Salary to Company Secretary"/>
        <s v="Salary to Factory Adm. Staff"/>
        <s v="Salary to Office Staff"/>
        <s v="Salary to Other Factory Staff"/>
        <s v="SALASAR ENTERPRISES, CHANDRAPUR"/>
        <s v="SALES A/C GST"/>
        <s v="SALES A/C INTERASTATE"/>
        <s v="Sales Return Account"/>
        <s v="SALE TRANSIT INSURANCE @0.30%"/>
        <s v="Sanjamkaur Saini"/>
        <s v="SARASWATI GENERAL STORES, NAGPUR"/>
        <s v="SARTAJ MANINDERSINGH SAINI"/>
        <s v="Saurashtra Marketing Corporation"/>
        <s v="SAVITRI ENTERPRISES"/>
        <s v="S.B.I. Add.Term  Loan (1.40lac)A/c.No.41345851422"/>
        <s v="S.B.I. ( COVID) A/C. 40590939457 (GECL30%) 73 Lakh"/>
        <s v="S.B.I. ( GECL)  Term Loan A/c 39366011281(1.46 Cr)"/>
        <s v="S.B.I. Indl.Fin.Br. Trustee HPML Empl.G.G.Scheme"/>
        <s v="SBI MSME-Term Loan A/c 42637205312 (3Crore)"/>
        <s v="S. B I. TERM LOAN  ( 7.75 Cr) A/c 40667225452"/>
        <s v="Securities Premium (351165@25)"/>
        <s v="Security Service Charges"/>
        <s v="Seema Enterprises [WP]"/>
        <s v="Seion Enterprises"/>
        <s v="SGST PAYABLE ( F. Y. 2023-24)"/>
        <s v="SGST RECEIVABLE ( F. Y. 2023-24 )"/>
        <s v="SHREE ENTERPRISES [WP]"/>
        <s v="SHREE INDUSTRIES"/>
        <s v="SHREE RAJENDRA CASH COMPANY"/>
        <s v="Shri Balaji Tradelink"/>
        <s v="SHRI RAM PACKERS"/>
        <s v="SIZE REBATE"/>
        <s v="S.K.Gupta (P) Ltd,Nagpur"/>
        <s v="SME Care Pvt. Ltd,"/>
        <s v="Snehlata A. Lakhotiya"/>
        <s v="Staff Profession Tax Payable"/>
        <s v="Stamp Paper &amp; Notary Charges"/>
        <s v="STATE BANK OF INDIA C.C.,SME Br."/>
        <s v="State Compensation on Cess"/>
        <s v="STATIONERY &amp; PRINTING CHARGES"/>
        <s v="Statutory Audit Fees (Darak &amp; Asso)"/>
        <s v="Stock Audit Bank Charges"/>
        <s v="Summit Enterprise"/>
        <s v="Sundry Balance W/off"/>
        <s v="Suryakant Sadawarti"/>
        <s v="SUSHMA SALES CORPORATION [ WP]"/>
        <s v="SWATI CORRUPACK [ WP]"/>
        <s v="Tanisha Resins P. Ltd., Nagpur"/>
        <s v="TAWAKKAL WASTE PAPER"/>
        <s v="T C S ( A.Y. 2023-24)"/>
        <s v="T C S (A. Y. 2024-25)"/>
        <s v="TCS Payable ON SALES ( 6 CR)"/>
        <s v="TDS ( A.Y. 2022-23)"/>
        <s v="TDS (A.Y. 2023-24)"/>
        <s v="TDS (AY 2024-25)"/>
        <s v="TDS PAYABLE ON CONTRACTORS"/>
        <s v="TDS PAYABLE ON INTEREST"/>
        <s v="TDS PAYABLE  ON OFFICE RENT"/>
        <s v="TDS  PAYABLE ON  PROFESSIONAL"/>
        <s v="TDS Payable on Purchase (194Q)"/>
        <s v="TDSPAYABLE ON REMUNERATION"/>
        <s v="TDS Payable on Salary"/>
        <s v="TDS Payable on Transporter"/>
        <s v="Tds Receivable F.Y. 2022-23"/>
        <s v="TELEPHONE CHARGES"/>
        <s v="Testing &amp; Inspection Fees"/>
        <s v="Tilakraj Inderpal, Nagpur"/>
        <s v="TRADE DISCOUNT"/>
        <s v="Travelling Expenses"/>
        <s v="URD Purchase on Packing Material"/>
        <s v="URD Purchase  on Waste Paper"/>
        <s v="Uttam Shetty &amp; Co"/>
        <s v="Uttej Polymers &amp; Chemicals"/>
        <s v="VAIBHAV ENTERPRISES (WP)"/>
        <s v="Varuna Industries, Nagpur"/>
        <s v="VEDANT PACKERS PVT.LTD."/>
        <s v="Vehicle"/>
        <s v="VEHICLE DIESEL EXPENSES"/>
        <s v="Vehicle Repair &amp; Maintenance"/>
        <s v="Vidhanis Tradelink Pvt. Ltd."/>
        <s v="Voith Paper Fabrics India Ltd."/>
        <s v="Walter Advisors Pvt Ltd"/>
        <s v="Waste Desposable Expenses(Plastic Despose)5%"/>
        <s v="Waste Desposable Expenses(Plastic Dispose)18%"/>
        <s v="Waste Desposable Expenses(Plastic Waste)"/>
        <s v="Waste Paper Feeding  Charges"/>
        <s v="Waste Paper Purchase"/>
        <s v="Western Coal Fields Ltd."/>
        <s v="WF Filter Fabriks Pvt. Ltd."/>
        <s v="W-I-P Building"/>
        <s v="W-I-P ELECTRICAL INSTALLATION"/>
        <s v="W I P OTHER EQUIPMENTS"/>
        <s v="W-I-P Plant &amp; Machinery"/>
        <s v="W - I - P Power Plant"/>
        <s v="Wires and Fabriks (S.A.) Limited"/>
        <s v="XEROX CHARGES"/>
        <s v="YASH COMMERCIALS"/>
        <s v="Advance Custom Duty"/>
        <s v="AMASHA LTD"/>
        <s v="ANISH TRADERS"/>
        <s v="ASJ Consultancy Pvt. Ltd."/>
        <s v="Blue International Trading LLC"/>
        <s v="Cancelled Sales Invoice"/>
        <s v="CGST PAYABLE (F.Y. 2022-23)"/>
        <s v="CGST RECEIVABLE (F.Y. 2022-23)"/>
        <s v="Eastern Bearings Pvt. Ltd."/>
        <s v="Eetamax Energy Solutions Pvt. Ltd."/>
        <s v="Freight on Other Expenses"/>
        <s v="Garima Maheshwari"/>
        <s v="GST TAX Paid on Assesment"/>
        <s v="IGST PAYABLE (F.Y. 2022-23)"/>
        <s v="IGST RECEIVABLE (F. Y. 2022-23)"/>
        <s v="Interest on Staff Professional Tax"/>
        <s v="Ishwar Nagose"/>
        <s v="Maroti Katlam"/>
        <s v="Parason Machinery (I) Pvt. Ltd."/>
        <s v="Payable to Legal &amp; Proff"/>
        <s v="Professional Tax Payable"/>
        <s v="Purchase Exp. : Husk"/>
        <s v="Raju Kukde"/>
        <s v="Ramjan Transport"/>
        <s v="RAMKRISHNA FIBERS PVT LTD"/>
        <s v="REMONDIS TRADE &amp; SALES GMBH"/>
        <s v="Riddhi Corporation, Surat"/>
        <s v="Right Issue Share Expenses"/>
        <s v="Sai Baba Refrigeration"/>
        <s v="Sales Tax Assessment Expenses"/>
        <s v="SGST PAYABLE (F.Y. 2022-23)"/>
        <s v="SGST RECEIVABLE (F.Y. 2022-23)"/>
        <s v="S.R. CORE AND CONES"/>
        <s v="Suryoday Textile Factory"/>
        <s v="Tcs (0.1%)"/>
        <s v="TDS on Purchase @ .1%"/>
        <s v="Turnkey Inc."/>
        <s v="Ultraaweather Engineering Services"/>
        <s v="United  Pipe Traders"/>
        <s v="Virendra Prasad Yadav"/>
        <s v="WAHEGURU ENTERPRISES"/>
        <s v="W M RECYCLE AMERICA LLC"/>
        <s v="WTE Infra Projects Pvt. Ltd."/>
        <s v="MNS Credit Management Group Pvt Ltd"/>
        <s v="SHUBHAM ENTERPRISES (SALE)"/>
        <s v="ANAMIKA TRADERS(SALES)"/>
        <s v="Pratik Enterprises"/>
        <s v="ANAMIKA TRADERS [ WP ]"/>
        <s v="CENTRAL SCIENTIFIC CO."/>
        <s v="AJANTA KRAFT"/>
        <s v="ACCURATE SALES AGENCIES"/>
        <s v="ALIGN COMPONENTS (P) LTD., (BU-II)"/>
        <s v="Advance Ag, Clearing-Frwd :OCC"/>
        <s v="Sudhakar Raut"/>
        <s v="CANUSA HERSHMAN RECYCLING CO."/>
        <s v="Cellmark Netherlands B.V."/>
        <s v="Amruta Enterprises, Nagpur"/>
        <s v="MAERSK LINE INDIA PVT LTD"/>
        <s v="MSC Mediterranean Shipping Company S.A."/>
        <s v="DR. B. P. TAORI"/>
        <s v="Anita Lakhotiya"/>
        <s v="Prior Period Expenses"/>
        <s v="GST Annual Return Fees Payable"/>
        <s v="CSR (CORPORATE SOCIAL RESPONSIBILITY)"/>
        <s v="Bank Facility Charges"/>
        <s v="BHOLANATH MITRA"/>
        <s v="CGST @ 6 % SALES"/>
        <s v="SGST @  6% SALES"/>
        <s v="CHANDRA SALES CORPORATION(SALE)"/>
        <s v="Clearing &amp; Forwarding to Transit OCC"/>
        <s v="CIPARO B.V."/>
        <s v="Conveyance To Directors"/>
        <s v="COSMIC CORPORATION"/>
        <s v="Covid-19 Expenses (Corona)"/>
        <s v="Deposit With SBI for MPCB 5 Lac BG [Rs.1,25,000]"/>
        <s v="CHANDRASHEKHAR JAPULKAR"/>
        <s v="Dhawal Dinesh Kawade"/>
        <s v="Drashta Power Consultants Pvt. Ltd."/>
        <s v="Insurance Premium in Group Gratuity"/>
        <s v="Exempted Ag.Chemical Purchase"/>
        <s v="Export Expenses for Clearing &amp; Forwarding"/>
        <s v="EXPORT SALE"/>
        <s v="Finished Goods Expenses"/>
        <s v="Franking Charges for Import O.C.C."/>
        <s v="Green Agro Industries"/>
        <s v="GST ANNUAL RETURN CHARGES"/>
        <s v="GST ANNUAL FEES F.Y. 2021-22"/>
        <s v="Payable to GST Annual Fees F.Y.21-22"/>
        <s v="GST Audit Fees Payable"/>
        <s v="Gupta Machinery Stores, Nagpur"/>
        <s v="House Rent"/>
        <s v="Incentive/ Bonus Payable"/>
        <s v="Interest on Add.T/L (1.5Cr)...6669"/>
        <s v="Interest on Bank Term Loan ( 2 Cr.)...0563"/>
        <s v="Interest on Income Tax"/>
        <s v="INTEREST ON PROFESSIONAL TAX"/>
        <s v="Supreme Elmech Pvt. Ltd."/>
        <s v="Jenson Trading Corporation"/>
        <s v="Jitendra Nikhare"/>
        <s v="KEDAR PAPER CONVERSIONS"/>
        <s v="Kunal Jain"/>
        <s v="Late Fee"/>
        <s v="Maa Tarini Traders"/>
        <s v="Mahesh Mirashe"/>
        <s v="Makharia Machineries Pvt. Ltd."/>
        <s v="Manish Computer"/>
        <s v="Manoj Gore"/>
        <s v="Membership &amp; Subscription"/>
        <s v="Mohd. Anish Abdul Aziz"/>
        <s v="Narayan Auto Part Service"/>
        <s v="OM SAI ENGINEERING"/>
        <s v="Other Charges : Chemical (NON-GST)"/>
        <s v="Penalty on TDS"/>
        <s v="Penalty to Compliance (MSEI)"/>
        <s v="Metropolitan Stock Exchange of India(MSEI)"/>
        <s v="Remuneration Payable"/>
        <s v="PRANSHU PAPER PVT. LTD."/>
        <s v="Other Comprehensive Income"/>
        <s v="Advance Income Tax (A.Y.2022-23)"/>
        <s v="Purchase Import in Transit"/>
        <s v="R.S. Kraft Papers Ltd"/>
        <s v="Rajesh Gas Agencies"/>
        <s v="IGST @ 12 % SALES"/>
        <s v="CGST @ 9% on OCC Expenses"/>
        <s v="SGST @ 9% on OCC Expenses"/>
        <s v="Sachin Dehankar"/>
        <s v="SEZ SALE (SPECIAL ECONOMIC ZONE)"/>
        <s v="Shankar Traders (Sale)"/>
        <s v="SHREE FLEX PRINT PVT.LTD."/>
        <s v="SHUBHAM ENTERPRISES"/>
        <s v="Site Development Expenses (Gardening)"/>
        <s v="Sumed Borkar"/>
        <s v="Summit Agencies"/>
        <s v="Sunil Nate"/>
        <s v="TDS Payable Dealers Commission"/>
        <s v="Telephone Charges Payable"/>
        <s v="Unipack"/>
        <s v="UNIPACK (SALE)"/>
        <s v="Ari Armaturen Steamline LLP,Pune"/>
        <s v="ARYAN PACKAGING INDUSTRIES"/>
        <s v="Balaji Medical Stores"/>
        <s v="CARRIAGE OUTWARD (SALE)"/>
        <s v="CGST PAYABLE (F.Y. 2021-22)"/>
        <s v="Chaitanya Constructions PY"/>
        <s v="Chaitanya Constructions"/>
        <s v="Choudhary Trading Company"/>
        <s v="Conquest Enterprises"/>
        <s v="CSR F.Y. 2019-20"/>
        <s v="Custom Duty Exp Ag.Transit OCC"/>
        <s v="Custom Duty Payable"/>
        <s v="DP Papertech, Pune"/>
        <s v="Earlier Tax Paid"/>
        <s v="FREIGHT CHARGES"/>
        <s v="Global Technologies P. Y. "/>
        <s v="Global Technologies"/>
        <s v="Highrise Transformer"/>
        <s v="I G S T PAYABLE ( F. Y. 2021-22 )"/>
        <s v="I G S T RECEIVABLE ( F.Y. 2021-22 )"/>
        <s v="I-Kcal Systems Engineering LLP P.Y."/>
        <s v="I-Kcal Systems Engineering LLP"/>
        <s v="Indian Machinery Store"/>
        <s v="Indian Traders"/>
        <s v="Interest On Local Body Tax"/>
        <s v="Paharpur Cooling Towers Limited"/>
        <s v="Polypick Engineers Pvt. Ltd., Indore"/>
        <s v="Prakash Kupale"/>
        <s v="OTHER EQUIPMENTS"/>
        <s v="PURCHASE  OF HUSK"/>
        <s v="Rishi Kumar Yadav"/>
        <s v="MANGAL  PAPERS"/>
        <s v="Satish Kalbande"/>
        <s v="SGST PAYABLE (F.Y.2021-22)"/>
        <s v="SHRINIWAS ENTERPRISES"/>
        <s v="S S Controls"/>
        <s v="Subhash Shirsagar"/>
        <s v="Sunil Nagose"/>
        <s v="T C S F. Y. 2021-22"/>
        <s v="Tds Receivable F.Y. 2021-22"/>
        <s v="VIJAY TRADERS WP"/>
        <s v="Vimta Labs Limited"/>
        <s v="Vaibhav Enterprises"/>
        <s v="S.A. ENTERPRISES"/>
        <s v="Walter &amp; Associates, Mumbai"/>
        <s v="Waste Desposable Expenses(Plastic Dispose)"/>
        <s v="Kessels Engineering Works Pvt. Ltd. P.Y."/>
        <s v="AAR Tech Engineering P.Y."/>
        <s v="AAR Tech Engineering"/>
        <s v="Loss on Discardment of FA" u="1"/>
      </sharedItems>
    </cacheField>
    <cacheField name="Note" numFmtId="0">
      <sharedItems containsString="0" containsBlank="1" containsNumber="1" containsInteger="1" minValue="2" maxValue="27" count="24">
        <m/>
        <n v="17"/>
        <n v="27"/>
        <n v="10"/>
        <n v="9"/>
        <n v="6"/>
        <n v="18"/>
        <n v="13"/>
        <n v="26"/>
        <n v="2"/>
        <n v="12"/>
        <n v="7"/>
        <n v="23"/>
        <n v="15"/>
        <n v="4"/>
        <n v="14"/>
        <n v="3"/>
        <n v="25"/>
        <n v="21"/>
        <n v="22"/>
        <n v="11"/>
        <n v="20"/>
        <n v="16"/>
        <n v="19"/>
      </sharedItems>
    </cacheField>
    <cacheField name="BS Main Head" numFmtId="0">
      <sharedItems count="30">
        <s v="opening stock"/>
        <s v="Trade Payables"/>
        <s v="Other - Selling &amp; Distribution Expenses"/>
        <s v="Other Current Assets"/>
        <s v="Other Financial Assets"/>
        <s v="Financial Assets"/>
        <s v="Other Financial Liabilities - Current"/>
        <s v="Long Term Borrowings"/>
        <s v="Other - Establishment Expenses"/>
        <s v="Finance Costs"/>
        <s v="Other - Manufacturing Expenses"/>
        <s v="Property, Plant and Equipment"/>
        <s v="Reserves &amp; Surplus"/>
        <s v="Cash and cash Equivalents"/>
        <s v="Raw Material Consumed"/>
        <s v="Deferred Tax Liabilities "/>
        <s v="Other Non Current Assets"/>
        <s v="Non Current - Provisions"/>
        <s v="Other Financial Assets - Non Current"/>
        <s v="Depreciation &amp; Amortisation"/>
        <s v="Employee Benefit Expenses"/>
        <s v="Revenue From Operations"/>
        <s v="Share Capital"/>
        <s v="Other Income"/>
        <s v="Current Tax Assets"/>
        <s v="Short Term Provisions"/>
        <s v="Short Term Borrowings"/>
        <s v="Other Current Liabilities"/>
        <s v="OTHER FINANCIAL LIABILITIES : CURRENT" u="1"/>
        <e v="#N/A" u="1"/>
      </sharedItems>
    </cacheField>
    <cacheField name="BS Sub Head" numFmtId="0">
      <sharedItems count="90">
        <s v="opening stock"/>
        <s v="Trade Payables - Others"/>
        <s v="Insurance on Sales"/>
        <s v="Insurance claim Receivable"/>
        <s v="Interest Receivable on Power"/>
        <s v="Trade Receivables"/>
        <s v="Trade Payables"/>
        <s v="GST"/>
        <s v="Advertisement Expenses"/>
        <s v="Unsecured-From Related Party"/>
        <s v="Employee Payables"/>
        <s v="General Expenses"/>
        <s v="Listing Expenses"/>
        <s v="Loans and Advances to Employees"/>
        <s v="Audit Expenses"/>
        <s v="Bad Debts"/>
        <s v="Other Borrowing Costs"/>
        <s v="Bank Commission &amp; Charges"/>
        <s v="Factory Expenses"/>
        <s v="Office Expenses"/>
        <s v="Tangible Asset"/>
        <s v="Capital Reserve"/>
        <s v="Repairs &amp; Maintainence - Machinery"/>
        <s v="Cash On Hand"/>
        <s v="Earnest Money Deposits"/>
        <s v="Balance with Government Authorities"/>
        <s v="Raw Material Purchase"/>
        <s v="Import Claim Receivable"/>
        <s v="Power and Fuel"/>
        <s v="Commission on Sales"/>
        <s v="Legal and Professional Charges"/>
        <s v="Advance to Suppliers"/>
        <s v="Statutory Dues"/>
        <s v="Travelling and Conveyance Expense"/>
        <s v="Loss on Discardment of FA"/>
        <s v="Profit/(Loss) on sale of Asset"/>
        <s v="Deferred Tax Liability"/>
        <s v="Long Term Deposits"/>
        <s v="Provision for Employee Benefit"/>
        <s v="Balance with Bank in Deposit Accounts"/>
        <s v="Depreciation"/>
        <s v="Salary &amp; Wages"/>
        <s v="Sale of Goods - Manufacturing Sales"/>
        <s v="Donation"/>
        <s v="Issued, Subscribed &amp; Paid Up"/>
        <s v="Contribution to Funds"/>
        <s v="Rates &amp; Taxes"/>
        <s v="Finished Goods Packing and Allied Charges"/>
        <s v="Foreign Exchange Fluctuation Gain on RM"/>
        <s v="Freight on Sales"/>
        <s v="General Reserve"/>
        <s v="Advance Income Tax"/>
        <s v="Insurance Charges"/>
        <s v="Prepaid Expenses"/>
        <s v="Interest Received"/>
        <s v="Interest Expenses"/>
        <s v="Internal Audit Fees"/>
        <s v="Payable for Capital Goods"/>
        <s v="Staff Welfare Expenses"/>
        <s v="Rent Expense"/>
        <s v="Packing Material Purchase"/>
        <s v="Sale of Scrap"/>
        <s v="Excess Demand Charges Receivable"/>
        <s v="Capital WIP"/>
        <s v="Surplus"/>
        <s v="PSI Subsidy"/>
        <s v="Tangible Asset - PFD"/>
        <s v="Stores &amp; Spares Consumed"/>
        <s v="Raw Material Sorting Charges"/>
        <s v="Repairs &amp; Maintainence - Others"/>
        <s v="Repairs &amp; Maintainence - Building"/>
        <s v="Secured - From Banks - Term Loan"/>
        <s v="Balance With Bank - Current A/c"/>
        <s v="Securities Premium"/>
        <s v="Security Service Charges"/>
        <s v="Secured - From Banks - Working Capital Loan"/>
        <s v="Printing &amp; Stationery"/>
        <s v="Statutory Audit Fees"/>
        <s v="Telephone Expenses"/>
        <s v="Repairs &amp; Maintainence - Vehicle"/>
        <s v="Unsecured-From Others"/>
        <s v="Waste Disposal Expenses"/>
        <s v="Waste Paper Feeding Charges"/>
        <s v="Profession Tax"/>
        <s v="Advance For Capital Goods"/>
        <s v="CSR Expenses"/>
        <s v="Clearing &amp; Forwarding Expenses"/>
        <s v="Custom Duty"/>
        <s v="Trade Payables for capital goods" u="1"/>
        <e v="#N/A" u="1"/>
      </sharedItems>
    </cacheField>
    <cacheField name="Dr." numFmtId="164">
      <sharedItems containsSemiMixedTypes="0" containsString="0" containsNumber="1" minValue="0" maxValue="348624149.81"/>
    </cacheField>
    <cacheField name="Adj" numFmtId="164">
      <sharedItems containsString="0" containsBlank="1" containsNumber="1" containsInteger="1" minValue="-55667" maxValue="-55667"/>
    </cacheField>
    <cacheField name="Dr. Final 23-24" numFmtId="164">
      <sharedItems containsSemiMixedTypes="0" containsString="0" containsNumber="1" minValue="0" maxValue="348624149.81"/>
    </cacheField>
    <cacheField name="Cr." numFmtId="164">
      <sharedItems containsSemiMixedTypes="0" containsString="0" containsNumber="1" minValue="0" maxValue="512311311.10000002"/>
    </cacheField>
    <cacheField name="Adj2" numFmtId="164">
      <sharedItems containsString="0" containsBlank="1" containsNumber="1" containsInteger="1" minValue="-55667" maxValue="-55667"/>
    </cacheField>
    <cacheField name="Cr. Final 23-24" numFmtId="164">
      <sharedItems containsString="0" containsBlank="1" containsNumber="1" minValue="0" maxValue="512311311.10000002"/>
    </cacheField>
    <cacheField name="Dr.2" numFmtId="164">
      <sharedItems containsString="0" containsBlank="1" containsNumber="1" minValue="0" maxValue="501477134.5"/>
    </cacheField>
    <cacheField name="Adj3" numFmtId="164">
      <sharedItems containsString="0" containsBlank="1" containsNumber="1" containsInteger="1" minValue="0" maxValue="0"/>
    </cacheField>
    <cacheField name="Dr. Final 22-23" numFmtId="164">
      <sharedItems containsString="0" containsBlank="1" containsNumber="1" minValue="0" maxValue="501477134.5"/>
    </cacheField>
    <cacheField name="Cr.2" numFmtId="164">
      <sharedItems containsString="0" containsBlank="1" containsNumber="1" minValue="0" maxValue="930626444.45000005"/>
    </cacheField>
    <cacheField name="Adj4" numFmtId="164">
      <sharedItems containsString="0" containsBlank="1" containsNumber="1" minValue="-68765.660375000443" maxValue="191396.66984900087"/>
    </cacheField>
    <cacheField name="Cr. Final 22-23" numFmtId="164">
      <sharedItems containsString="0" containsBlank="1" containsNumber="1" minValue="0" maxValue="930626444.4500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0">
  <r>
    <x v="0"/>
    <x v="0"/>
    <x v="0"/>
    <x v="0"/>
    <n v="62662681"/>
    <m/>
    <n v="62662681"/>
    <n v="0"/>
    <m/>
    <n v="0"/>
    <n v="51593267"/>
    <n v="0"/>
    <n v="51593267"/>
    <n v="0"/>
    <n v="0"/>
    <n v="0"/>
  </r>
  <r>
    <x v="1"/>
    <x v="1"/>
    <x v="1"/>
    <x v="1"/>
    <n v="0"/>
    <m/>
    <n v="0"/>
    <n v="2485320"/>
    <m/>
    <n v="2485320"/>
    <n v="0"/>
    <n v="0"/>
    <n v="0"/>
    <n v="380240"/>
    <n v="0"/>
    <n v="380240"/>
  </r>
  <r>
    <x v="2"/>
    <x v="1"/>
    <x v="1"/>
    <x v="1"/>
    <n v="0"/>
    <m/>
    <n v="0"/>
    <n v="115749"/>
    <m/>
    <n v="115749"/>
    <n v="0"/>
    <n v="0"/>
    <n v="0"/>
    <n v="0"/>
    <n v="0"/>
    <n v="0"/>
  </r>
  <r>
    <x v="3"/>
    <x v="2"/>
    <x v="2"/>
    <x v="2"/>
    <n v="0"/>
    <m/>
    <n v="0"/>
    <n v="13700"/>
    <m/>
    <n v="13700"/>
    <m/>
    <m/>
    <m/>
    <m/>
    <m/>
    <m/>
  </r>
  <r>
    <x v="4"/>
    <x v="3"/>
    <x v="3"/>
    <x v="3"/>
    <n v="24320"/>
    <m/>
    <n v="24320"/>
    <n v="0"/>
    <m/>
    <n v="0"/>
    <m/>
    <m/>
    <m/>
    <m/>
    <m/>
    <m/>
  </r>
  <r>
    <x v="5"/>
    <x v="4"/>
    <x v="4"/>
    <x v="4"/>
    <n v="319057"/>
    <m/>
    <n v="319057"/>
    <n v="0"/>
    <m/>
    <n v="0"/>
    <m/>
    <m/>
    <m/>
    <m/>
    <m/>
    <m/>
  </r>
  <r>
    <x v="6"/>
    <x v="5"/>
    <x v="5"/>
    <x v="5"/>
    <n v="231314"/>
    <m/>
    <n v="231314"/>
    <n v="0"/>
    <m/>
    <n v="0"/>
    <n v="231314"/>
    <n v="0"/>
    <n v="231314"/>
    <m/>
    <m/>
    <m/>
  </r>
  <r>
    <x v="7"/>
    <x v="1"/>
    <x v="1"/>
    <x v="6"/>
    <n v="0"/>
    <m/>
    <n v="0"/>
    <n v="19514"/>
    <m/>
    <n v="19514"/>
    <m/>
    <m/>
    <m/>
    <m/>
    <m/>
    <m/>
  </r>
  <r>
    <x v="8"/>
    <x v="6"/>
    <x v="6"/>
    <x v="7"/>
    <n v="0"/>
    <m/>
    <n v="0"/>
    <n v="77396"/>
    <m/>
    <n v="77396"/>
    <m/>
    <m/>
    <m/>
    <m/>
    <m/>
    <m/>
  </r>
  <r>
    <x v="9"/>
    <x v="1"/>
    <x v="1"/>
    <x v="1"/>
    <n v="0"/>
    <m/>
    <n v="0"/>
    <n v="22492"/>
    <m/>
    <n v="22492"/>
    <m/>
    <m/>
    <m/>
    <m/>
    <m/>
    <m/>
  </r>
  <r>
    <x v="10"/>
    <x v="2"/>
    <x v="2"/>
    <x v="8"/>
    <n v="156102"/>
    <m/>
    <n v="156102"/>
    <n v="0"/>
    <m/>
    <n v="0"/>
    <n v="120274"/>
    <n v="0"/>
    <n v="120274"/>
    <n v="0"/>
    <n v="0"/>
    <n v="0"/>
  </r>
  <r>
    <x v="11"/>
    <x v="1"/>
    <x v="1"/>
    <x v="1"/>
    <n v="0"/>
    <m/>
    <n v="0"/>
    <n v="169429"/>
    <m/>
    <n v="169429"/>
    <n v="0"/>
    <n v="0"/>
    <n v="0"/>
    <n v="39816"/>
    <n v="0"/>
    <n v="39816"/>
  </r>
  <r>
    <x v="12"/>
    <x v="1"/>
    <x v="1"/>
    <x v="1"/>
    <n v="0"/>
    <m/>
    <n v="0"/>
    <n v="208440"/>
    <m/>
    <n v="208440"/>
    <n v="0"/>
    <n v="0"/>
    <n v="0"/>
    <n v="73440"/>
    <n v="0"/>
    <n v="73440"/>
  </r>
  <r>
    <x v="13"/>
    <x v="5"/>
    <x v="5"/>
    <x v="5"/>
    <n v="2734455"/>
    <m/>
    <n v="2734455"/>
    <n v="0"/>
    <m/>
    <n v="0"/>
    <n v="0"/>
    <n v="0"/>
    <n v="0"/>
    <n v="0"/>
    <n v="0"/>
    <n v="0"/>
  </r>
  <r>
    <x v="14"/>
    <x v="7"/>
    <x v="7"/>
    <x v="9"/>
    <n v="0"/>
    <m/>
    <n v="0"/>
    <n v="4465191"/>
    <m/>
    <n v="4465191"/>
    <n v="0"/>
    <n v="0"/>
    <n v="0"/>
    <n v="2723419"/>
    <n v="0"/>
    <n v="2723419"/>
  </r>
  <r>
    <x v="15"/>
    <x v="6"/>
    <x v="6"/>
    <x v="10"/>
    <n v="0"/>
    <m/>
    <n v="0"/>
    <n v="0"/>
    <m/>
    <n v="0"/>
    <n v="0"/>
    <n v="0"/>
    <n v="0"/>
    <n v="0"/>
    <n v="0"/>
    <n v="0"/>
  </r>
  <r>
    <x v="16"/>
    <x v="2"/>
    <x v="8"/>
    <x v="11"/>
    <n v="18000"/>
    <m/>
    <n v="18000"/>
    <n v="0"/>
    <m/>
    <n v="0"/>
    <n v="18000"/>
    <n v="0"/>
    <n v="18000"/>
    <n v="0"/>
    <n v="0"/>
    <n v="0"/>
  </r>
  <r>
    <x v="17"/>
    <x v="2"/>
    <x v="8"/>
    <x v="12"/>
    <n v="55000"/>
    <m/>
    <n v="55000"/>
    <n v="0"/>
    <m/>
    <n v="0"/>
    <n v="55000"/>
    <n v="0"/>
    <n v="55000"/>
    <n v="0"/>
    <n v="0"/>
    <n v="0"/>
  </r>
  <r>
    <x v="18"/>
    <x v="4"/>
    <x v="4"/>
    <x v="13"/>
    <n v="70000"/>
    <m/>
    <n v="70000"/>
    <n v="0"/>
    <m/>
    <n v="0"/>
    <n v="0"/>
    <n v="0"/>
    <n v="0"/>
    <n v="0"/>
    <n v="0"/>
    <n v="0"/>
  </r>
  <r>
    <x v="19"/>
    <x v="5"/>
    <x v="5"/>
    <x v="5"/>
    <n v="244640"/>
    <m/>
    <n v="244640"/>
    <n v="0"/>
    <m/>
    <n v="0"/>
    <n v="0"/>
    <n v="0"/>
    <n v="0"/>
    <n v="0"/>
    <n v="0"/>
    <n v="0"/>
  </r>
  <r>
    <x v="20"/>
    <x v="2"/>
    <x v="8"/>
    <x v="14"/>
    <n v="7403"/>
    <m/>
    <n v="7403"/>
    <n v="0"/>
    <m/>
    <n v="0"/>
    <n v="0"/>
    <n v="0"/>
    <n v="0"/>
    <n v="0"/>
    <n v="0"/>
    <n v="0"/>
  </r>
  <r>
    <x v="21"/>
    <x v="1"/>
    <x v="1"/>
    <x v="1"/>
    <n v="0"/>
    <m/>
    <n v="0"/>
    <n v="247500"/>
    <m/>
    <n v="247500"/>
    <n v="0"/>
    <n v="0"/>
    <n v="0"/>
    <n v="247500"/>
    <n v="0"/>
    <n v="247500"/>
  </r>
  <r>
    <x v="22"/>
    <x v="5"/>
    <x v="5"/>
    <x v="5"/>
    <n v="1489956"/>
    <m/>
    <n v="1489956"/>
    <n v="0"/>
    <m/>
    <n v="0"/>
    <n v="2282129"/>
    <n v="0"/>
    <n v="2282129"/>
    <n v="0"/>
    <n v="0"/>
    <n v="0"/>
  </r>
  <r>
    <x v="23"/>
    <x v="1"/>
    <x v="1"/>
    <x v="6"/>
    <n v="0"/>
    <m/>
    <n v="0"/>
    <n v="641767.5"/>
    <m/>
    <n v="641767.5"/>
    <n v="0"/>
    <n v="0"/>
    <n v="0"/>
    <n v="556517"/>
    <n v="0"/>
    <n v="556517"/>
  </r>
  <r>
    <x v="24"/>
    <x v="2"/>
    <x v="8"/>
    <x v="15"/>
    <n v="0"/>
    <m/>
    <n v="0"/>
    <n v="0"/>
    <m/>
    <n v="0"/>
    <n v="0"/>
    <n v="0"/>
    <n v="0"/>
    <n v="0"/>
    <n v="0"/>
    <n v="0"/>
  </r>
  <r>
    <x v="25"/>
    <x v="1"/>
    <x v="1"/>
    <x v="6"/>
    <n v="0"/>
    <m/>
    <n v="0"/>
    <n v="233402"/>
    <m/>
    <n v="233402"/>
    <n v="0"/>
    <n v="0"/>
    <n v="0"/>
    <n v="156616"/>
    <n v="0"/>
    <n v="156616"/>
  </r>
  <r>
    <x v="26"/>
    <x v="7"/>
    <x v="7"/>
    <x v="9"/>
    <n v="0"/>
    <m/>
    <n v="0"/>
    <n v="383005"/>
    <m/>
    <n v="383005"/>
    <n v="0"/>
    <n v="0"/>
    <n v="0"/>
    <n v="853856"/>
    <n v="0"/>
    <n v="853856"/>
  </r>
  <r>
    <x v="27"/>
    <x v="8"/>
    <x v="9"/>
    <x v="16"/>
    <n v="350000"/>
    <m/>
    <n v="350000"/>
    <n v="0"/>
    <m/>
    <n v="0"/>
    <n v="0"/>
    <n v="0"/>
    <n v="0"/>
    <n v="0"/>
    <n v="0"/>
    <n v="0"/>
  </r>
  <r>
    <x v="28"/>
    <x v="2"/>
    <x v="8"/>
    <x v="17"/>
    <n v="182542.48"/>
    <m/>
    <n v="182542.48"/>
    <n v="0"/>
    <m/>
    <n v="0"/>
    <n v="412603.48"/>
    <n v="0"/>
    <n v="412603.48"/>
    <n v="0"/>
    <n v="0"/>
    <n v="0"/>
  </r>
  <r>
    <x v="29"/>
    <x v="8"/>
    <x v="9"/>
    <x v="16"/>
    <n v="262544"/>
    <m/>
    <n v="262544"/>
    <n v="0"/>
    <m/>
    <n v="0"/>
    <n v="175317"/>
    <n v="0"/>
    <n v="175317"/>
    <n v="0"/>
    <n v="0"/>
    <n v="0"/>
  </r>
  <r>
    <x v="30"/>
    <x v="8"/>
    <x v="9"/>
    <x v="16"/>
    <n v="586700"/>
    <m/>
    <n v="586700"/>
    <n v="0"/>
    <m/>
    <n v="0"/>
    <n v="0"/>
    <n v="0"/>
    <n v="0"/>
    <n v="0"/>
    <n v="0"/>
    <n v="0"/>
  </r>
  <r>
    <x v="31"/>
    <x v="1"/>
    <x v="1"/>
    <x v="1"/>
    <n v="0"/>
    <m/>
    <n v="0"/>
    <n v="430509"/>
    <m/>
    <n v="430509"/>
    <n v="0"/>
    <n v="0"/>
    <n v="0"/>
    <n v="0"/>
    <n v="0"/>
    <n v="0"/>
  </r>
  <r>
    <x v="32"/>
    <x v="1"/>
    <x v="1"/>
    <x v="6"/>
    <n v="0"/>
    <m/>
    <n v="0"/>
    <n v="757002"/>
    <m/>
    <n v="757002"/>
    <n v="0"/>
    <n v="0"/>
    <n v="0"/>
    <n v="54681"/>
    <n v="0"/>
    <n v="54681"/>
  </r>
  <r>
    <x v="33"/>
    <x v="1"/>
    <x v="1"/>
    <x v="6"/>
    <n v="0"/>
    <m/>
    <n v="0"/>
    <n v="1762334"/>
    <m/>
    <n v="1762334"/>
    <n v="0"/>
    <n v="0"/>
    <n v="0"/>
    <n v="0"/>
    <n v="0"/>
    <n v="0"/>
  </r>
  <r>
    <x v="34"/>
    <x v="1"/>
    <x v="1"/>
    <x v="1"/>
    <n v="0"/>
    <m/>
    <n v="0"/>
    <n v="38700"/>
    <m/>
    <n v="38700"/>
    <n v="0"/>
    <n v="0"/>
    <n v="0"/>
    <n v="0"/>
    <n v="0"/>
    <n v="0"/>
  </r>
  <r>
    <x v="35"/>
    <x v="2"/>
    <x v="10"/>
    <x v="18"/>
    <n v="3742571.88"/>
    <m/>
    <n v="3742571.88"/>
    <n v="0"/>
    <m/>
    <n v="0"/>
    <n v="3043560"/>
    <n v="0"/>
    <n v="3043560"/>
    <n v="0"/>
    <n v="0"/>
    <n v="0"/>
  </r>
  <r>
    <x v="36"/>
    <x v="2"/>
    <x v="8"/>
    <x v="19"/>
    <n v="3164"/>
    <m/>
    <n v="3164"/>
    <n v="0"/>
    <m/>
    <n v="0"/>
    <n v="3329"/>
    <n v="0"/>
    <n v="3329"/>
    <n v="0"/>
    <n v="0"/>
    <n v="0"/>
  </r>
  <r>
    <x v="37"/>
    <x v="5"/>
    <x v="5"/>
    <x v="5"/>
    <n v="50118"/>
    <m/>
    <n v="50118"/>
    <n v="0"/>
    <m/>
    <n v="0"/>
    <n v="0"/>
    <n v="0"/>
    <n v="0"/>
    <n v="0"/>
    <n v="0"/>
    <n v="0"/>
  </r>
  <r>
    <x v="38"/>
    <x v="9"/>
    <x v="11"/>
    <x v="20"/>
    <n v="74323684.409999996"/>
    <m/>
    <n v="74323684.409999996"/>
    <n v="0"/>
    <m/>
    <n v="0"/>
    <n v="64116710.619999997"/>
    <n v="0"/>
    <n v="64116710.619999997"/>
    <n v="0"/>
    <n v="0"/>
    <n v="0"/>
  </r>
  <r>
    <x v="39"/>
    <x v="10"/>
    <x v="12"/>
    <x v="21"/>
    <n v="0"/>
    <m/>
    <n v="0"/>
    <n v="20413989"/>
    <m/>
    <n v="20413989"/>
    <n v="0"/>
    <n v="0"/>
    <n v="0"/>
    <n v="20413989"/>
    <n v="0"/>
    <n v="20413989"/>
  </r>
  <r>
    <x v="40"/>
    <x v="2"/>
    <x v="10"/>
    <x v="22"/>
    <n v="369720"/>
    <m/>
    <n v="369720"/>
    <n v="0"/>
    <m/>
    <n v="0"/>
    <n v="492951"/>
    <n v="0"/>
    <n v="492951"/>
    <n v="0"/>
    <n v="0"/>
    <n v="0"/>
  </r>
  <r>
    <x v="41"/>
    <x v="2"/>
    <x v="10"/>
    <x v="18"/>
    <n v="201977"/>
    <m/>
    <n v="201977"/>
    <n v="0"/>
    <m/>
    <n v="0"/>
    <n v="283443"/>
    <n v="0"/>
    <n v="283443"/>
    <n v="0"/>
    <n v="0"/>
    <n v="0"/>
  </r>
  <r>
    <x v="42"/>
    <x v="2"/>
    <x v="10"/>
    <x v="18"/>
    <n v="276683"/>
    <m/>
    <n v="276683"/>
    <n v="0"/>
    <m/>
    <n v="0"/>
    <n v="234338"/>
    <n v="0"/>
    <n v="234338"/>
    <n v="0"/>
    <n v="0"/>
    <n v="0"/>
  </r>
  <r>
    <x v="43"/>
    <x v="11"/>
    <x v="13"/>
    <x v="23"/>
    <n v="270656"/>
    <m/>
    <n v="270656"/>
    <n v="0"/>
    <m/>
    <n v="0"/>
    <n v="230316"/>
    <n v="0"/>
    <n v="230316"/>
    <n v="0"/>
    <n v="0"/>
    <n v="0"/>
  </r>
  <r>
    <x v="44"/>
    <x v="1"/>
    <x v="1"/>
    <x v="1"/>
    <n v="0"/>
    <m/>
    <n v="0"/>
    <n v="0"/>
    <m/>
    <n v="0"/>
    <n v="0"/>
    <n v="0"/>
    <n v="0"/>
    <n v="0"/>
    <n v="0"/>
    <n v="0"/>
  </r>
  <r>
    <x v="45"/>
    <x v="4"/>
    <x v="4"/>
    <x v="24"/>
    <n v="780000"/>
    <m/>
    <n v="780000"/>
    <n v="0"/>
    <m/>
    <n v="0"/>
    <n v="0"/>
    <n v="0"/>
    <n v="0"/>
    <n v="0"/>
    <n v="0"/>
    <n v="0"/>
  </r>
  <r>
    <x v="46"/>
    <x v="6"/>
    <x v="6"/>
    <x v="7"/>
    <n v="0"/>
    <m/>
    <n v="0"/>
    <n v="633932.4"/>
    <m/>
    <n v="633932.4"/>
    <n v="0"/>
    <n v="0"/>
    <n v="0"/>
    <n v="0"/>
    <n v="0"/>
    <n v="0"/>
  </r>
  <r>
    <x v="47"/>
    <x v="4"/>
    <x v="4"/>
    <x v="25"/>
    <n v="0"/>
    <m/>
    <n v="0"/>
    <n v="0"/>
    <m/>
    <n v="0"/>
    <n v="0"/>
    <n v="0"/>
    <n v="0"/>
    <n v="0"/>
    <n v="0"/>
    <n v="0"/>
  </r>
  <r>
    <x v="48"/>
    <x v="5"/>
    <x v="5"/>
    <x v="5"/>
    <n v="0"/>
    <m/>
    <n v="0"/>
    <n v="0"/>
    <m/>
    <n v="0"/>
    <n v="10899010"/>
    <n v="0"/>
    <n v="10899010"/>
    <n v="0"/>
    <n v="0"/>
    <n v="0"/>
  </r>
  <r>
    <x v="49"/>
    <x v="12"/>
    <x v="14"/>
    <x v="26"/>
    <n v="39746292.5"/>
    <m/>
    <n v="39746292.5"/>
    <n v="0"/>
    <m/>
    <n v="0"/>
    <n v="51776100"/>
    <n v="0"/>
    <n v="51776100"/>
    <n v="0"/>
    <n v="0"/>
    <n v="0"/>
  </r>
  <r>
    <x v="50"/>
    <x v="5"/>
    <x v="5"/>
    <x v="5"/>
    <n v="233302.6"/>
    <m/>
    <n v="233302.6"/>
    <n v="0"/>
    <m/>
    <n v="0"/>
    <n v="456870"/>
    <n v="0"/>
    <n v="456870"/>
    <n v="0"/>
    <n v="0"/>
    <n v="0"/>
  </r>
  <r>
    <x v="51"/>
    <x v="3"/>
    <x v="3"/>
    <x v="27"/>
    <n v="245381"/>
    <m/>
    <n v="245381"/>
    <n v="0"/>
    <m/>
    <n v="0"/>
    <n v="0"/>
    <n v="0"/>
    <n v="0"/>
    <n v="0"/>
    <n v="0"/>
    <n v="0"/>
  </r>
  <r>
    <x v="52"/>
    <x v="12"/>
    <x v="14"/>
    <x v="26"/>
    <n v="22889262"/>
    <m/>
    <n v="22889262"/>
    <n v="0"/>
    <m/>
    <n v="0"/>
    <n v="42501627"/>
    <n v="0"/>
    <n v="42501627"/>
    <n v="0"/>
    <n v="0"/>
    <n v="0"/>
  </r>
  <r>
    <x v="53"/>
    <x v="12"/>
    <x v="14"/>
    <x v="26"/>
    <n v="3656000"/>
    <m/>
    <n v="3656000"/>
    <n v="0"/>
    <m/>
    <n v="0"/>
    <n v="0"/>
    <n v="0"/>
    <n v="0"/>
    <n v="0"/>
    <n v="0"/>
    <n v="0"/>
  </r>
  <r>
    <x v="54"/>
    <x v="2"/>
    <x v="10"/>
    <x v="28"/>
    <n v="58412480.560000002"/>
    <m/>
    <n v="58412480.560000002"/>
    <n v="0"/>
    <m/>
    <n v="0"/>
    <n v="39341063.259999998"/>
    <n v="0"/>
    <n v="39341063.259999998"/>
    <n v="0"/>
    <n v="0"/>
    <n v="0"/>
  </r>
  <r>
    <x v="55"/>
    <x v="2"/>
    <x v="2"/>
    <x v="29"/>
    <n v="44654"/>
    <m/>
    <n v="44654"/>
    <n v="0"/>
    <m/>
    <n v="0"/>
    <n v="1585770"/>
    <n v="0"/>
    <n v="1585770"/>
    <n v="0"/>
    <n v="0"/>
    <n v="0"/>
  </r>
  <r>
    <x v="56"/>
    <x v="9"/>
    <x v="11"/>
    <x v="20"/>
    <n v="1056621.7"/>
    <m/>
    <n v="1056621.7"/>
    <n v="0"/>
    <m/>
    <n v="0"/>
    <n v="898435.7"/>
    <n v="0"/>
    <n v="898435.7"/>
    <n v="0"/>
    <n v="0"/>
    <n v="0"/>
  </r>
  <r>
    <x v="57"/>
    <x v="2"/>
    <x v="8"/>
    <x v="30"/>
    <n v="150000"/>
    <m/>
    <n v="150000"/>
    <n v="0"/>
    <m/>
    <n v="0"/>
    <n v="7000"/>
    <n v="0"/>
    <n v="7000"/>
    <n v="0"/>
    <n v="0"/>
    <n v="0"/>
  </r>
  <r>
    <x v="58"/>
    <x v="3"/>
    <x v="3"/>
    <x v="31"/>
    <n v="73085"/>
    <m/>
    <n v="73085"/>
    <n v="0"/>
    <m/>
    <n v="0"/>
    <n v="302862"/>
    <n v="0"/>
    <n v="302862"/>
    <n v="0"/>
    <n v="0"/>
    <n v="0"/>
  </r>
  <r>
    <x v="59"/>
    <x v="6"/>
    <x v="6"/>
    <x v="32"/>
    <n v="0"/>
    <m/>
    <n v="0"/>
    <n v="49748"/>
    <m/>
    <n v="49748"/>
    <n v="0"/>
    <n v="0"/>
    <n v="0"/>
    <n v="23072"/>
    <n v="0"/>
    <n v="23072"/>
  </r>
  <r>
    <x v="60"/>
    <x v="6"/>
    <x v="6"/>
    <x v="32"/>
    <n v="0"/>
    <m/>
    <n v="0"/>
    <n v="254452"/>
    <m/>
    <n v="254452"/>
    <n v="0"/>
    <n v="0"/>
    <n v="0"/>
    <n v="202410"/>
    <n v="0"/>
    <n v="202410"/>
  </r>
  <r>
    <x v="61"/>
    <x v="2"/>
    <x v="8"/>
    <x v="33"/>
    <n v="65874"/>
    <m/>
    <n v="65874"/>
    <n v="0"/>
    <m/>
    <n v="0"/>
    <n v="59948"/>
    <n v="0"/>
    <n v="59948"/>
    <n v="0"/>
    <n v="0"/>
    <n v="0"/>
  </r>
  <r>
    <x v="62"/>
    <x v="2"/>
    <x v="8"/>
    <x v="11"/>
    <n v="44110.5"/>
    <m/>
    <n v="44110.5"/>
    <n v="0"/>
    <m/>
    <n v="0"/>
    <n v="64117"/>
    <n v="0"/>
    <n v="64117"/>
    <n v="0"/>
    <n v="0"/>
    <n v="0"/>
  </r>
  <r>
    <x v="63"/>
    <x v="2"/>
    <x v="8"/>
    <x v="34"/>
    <n v="323224"/>
    <m/>
    <n v="323224"/>
    <n v="0"/>
    <m/>
    <m/>
    <m/>
    <m/>
    <m/>
    <m/>
    <m/>
    <m/>
  </r>
  <r>
    <x v="64"/>
    <x v="2"/>
    <x v="8"/>
    <x v="35"/>
    <n v="84364"/>
    <m/>
    <n v="84364"/>
    <n v="0"/>
    <m/>
    <m/>
    <m/>
    <m/>
    <m/>
    <m/>
    <m/>
    <m/>
  </r>
  <r>
    <x v="65"/>
    <x v="12"/>
    <x v="14"/>
    <x v="26"/>
    <n v="2229150"/>
    <m/>
    <n v="2229150"/>
    <n v="0"/>
    <m/>
    <n v="0"/>
    <n v="5672492"/>
    <n v="0"/>
    <n v="5672492"/>
    <n v="0"/>
    <n v="0"/>
    <n v="0"/>
  </r>
  <r>
    <x v="66"/>
    <x v="1"/>
    <x v="1"/>
    <x v="1"/>
    <n v="0"/>
    <m/>
    <n v="0"/>
    <n v="30858"/>
    <m/>
    <n v="30858"/>
    <n v="0"/>
    <n v="0"/>
    <n v="0"/>
    <n v="24831"/>
    <n v="0"/>
    <n v="24831"/>
  </r>
  <r>
    <x v="67"/>
    <x v="1"/>
    <x v="1"/>
    <x v="6"/>
    <n v="0"/>
    <m/>
    <n v="0"/>
    <n v="25061810.07"/>
    <m/>
    <n v="25061810.07"/>
    <n v="0"/>
    <n v="0"/>
    <n v="0"/>
    <n v="7452127"/>
    <n v="0"/>
    <n v="7452127"/>
  </r>
  <r>
    <x v="68"/>
    <x v="13"/>
    <x v="15"/>
    <x v="36"/>
    <n v="0"/>
    <m/>
    <n v="0"/>
    <n v="4105758"/>
    <m/>
    <n v="4105758"/>
    <n v="0"/>
    <n v="0"/>
    <n v="0"/>
    <n v="16151130"/>
    <n v="0"/>
    <n v="16151130"/>
  </r>
  <r>
    <x v="69"/>
    <x v="4"/>
    <x v="4"/>
    <x v="24"/>
    <n v="25000"/>
    <m/>
    <n v="25000"/>
    <n v="0"/>
    <m/>
    <n v="0"/>
    <n v="0"/>
    <n v="0"/>
    <n v="0"/>
    <n v="0"/>
    <n v="0"/>
    <n v="0"/>
  </r>
  <r>
    <x v="70"/>
    <x v="14"/>
    <x v="16"/>
    <x v="37"/>
    <n v="1296000"/>
    <m/>
    <n v="1296000"/>
    <n v="0"/>
    <m/>
    <n v="0"/>
    <n v="1153920"/>
    <n v="0"/>
    <n v="1153920"/>
    <n v="0"/>
    <n v="0"/>
    <n v="0"/>
  </r>
  <r>
    <x v="71"/>
    <x v="14"/>
    <x v="16"/>
    <x v="37"/>
    <n v="6800"/>
    <m/>
    <n v="6800"/>
    <n v="0"/>
    <m/>
    <n v="0"/>
    <n v="6800"/>
    <n v="0"/>
    <n v="6800"/>
    <n v="0"/>
    <n v="0"/>
    <n v="0"/>
  </r>
  <r>
    <x v="72"/>
    <x v="14"/>
    <x v="16"/>
    <x v="37"/>
    <n v="200000"/>
    <m/>
    <n v="200000"/>
    <n v="0"/>
    <m/>
    <n v="0"/>
    <n v="200000"/>
    <n v="0"/>
    <n v="200000"/>
    <n v="0"/>
    <n v="0"/>
    <n v="0"/>
  </r>
  <r>
    <x v="73"/>
    <x v="14"/>
    <x v="16"/>
    <x v="37"/>
    <n v="10777"/>
    <m/>
    <n v="10777"/>
    <n v="0"/>
    <m/>
    <n v="0"/>
    <n v="10777"/>
    <n v="0"/>
    <n v="10777"/>
    <n v="0"/>
    <n v="0"/>
    <n v="0"/>
  </r>
  <r>
    <x v="74"/>
    <x v="15"/>
    <x v="17"/>
    <x v="38"/>
    <n v="619250"/>
    <m/>
    <n v="619250"/>
    <n v="0"/>
    <m/>
    <n v="0"/>
    <n v="453851"/>
    <n v="0"/>
    <n v="453851"/>
    <n v="0"/>
    <n v="0"/>
    <n v="0"/>
  </r>
  <r>
    <x v="75"/>
    <x v="15"/>
    <x v="17"/>
    <x v="38"/>
    <n v="5042406"/>
    <m/>
    <n v="5042406"/>
    <n v="0"/>
    <m/>
    <n v="0"/>
    <n v="5073205"/>
    <n v="0"/>
    <n v="5073205"/>
    <n v="0"/>
    <n v="0"/>
    <n v="0"/>
  </r>
  <r>
    <x v="76"/>
    <x v="14"/>
    <x v="16"/>
    <x v="37"/>
    <n v="330000"/>
    <m/>
    <n v="330000"/>
    <n v="0"/>
    <m/>
    <n v="0"/>
    <n v="250000"/>
    <n v="0"/>
    <n v="250000"/>
    <n v="0"/>
    <n v="0"/>
    <n v="0"/>
  </r>
  <r>
    <x v="77"/>
    <x v="14"/>
    <x v="16"/>
    <x v="37"/>
    <n v="6248400"/>
    <m/>
    <n v="6248400"/>
    <n v="0"/>
    <m/>
    <n v="0"/>
    <n v="3522100"/>
    <n v="0"/>
    <n v="3522100"/>
    <n v="0"/>
    <n v="0"/>
    <n v="0"/>
  </r>
  <r>
    <x v="78"/>
    <x v="16"/>
    <x v="18"/>
    <x v="39"/>
    <n v="900000"/>
    <m/>
    <n v="900000"/>
    <n v="0"/>
    <m/>
    <n v="0"/>
    <n v="900000"/>
    <n v="0"/>
    <n v="900000"/>
    <n v="0"/>
    <n v="0"/>
    <n v="0"/>
  </r>
  <r>
    <x v="79"/>
    <x v="16"/>
    <x v="18"/>
    <x v="39"/>
    <n v="239987"/>
    <m/>
    <n v="239987"/>
    <n v="0"/>
    <m/>
    <n v="0"/>
    <n v="225820"/>
    <n v="0"/>
    <n v="225820"/>
    <n v="0"/>
    <n v="0"/>
    <n v="0"/>
  </r>
  <r>
    <x v="80"/>
    <x v="16"/>
    <x v="18"/>
    <x v="39"/>
    <n v="150294"/>
    <m/>
    <n v="150294"/>
    <n v="0"/>
    <m/>
    <n v="0"/>
    <n v="0"/>
    <n v="0"/>
    <n v="0"/>
    <n v="0"/>
    <n v="0"/>
    <n v="0"/>
  </r>
  <r>
    <x v="81"/>
    <x v="0"/>
    <x v="19"/>
    <x v="40"/>
    <n v="2791142"/>
    <m/>
    <n v="2791142"/>
    <n v="0"/>
    <m/>
    <n v="0"/>
    <n v="1857088"/>
    <n v="0"/>
    <n v="1857088"/>
    <n v="0"/>
    <n v="0"/>
    <n v="0"/>
  </r>
  <r>
    <x v="82"/>
    <x v="0"/>
    <x v="19"/>
    <x v="40"/>
    <n v="2104855"/>
    <m/>
    <n v="2104855"/>
    <n v="0"/>
    <m/>
    <n v="0"/>
    <n v="1989109"/>
    <n v="0"/>
    <n v="1989109"/>
    <n v="0"/>
    <n v="0"/>
    <n v="0"/>
  </r>
  <r>
    <x v="83"/>
    <x v="0"/>
    <x v="19"/>
    <x v="40"/>
    <n v="97152"/>
    <m/>
    <n v="97152"/>
    <n v="0"/>
    <m/>
    <n v="0"/>
    <n v="45170"/>
    <n v="0"/>
    <n v="45170"/>
    <n v="0"/>
    <n v="0"/>
    <n v="0"/>
  </r>
  <r>
    <x v="84"/>
    <x v="0"/>
    <x v="19"/>
    <x v="40"/>
    <n v="103879"/>
    <m/>
    <n v="103879"/>
    <n v="0"/>
    <m/>
    <n v="0"/>
    <n v="56194"/>
    <n v="0"/>
    <n v="56194"/>
    <n v="0"/>
    <n v="0"/>
    <n v="0"/>
  </r>
  <r>
    <x v="85"/>
    <x v="0"/>
    <x v="19"/>
    <x v="40"/>
    <n v="109389"/>
    <m/>
    <n v="109389"/>
    <n v="0"/>
    <m/>
    <n v="0"/>
    <n v="114072"/>
    <n v="0"/>
    <n v="114072"/>
    <n v="0"/>
    <n v="0"/>
    <n v="0"/>
  </r>
  <r>
    <x v="86"/>
    <x v="0"/>
    <x v="19"/>
    <x v="40"/>
    <n v="14032176"/>
    <m/>
    <n v="14032176"/>
    <n v="0"/>
    <m/>
    <n v="0"/>
    <n v="13650885"/>
    <n v="0"/>
    <n v="13650885"/>
    <n v="0"/>
    <n v="0"/>
    <n v="0"/>
  </r>
  <r>
    <x v="87"/>
    <x v="0"/>
    <x v="19"/>
    <x v="40"/>
    <n v="345303"/>
    <m/>
    <n v="345303"/>
    <n v="0"/>
    <m/>
    <n v="0"/>
    <n v="369149"/>
    <n v="0"/>
    <n v="369149"/>
    <n v="0"/>
    <n v="0"/>
    <n v="0"/>
  </r>
  <r>
    <x v="88"/>
    <x v="4"/>
    <x v="4"/>
    <x v="13"/>
    <n v="50000"/>
    <m/>
    <n v="50000"/>
    <n v="0"/>
    <m/>
    <n v="0"/>
    <n v="34000"/>
    <n v="0"/>
    <n v="34000"/>
    <n v="0"/>
    <n v="0"/>
    <n v="0"/>
  </r>
  <r>
    <x v="89"/>
    <x v="17"/>
    <x v="20"/>
    <x v="41"/>
    <n v="34500"/>
    <m/>
    <n v="34500"/>
    <n v="0"/>
    <m/>
    <n v="0"/>
    <n v="33000"/>
    <n v="0"/>
    <n v="33000"/>
    <n v="0"/>
    <n v="0"/>
    <n v="0"/>
  </r>
  <r>
    <x v="90"/>
    <x v="18"/>
    <x v="21"/>
    <x v="42"/>
    <n v="469"/>
    <m/>
    <n v="469"/>
    <n v="0"/>
    <m/>
    <n v="0"/>
    <n v="0"/>
    <n v="0"/>
    <n v="0"/>
    <n v="0"/>
    <n v="0"/>
    <n v="0"/>
  </r>
  <r>
    <x v="91"/>
    <x v="18"/>
    <x v="21"/>
    <x v="42"/>
    <n v="32898534"/>
    <m/>
    <n v="32898534"/>
    <n v="0"/>
    <m/>
    <n v="0"/>
    <n v="47111095.43"/>
    <n v="0"/>
    <n v="47111095.43"/>
    <n v="0"/>
    <n v="0"/>
    <n v="0"/>
  </r>
  <r>
    <x v="92"/>
    <x v="1"/>
    <x v="1"/>
    <x v="1"/>
    <n v="168203.84"/>
    <m/>
    <n v="168203.84"/>
    <n v="0"/>
    <m/>
    <n v="0"/>
    <n v="0"/>
    <n v="0"/>
    <n v="0"/>
    <n v="112909.16"/>
    <n v="0"/>
    <n v="112909.16"/>
  </r>
  <r>
    <x v="93"/>
    <x v="2"/>
    <x v="8"/>
    <x v="43"/>
    <n v="2500"/>
    <m/>
    <n v="2500"/>
    <n v="0"/>
    <m/>
    <n v="0"/>
    <n v="37500"/>
    <n v="0"/>
    <n v="37500"/>
    <n v="0"/>
    <n v="0"/>
    <n v="0"/>
  </r>
  <r>
    <x v="94"/>
    <x v="1"/>
    <x v="1"/>
    <x v="6"/>
    <n v="0"/>
    <m/>
    <n v="0"/>
    <n v="66909"/>
    <m/>
    <n v="66909"/>
    <n v="0"/>
    <n v="0"/>
    <n v="0"/>
    <n v="89916"/>
    <n v="0"/>
    <n v="89916"/>
  </r>
  <r>
    <x v="95"/>
    <x v="1"/>
    <x v="1"/>
    <x v="6"/>
    <n v="0"/>
    <m/>
    <n v="0"/>
    <n v="1502067"/>
    <m/>
    <n v="1502067"/>
    <n v="0"/>
    <n v="0"/>
    <n v="0"/>
    <n v="4164978"/>
    <n v="0"/>
    <n v="4164978"/>
  </r>
  <r>
    <x v="96"/>
    <x v="9"/>
    <x v="11"/>
    <x v="20"/>
    <n v="69445250.989999995"/>
    <m/>
    <n v="69445250.989999995"/>
    <n v="0"/>
    <m/>
    <n v="0"/>
    <n v="26557047.010000002"/>
    <n v="0"/>
    <n v="26557047.010000002"/>
    <n v="0"/>
    <n v="0"/>
    <n v="0"/>
  </r>
  <r>
    <x v="97"/>
    <x v="1"/>
    <x v="1"/>
    <x v="1"/>
    <n v="0"/>
    <m/>
    <n v="0"/>
    <n v="93574"/>
    <m/>
    <n v="93574"/>
    <n v="0"/>
    <n v="0"/>
    <n v="0"/>
    <n v="0"/>
    <n v="0"/>
    <n v="0"/>
  </r>
  <r>
    <x v="98"/>
    <x v="10"/>
    <x v="22"/>
    <x v="44"/>
    <n v="0"/>
    <m/>
    <n v="0"/>
    <n v="26922650"/>
    <m/>
    <n v="26922650"/>
    <n v="0"/>
    <n v="0"/>
    <n v="0"/>
    <n v="26922650"/>
    <n v="0"/>
    <n v="26922650"/>
  </r>
  <r>
    <x v="99"/>
    <x v="17"/>
    <x v="20"/>
    <x v="45"/>
    <n v="267233"/>
    <m/>
    <n v="267233"/>
    <n v="0"/>
    <m/>
    <n v="0"/>
    <n v="236264"/>
    <n v="0"/>
    <n v="236264"/>
    <n v="0"/>
    <n v="0"/>
    <n v="0"/>
  </r>
  <r>
    <x v="100"/>
    <x v="2"/>
    <x v="8"/>
    <x v="46"/>
    <n v="4167"/>
    <m/>
    <n v="4167"/>
    <n v="0"/>
    <m/>
    <n v="0"/>
    <n v="18701"/>
    <n v="0"/>
    <n v="18701"/>
    <n v="0"/>
    <n v="0"/>
    <n v="0"/>
  </r>
  <r>
    <x v="101"/>
    <x v="2"/>
    <x v="10"/>
    <x v="18"/>
    <n v="72800"/>
    <m/>
    <n v="72800"/>
    <n v="0"/>
    <m/>
    <n v="0"/>
    <n v="75600"/>
    <n v="0"/>
    <n v="75600"/>
    <n v="0"/>
    <n v="0"/>
    <n v="0"/>
  </r>
  <r>
    <x v="102"/>
    <x v="2"/>
    <x v="10"/>
    <x v="18"/>
    <n v="267589"/>
    <m/>
    <n v="267589"/>
    <n v="0"/>
    <m/>
    <n v="0"/>
    <n v="365711.4"/>
    <n v="0"/>
    <n v="365711.4"/>
    <n v="0"/>
    <n v="0"/>
    <n v="0"/>
  </r>
  <r>
    <x v="103"/>
    <x v="2"/>
    <x v="10"/>
    <x v="28"/>
    <n v="53196916.659999996"/>
    <m/>
    <n v="53196916.659999996"/>
    <n v="0"/>
    <m/>
    <n v="0"/>
    <n v="83424461"/>
    <n v="0"/>
    <n v="83424461"/>
    <n v="0"/>
    <n v="0"/>
    <n v="0"/>
  </r>
  <r>
    <x v="104"/>
    <x v="2"/>
    <x v="10"/>
    <x v="18"/>
    <n v="249410"/>
    <m/>
    <n v="249410"/>
    <n v="0"/>
    <m/>
    <n v="0"/>
    <n v="301632"/>
    <n v="0"/>
    <n v="301632"/>
    <n v="0"/>
    <n v="0"/>
    <n v="0"/>
  </r>
  <r>
    <x v="105"/>
    <x v="2"/>
    <x v="8"/>
    <x v="46"/>
    <n v="25018"/>
    <m/>
    <n v="25018"/>
    <n v="0"/>
    <m/>
    <n v="0"/>
    <n v="50000"/>
    <n v="0"/>
    <n v="50000"/>
    <n v="0"/>
    <n v="0"/>
    <n v="0"/>
  </r>
  <r>
    <x v="106"/>
    <x v="2"/>
    <x v="8"/>
    <x v="11"/>
    <n v="129204"/>
    <m/>
    <n v="129204"/>
    <n v="0"/>
    <m/>
    <n v="0"/>
    <n v="145333"/>
    <n v="0"/>
    <n v="145333"/>
    <n v="0"/>
    <n v="0"/>
    <n v="0"/>
  </r>
  <r>
    <x v="107"/>
    <x v="2"/>
    <x v="10"/>
    <x v="47"/>
    <n v="3611803"/>
    <m/>
    <n v="3611803"/>
    <n v="0"/>
    <m/>
    <n v="0"/>
    <n v="2829820"/>
    <n v="0"/>
    <n v="2829820"/>
    <n v="0"/>
    <n v="0"/>
    <n v="0"/>
  </r>
  <r>
    <x v="108"/>
    <x v="1"/>
    <x v="1"/>
    <x v="1"/>
    <n v="0"/>
    <m/>
    <n v="0"/>
    <n v="387602"/>
    <m/>
    <n v="387602"/>
    <n v="0"/>
    <n v="0"/>
    <n v="0"/>
    <n v="370401"/>
    <n v="0"/>
    <n v="370401"/>
  </r>
  <r>
    <x v="109"/>
    <x v="16"/>
    <x v="18"/>
    <x v="39"/>
    <n v="273693"/>
    <m/>
    <n v="273693"/>
    <n v="0"/>
    <m/>
    <n v="0"/>
    <n v="261462"/>
    <n v="0"/>
    <n v="261462"/>
    <n v="0"/>
    <n v="0"/>
    <n v="0"/>
  </r>
  <r>
    <x v="110"/>
    <x v="16"/>
    <x v="18"/>
    <x v="39"/>
    <n v="1893357"/>
    <m/>
    <n v="1893357"/>
    <n v="0"/>
    <m/>
    <n v="0"/>
    <n v="1767870"/>
    <n v="0"/>
    <n v="1767870"/>
    <n v="0"/>
    <n v="0"/>
    <n v="0"/>
  </r>
  <r>
    <x v="111"/>
    <x v="19"/>
    <x v="23"/>
    <x v="48"/>
    <n v="0"/>
    <m/>
    <n v="0"/>
    <n v="729285"/>
    <m/>
    <n v="729285"/>
    <n v="0"/>
    <n v="0"/>
    <n v="0"/>
    <n v="697771"/>
    <n v="191396.66984900087"/>
    <n v="889167.66984900087"/>
  </r>
  <r>
    <x v="112"/>
    <x v="9"/>
    <x v="11"/>
    <x v="20"/>
    <n v="33965000"/>
    <m/>
    <n v="33965000"/>
    <n v="0"/>
    <m/>
    <n v="0"/>
    <n v="33965000"/>
    <n v="0"/>
    <n v="33965000"/>
    <n v="0"/>
    <n v="0"/>
    <n v="0"/>
  </r>
  <r>
    <x v="113"/>
    <x v="2"/>
    <x v="2"/>
    <x v="49"/>
    <n v="314100"/>
    <m/>
    <n v="314100"/>
    <n v="0"/>
    <m/>
    <n v="0"/>
    <n v="0"/>
    <n v="0"/>
    <n v="0"/>
    <n v="0"/>
    <n v="0"/>
    <n v="0"/>
  </r>
  <r>
    <x v="114"/>
    <x v="1"/>
    <x v="1"/>
    <x v="1"/>
    <n v="0"/>
    <m/>
    <n v="0"/>
    <n v="23600"/>
    <m/>
    <n v="23600"/>
    <n v="0"/>
    <n v="0"/>
    <n v="0"/>
    <n v="0"/>
    <n v="0"/>
    <n v="0"/>
  </r>
  <r>
    <x v="115"/>
    <x v="9"/>
    <x v="11"/>
    <x v="20"/>
    <n v="1982848.03"/>
    <m/>
    <n v="1982848.03"/>
    <n v="0"/>
    <m/>
    <n v="0"/>
    <n v="1884828.03"/>
    <n v="0"/>
    <n v="1884828.03"/>
    <n v="0"/>
    <n v="0"/>
    <n v="0"/>
  </r>
  <r>
    <x v="116"/>
    <x v="1"/>
    <x v="1"/>
    <x v="6"/>
    <n v="0"/>
    <m/>
    <n v="0"/>
    <n v="156751"/>
    <m/>
    <n v="156751"/>
    <n v="0"/>
    <n v="0"/>
    <n v="0"/>
    <n v="65007"/>
    <n v="0"/>
    <n v="65007"/>
  </r>
  <r>
    <x v="117"/>
    <x v="7"/>
    <x v="7"/>
    <x v="9"/>
    <n v="0"/>
    <m/>
    <n v="0"/>
    <n v="1562798"/>
    <m/>
    <n v="1562798"/>
    <n v="0"/>
    <n v="0"/>
    <n v="0"/>
    <n v="1896290"/>
    <n v="0"/>
    <n v="1896290"/>
  </r>
  <r>
    <x v="118"/>
    <x v="0"/>
    <x v="12"/>
    <x v="50"/>
    <n v="0"/>
    <m/>
    <n v="0"/>
    <n v="1800000"/>
    <m/>
    <n v="1800000"/>
    <n v="0"/>
    <n v="0"/>
    <n v="0"/>
    <n v="1800000"/>
    <n v="0"/>
    <n v="1800000"/>
  </r>
  <r>
    <x v="119"/>
    <x v="1"/>
    <x v="1"/>
    <x v="1"/>
    <n v="0"/>
    <m/>
    <n v="0"/>
    <n v="13500"/>
    <m/>
    <n v="13500"/>
    <n v="0"/>
    <n v="0"/>
    <n v="0"/>
    <n v="0"/>
    <n v="0"/>
    <n v="0"/>
  </r>
  <r>
    <x v="120"/>
    <x v="1"/>
    <x v="1"/>
    <x v="6"/>
    <n v="0"/>
    <m/>
    <n v="0"/>
    <n v="111510"/>
    <m/>
    <n v="111510"/>
    <n v="0"/>
    <n v="0"/>
    <n v="0"/>
    <n v="242667"/>
    <n v="0"/>
    <n v="242667"/>
  </r>
  <r>
    <x v="121"/>
    <x v="17"/>
    <x v="20"/>
    <x v="45"/>
    <n v="943417"/>
    <n v="-55667"/>
    <n v="887750"/>
    <n v="0"/>
    <m/>
    <n v="0"/>
    <n v="871518"/>
    <n v="0"/>
    <n v="871518"/>
    <n v="0"/>
    <n v="0"/>
    <n v="0"/>
  </r>
  <r>
    <x v="122"/>
    <x v="2"/>
    <x v="8"/>
    <x v="11"/>
    <n v="36000"/>
    <m/>
    <n v="36000"/>
    <n v="0"/>
    <m/>
    <n v="0"/>
    <n v="36000"/>
    <n v="0"/>
    <n v="36000"/>
    <n v="0"/>
    <n v="0"/>
    <n v="0"/>
  </r>
  <r>
    <x v="123"/>
    <x v="1"/>
    <x v="1"/>
    <x v="1"/>
    <n v="0"/>
    <m/>
    <n v="0"/>
    <n v="183581"/>
    <m/>
    <n v="183581"/>
    <n v="0"/>
    <n v="0"/>
    <n v="0"/>
    <n v="192781"/>
    <n v="0"/>
    <n v="192781"/>
  </r>
  <r>
    <x v="124"/>
    <x v="7"/>
    <x v="7"/>
    <x v="9"/>
    <n v="0"/>
    <m/>
    <n v="0"/>
    <n v="1524277"/>
    <m/>
    <n v="1524277"/>
    <n v="0"/>
    <n v="0"/>
    <n v="0"/>
    <n v="1418464"/>
    <n v="0"/>
    <n v="1418464"/>
  </r>
  <r>
    <x v="125"/>
    <x v="4"/>
    <x v="4"/>
    <x v="13"/>
    <n v="21000"/>
    <m/>
    <n v="21000"/>
    <n v="0"/>
    <m/>
    <n v="0"/>
    <n v="34000"/>
    <n v="0"/>
    <n v="34000"/>
    <n v="0"/>
    <n v="0"/>
    <n v="0"/>
  </r>
  <r>
    <x v="126"/>
    <x v="1"/>
    <x v="1"/>
    <x v="6"/>
    <n v="0"/>
    <m/>
    <n v="0"/>
    <n v="514599"/>
    <m/>
    <n v="514599"/>
    <n v="0"/>
    <n v="0"/>
    <n v="0"/>
    <n v="238416"/>
    <n v="0"/>
    <n v="238416"/>
  </r>
  <r>
    <x v="127"/>
    <x v="6"/>
    <x v="6"/>
    <x v="7"/>
    <n v="0"/>
    <m/>
    <n v="0"/>
    <n v="532764.55000000005"/>
    <m/>
    <n v="532764.55000000005"/>
    <n v="0"/>
    <n v="0"/>
    <n v="0"/>
    <n v="0"/>
    <n v="0"/>
    <n v="0"/>
  </r>
  <r>
    <x v="128"/>
    <x v="4"/>
    <x v="4"/>
    <x v="25"/>
    <n v="0"/>
    <m/>
    <n v="0"/>
    <n v="0"/>
    <m/>
    <n v="0"/>
    <n v="0"/>
    <n v="0"/>
    <n v="0"/>
    <n v="0"/>
    <n v="0"/>
    <n v="0"/>
  </r>
  <r>
    <x v="129"/>
    <x v="12"/>
    <x v="14"/>
    <x v="26"/>
    <n v="81135916.489999995"/>
    <m/>
    <n v="81135916.489999995"/>
    <n v="0"/>
    <m/>
    <n v="0"/>
    <n v="205342673"/>
    <n v="0"/>
    <n v="205342673"/>
    <n v="0"/>
    <n v="0"/>
    <n v="0"/>
  </r>
  <r>
    <x v="130"/>
    <x v="2"/>
    <x v="8"/>
    <x v="11"/>
    <n v="192500"/>
    <m/>
    <n v="192500"/>
    <n v="0"/>
    <m/>
    <n v="0"/>
    <n v="0"/>
    <n v="0"/>
    <n v="0"/>
    <n v="0"/>
    <n v="0"/>
    <n v="0"/>
  </r>
  <r>
    <x v="131"/>
    <x v="17"/>
    <x v="20"/>
    <x v="41"/>
    <n v="400000"/>
    <m/>
    <n v="400000"/>
    <n v="0"/>
    <m/>
    <n v="0"/>
    <n v="0"/>
    <n v="0"/>
    <n v="0"/>
    <n v="813182"/>
    <n v="0"/>
    <n v="813182"/>
  </r>
  <r>
    <x v="132"/>
    <x v="20"/>
    <x v="24"/>
    <x v="51"/>
    <n v="17190"/>
    <m/>
    <n v="17190"/>
    <n v="0"/>
    <m/>
    <n v="0"/>
    <n v="17190"/>
    <n v="0"/>
    <n v="17190"/>
    <n v="0"/>
    <n v="0"/>
    <n v="0"/>
  </r>
  <r>
    <x v="133"/>
    <x v="20"/>
    <x v="24"/>
    <x v="51"/>
    <n v="1891381"/>
    <m/>
    <n v="1891381"/>
    <n v="0"/>
    <m/>
    <n v="0"/>
    <n v="1891381"/>
    <n v="0"/>
    <n v="1891381"/>
    <n v="0"/>
    <n v="0"/>
    <n v="0"/>
  </r>
  <r>
    <x v="134"/>
    <x v="20"/>
    <x v="24"/>
    <x v="51"/>
    <n v="88213"/>
    <m/>
    <n v="88213"/>
    <n v="0"/>
    <m/>
    <n v="0"/>
    <n v="88213"/>
    <n v="0"/>
    <n v="88213"/>
    <n v="0"/>
    <n v="0"/>
    <n v="0"/>
  </r>
  <r>
    <x v="135"/>
    <x v="1"/>
    <x v="1"/>
    <x v="6"/>
    <n v="0"/>
    <m/>
    <n v="0"/>
    <n v="400020"/>
    <m/>
    <n v="400020"/>
    <n v="0"/>
    <n v="0"/>
    <n v="0"/>
    <n v="0"/>
    <n v="0"/>
    <n v="0"/>
  </r>
  <r>
    <x v="136"/>
    <x v="5"/>
    <x v="5"/>
    <x v="5"/>
    <n v="152598"/>
    <m/>
    <n v="152598"/>
    <n v="0"/>
    <m/>
    <n v="0"/>
    <n v="0"/>
    <n v="0"/>
    <n v="0"/>
    <n v="0"/>
    <n v="0"/>
    <n v="0"/>
  </r>
  <r>
    <x v="137"/>
    <x v="1"/>
    <x v="1"/>
    <x v="1"/>
    <n v="0"/>
    <m/>
    <n v="0"/>
    <n v="0"/>
    <m/>
    <n v="0"/>
    <n v="0"/>
    <n v="0"/>
    <n v="0"/>
    <n v="0"/>
    <n v="0"/>
    <n v="0"/>
  </r>
  <r>
    <x v="138"/>
    <x v="2"/>
    <x v="2"/>
    <x v="2"/>
    <n v="170957"/>
    <m/>
    <n v="170957"/>
    <n v="0"/>
    <m/>
    <n v="0"/>
    <n v="250506"/>
    <n v="0"/>
    <n v="250506"/>
    <n v="0"/>
    <n v="0"/>
    <n v="0"/>
  </r>
  <r>
    <x v="139"/>
    <x v="2"/>
    <x v="8"/>
    <x v="52"/>
    <n v="1196371"/>
    <m/>
    <n v="1196371"/>
    <n v="0"/>
    <m/>
    <n v="0"/>
    <n v="1422847"/>
    <n v="0"/>
    <n v="1422847"/>
    <n v="0"/>
    <n v="0"/>
    <n v="0"/>
  </r>
  <r>
    <x v="140"/>
    <x v="3"/>
    <x v="3"/>
    <x v="3"/>
    <n v="170888"/>
    <m/>
    <n v="170888"/>
    <n v="0"/>
    <m/>
    <n v="0"/>
    <n v="176191"/>
    <n v="0"/>
    <n v="176191"/>
    <n v="0"/>
    <n v="0"/>
    <n v="0"/>
  </r>
  <r>
    <x v="141"/>
    <x v="3"/>
    <x v="3"/>
    <x v="53"/>
    <n v="486928"/>
    <m/>
    <n v="486928"/>
    <n v="0"/>
    <m/>
    <n v="0"/>
    <n v="458043"/>
    <n v="0"/>
    <n v="458043"/>
    <n v="0"/>
    <n v="0"/>
    <n v="0"/>
  </r>
  <r>
    <x v="142"/>
    <x v="19"/>
    <x v="23"/>
    <x v="54"/>
    <n v="0"/>
    <m/>
    <n v="0"/>
    <n v="172494"/>
    <m/>
    <n v="172494"/>
    <n v="0"/>
    <n v="0"/>
    <n v="0"/>
    <n v="202145.39"/>
    <n v="0"/>
    <n v="202145.39"/>
  </r>
  <r>
    <x v="143"/>
    <x v="2"/>
    <x v="8"/>
    <x v="46"/>
    <n v="39606"/>
    <m/>
    <n v="39606"/>
    <n v="0"/>
    <m/>
    <n v="0"/>
    <n v="29309"/>
    <n v="0"/>
    <n v="29309"/>
    <n v="0"/>
    <n v="0"/>
    <n v="0"/>
  </r>
  <r>
    <x v="144"/>
    <x v="2"/>
    <x v="8"/>
    <x v="46"/>
    <n v="30516"/>
    <m/>
    <n v="30516"/>
    <n v="0"/>
    <m/>
    <n v="0"/>
    <n v="61959"/>
    <n v="0"/>
    <n v="61959"/>
    <n v="0"/>
    <n v="0"/>
    <n v="0"/>
  </r>
  <r>
    <x v="145"/>
    <x v="8"/>
    <x v="9"/>
    <x v="55"/>
    <n v="144126"/>
    <m/>
    <n v="144126"/>
    <n v="0"/>
    <m/>
    <n v="0"/>
    <n v="0"/>
    <n v="0"/>
    <n v="0"/>
    <n v="0"/>
    <n v="0"/>
    <n v="0"/>
  </r>
  <r>
    <x v="146"/>
    <x v="2"/>
    <x v="8"/>
    <x v="46"/>
    <n v="7332"/>
    <m/>
    <n v="7332"/>
    <n v="0"/>
    <m/>
    <n v="0"/>
    <n v="668"/>
    <n v="0"/>
    <n v="668"/>
    <n v="0"/>
    <n v="0"/>
    <n v="0"/>
  </r>
  <r>
    <x v="147"/>
    <x v="2"/>
    <x v="8"/>
    <x v="46"/>
    <n v="41084"/>
    <m/>
    <n v="41084"/>
    <n v="0"/>
    <m/>
    <n v="0"/>
    <n v="35488"/>
    <n v="0"/>
    <n v="35488"/>
    <n v="0"/>
    <n v="0"/>
    <n v="0"/>
  </r>
  <r>
    <x v="148"/>
    <x v="2"/>
    <x v="8"/>
    <x v="46"/>
    <n v="2611"/>
    <m/>
    <n v="2611"/>
    <n v="0"/>
    <m/>
    <n v="0"/>
    <n v="800"/>
    <n v="0"/>
    <n v="800"/>
    <n v="0"/>
    <n v="0"/>
    <n v="0"/>
  </r>
  <r>
    <x v="149"/>
    <x v="2"/>
    <x v="8"/>
    <x v="46"/>
    <n v="11646"/>
    <m/>
    <n v="11646"/>
    <n v="0"/>
    <m/>
    <n v="0"/>
    <n v="4618"/>
    <n v="0"/>
    <n v="4618"/>
    <n v="0"/>
    <n v="0"/>
    <n v="0"/>
  </r>
  <r>
    <x v="150"/>
    <x v="8"/>
    <x v="9"/>
    <x v="55"/>
    <n v="290224"/>
    <m/>
    <n v="290224"/>
    <n v="0"/>
    <m/>
    <n v="0"/>
    <n v="0"/>
    <n v="0"/>
    <n v="0"/>
    <n v="0"/>
    <n v="0"/>
    <n v="0"/>
  </r>
  <r>
    <x v="151"/>
    <x v="8"/>
    <x v="9"/>
    <x v="55"/>
    <n v="467386"/>
    <m/>
    <n v="467386"/>
    <n v="0"/>
    <m/>
    <n v="0"/>
    <n v="0"/>
    <n v="0"/>
    <n v="0"/>
    <n v="0"/>
    <n v="0"/>
    <n v="0"/>
  </r>
  <r>
    <x v="152"/>
    <x v="8"/>
    <x v="9"/>
    <x v="55"/>
    <n v="1199821"/>
    <m/>
    <n v="1199821"/>
    <n v="0"/>
    <m/>
    <n v="0"/>
    <n v="0"/>
    <n v="0"/>
    <n v="0"/>
    <n v="0"/>
    <n v="0"/>
    <n v="0"/>
  </r>
  <r>
    <x v="153"/>
    <x v="16"/>
    <x v="18"/>
    <x v="39"/>
    <n v="0"/>
    <m/>
    <n v="0"/>
    <n v="0"/>
    <m/>
    <n v="0"/>
    <n v="164180"/>
    <n v="0"/>
    <n v="164180"/>
    <n v="0"/>
    <n v="0"/>
    <n v="0"/>
  </r>
  <r>
    <x v="154"/>
    <x v="8"/>
    <x v="9"/>
    <x v="55"/>
    <n v="8855907"/>
    <m/>
    <n v="8855907"/>
    <n v="0"/>
    <m/>
    <n v="0"/>
    <n v="6463408"/>
    <n v="0"/>
    <n v="6463408"/>
    <n v="0"/>
    <n v="0"/>
    <n v="0"/>
  </r>
  <r>
    <x v="155"/>
    <x v="8"/>
    <x v="9"/>
    <x v="55"/>
    <n v="488813"/>
    <m/>
    <n v="488813"/>
    <n v="0"/>
    <m/>
    <n v="0"/>
    <n v="0"/>
    <n v="0"/>
    <n v="0"/>
    <n v="0"/>
    <n v="0"/>
    <n v="0"/>
  </r>
  <r>
    <x v="156"/>
    <x v="8"/>
    <x v="9"/>
    <x v="55"/>
    <n v="2953424"/>
    <m/>
    <n v="2953424"/>
    <n v="0"/>
    <m/>
    <n v="0"/>
    <n v="1926416"/>
    <n v="0"/>
    <n v="1926416"/>
    <n v="0"/>
    <n v="0"/>
    <n v="0"/>
  </r>
  <r>
    <x v="157"/>
    <x v="2"/>
    <x v="8"/>
    <x v="56"/>
    <n v="200000"/>
    <m/>
    <n v="200000"/>
    <n v="0"/>
    <m/>
    <n v="0"/>
    <n v="200000"/>
    <n v="0"/>
    <n v="200000"/>
    <n v="0"/>
    <n v="0"/>
    <n v="0"/>
  </r>
  <r>
    <x v="158"/>
    <x v="1"/>
    <x v="1"/>
    <x v="6"/>
    <n v="0"/>
    <m/>
    <n v="0"/>
    <n v="68027"/>
    <m/>
    <n v="68027"/>
    <n v="0"/>
    <n v="0"/>
    <n v="0"/>
    <n v="143488"/>
    <n v="0"/>
    <n v="143488"/>
  </r>
  <r>
    <x v="159"/>
    <x v="7"/>
    <x v="7"/>
    <x v="9"/>
    <n v="0"/>
    <m/>
    <n v="0"/>
    <n v="7756259"/>
    <m/>
    <n v="7756259"/>
    <n v="0"/>
    <n v="0"/>
    <n v="0"/>
    <n v="6623037"/>
    <n v="0"/>
    <n v="6623037"/>
  </r>
  <r>
    <x v="160"/>
    <x v="6"/>
    <x v="6"/>
    <x v="10"/>
    <n v="0"/>
    <m/>
    <n v="0"/>
    <n v="0"/>
    <m/>
    <n v="0"/>
    <n v="0"/>
    <n v="0"/>
    <n v="0"/>
    <n v="0"/>
    <n v="0"/>
    <n v="0"/>
  </r>
  <r>
    <x v="161"/>
    <x v="5"/>
    <x v="5"/>
    <x v="5"/>
    <n v="250430"/>
    <m/>
    <n v="250430"/>
    <n v="0"/>
    <m/>
    <n v="0"/>
    <n v="563126"/>
    <n v="0"/>
    <n v="563126"/>
    <n v="0"/>
    <n v="0"/>
    <n v="0"/>
  </r>
  <r>
    <x v="162"/>
    <x v="1"/>
    <x v="1"/>
    <x v="6"/>
    <n v="0"/>
    <m/>
    <n v="0"/>
    <n v="5453561"/>
    <m/>
    <n v="5453561"/>
    <n v="0"/>
    <n v="0"/>
    <n v="0"/>
    <n v="1780152"/>
    <n v="0"/>
    <n v="1780152"/>
  </r>
  <r>
    <x v="163"/>
    <x v="6"/>
    <x v="6"/>
    <x v="10"/>
    <n v="0"/>
    <m/>
    <n v="0"/>
    <n v="0"/>
    <m/>
    <n v="0"/>
    <n v="0"/>
    <n v="0"/>
    <n v="0"/>
    <n v="0"/>
    <n v="0"/>
    <n v="0"/>
  </r>
  <r>
    <x v="164"/>
    <x v="7"/>
    <x v="7"/>
    <x v="9"/>
    <n v="0"/>
    <m/>
    <n v="0"/>
    <n v="7299688"/>
    <m/>
    <n v="7299688"/>
    <n v="0"/>
    <n v="0"/>
    <n v="0"/>
    <n v="6248304"/>
    <n v="0"/>
    <n v="6248304"/>
  </r>
  <r>
    <x v="165"/>
    <x v="7"/>
    <x v="7"/>
    <x v="9"/>
    <n v="0"/>
    <m/>
    <n v="0"/>
    <n v="4374722"/>
    <m/>
    <n v="4374722"/>
    <n v="0"/>
    <n v="0"/>
    <n v="0"/>
    <n v="4071040"/>
    <n v="0"/>
    <n v="4071040"/>
  </r>
  <r>
    <x v="166"/>
    <x v="1"/>
    <x v="1"/>
    <x v="6"/>
    <n v="0"/>
    <m/>
    <n v="0"/>
    <n v="0"/>
    <m/>
    <n v="0"/>
    <n v="0"/>
    <n v="0"/>
    <n v="0"/>
    <n v="12525978.300000001"/>
    <n v="0"/>
    <n v="12525978.300000001"/>
  </r>
  <r>
    <x v="167"/>
    <x v="6"/>
    <x v="6"/>
    <x v="57"/>
    <n v="0"/>
    <m/>
    <n v="0"/>
    <n v="220853"/>
    <m/>
    <n v="220853"/>
    <n v="0"/>
    <n v="0"/>
    <n v="0"/>
    <n v="481820"/>
    <n v="0"/>
    <n v="481820"/>
  </r>
  <r>
    <x v="168"/>
    <x v="1"/>
    <x v="1"/>
    <x v="1"/>
    <n v="0"/>
    <m/>
    <n v="0"/>
    <n v="135000"/>
    <m/>
    <n v="135000"/>
    <n v="0"/>
    <n v="0"/>
    <n v="0"/>
    <n v="0"/>
    <n v="0"/>
    <n v="0"/>
  </r>
  <r>
    <x v="169"/>
    <x v="1"/>
    <x v="1"/>
    <x v="1"/>
    <n v="0"/>
    <m/>
    <n v="0"/>
    <n v="3154"/>
    <m/>
    <n v="3154"/>
    <n v="0"/>
    <n v="0"/>
    <n v="0"/>
    <n v="6711"/>
    <n v="0"/>
    <n v="6711"/>
  </r>
  <r>
    <x v="170"/>
    <x v="2"/>
    <x v="8"/>
    <x v="46"/>
    <n v="14544"/>
    <m/>
    <n v="14544"/>
    <n v="0"/>
    <m/>
    <n v="0"/>
    <n v="13776"/>
    <n v="0"/>
    <n v="13776"/>
    <n v="0"/>
    <n v="0"/>
    <n v="0"/>
  </r>
  <r>
    <x v="171"/>
    <x v="5"/>
    <x v="5"/>
    <x v="5"/>
    <n v="19977798"/>
    <m/>
    <n v="19977798"/>
    <n v="0"/>
    <m/>
    <n v="0"/>
    <n v="23215022"/>
    <n v="0"/>
    <n v="23215022"/>
    <n v="0"/>
    <n v="0"/>
    <n v="0"/>
  </r>
  <r>
    <x v="172"/>
    <x v="1"/>
    <x v="1"/>
    <x v="6"/>
    <n v="0"/>
    <m/>
    <n v="0"/>
    <n v="10547882"/>
    <m/>
    <n v="10547882"/>
    <n v="0"/>
    <n v="0"/>
    <n v="0"/>
    <n v="11543115"/>
    <n v="0"/>
    <n v="11543115"/>
  </r>
  <r>
    <x v="173"/>
    <x v="1"/>
    <x v="1"/>
    <x v="1"/>
    <n v="0"/>
    <m/>
    <n v="0"/>
    <n v="754370"/>
    <m/>
    <n v="754370"/>
    <n v="0"/>
    <n v="0"/>
    <n v="0"/>
    <n v="588420"/>
    <n v="0"/>
    <n v="588420"/>
  </r>
  <r>
    <x v="174"/>
    <x v="5"/>
    <x v="5"/>
    <x v="5"/>
    <n v="781839"/>
    <m/>
    <n v="781839"/>
    <n v="0"/>
    <m/>
    <n v="0"/>
    <n v="0"/>
    <n v="0"/>
    <n v="0"/>
    <n v="0"/>
    <n v="0"/>
    <n v="0"/>
  </r>
  <r>
    <x v="175"/>
    <x v="17"/>
    <x v="20"/>
    <x v="41"/>
    <n v="343164"/>
    <m/>
    <n v="343164"/>
    <n v="0"/>
    <m/>
    <n v="0"/>
    <n v="233275"/>
    <n v="0"/>
    <n v="233275"/>
    <n v="0"/>
    <n v="0"/>
    <n v="0"/>
  </r>
  <r>
    <x v="176"/>
    <x v="21"/>
    <x v="25"/>
    <x v="38"/>
    <n v="0"/>
    <m/>
    <n v="0"/>
    <n v="343164"/>
    <m/>
    <n v="343164"/>
    <n v="0"/>
    <n v="0"/>
    <n v="0"/>
    <n v="233275"/>
    <n v="0"/>
    <n v="233275"/>
  </r>
  <r>
    <x v="177"/>
    <x v="2"/>
    <x v="8"/>
    <x v="30"/>
    <n v="112800"/>
    <m/>
    <n v="112800"/>
    <n v="0"/>
    <m/>
    <n v="0"/>
    <n v="124144"/>
    <n v="0"/>
    <n v="124144"/>
    <n v="0"/>
    <n v="0"/>
    <n v="0"/>
  </r>
  <r>
    <x v="178"/>
    <x v="1"/>
    <x v="1"/>
    <x v="1"/>
    <n v="0"/>
    <m/>
    <n v="0"/>
    <n v="40147"/>
    <m/>
    <n v="40147"/>
    <n v="0"/>
    <n v="0"/>
    <n v="0"/>
    <n v="42465"/>
    <n v="0"/>
    <n v="42465"/>
  </r>
  <r>
    <x v="179"/>
    <x v="2"/>
    <x v="10"/>
    <x v="22"/>
    <n v="402863.5"/>
    <m/>
    <n v="402863.5"/>
    <n v="0"/>
    <m/>
    <n v="0"/>
    <n v="278137"/>
    <n v="0"/>
    <n v="278137"/>
    <n v="0"/>
    <n v="0"/>
    <n v="0"/>
  </r>
  <r>
    <x v="180"/>
    <x v="2"/>
    <x v="10"/>
    <x v="22"/>
    <n v="1501316"/>
    <m/>
    <n v="1501316"/>
    <n v="0"/>
    <m/>
    <n v="0"/>
    <n v="2223912"/>
    <n v="0"/>
    <n v="2223912"/>
    <n v="0"/>
    <n v="0"/>
    <n v="0"/>
  </r>
  <r>
    <x v="181"/>
    <x v="2"/>
    <x v="10"/>
    <x v="22"/>
    <n v="4136012.77"/>
    <m/>
    <n v="4136012.77"/>
    <n v="0"/>
    <m/>
    <n v="0"/>
    <n v="3638432.81"/>
    <n v="0"/>
    <n v="3638432.81"/>
    <n v="0"/>
    <n v="0"/>
    <n v="0"/>
  </r>
  <r>
    <x v="182"/>
    <x v="2"/>
    <x v="10"/>
    <x v="22"/>
    <n v="193134.65"/>
    <m/>
    <n v="193134.65"/>
    <n v="0"/>
    <m/>
    <n v="0"/>
    <n v="225741.23"/>
    <n v="0"/>
    <n v="225741.23"/>
    <n v="0"/>
    <n v="0"/>
    <n v="0"/>
  </r>
  <r>
    <x v="183"/>
    <x v="3"/>
    <x v="3"/>
    <x v="31"/>
    <n v="2465865"/>
    <m/>
    <n v="2465865"/>
    <n v="0"/>
    <m/>
    <n v="0"/>
    <n v="7944212"/>
    <n v="0"/>
    <n v="7944212"/>
    <n v="0"/>
    <n v="0"/>
    <n v="0"/>
  </r>
  <r>
    <x v="184"/>
    <x v="1"/>
    <x v="1"/>
    <x v="6"/>
    <n v="0"/>
    <m/>
    <n v="0"/>
    <n v="5463715"/>
    <m/>
    <n v="5463715"/>
    <n v="0"/>
    <n v="0"/>
    <n v="0"/>
    <n v="3597683"/>
    <n v="0"/>
    <n v="3597683"/>
  </r>
  <r>
    <x v="185"/>
    <x v="17"/>
    <x v="20"/>
    <x v="58"/>
    <n v="255943"/>
    <m/>
    <n v="255943"/>
    <n v="0"/>
    <m/>
    <n v="0"/>
    <n v="194520"/>
    <n v="0"/>
    <n v="194520"/>
    <n v="0"/>
    <n v="0"/>
    <n v="0"/>
  </r>
  <r>
    <x v="186"/>
    <x v="1"/>
    <x v="1"/>
    <x v="1"/>
    <n v="0"/>
    <m/>
    <n v="0"/>
    <n v="35044"/>
    <m/>
    <n v="35044"/>
    <n v="0"/>
    <n v="0"/>
    <n v="0"/>
    <n v="32397"/>
    <n v="0"/>
    <n v="32397"/>
  </r>
  <r>
    <x v="187"/>
    <x v="1"/>
    <x v="1"/>
    <x v="1"/>
    <n v="0"/>
    <m/>
    <n v="0"/>
    <n v="218551"/>
    <m/>
    <n v="218551"/>
    <n v="0"/>
    <n v="0"/>
    <n v="0"/>
    <n v="81650"/>
    <n v="0"/>
    <n v="81650"/>
  </r>
  <r>
    <x v="188"/>
    <x v="4"/>
    <x v="4"/>
    <x v="13"/>
    <n v="3000"/>
    <m/>
    <n v="3000"/>
    <n v="0"/>
    <m/>
    <n v="0"/>
    <n v="27000"/>
    <n v="0"/>
    <n v="27000"/>
    <n v="0"/>
    <n v="0"/>
    <n v="0"/>
  </r>
  <r>
    <x v="189"/>
    <x v="6"/>
    <x v="6"/>
    <x v="57"/>
    <n v="0"/>
    <m/>
    <n v="0"/>
    <n v="632914"/>
    <m/>
    <n v="632914"/>
    <n v="5000"/>
    <n v="0"/>
    <n v="5000"/>
    <n v="0"/>
    <n v="0"/>
    <n v="0"/>
  </r>
  <r>
    <x v="190"/>
    <x v="4"/>
    <x v="4"/>
    <x v="13"/>
    <n v="6000"/>
    <m/>
    <n v="6000"/>
    <n v="0"/>
    <m/>
    <n v="0"/>
    <n v="14000"/>
    <n v="0"/>
    <n v="14000"/>
    <n v="0"/>
    <n v="0"/>
    <n v="0"/>
  </r>
  <r>
    <x v="191"/>
    <x v="4"/>
    <x v="4"/>
    <x v="13"/>
    <n v="40000"/>
    <m/>
    <n v="40000"/>
    <n v="0"/>
    <m/>
    <n v="0"/>
    <n v="7000"/>
    <n v="0"/>
    <n v="7000"/>
    <n v="0"/>
    <n v="0"/>
    <n v="0"/>
  </r>
  <r>
    <x v="192"/>
    <x v="1"/>
    <x v="1"/>
    <x v="1"/>
    <n v="0"/>
    <m/>
    <n v="0"/>
    <n v="21830"/>
    <m/>
    <n v="21830"/>
    <n v="0"/>
    <n v="0"/>
    <n v="0"/>
    <n v="0"/>
    <n v="0"/>
    <n v="0"/>
  </r>
  <r>
    <x v="193"/>
    <x v="2"/>
    <x v="8"/>
    <x v="19"/>
    <n v="153600"/>
    <m/>
    <n v="153600"/>
    <n v="0"/>
    <m/>
    <n v="0"/>
    <n v="145550"/>
    <n v="0"/>
    <n v="145550"/>
    <n v="0"/>
    <n v="0"/>
    <n v="0"/>
  </r>
  <r>
    <x v="194"/>
    <x v="2"/>
    <x v="8"/>
    <x v="19"/>
    <n v="104700"/>
    <m/>
    <n v="104700"/>
    <n v="0"/>
    <m/>
    <n v="0"/>
    <n v="106100"/>
    <n v="0"/>
    <n v="106100"/>
    <n v="0"/>
    <n v="0"/>
    <n v="0"/>
  </r>
  <r>
    <x v="195"/>
    <x v="9"/>
    <x v="11"/>
    <x v="20"/>
    <n v="1208365.8799999999"/>
    <m/>
    <n v="1208365.8799999999"/>
    <n v="0"/>
    <m/>
    <n v="0"/>
    <n v="1123742.8799999999"/>
    <n v="0"/>
    <n v="1123742.8799999999"/>
    <n v="0"/>
    <n v="0"/>
    <n v="0"/>
  </r>
  <r>
    <x v="196"/>
    <x v="2"/>
    <x v="8"/>
    <x v="19"/>
    <n v="54090.28"/>
    <m/>
    <n v="54090.28"/>
    <n v="0"/>
    <m/>
    <n v="0"/>
    <n v="85992.9"/>
    <n v="0"/>
    <n v="85992.9"/>
    <n v="0"/>
    <n v="0"/>
    <n v="0"/>
  </r>
  <r>
    <x v="197"/>
    <x v="2"/>
    <x v="8"/>
    <x v="59"/>
    <n v="643125"/>
    <m/>
    <n v="643125"/>
    <n v="0"/>
    <m/>
    <n v="0"/>
    <n v="610000"/>
    <n v="0"/>
    <n v="610000"/>
    <n v="0"/>
    <n v="0"/>
    <n v="0"/>
  </r>
  <r>
    <x v="198"/>
    <x v="2"/>
    <x v="8"/>
    <x v="19"/>
    <n v="53221"/>
    <m/>
    <n v="53221"/>
    <n v="0"/>
    <m/>
    <n v="0"/>
    <n v="50928"/>
    <n v="0"/>
    <n v="50928"/>
    <n v="0"/>
    <n v="0"/>
    <n v="0"/>
  </r>
  <r>
    <x v="199"/>
    <x v="7"/>
    <x v="7"/>
    <x v="9"/>
    <n v="0"/>
    <m/>
    <n v="0"/>
    <n v="5700468"/>
    <m/>
    <n v="5700468"/>
    <n v="0"/>
    <n v="0"/>
    <n v="0"/>
    <n v="4760124"/>
    <n v="0"/>
    <n v="4760124"/>
  </r>
  <r>
    <x v="200"/>
    <x v="6"/>
    <x v="6"/>
    <x v="10"/>
    <n v="0"/>
    <m/>
    <n v="0"/>
    <n v="0"/>
    <m/>
    <n v="0"/>
    <n v="2380"/>
    <n v="0"/>
    <n v="2380"/>
    <n v="0"/>
    <n v="0"/>
    <n v="0"/>
  </r>
  <r>
    <x v="201"/>
    <x v="5"/>
    <x v="5"/>
    <x v="5"/>
    <n v="131217.84"/>
    <m/>
    <n v="131217.84"/>
    <n v="0"/>
    <m/>
    <n v="0"/>
    <n v="311747"/>
    <n v="0"/>
    <n v="311747"/>
    <n v="0"/>
    <n v="0"/>
    <n v="0"/>
  </r>
  <r>
    <x v="202"/>
    <x v="1"/>
    <x v="1"/>
    <x v="6"/>
    <n v="0"/>
    <m/>
    <n v="0"/>
    <n v="313012"/>
    <m/>
    <n v="313012"/>
    <n v="0"/>
    <n v="0"/>
    <n v="0"/>
    <n v="313013"/>
    <n v="0"/>
    <n v="313013"/>
  </r>
  <r>
    <x v="203"/>
    <x v="12"/>
    <x v="14"/>
    <x v="26"/>
    <n v="56914"/>
    <m/>
    <n v="56914"/>
    <n v="0"/>
    <m/>
    <n v="0"/>
    <n v="28831"/>
    <n v="0"/>
    <n v="28831"/>
    <n v="0"/>
    <n v="0"/>
    <n v="0"/>
  </r>
  <r>
    <x v="204"/>
    <x v="2"/>
    <x v="10"/>
    <x v="28"/>
    <n v="470140.39"/>
    <m/>
    <n v="470140.39"/>
    <n v="0"/>
    <m/>
    <n v="0"/>
    <n v="2569100"/>
    <n v="0"/>
    <n v="2569100"/>
    <n v="0"/>
    <n v="0"/>
    <n v="0"/>
  </r>
  <r>
    <x v="205"/>
    <x v="2"/>
    <x v="10"/>
    <x v="60"/>
    <n v="12870"/>
    <m/>
    <n v="12870"/>
    <n v="0"/>
    <m/>
    <n v="0"/>
    <n v="13970"/>
    <n v="0"/>
    <n v="13970"/>
    <n v="0"/>
    <n v="0"/>
    <n v="0"/>
  </r>
  <r>
    <x v="206"/>
    <x v="12"/>
    <x v="14"/>
    <x v="26"/>
    <n v="54676"/>
    <m/>
    <n v="54676"/>
    <n v="0"/>
    <m/>
    <n v="0"/>
    <n v="216806"/>
    <n v="0"/>
    <n v="216806"/>
    <n v="0"/>
    <n v="0"/>
    <n v="0"/>
  </r>
  <r>
    <x v="207"/>
    <x v="19"/>
    <x v="23"/>
    <x v="61"/>
    <n v="0"/>
    <m/>
    <n v="0"/>
    <n v="0"/>
    <m/>
    <n v="0"/>
    <n v="0"/>
    <n v="0"/>
    <n v="0"/>
    <n v="0"/>
    <n v="0"/>
    <n v="0"/>
  </r>
  <r>
    <x v="208"/>
    <x v="18"/>
    <x v="21"/>
    <x v="42"/>
    <n v="0"/>
    <m/>
    <n v="0"/>
    <n v="354825"/>
    <m/>
    <n v="354825"/>
    <n v="0"/>
    <n v="0"/>
    <n v="0"/>
    <n v="505220"/>
    <n v="0"/>
    <n v="505220"/>
  </r>
  <r>
    <x v="209"/>
    <x v="2"/>
    <x v="10"/>
    <x v="60"/>
    <n v="5210528.92"/>
    <m/>
    <n v="5210528.92"/>
    <n v="0"/>
    <m/>
    <n v="0"/>
    <n v="10675054.880000001"/>
    <n v="0"/>
    <n v="10675054.880000001"/>
    <n v="0"/>
    <n v="0"/>
    <n v="0"/>
  </r>
  <r>
    <x v="210"/>
    <x v="5"/>
    <x v="5"/>
    <x v="5"/>
    <n v="490236"/>
    <m/>
    <n v="490236"/>
    <n v="0"/>
    <m/>
    <n v="0"/>
    <n v="0"/>
    <n v="0"/>
    <n v="0"/>
    <n v="0"/>
    <n v="0"/>
    <n v="0"/>
  </r>
  <r>
    <x v="211"/>
    <x v="1"/>
    <x v="1"/>
    <x v="6"/>
    <n v="0"/>
    <m/>
    <n v="0"/>
    <n v="0"/>
    <m/>
    <n v="0"/>
    <n v="0"/>
    <n v="0"/>
    <n v="0"/>
    <n v="0"/>
    <n v="0"/>
    <n v="0"/>
  </r>
  <r>
    <x v="212"/>
    <x v="1"/>
    <x v="1"/>
    <x v="6"/>
    <n v="0"/>
    <m/>
    <n v="0"/>
    <n v="16497"/>
    <m/>
    <n v="16497"/>
    <n v="0"/>
    <n v="0"/>
    <n v="0"/>
    <n v="56976"/>
    <n v="0"/>
    <n v="56976"/>
  </r>
  <r>
    <x v="213"/>
    <x v="1"/>
    <x v="1"/>
    <x v="1"/>
    <n v="0"/>
    <m/>
    <n v="0"/>
    <n v="430942"/>
    <m/>
    <n v="430942"/>
    <n v="0"/>
    <n v="0"/>
    <n v="0"/>
    <n v="356852"/>
    <n v="0"/>
    <n v="356852"/>
  </r>
  <r>
    <x v="214"/>
    <x v="1"/>
    <x v="1"/>
    <x v="1"/>
    <n v="0"/>
    <m/>
    <n v="0"/>
    <n v="437513"/>
    <m/>
    <n v="437513"/>
    <n v="0"/>
    <n v="0"/>
    <n v="0"/>
    <n v="465751"/>
    <n v="0"/>
    <n v="465751"/>
  </r>
  <r>
    <x v="215"/>
    <x v="1"/>
    <x v="1"/>
    <x v="1"/>
    <n v="0"/>
    <m/>
    <n v="0"/>
    <n v="544625"/>
    <m/>
    <n v="544625"/>
    <n v="0"/>
    <n v="0"/>
    <n v="0"/>
    <n v="509568"/>
    <n v="0"/>
    <n v="509568"/>
  </r>
  <r>
    <x v="216"/>
    <x v="2"/>
    <x v="8"/>
    <x v="46"/>
    <n v="450"/>
    <m/>
    <n v="450"/>
    <n v="0"/>
    <m/>
    <n v="0"/>
    <n v="225"/>
    <n v="0"/>
    <n v="225"/>
    <n v="0"/>
    <n v="0"/>
    <n v="0"/>
  </r>
  <r>
    <x v="217"/>
    <x v="2"/>
    <x v="8"/>
    <x v="46"/>
    <n v="5000"/>
    <m/>
    <n v="5000"/>
    <n v="0"/>
    <m/>
    <n v="0"/>
    <n v="226000"/>
    <n v="0"/>
    <n v="226000"/>
    <n v="0"/>
    <n v="0"/>
    <n v="0"/>
  </r>
  <r>
    <x v="218"/>
    <x v="2"/>
    <x v="8"/>
    <x v="46"/>
    <n v="450"/>
    <m/>
    <n v="450"/>
    <n v="0"/>
    <m/>
    <n v="0"/>
    <n v="225"/>
    <n v="0"/>
    <n v="225"/>
    <n v="0"/>
    <n v="0"/>
    <n v="0"/>
  </r>
  <r>
    <x v="219"/>
    <x v="2"/>
    <x v="8"/>
    <x v="46"/>
    <n v="217"/>
    <m/>
    <n v="217"/>
    <n v="0"/>
    <m/>
    <n v="0"/>
    <n v="0"/>
    <n v="0"/>
    <n v="0"/>
    <n v="0"/>
    <n v="0"/>
    <n v="0"/>
  </r>
  <r>
    <x v="220"/>
    <x v="9"/>
    <x v="11"/>
    <x v="20"/>
    <n v="348624149.81"/>
    <m/>
    <n v="348624149.81"/>
    <n v="0"/>
    <m/>
    <n v="0"/>
    <n v="222167592.13999999"/>
    <n v="0"/>
    <n v="222167592.13999999"/>
    <n v="0"/>
    <n v="0"/>
    <n v="0"/>
  </r>
  <r>
    <x v="221"/>
    <x v="1"/>
    <x v="1"/>
    <x v="1"/>
    <n v="0"/>
    <m/>
    <n v="0"/>
    <n v="333000"/>
    <m/>
    <n v="333000"/>
    <n v="0"/>
    <n v="0"/>
    <n v="0"/>
    <n v="374208"/>
    <n v="0"/>
    <n v="374208"/>
  </r>
  <r>
    <x v="222"/>
    <x v="2"/>
    <x v="8"/>
    <x v="11"/>
    <n v="72027"/>
    <m/>
    <n v="72027"/>
    <n v="0"/>
    <m/>
    <n v="0"/>
    <n v="84492"/>
    <n v="0"/>
    <n v="84492"/>
    <n v="0"/>
    <n v="0"/>
    <n v="0"/>
  </r>
  <r>
    <x v="223"/>
    <x v="1"/>
    <x v="1"/>
    <x v="1"/>
    <n v="0"/>
    <m/>
    <n v="0"/>
    <n v="1103470"/>
    <m/>
    <n v="1103470"/>
    <n v="0"/>
    <n v="0"/>
    <n v="0"/>
    <n v="7145017"/>
    <n v="0"/>
    <n v="7145017"/>
  </r>
  <r>
    <x v="224"/>
    <x v="4"/>
    <x v="4"/>
    <x v="62"/>
    <n v="2498493"/>
    <m/>
    <n v="2498493"/>
    <n v="0"/>
    <m/>
    <n v="0"/>
    <n v="0"/>
    <n v="0"/>
    <n v="0"/>
    <n v="0"/>
    <n v="0"/>
    <n v="0"/>
  </r>
  <r>
    <x v="225"/>
    <x v="1"/>
    <x v="1"/>
    <x v="1"/>
    <n v="0"/>
    <m/>
    <n v="0"/>
    <n v="40020"/>
    <m/>
    <n v="40020"/>
    <n v="0"/>
    <n v="0"/>
    <n v="0"/>
    <n v="0"/>
    <n v="0"/>
    <n v="0"/>
  </r>
  <r>
    <x v="226"/>
    <x v="1"/>
    <x v="1"/>
    <x v="1"/>
    <n v="0"/>
    <m/>
    <n v="0"/>
    <n v="93400"/>
    <m/>
    <n v="93400"/>
    <n v="0"/>
    <n v="0"/>
    <n v="0"/>
    <n v="0"/>
    <n v="0"/>
    <n v="0"/>
  </r>
  <r>
    <x v="227"/>
    <x v="9"/>
    <x v="11"/>
    <x v="63"/>
    <n v="0"/>
    <m/>
    <n v="0"/>
    <n v="0"/>
    <m/>
    <n v="0"/>
    <n v="1374004"/>
    <n v="0"/>
    <n v="1374004"/>
    <n v="0"/>
    <n v="0"/>
    <n v="0"/>
  </r>
  <r>
    <x v="228"/>
    <x v="9"/>
    <x v="11"/>
    <x v="63"/>
    <n v="0"/>
    <m/>
    <n v="0"/>
    <n v="0"/>
    <m/>
    <n v="0"/>
    <n v="198800"/>
    <n v="0"/>
    <n v="198800"/>
    <n v="0"/>
    <n v="0"/>
    <n v="0"/>
  </r>
  <r>
    <x v="229"/>
    <x v="9"/>
    <x v="11"/>
    <x v="63"/>
    <n v="0"/>
    <m/>
    <n v="0"/>
    <n v="0"/>
    <m/>
    <n v="0"/>
    <n v="9930454"/>
    <n v="0"/>
    <n v="9930454"/>
    <n v="0"/>
    <n v="0"/>
    <n v="0"/>
  </r>
  <r>
    <x v="230"/>
    <x v="9"/>
    <x v="11"/>
    <x v="63"/>
    <n v="0"/>
    <m/>
    <n v="0"/>
    <n v="0"/>
    <m/>
    <n v="0"/>
    <n v="491595"/>
    <n v="0"/>
    <n v="491595"/>
    <n v="0"/>
    <n v="0"/>
    <n v="0"/>
  </r>
  <r>
    <x v="231"/>
    <x v="3"/>
    <x v="3"/>
    <x v="53"/>
    <n v="990425"/>
    <m/>
    <n v="990425"/>
    <n v="0"/>
    <m/>
    <n v="0"/>
    <n v="758892"/>
    <n v="0"/>
    <n v="758892"/>
    <n v="0"/>
    <n v="0"/>
    <n v="0"/>
  </r>
  <r>
    <x v="232"/>
    <x v="5"/>
    <x v="5"/>
    <x v="5"/>
    <n v="515309"/>
    <m/>
    <n v="515309"/>
    <n v="0"/>
    <m/>
    <n v="0"/>
    <n v="0"/>
    <n v="0"/>
    <n v="0"/>
    <n v="0"/>
    <n v="0"/>
    <n v="0"/>
  </r>
  <r>
    <x v="233"/>
    <x v="2"/>
    <x v="8"/>
    <x v="30"/>
    <n v="774063"/>
    <m/>
    <n v="774063"/>
    <n v="0"/>
    <m/>
    <n v="0"/>
    <n v="671000"/>
    <n v="0"/>
    <n v="671000"/>
    <n v="0"/>
    <n v="0"/>
    <n v="0"/>
  </r>
  <r>
    <x v="234"/>
    <x v="2"/>
    <x v="8"/>
    <x v="46"/>
    <n v="2500"/>
    <m/>
    <n v="2500"/>
    <n v="0"/>
    <m/>
    <n v="0"/>
    <n v="10000"/>
    <n v="0"/>
    <n v="10000"/>
    <n v="0"/>
    <n v="0"/>
    <n v="0"/>
  </r>
  <r>
    <x v="235"/>
    <x v="0"/>
    <x v="12"/>
    <x v="64"/>
    <n v="0"/>
    <m/>
    <n v="0"/>
    <n v="127241303.03"/>
    <m/>
    <n v="127241303.03"/>
    <n v="0"/>
    <n v="0"/>
    <n v="0"/>
    <n v="164517556.99000001"/>
    <n v="0"/>
    <n v="164517556.99000001"/>
  </r>
  <r>
    <x v="236"/>
    <x v="18"/>
    <x v="21"/>
    <x v="65"/>
    <n v="0"/>
    <m/>
    <n v="0"/>
    <n v="9444000"/>
    <m/>
    <n v="9444000"/>
    <n v="0"/>
    <n v="0"/>
    <n v="0"/>
    <n v="9443500"/>
    <n v="0"/>
    <n v="9443500"/>
  </r>
  <r>
    <x v="237"/>
    <x v="17"/>
    <x v="20"/>
    <x v="45"/>
    <n v="1547993"/>
    <m/>
    <n v="1547993"/>
    <n v="0"/>
    <m/>
    <n v="0"/>
    <n v="1309161"/>
    <n v="0"/>
    <n v="1309161"/>
    <n v="0"/>
    <n v="0"/>
    <n v="0"/>
  </r>
  <r>
    <x v="238"/>
    <x v="15"/>
    <x v="17"/>
    <x v="38"/>
    <n v="0"/>
    <m/>
    <n v="0"/>
    <n v="5971965"/>
    <n v="-55667"/>
    <n v="5916298"/>
    <n v="0"/>
    <n v="0"/>
    <n v="0"/>
    <n v="5028548"/>
    <n v="0"/>
    <n v="5028548"/>
  </r>
  <r>
    <x v="239"/>
    <x v="9"/>
    <x v="11"/>
    <x v="66"/>
    <n v="0"/>
    <m/>
    <n v="0"/>
    <n v="10989233.91"/>
    <m/>
    <n v="10989233.91"/>
    <n v="0"/>
    <n v="0"/>
    <n v="0"/>
    <n v="8886648"/>
    <n v="0"/>
    <n v="8886648"/>
  </r>
  <r>
    <x v="240"/>
    <x v="9"/>
    <x v="11"/>
    <x v="66"/>
    <n v="0"/>
    <m/>
    <n v="0"/>
    <n v="869014.41"/>
    <m/>
    <n v="869014.41"/>
    <n v="0"/>
    <n v="0"/>
    <n v="0"/>
    <n v="771454"/>
    <n v="0"/>
    <n v="771454"/>
  </r>
  <r>
    <x v="241"/>
    <x v="9"/>
    <x v="11"/>
    <x v="66"/>
    <n v="0"/>
    <m/>
    <n v="0"/>
    <n v="17269944.850000001"/>
    <m/>
    <n v="17269944.850000001"/>
    <n v="0"/>
    <n v="0"/>
    <n v="0"/>
    <n v="19886895"/>
    <n v="0"/>
    <n v="19886895"/>
  </r>
  <r>
    <x v="242"/>
    <x v="9"/>
    <x v="11"/>
    <x v="66"/>
    <n v="0"/>
    <m/>
    <n v="0"/>
    <n v="379192"/>
    <m/>
    <n v="379192"/>
    <n v="0"/>
    <n v="0"/>
    <n v="0"/>
    <n v="379192"/>
    <n v="0"/>
    <n v="379192"/>
  </r>
  <r>
    <x v="243"/>
    <x v="9"/>
    <x v="11"/>
    <x v="66"/>
    <n v="0"/>
    <m/>
    <n v="0"/>
    <n v="1218124.6399999999"/>
    <m/>
    <n v="1218124.6399999999"/>
    <n v="0"/>
    <n v="0"/>
    <n v="0"/>
    <n v="1114747"/>
    <n v="0"/>
    <n v="1114747"/>
  </r>
  <r>
    <x v="244"/>
    <x v="9"/>
    <x v="11"/>
    <x v="66"/>
    <n v="0"/>
    <m/>
    <n v="0"/>
    <n v="926478.12"/>
    <m/>
    <n v="926478.12"/>
    <n v="0"/>
    <n v="0"/>
    <n v="0"/>
    <n v="817411"/>
    <n v="0"/>
    <n v="817411"/>
  </r>
  <r>
    <x v="245"/>
    <x v="9"/>
    <x v="11"/>
    <x v="66"/>
    <n v="0"/>
    <m/>
    <n v="0"/>
    <n v="130154367.81999999"/>
    <m/>
    <n v="130154367.81999999"/>
    <n v="0"/>
    <n v="0"/>
    <n v="0"/>
    <n v="127155757"/>
    <n v="0"/>
    <n v="127155757"/>
  </r>
  <r>
    <x v="246"/>
    <x v="9"/>
    <x v="11"/>
    <x v="66"/>
    <n v="0"/>
    <m/>
    <n v="0"/>
    <n v="1611557.77"/>
    <m/>
    <n v="1611557.77"/>
    <n v="0"/>
    <n v="0"/>
    <n v="0"/>
    <n v="1264103"/>
    <n v="0"/>
    <n v="1264103"/>
  </r>
  <r>
    <x v="247"/>
    <x v="20"/>
    <x v="24"/>
    <x v="51"/>
    <n v="122153"/>
    <m/>
    <n v="122153"/>
    <n v="0"/>
    <m/>
    <n v="0"/>
    <n v="122153"/>
    <n v="0"/>
    <n v="122153"/>
    <n v="0"/>
    <n v="0"/>
    <n v="0"/>
  </r>
  <r>
    <x v="248"/>
    <x v="20"/>
    <x v="24"/>
    <x v="51"/>
    <n v="271788"/>
    <m/>
    <n v="271788"/>
    <n v="0"/>
    <m/>
    <n v="0"/>
    <n v="271788"/>
    <n v="0"/>
    <n v="271788"/>
    <n v="0"/>
    <n v="0"/>
    <n v="0"/>
  </r>
  <r>
    <x v="249"/>
    <x v="20"/>
    <x v="24"/>
    <x v="51"/>
    <n v="139678"/>
    <m/>
    <n v="139678"/>
    <n v="0"/>
    <m/>
    <n v="0"/>
    <n v="139678"/>
    <n v="0"/>
    <n v="139678"/>
    <n v="0"/>
    <n v="0"/>
    <n v="0"/>
  </r>
  <r>
    <x v="250"/>
    <x v="20"/>
    <x v="24"/>
    <x v="51"/>
    <n v="34285"/>
    <m/>
    <n v="34285"/>
    <n v="0"/>
    <m/>
    <n v="0"/>
    <n v="34285"/>
    <n v="0"/>
    <n v="34285"/>
    <n v="0"/>
    <n v="0"/>
    <n v="0"/>
  </r>
  <r>
    <x v="251"/>
    <x v="15"/>
    <x v="17"/>
    <x v="38"/>
    <n v="0"/>
    <m/>
    <n v="0"/>
    <n v="3020979.7"/>
    <m/>
    <n v="3020979.7"/>
    <n v="0"/>
    <n v="0"/>
    <n v="0"/>
    <n v="3113797.7"/>
    <n v="0"/>
    <n v="3113797.7"/>
  </r>
  <r>
    <x v="252"/>
    <x v="4"/>
    <x v="4"/>
    <x v="25"/>
    <n v="11114075"/>
    <m/>
    <n v="11114075"/>
    <n v="0"/>
    <m/>
    <n v="0"/>
    <n v="17722075"/>
    <n v="0"/>
    <n v="17722075"/>
    <n v="0"/>
    <n v="0"/>
    <n v="0"/>
  </r>
  <r>
    <x v="253"/>
    <x v="1"/>
    <x v="1"/>
    <x v="1"/>
    <n v="0"/>
    <m/>
    <n v="0"/>
    <n v="39629"/>
    <m/>
    <n v="39629"/>
    <n v="0"/>
    <n v="0"/>
    <n v="0"/>
    <n v="0"/>
    <n v="0"/>
    <n v="0"/>
  </r>
  <r>
    <x v="254"/>
    <x v="1"/>
    <x v="1"/>
    <x v="6"/>
    <n v="0"/>
    <m/>
    <n v="0"/>
    <n v="570460"/>
    <m/>
    <n v="570460"/>
    <n v="0"/>
    <n v="0"/>
    <n v="0"/>
    <n v="251180"/>
    <n v="0"/>
    <n v="251180"/>
  </r>
  <r>
    <x v="255"/>
    <x v="12"/>
    <x v="14"/>
    <x v="26"/>
    <n v="248584"/>
    <m/>
    <n v="248584"/>
    <n v="0"/>
    <m/>
    <n v="0"/>
    <n v="293050"/>
    <n v="0"/>
    <n v="293050"/>
    <n v="0"/>
    <n v="0"/>
    <n v="0"/>
  </r>
  <r>
    <x v="256"/>
    <x v="2"/>
    <x v="10"/>
    <x v="28"/>
    <n v="8366598"/>
    <m/>
    <n v="8366598"/>
    <n v="0"/>
    <m/>
    <n v="0"/>
    <n v="3360110.98"/>
    <n v="0"/>
    <n v="3360110.98"/>
    <n v="0"/>
    <n v="0"/>
    <n v="0"/>
  </r>
  <r>
    <x v="257"/>
    <x v="2"/>
    <x v="10"/>
    <x v="60"/>
    <n v="210"/>
    <m/>
    <n v="210"/>
    <n v="0"/>
    <m/>
    <n v="0"/>
    <n v="300"/>
    <n v="0"/>
    <n v="300"/>
    <n v="0"/>
    <n v="0"/>
    <n v="0"/>
  </r>
  <r>
    <x v="258"/>
    <x v="2"/>
    <x v="10"/>
    <x v="67"/>
    <n v="11174515.4"/>
    <m/>
    <n v="11174515.4"/>
    <n v="0"/>
    <m/>
    <n v="0"/>
    <n v="13738207.939999999"/>
    <n v="0"/>
    <n v="13738207.939999999"/>
    <n v="0"/>
    <n v="0"/>
    <n v="0"/>
  </r>
  <r>
    <x v="259"/>
    <x v="5"/>
    <x v="5"/>
    <x v="5"/>
    <n v="11449790"/>
    <m/>
    <n v="11449790"/>
    <n v="0"/>
    <m/>
    <n v="0"/>
    <n v="0"/>
    <n v="0"/>
    <n v="0"/>
    <n v="0"/>
    <n v="0"/>
    <n v="0"/>
  </r>
  <r>
    <x v="260"/>
    <x v="1"/>
    <x v="1"/>
    <x v="6"/>
    <n v="0"/>
    <m/>
    <n v="0"/>
    <n v="328373"/>
    <m/>
    <n v="328373"/>
    <n v="0"/>
    <n v="0"/>
    <n v="0"/>
    <n v="0"/>
    <n v="0"/>
    <n v="0"/>
  </r>
  <r>
    <x v="261"/>
    <x v="1"/>
    <x v="1"/>
    <x v="6"/>
    <n v="0"/>
    <m/>
    <n v="0"/>
    <n v="3493498"/>
    <m/>
    <n v="3493498"/>
    <n v="0"/>
    <n v="0"/>
    <n v="0"/>
    <n v="1212197"/>
    <n v="0"/>
    <n v="1212197"/>
  </r>
  <r>
    <x v="262"/>
    <x v="1"/>
    <x v="1"/>
    <x v="1"/>
    <n v="846"/>
    <m/>
    <n v="846"/>
    <n v="0"/>
    <m/>
    <n v="0"/>
    <n v="0"/>
    <n v="0"/>
    <n v="0"/>
    <n v="0"/>
    <n v="0"/>
    <n v="0"/>
  </r>
  <r>
    <x v="263"/>
    <x v="2"/>
    <x v="8"/>
    <x v="46"/>
    <n v="248399"/>
    <m/>
    <n v="248399"/>
    <n v="0"/>
    <m/>
    <n v="0"/>
    <n v="248701"/>
    <n v="0"/>
    <n v="248701"/>
    <n v="0"/>
    <n v="0"/>
    <n v="0"/>
  </r>
  <r>
    <x v="264"/>
    <x v="4"/>
    <x v="4"/>
    <x v="13"/>
    <n v="15000"/>
    <m/>
    <n v="15000"/>
    <n v="0"/>
    <m/>
    <n v="0"/>
    <n v="0"/>
    <n v="0"/>
    <n v="0"/>
    <n v="0"/>
    <n v="0"/>
    <n v="0"/>
  </r>
  <r>
    <x v="265"/>
    <x v="2"/>
    <x v="10"/>
    <x v="68"/>
    <n v="3685087.84"/>
    <m/>
    <n v="3685087.84"/>
    <n v="0"/>
    <m/>
    <n v="0"/>
    <n v="3368785"/>
    <n v="0"/>
    <n v="3368785"/>
    <n v="0"/>
    <n v="0"/>
    <n v="0"/>
  </r>
  <r>
    <x v="266"/>
    <x v="5"/>
    <x v="5"/>
    <x v="5"/>
    <n v="1924603.5"/>
    <m/>
    <n v="1924603.5"/>
    <n v="0"/>
    <m/>
    <n v="0"/>
    <n v="960861.5"/>
    <n v="0"/>
    <n v="960861.5"/>
    <n v="0"/>
    <n v="0"/>
    <n v="0"/>
  </r>
  <r>
    <x v="267"/>
    <x v="6"/>
    <x v="6"/>
    <x v="7"/>
    <n v="0"/>
    <m/>
    <n v="0"/>
    <n v="29783"/>
    <m/>
    <n v="29783"/>
    <n v="0"/>
    <n v="0"/>
    <n v="0"/>
    <n v="40975"/>
    <n v="0"/>
    <n v="40975"/>
  </r>
  <r>
    <x v="268"/>
    <x v="6"/>
    <x v="6"/>
    <x v="7"/>
    <n v="0"/>
    <m/>
    <n v="0"/>
    <n v="27120"/>
    <m/>
    <n v="27120"/>
    <n v="0"/>
    <n v="0"/>
    <n v="0"/>
    <n v="84100"/>
    <n v="0"/>
    <n v="84100"/>
  </r>
  <r>
    <x v="269"/>
    <x v="6"/>
    <x v="6"/>
    <x v="7"/>
    <n v="0"/>
    <m/>
    <n v="0"/>
    <n v="29783"/>
    <m/>
    <n v="29783"/>
    <n v="0"/>
    <n v="0"/>
    <n v="0"/>
    <n v="40975"/>
    <n v="0"/>
    <n v="40975"/>
  </r>
  <r>
    <x v="270"/>
    <x v="17"/>
    <x v="20"/>
    <x v="41"/>
    <n v="1916000"/>
    <m/>
    <n v="1916000"/>
    <n v="0"/>
    <m/>
    <n v="0"/>
    <n v="3072000"/>
    <n v="0"/>
    <n v="3072000"/>
    <n v="0"/>
    <n v="0"/>
    <n v="0"/>
  </r>
  <r>
    <x v="271"/>
    <x v="2"/>
    <x v="8"/>
    <x v="11"/>
    <n v="400168"/>
    <m/>
    <n v="400168"/>
    <n v="0"/>
    <m/>
    <n v="0"/>
    <n v="296207.59999999998"/>
    <n v="0"/>
    <n v="296207.59999999998"/>
    <n v="0"/>
    <n v="0"/>
    <n v="0"/>
  </r>
  <r>
    <x v="272"/>
    <x v="5"/>
    <x v="5"/>
    <x v="5"/>
    <n v="51534"/>
    <m/>
    <n v="51534"/>
    <n v="0"/>
    <m/>
    <n v="0"/>
    <n v="0"/>
    <n v="0"/>
    <n v="0"/>
    <n v="0"/>
    <n v="0"/>
    <n v="0"/>
  </r>
  <r>
    <x v="273"/>
    <x v="2"/>
    <x v="8"/>
    <x v="69"/>
    <n v="357129.36"/>
    <m/>
    <n v="357129.36"/>
    <n v="0"/>
    <m/>
    <n v="0"/>
    <n v="268584"/>
    <n v="0"/>
    <n v="268584"/>
    <n v="0"/>
    <n v="0"/>
    <n v="0"/>
  </r>
  <r>
    <x v="274"/>
    <x v="2"/>
    <x v="10"/>
    <x v="70"/>
    <n v="263090.43"/>
    <m/>
    <n v="263090.43"/>
    <n v="0"/>
    <m/>
    <n v="0"/>
    <n v="93430.13"/>
    <n v="0"/>
    <n v="93430.13"/>
    <n v="0"/>
    <n v="0"/>
    <n v="0"/>
  </r>
  <r>
    <x v="275"/>
    <x v="1"/>
    <x v="1"/>
    <x v="1"/>
    <n v="58000"/>
    <m/>
    <n v="58000"/>
    <n v="0"/>
    <m/>
    <n v="0"/>
    <n v="0"/>
    <n v="0"/>
    <n v="0"/>
    <n v="0"/>
    <n v="0"/>
    <n v="0"/>
  </r>
  <r>
    <x v="276"/>
    <x v="10"/>
    <x v="12"/>
    <x v="21"/>
    <n v="0"/>
    <m/>
    <n v="0"/>
    <n v="50905004"/>
    <m/>
    <n v="50905004"/>
    <n v="0"/>
    <n v="0"/>
    <n v="0"/>
    <n v="50905004"/>
    <n v="0"/>
    <n v="50905004"/>
  </r>
  <r>
    <x v="277"/>
    <x v="6"/>
    <x v="6"/>
    <x v="57"/>
    <n v="0"/>
    <m/>
    <n v="0"/>
    <n v="54000"/>
    <m/>
    <n v="54000"/>
    <n v="0"/>
    <n v="0"/>
    <n v="0"/>
    <n v="243000"/>
    <n v="0"/>
    <n v="243000"/>
  </r>
  <r>
    <x v="278"/>
    <x v="2"/>
    <x v="8"/>
    <x v="46"/>
    <n v="4800"/>
    <m/>
    <n v="4800"/>
    <n v="0"/>
    <m/>
    <n v="0"/>
    <n v="7900"/>
    <n v="0"/>
    <n v="7900"/>
    <n v="0"/>
    <n v="0"/>
    <n v="0"/>
  </r>
  <r>
    <x v="279"/>
    <x v="3"/>
    <x v="3"/>
    <x v="27"/>
    <n v="221984"/>
    <m/>
    <n v="221984"/>
    <n v="0"/>
    <m/>
    <n v="0"/>
    <n v="221984"/>
    <n v="0"/>
    <n v="221984"/>
    <n v="0"/>
    <n v="0"/>
    <n v="0"/>
  </r>
  <r>
    <x v="280"/>
    <x v="1"/>
    <x v="1"/>
    <x v="6"/>
    <n v="0"/>
    <m/>
    <n v="0"/>
    <n v="3110810"/>
    <m/>
    <n v="3110810"/>
    <n v="0"/>
    <n v="0"/>
    <n v="0"/>
    <n v="3597964"/>
    <n v="0"/>
    <n v="3597964"/>
  </r>
  <r>
    <x v="281"/>
    <x v="2"/>
    <x v="8"/>
    <x v="11"/>
    <n v="0"/>
    <m/>
    <n v="0"/>
    <n v="245.71"/>
    <m/>
    <n v="245.71"/>
    <n v="0"/>
    <n v="0"/>
    <n v="0"/>
    <n v="676.59"/>
    <n v="0"/>
    <n v="676.59"/>
  </r>
  <r>
    <x v="282"/>
    <x v="5"/>
    <x v="5"/>
    <x v="5"/>
    <n v="15353091"/>
    <m/>
    <n v="15353091"/>
    <n v="0"/>
    <m/>
    <n v="0"/>
    <n v="28916252"/>
    <n v="0"/>
    <n v="28916252"/>
    <n v="0"/>
    <n v="0"/>
    <n v="0"/>
  </r>
  <r>
    <x v="283"/>
    <x v="5"/>
    <x v="5"/>
    <x v="5"/>
    <n v="231709"/>
    <m/>
    <n v="231709"/>
    <n v="0"/>
    <m/>
    <n v="0"/>
    <n v="515492"/>
    <n v="0"/>
    <n v="515492"/>
    <n v="0"/>
    <n v="0"/>
    <n v="0"/>
  </r>
  <r>
    <x v="284"/>
    <x v="1"/>
    <x v="1"/>
    <x v="6"/>
    <n v="0"/>
    <m/>
    <n v="0"/>
    <n v="2400131"/>
    <m/>
    <n v="2400131"/>
    <n v="0"/>
    <n v="0"/>
    <n v="0"/>
    <n v="1561707"/>
    <n v="0"/>
    <n v="1561707"/>
  </r>
  <r>
    <x v="285"/>
    <x v="6"/>
    <x v="6"/>
    <x v="10"/>
    <n v="0"/>
    <m/>
    <n v="0"/>
    <n v="1508372"/>
    <m/>
    <n v="1508372"/>
    <n v="0"/>
    <n v="0"/>
    <n v="0"/>
    <n v="1087441"/>
    <n v="0"/>
    <n v="1087441"/>
  </r>
  <r>
    <x v="286"/>
    <x v="17"/>
    <x v="20"/>
    <x v="41"/>
    <n v="252000"/>
    <m/>
    <n v="252000"/>
    <n v="0"/>
    <m/>
    <n v="0"/>
    <n v="237000"/>
    <n v="0"/>
    <n v="237000"/>
    <n v="0"/>
    <n v="0"/>
    <n v="0"/>
  </r>
  <r>
    <x v="287"/>
    <x v="17"/>
    <x v="20"/>
    <x v="41"/>
    <n v="1930419"/>
    <m/>
    <n v="1930419"/>
    <n v="0"/>
    <m/>
    <n v="0"/>
    <n v="2732000"/>
    <n v="0"/>
    <n v="2732000"/>
    <n v="0"/>
    <n v="0"/>
    <n v="0"/>
  </r>
  <r>
    <x v="288"/>
    <x v="17"/>
    <x v="20"/>
    <x v="41"/>
    <n v="2844200"/>
    <m/>
    <n v="2844200"/>
    <n v="0"/>
    <m/>
    <n v="0"/>
    <n v="2857400"/>
    <n v="0"/>
    <n v="2857400"/>
    <n v="0"/>
    <n v="0"/>
    <n v="0"/>
  </r>
  <r>
    <x v="289"/>
    <x v="17"/>
    <x v="20"/>
    <x v="41"/>
    <n v="9905920"/>
    <m/>
    <n v="9905920"/>
    <n v="0"/>
    <m/>
    <n v="0"/>
    <n v="7499801"/>
    <n v="0"/>
    <n v="7499801"/>
    <n v="0"/>
    <n v="0"/>
    <n v="0"/>
  </r>
  <r>
    <x v="290"/>
    <x v="1"/>
    <x v="1"/>
    <x v="1"/>
    <n v="0"/>
    <m/>
    <n v="0"/>
    <n v="1300144"/>
    <m/>
    <n v="1300144"/>
    <n v="0"/>
    <n v="0"/>
    <n v="0"/>
    <n v="0"/>
    <n v="0"/>
    <n v="0"/>
  </r>
  <r>
    <x v="291"/>
    <x v="18"/>
    <x v="21"/>
    <x v="42"/>
    <n v="0"/>
    <m/>
    <n v="0"/>
    <n v="512311311.10000002"/>
    <m/>
    <n v="512311311.10000002"/>
    <n v="0"/>
    <n v="0"/>
    <n v="0"/>
    <n v="930626444.45000005"/>
    <n v="0"/>
    <n v="930626444.45000005"/>
  </r>
  <r>
    <x v="292"/>
    <x v="18"/>
    <x v="21"/>
    <x v="42"/>
    <n v="0"/>
    <m/>
    <n v="0"/>
    <n v="99943120.799999997"/>
    <m/>
    <n v="99943120.799999997"/>
    <n v="0"/>
    <n v="0"/>
    <n v="0"/>
    <n v="138935526.5"/>
    <n v="0"/>
    <n v="138935526.5"/>
  </r>
  <r>
    <x v="293"/>
    <x v="18"/>
    <x v="21"/>
    <x v="42"/>
    <n v="322707"/>
    <m/>
    <n v="322707"/>
    <n v="0"/>
    <m/>
    <n v="0"/>
    <n v="0"/>
    <n v="0"/>
    <n v="0"/>
    <n v="0"/>
    <n v="0"/>
    <n v="0"/>
  </r>
  <r>
    <x v="294"/>
    <x v="18"/>
    <x v="21"/>
    <x v="42"/>
    <n v="0"/>
    <m/>
    <n v="0"/>
    <n v="409917"/>
    <m/>
    <n v="409917"/>
    <n v="0"/>
    <n v="0"/>
    <n v="0"/>
    <n v="603566"/>
    <n v="0"/>
    <n v="603566"/>
  </r>
  <r>
    <x v="295"/>
    <x v="7"/>
    <x v="7"/>
    <x v="9"/>
    <n v="0"/>
    <m/>
    <n v="0"/>
    <n v="1406203"/>
    <m/>
    <n v="1406203"/>
    <n v="0"/>
    <n v="0"/>
    <n v="0"/>
    <n v="1308589"/>
    <n v="0"/>
    <n v="1308589"/>
  </r>
  <r>
    <x v="296"/>
    <x v="1"/>
    <x v="1"/>
    <x v="1"/>
    <n v="0"/>
    <m/>
    <n v="0"/>
    <n v="5290"/>
    <m/>
    <n v="5290"/>
    <n v="0"/>
    <n v="0"/>
    <n v="0"/>
    <n v="0"/>
    <n v="0"/>
    <n v="0"/>
  </r>
  <r>
    <x v="297"/>
    <x v="7"/>
    <x v="7"/>
    <x v="9"/>
    <n v="0"/>
    <m/>
    <n v="0"/>
    <n v="2187364"/>
    <m/>
    <n v="2187364"/>
    <n v="0"/>
    <n v="0"/>
    <n v="0"/>
    <n v="2035521"/>
    <n v="0"/>
    <n v="2035521"/>
  </r>
  <r>
    <x v="298"/>
    <x v="1"/>
    <x v="1"/>
    <x v="1"/>
    <n v="1094"/>
    <m/>
    <n v="1094"/>
    <n v="0"/>
    <m/>
    <n v="0"/>
    <n v="0"/>
    <n v="0"/>
    <n v="0"/>
    <n v="0"/>
    <n v="0"/>
    <n v="0"/>
  </r>
  <r>
    <x v="299"/>
    <x v="5"/>
    <x v="5"/>
    <x v="5"/>
    <n v="8712571"/>
    <m/>
    <n v="8712571"/>
    <n v="0"/>
    <m/>
    <n v="0"/>
    <n v="5613955"/>
    <n v="0"/>
    <n v="5613955"/>
    <n v="0"/>
    <n v="0"/>
    <n v="0"/>
  </r>
  <r>
    <x v="300"/>
    <x v="7"/>
    <x v="7"/>
    <x v="71"/>
    <n v="0"/>
    <m/>
    <n v="0"/>
    <n v="11159826"/>
    <m/>
    <n v="11159826"/>
    <n v="0"/>
    <n v="0"/>
    <n v="0"/>
    <n v="10184018"/>
    <n v="0"/>
    <n v="10184018"/>
  </r>
  <r>
    <x v="301"/>
    <x v="7"/>
    <x v="7"/>
    <x v="71"/>
    <n v="0"/>
    <m/>
    <n v="0"/>
    <n v="6263137"/>
    <m/>
    <n v="6263137"/>
    <n v="0"/>
    <n v="0"/>
    <n v="0"/>
    <n v="7221052.2300000004"/>
    <n v="0"/>
    <n v="7221052.2300000004"/>
  </r>
  <r>
    <x v="302"/>
    <x v="7"/>
    <x v="7"/>
    <x v="71"/>
    <n v="0"/>
    <m/>
    <n v="0"/>
    <n v="68723.86"/>
    <m/>
    <n v="68723.86"/>
    <n v="0"/>
    <n v="0"/>
    <n v="0"/>
    <n v="4745540.8600000003"/>
    <n v="0"/>
    <n v="4745540.8600000003"/>
  </r>
  <r>
    <x v="303"/>
    <x v="11"/>
    <x v="13"/>
    <x v="72"/>
    <n v="8810.64"/>
    <m/>
    <n v="8810.64"/>
    <n v="0"/>
    <m/>
    <n v="0"/>
    <n v="9459.64"/>
    <n v="0"/>
    <n v="9459.64"/>
    <n v="0"/>
    <n v="0"/>
    <n v="0"/>
  </r>
  <r>
    <x v="304"/>
    <x v="7"/>
    <x v="7"/>
    <x v="71"/>
    <n v="0"/>
    <m/>
    <n v="0"/>
    <n v="28972386"/>
    <m/>
    <n v="28972386"/>
    <n v="0"/>
    <n v="0"/>
    <n v="0"/>
    <n v="0"/>
    <n v="0"/>
    <n v="0"/>
  </r>
  <r>
    <x v="305"/>
    <x v="7"/>
    <x v="7"/>
    <x v="71"/>
    <n v="0"/>
    <m/>
    <n v="0"/>
    <n v="46199076"/>
    <m/>
    <n v="46199076"/>
    <n v="0"/>
    <n v="0"/>
    <n v="0"/>
    <n v="62630931"/>
    <n v="0"/>
    <n v="62630931"/>
  </r>
  <r>
    <x v="306"/>
    <x v="0"/>
    <x v="12"/>
    <x v="73"/>
    <n v="0"/>
    <m/>
    <n v="0"/>
    <n v="8664946"/>
    <m/>
    <n v="8664946"/>
    <n v="0"/>
    <n v="0"/>
    <n v="0"/>
    <n v="8664946"/>
    <n v="0"/>
    <n v="8664946"/>
  </r>
  <r>
    <x v="307"/>
    <x v="2"/>
    <x v="10"/>
    <x v="74"/>
    <n v="827794"/>
    <m/>
    <n v="827794"/>
    <n v="0"/>
    <m/>
    <n v="0"/>
    <n v="905691"/>
    <n v="0"/>
    <n v="905691"/>
    <n v="0"/>
    <n v="0"/>
    <n v="0"/>
  </r>
  <r>
    <x v="308"/>
    <x v="1"/>
    <x v="1"/>
    <x v="6"/>
    <n v="0"/>
    <m/>
    <n v="0"/>
    <n v="1397710"/>
    <m/>
    <n v="1397710"/>
    <n v="0"/>
    <n v="0"/>
    <n v="0"/>
    <n v="632079"/>
    <n v="0"/>
    <n v="632079"/>
  </r>
  <r>
    <x v="309"/>
    <x v="1"/>
    <x v="1"/>
    <x v="6"/>
    <n v="0"/>
    <m/>
    <n v="0"/>
    <n v="210890"/>
    <m/>
    <n v="210890"/>
    <n v="0"/>
    <n v="0"/>
    <n v="0"/>
    <n v="0"/>
    <n v="0"/>
    <n v="0"/>
  </r>
  <r>
    <x v="310"/>
    <x v="6"/>
    <x v="6"/>
    <x v="7"/>
    <n v="0"/>
    <m/>
    <n v="0"/>
    <n v="633932.32999999996"/>
    <m/>
    <n v="633932.32999999996"/>
    <n v="0"/>
    <n v="0"/>
    <n v="0"/>
    <n v="0"/>
    <n v="0"/>
    <n v="0"/>
  </r>
  <r>
    <x v="311"/>
    <x v="6"/>
    <x v="6"/>
    <x v="7"/>
    <n v="0"/>
    <m/>
    <n v="0"/>
    <n v="41335.42"/>
    <m/>
    <n v="41335.42"/>
    <n v="0"/>
    <n v="0"/>
    <n v="0"/>
    <n v="0"/>
    <n v="0"/>
    <n v="0"/>
  </r>
  <r>
    <x v="312"/>
    <x v="1"/>
    <x v="1"/>
    <x v="6"/>
    <n v="0"/>
    <m/>
    <n v="0"/>
    <n v="474189"/>
    <m/>
    <n v="474189"/>
    <n v="0"/>
    <n v="0"/>
    <n v="0"/>
    <n v="2129493"/>
    <n v="0"/>
    <n v="2129493"/>
  </r>
  <r>
    <x v="313"/>
    <x v="5"/>
    <x v="5"/>
    <x v="5"/>
    <n v="719897"/>
    <m/>
    <n v="719897"/>
    <n v="0"/>
    <m/>
    <n v="0"/>
    <n v="886344"/>
    <n v="0"/>
    <n v="886344"/>
    <n v="0"/>
    <n v="0"/>
    <n v="0"/>
  </r>
  <r>
    <x v="314"/>
    <x v="5"/>
    <x v="5"/>
    <x v="5"/>
    <n v="1651.44"/>
    <m/>
    <n v="1651.44"/>
    <n v="0"/>
    <m/>
    <n v="0"/>
    <n v="0"/>
    <n v="0"/>
    <n v="0"/>
    <n v="0"/>
    <n v="0"/>
    <n v="0"/>
  </r>
  <r>
    <x v="315"/>
    <x v="1"/>
    <x v="1"/>
    <x v="6"/>
    <n v="0"/>
    <m/>
    <n v="0"/>
    <n v="1449699.7"/>
    <m/>
    <n v="1449699.7"/>
    <n v="0"/>
    <n v="0"/>
    <n v="0"/>
    <n v="1668161.7"/>
    <n v="0"/>
    <n v="1668161.7"/>
  </r>
  <r>
    <x v="316"/>
    <x v="5"/>
    <x v="5"/>
    <x v="5"/>
    <n v="221637"/>
    <m/>
    <n v="221637"/>
    <n v="0"/>
    <m/>
    <n v="0"/>
    <n v="0"/>
    <n v="0"/>
    <n v="0"/>
    <n v="0"/>
    <n v="0"/>
    <n v="0"/>
  </r>
  <r>
    <x v="317"/>
    <x v="18"/>
    <x v="21"/>
    <x v="42"/>
    <n v="125"/>
    <m/>
    <n v="125"/>
    <n v="0"/>
    <m/>
    <n v="0"/>
    <n v="0"/>
    <n v="0"/>
    <n v="0"/>
    <n v="0"/>
    <n v="0"/>
    <n v="0"/>
  </r>
  <r>
    <x v="318"/>
    <x v="1"/>
    <x v="1"/>
    <x v="1"/>
    <n v="0"/>
    <m/>
    <n v="0"/>
    <n v="258302"/>
    <m/>
    <n v="258302"/>
    <n v="0"/>
    <n v="0"/>
    <n v="0"/>
    <n v="0"/>
    <n v="0"/>
    <n v="0"/>
  </r>
  <r>
    <x v="319"/>
    <x v="1"/>
    <x v="1"/>
    <x v="1"/>
    <n v="0"/>
    <m/>
    <n v="0"/>
    <n v="114628"/>
    <m/>
    <n v="114628"/>
    <n v="0"/>
    <n v="0"/>
    <n v="0"/>
    <n v="0"/>
    <n v="0"/>
    <n v="0"/>
  </r>
  <r>
    <x v="320"/>
    <x v="7"/>
    <x v="7"/>
    <x v="9"/>
    <n v="0"/>
    <m/>
    <n v="0"/>
    <n v="559911"/>
    <m/>
    <n v="559911"/>
    <n v="0"/>
    <n v="0"/>
    <n v="0"/>
    <n v="2253400"/>
    <n v="0"/>
    <n v="2253400"/>
  </r>
  <r>
    <x v="321"/>
    <x v="6"/>
    <x v="6"/>
    <x v="32"/>
    <n v="0"/>
    <m/>
    <n v="0"/>
    <n v="14175"/>
    <m/>
    <n v="14175"/>
    <n v="0"/>
    <n v="0"/>
    <n v="0"/>
    <n v="11575"/>
    <n v="0"/>
    <n v="11575"/>
  </r>
  <r>
    <x v="322"/>
    <x v="2"/>
    <x v="8"/>
    <x v="30"/>
    <n v="12900"/>
    <m/>
    <n v="12900"/>
    <n v="0"/>
    <m/>
    <n v="0"/>
    <n v="6640"/>
    <n v="0"/>
    <n v="6640"/>
    <n v="0"/>
    <n v="0"/>
    <n v="0"/>
  </r>
  <r>
    <x v="323"/>
    <x v="22"/>
    <x v="26"/>
    <x v="75"/>
    <n v="0"/>
    <m/>
    <n v="0"/>
    <n v="89643931.159999996"/>
    <m/>
    <n v="89643931.159999996"/>
    <n v="0"/>
    <n v="0"/>
    <n v="0"/>
    <n v="78274677.280000001"/>
    <n v="0"/>
    <n v="78274677.280000001"/>
  </r>
  <r>
    <x v="324"/>
    <x v="2"/>
    <x v="10"/>
    <x v="28"/>
    <n v="5149248"/>
    <m/>
    <n v="5149248"/>
    <n v="0"/>
    <m/>
    <n v="0"/>
    <n v="2485856"/>
    <n v="0"/>
    <n v="2485856"/>
    <n v="0"/>
    <n v="0"/>
    <n v="0"/>
  </r>
  <r>
    <x v="325"/>
    <x v="2"/>
    <x v="8"/>
    <x v="76"/>
    <n v="217506.58"/>
    <m/>
    <n v="217506.58"/>
    <n v="0"/>
    <m/>
    <n v="0"/>
    <n v="269184.78000000003"/>
    <n v="0"/>
    <n v="269184.78000000003"/>
    <n v="0"/>
    <n v="0"/>
    <n v="0"/>
  </r>
  <r>
    <x v="326"/>
    <x v="2"/>
    <x v="8"/>
    <x v="77"/>
    <n v="275000"/>
    <m/>
    <n v="275000"/>
    <n v="0"/>
    <m/>
    <n v="0"/>
    <n v="275000"/>
    <n v="0"/>
    <n v="275000"/>
    <n v="0"/>
    <n v="0"/>
    <n v="0"/>
  </r>
  <r>
    <x v="327"/>
    <x v="8"/>
    <x v="9"/>
    <x v="16"/>
    <n v="46000"/>
    <m/>
    <n v="46000"/>
    <n v="0"/>
    <m/>
    <n v="0"/>
    <n v="22500"/>
    <n v="0"/>
    <n v="22500"/>
    <n v="0"/>
    <n v="0"/>
    <n v="0"/>
  </r>
  <r>
    <x v="328"/>
    <x v="1"/>
    <x v="1"/>
    <x v="6"/>
    <n v="0"/>
    <m/>
    <n v="0"/>
    <n v="548430"/>
    <m/>
    <n v="548430"/>
    <n v="0"/>
    <n v="0"/>
    <n v="0"/>
    <n v="101563"/>
    <n v="0"/>
    <n v="101563"/>
  </r>
  <r>
    <x v="329"/>
    <x v="2"/>
    <x v="8"/>
    <x v="11"/>
    <n v="188020.5"/>
    <m/>
    <n v="188020.5"/>
    <n v="0"/>
    <m/>
    <n v="0"/>
    <n v="0"/>
    <n v="0"/>
    <n v="0"/>
    <n v="5.61"/>
    <n v="0"/>
    <n v="5.61"/>
  </r>
  <r>
    <x v="330"/>
    <x v="4"/>
    <x v="4"/>
    <x v="13"/>
    <n v="30000"/>
    <m/>
    <n v="30000"/>
    <n v="0"/>
    <m/>
    <n v="0"/>
    <n v="67000"/>
    <n v="0"/>
    <n v="67000"/>
    <n v="0"/>
    <n v="0"/>
    <n v="0"/>
  </r>
  <r>
    <x v="331"/>
    <x v="1"/>
    <x v="1"/>
    <x v="6"/>
    <n v="0"/>
    <m/>
    <n v="0"/>
    <n v="122997"/>
    <m/>
    <n v="122997"/>
    <n v="0"/>
    <n v="0"/>
    <n v="0"/>
    <n v="0"/>
    <n v="0"/>
    <n v="0"/>
  </r>
  <r>
    <x v="332"/>
    <x v="1"/>
    <x v="1"/>
    <x v="6"/>
    <n v="0"/>
    <m/>
    <n v="0"/>
    <n v="423547"/>
    <m/>
    <n v="423547"/>
    <n v="0"/>
    <n v="0"/>
    <n v="0"/>
    <n v="0"/>
    <n v="0"/>
    <n v="0"/>
  </r>
  <r>
    <x v="333"/>
    <x v="1"/>
    <x v="1"/>
    <x v="6"/>
    <n v="0"/>
    <m/>
    <n v="0"/>
    <n v="1046424"/>
    <m/>
    <n v="1046424"/>
    <n v="0"/>
    <n v="0"/>
    <n v="0"/>
    <n v="830720"/>
    <n v="0"/>
    <n v="830720"/>
  </r>
  <r>
    <x v="334"/>
    <x v="1"/>
    <x v="1"/>
    <x v="6"/>
    <n v="0"/>
    <m/>
    <n v="0"/>
    <n v="103673"/>
    <m/>
    <n v="103673"/>
    <n v="0"/>
    <n v="0"/>
    <n v="0"/>
    <n v="0"/>
    <n v="0"/>
    <n v="0"/>
  </r>
  <r>
    <x v="335"/>
    <x v="20"/>
    <x v="24"/>
    <x v="51"/>
    <n v="11611"/>
    <m/>
    <n v="11611"/>
    <n v="0"/>
    <m/>
    <n v="0"/>
    <n v="11611"/>
    <n v="0"/>
    <n v="11611"/>
    <n v="0"/>
    <n v="0"/>
    <n v="0"/>
  </r>
  <r>
    <x v="336"/>
    <x v="20"/>
    <x v="24"/>
    <x v="51"/>
    <n v="52979.92"/>
    <m/>
    <n v="52979.92"/>
    <n v="0"/>
    <m/>
    <n v="0"/>
    <n v="0"/>
    <n v="0"/>
    <n v="0"/>
    <n v="0"/>
    <n v="0"/>
    <n v="0"/>
  </r>
  <r>
    <x v="337"/>
    <x v="6"/>
    <x v="6"/>
    <x v="32"/>
    <n v="0"/>
    <m/>
    <n v="0"/>
    <n v="14885.01"/>
    <m/>
    <n v="14885.01"/>
    <n v="0"/>
    <n v="0"/>
    <n v="0"/>
    <n v="9325.82"/>
    <n v="0"/>
    <n v="9325.82"/>
  </r>
  <r>
    <x v="338"/>
    <x v="20"/>
    <x v="24"/>
    <x v="51"/>
    <n v="24886"/>
    <m/>
    <n v="24886"/>
    <n v="0"/>
    <m/>
    <n v="0"/>
    <n v="24886"/>
    <n v="0"/>
    <n v="24886"/>
    <n v="0"/>
    <n v="0"/>
    <n v="0"/>
  </r>
  <r>
    <x v="339"/>
    <x v="20"/>
    <x v="24"/>
    <x v="51"/>
    <n v="15998"/>
    <m/>
    <n v="15998"/>
    <n v="0"/>
    <m/>
    <n v="0"/>
    <n v="15998"/>
    <n v="0"/>
    <n v="15998"/>
    <n v="0"/>
    <n v="0"/>
    <n v="0"/>
  </r>
  <r>
    <x v="340"/>
    <x v="20"/>
    <x v="24"/>
    <x v="51"/>
    <n v="435758"/>
    <m/>
    <n v="435758"/>
    <n v="0"/>
    <m/>
    <n v="0"/>
    <n v="0"/>
    <n v="0"/>
    <n v="0"/>
    <n v="0"/>
    <n v="0"/>
    <n v="0"/>
  </r>
  <r>
    <x v="341"/>
    <x v="6"/>
    <x v="6"/>
    <x v="32"/>
    <n v="0"/>
    <m/>
    <n v="0"/>
    <n v="18590.04"/>
    <m/>
    <n v="18590.04"/>
    <n v="0"/>
    <n v="0"/>
    <n v="0"/>
    <n v="61052.04"/>
    <n v="0"/>
    <n v="61052.04"/>
  </r>
  <r>
    <x v="342"/>
    <x v="6"/>
    <x v="6"/>
    <x v="32"/>
    <n v="0"/>
    <m/>
    <n v="0"/>
    <n v="31456"/>
    <m/>
    <n v="31456"/>
    <n v="0"/>
    <n v="0"/>
    <n v="0"/>
    <n v="60934"/>
    <n v="0"/>
    <n v="60934"/>
  </r>
  <r>
    <x v="343"/>
    <x v="6"/>
    <x v="6"/>
    <x v="32"/>
    <n v="0"/>
    <m/>
    <n v="0"/>
    <n v="5513"/>
    <m/>
    <n v="5513"/>
    <n v="0"/>
    <n v="0"/>
    <n v="0"/>
    <n v="5250"/>
    <n v="0"/>
    <n v="5250"/>
  </r>
  <r>
    <x v="344"/>
    <x v="6"/>
    <x v="6"/>
    <x v="32"/>
    <n v="0"/>
    <m/>
    <n v="0"/>
    <n v="48309"/>
    <m/>
    <n v="48309"/>
    <n v="0"/>
    <n v="0"/>
    <n v="0"/>
    <n v="141960"/>
    <n v="0"/>
    <n v="141960"/>
  </r>
  <r>
    <x v="345"/>
    <x v="6"/>
    <x v="6"/>
    <x v="32"/>
    <n v="0"/>
    <m/>
    <n v="0"/>
    <n v="33692"/>
    <m/>
    <n v="33692"/>
    <n v="0"/>
    <n v="0"/>
    <n v="0"/>
    <n v="49527"/>
    <n v="0"/>
    <n v="49527"/>
  </r>
  <r>
    <x v="346"/>
    <x v="6"/>
    <x v="6"/>
    <x v="32"/>
    <n v="0"/>
    <m/>
    <n v="0"/>
    <n v="34000"/>
    <m/>
    <n v="34000"/>
    <n v="0"/>
    <n v="0"/>
    <n v="0"/>
    <n v="61380"/>
    <n v="0"/>
    <n v="61380"/>
  </r>
  <r>
    <x v="347"/>
    <x v="6"/>
    <x v="6"/>
    <x v="32"/>
    <n v="0"/>
    <m/>
    <n v="0"/>
    <n v="8000"/>
    <m/>
    <n v="8000"/>
    <n v="0"/>
    <n v="0"/>
    <n v="0"/>
    <n v="5000"/>
    <n v="0"/>
    <n v="5000"/>
  </r>
  <r>
    <x v="348"/>
    <x v="6"/>
    <x v="6"/>
    <x v="32"/>
    <n v="0"/>
    <m/>
    <n v="0"/>
    <n v="23905"/>
    <m/>
    <n v="23905"/>
    <n v="0"/>
    <n v="0"/>
    <n v="0"/>
    <n v="27071"/>
    <n v="0"/>
    <n v="27071"/>
  </r>
  <r>
    <x v="349"/>
    <x v="20"/>
    <x v="24"/>
    <x v="51"/>
    <n v="933217.36"/>
    <m/>
    <n v="933217.36"/>
    <n v="0"/>
    <m/>
    <n v="0"/>
    <n v="933217.36"/>
    <n v="0"/>
    <n v="933217.36"/>
    <n v="0"/>
    <n v="0"/>
    <n v="0"/>
  </r>
  <r>
    <x v="350"/>
    <x v="2"/>
    <x v="8"/>
    <x v="78"/>
    <n v="72945"/>
    <m/>
    <n v="72945"/>
    <n v="0"/>
    <m/>
    <n v="0"/>
    <n v="67429"/>
    <n v="0"/>
    <n v="67429"/>
    <n v="0"/>
    <n v="0"/>
    <n v="0"/>
  </r>
  <r>
    <x v="351"/>
    <x v="2"/>
    <x v="10"/>
    <x v="18"/>
    <n v="99717"/>
    <m/>
    <n v="99717"/>
    <n v="0"/>
    <m/>
    <n v="0"/>
    <n v="123242"/>
    <n v="0"/>
    <n v="123242"/>
    <n v="0"/>
    <n v="0"/>
    <n v="0"/>
  </r>
  <r>
    <x v="352"/>
    <x v="1"/>
    <x v="1"/>
    <x v="1"/>
    <n v="0"/>
    <m/>
    <n v="0"/>
    <n v="197478"/>
    <m/>
    <n v="197478"/>
    <n v="0"/>
    <n v="0"/>
    <n v="0"/>
    <n v="0"/>
    <n v="0"/>
    <n v="0"/>
  </r>
  <r>
    <x v="353"/>
    <x v="18"/>
    <x v="21"/>
    <x v="42"/>
    <n v="59132.5"/>
    <m/>
    <n v="59132.5"/>
    <n v="0"/>
    <m/>
    <n v="0"/>
    <n v="124881.5"/>
    <n v="0"/>
    <n v="124881.5"/>
    <n v="0"/>
    <n v="0"/>
    <n v="0"/>
  </r>
  <r>
    <x v="354"/>
    <x v="2"/>
    <x v="8"/>
    <x v="33"/>
    <n v="368810"/>
    <m/>
    <n v="368810"/>
    <n v="0"/>
    <m/>
    <n v="0"/>
    <n v="447976"/>
    <n v="0"/>
    <n v="447976"/>
    <n v="0"/>
    <n v="0"/>
    <n v="0"/>
  </r>
  <r>
    <x v="355"/>
    <x v="2"/>
    <x v="10"/>
    <x v="60"/>
    <n v="313340"/>
    <m/>
    <n v="313340"/>
    <n v="0"/>
    <m/>
    <n v="0"/>
    <n v="193000"/>
    <n v="0"/>
    <n v="193000"/>
    <n v="0"/>
    <n v="0"/>
    <n v="0"/>
  </r>
  <r>
    <x v="356"/>
    <x v="12"/>
    <x v="14"/>
    <x v="26"/>
    <n v="1977842"/>
    <m/>
    <n v="1977842"/>
    <n v="0"/>
    <m/>
    <n v="0"/>
    <n v="487412"/>
    <n v="0"/>
    <n v="487412"/>
    <n v="0"/>
    <n v="0"/>
    <n v="0"/>
  </r>
  <r>
    <x v="357"/>
    <x v="1"/>
    <x v="1"/>
    <x v="1"/>
    <n v="0"/>
    <m/>
    <n v="0"/>
    <n v="27540"/>
    <m/>
    <n v="27540"/>
    <n v="0"/>
    <n v="0"/>
    <n v="0"/>
    <n v="55080"/>
    <n v="0"/>
    <n v="55080"/>
  </r>
  <r>
    <x v="358"/>
    <x v="1"/>
    <x v="1"/>
    <x v="6"/>
    <n v="0"/>
    <m/>
    <n v="0"/>
    <n v="1018930"/>
    <m/>
    <n v="1018930"/>
    <n v="0"/>
    <n v="0"/>
    <n v="0"/>
    <n v="0"/>
    <n v="0"/>
    <n v="0"/>
  </r>
  <r>
    <x v="359"/>
    <x v="1"/>
    <x v="1"/>
    <x v="6"/>
    <n v="0"/>
    <m/>
    <n v="0"/>
    <n v="18125083"/>
    <m/>
    <n v="18125083"/>
    <n v="0"/>
    <n v="0"/>
    <n v="0"/>
    <n v="0"/>
    <n v="0"/>
    <n v="0"/>
  </r>
  <r>
    <x v="360"/>
    <x v="1"/>
    <x v="1"/>
    <x v="1"/>
    <n v="0"/>
    <m/>
    <n v="0"/>
    <n v="162657.20000000001"/>
    <m/>
    <n v="162657.20000000001"/>
    <n v="0"/>
    <n v="0"/>
    <n v="0"/>
    <n v="0"/>
    <n v="0"/>
    <n v="0"/>
  </r>
  <r>
    <x v="361"/>
    <x v="5"/>
    <x v="5"/>
    <x v="5"/>
    <n v="306572"/>
    <m/>
    <n v="306572"/>
    <n v="0"/>
    <m/>
    <n v="0"/>
    <n v="0"/>
    <n v="0"/>
    <n v="0"/>
    <n v="0"/>
    <n v="0"/>
    <n v="0"/>
  </r>
  <r>
    <x v="362"/>
    <x v="9"/>
    <x v="11"/>
    <x v="20"/>
    <n v="2991111"/>
    <m/>
    <n v="2991111"/>
    <n v="0"/>
    <m/>
    <n v="0"/>
    <n v="2991111"/>
    <n v="0"/>
    <n v="2991111"/>
    <n v="0"/>
    <n v="0"/>
    <n v="0"/>
  </r>
  <r>
    <x v="363"/>
    <x v="2"/>
    <x v="8"/>
    <x v="79"/>
    <n v="765698"/>
    <m/>
    <n v="765698"/>
    <n v="0"/>
    <m/>
    <n v="0"/>
    <n v="676300"/>
    <n v="0"/>
    <n v="676300"/>
    <n v="0"/>
    <n v="0"/>
    <n v="0"/>
  </r>
  <r>
    <x v="364"/>
    <x v="2"/>
    <x v="8"/>
    <x v="79"/>
    <n v="253880"/>
    <m/>
    <n v="253880"/>
    <n v="0"/>
    <m/>
    <n v="0"/>
    <n v="319936.52"/>
    <n v="0"/>
    <n v="319936.52"/>
    <n v="0"/>
    <n v="0"/>
    <n v="0"/>
  </r>
  <r>
    <x v="365"/>
    <x v="1"/>
    <x v="1"/>
    <x v="6"/>
    <n v="0"/>
    <m/>
    <n v="0"/>
    <n v="9434468"/>
    <m/>
    <n v="9434468"/>
    <n v="0"/>
    <n v="0"/>
    <n v="0"/>
    <n v="3500894"/>
    <n v="0"/>
    <n v="3500894"/>
  </r>
  <r>
    <x v="366"/>
    <x v="1"/>
    <x v="1"/>
    <x v="6"/>
    <n v="0"/>
    <m/>
    <n v="0"/>
    <n v="560256"/>
    <m/>
    <n v="560256"/>
    <n v="0"/>
    <n v="0"/>
    <n v="0"/>
    <n v="750593"/>
    <n v="0"/>
    <n v="750593"/>
  </r>
  <r>
    <x v="367"/>
    <x v="7"/>
    <x v="7"/>
    <x v="80"/>
    <n v="0"/>
    <m/>
    <n v="0"/>
    <n v="7622054"/>
    <m/>
    <n v="7622054"/>
    <n v="0"/>
    <n v="0"/>
    <n v="0"/>
    <n v="7500000"/>
    <n v="0"/>
    <n v="7500000"/>
  </r>
  <r>
    <x v="368"/>
    <x v="2"/>
    <x v="10"/>
    <x v="81"/>
    <n v="30768"/>
    <m/>
    <n v="30768"/>
    <n v="0"/>
    <m/>
    <n v="0"/>
    <n v="0"/>
    <n v="0"/>
    <n v="0"/>
    <n v="0"/>
    <n v="0"/>
    <n v="0"/>
  </r>
  <r>
    <x v="369"/>
    <x v="2"/>
    <x v="10"/>
    <x v="81"/>
    <n v="246345"/>
    <m/>
    <n v="246345"/>
    <n v="0"/>
    <m/>
    <n v="0"/>
    <n v="0"/>
    <n v="0"/>
    <n v="0"/>
    <n v="0"/>
    <n v="0"/>
    <n v="0"/>
  </r>
  <r>
    <x v="370"/>
    <x v="2"/>
    <x v="10"/>
    <x v="81"/>
    <n v="42376"/>
    <m/>
    <n v="42376"/>
    <n v="0"/>
    <m/>
    <n v="0"/>
    <n v="0"/>
    <n v="0"/>
    <n v="0"/>
    <n v="0"/>
    <n v="0"/>
    <n v="0"/>
  </r>
  <r>
    <x v="371"/>
    <x v="2"/>
    <x v="10"/>
    <x v="82"/>
    <n v="4714336.38"/>
    <m/>
    <n v="4714336.38"/>
    <n v="0"/>
    <m/>
    <n v="0"/>
    <n v="4829408"/>
    <n v="0"/>
    <n v="4829408"/>
    <n v="0"/>
    <n v="0"/>
    <n v="0"/>
  </r>
  <r>
    <x v="372"/>
    <x v="12"/>
    <x v="14"/>
    <x v="26"/>
    <n v="239312224.5"/>
    <m/>
    <n v="239312224.5"/>
    <n v="0"/>
    <m/>
    <n v="0"/>
    <n v="501477134.5"/>
    <n v="0"/>
    <n v="501477134.5"/>
    <n v="0"/>
    <n v="0"/>
    <n v="0"/>
  </r>
  <r>
    <x v="373"/>
    <x v="3"/>
    <x v="3"/>
    <x v="31"/>
    <n v="2933800.43"/>
    <m/>
    <n v="2933800.43"/>
    <n v="0"/>
    <m/>
    <n v="0"/>
    <n v="0"/>
    <n v="0"/>
    <n v="0"/>
    <n v="0"/>
    <n v="0"/>
    <n v="0"/>
  </r>
  <r>
    <x v="374"/>
    <x v="1"/>
    <x v="1"/>
    <x v="1"/>
    <n v="0"/>
    <m/>
    <n v="0"/>
    <n v="714051"/>
    <m/>
    <n v="714051"/>
    <n v="0"/>
    <n v="0"/>
    <n v="0"/>
    <n v="0"/>
    <n v="0"/>
    <n v="0"/>
  </r>
  <r>
    <x v="375"/>
    <x v="9"/>
    <x v="11"/>
    <x v="63"/>
    <n v="0"/>
    <m/>
    <n v="0"/>
    <n v="0"/>
    <m/>
    <n v="0"/>
    <n v="6416446.9100000001"/>
    <n v="0"/>
    <n v="6416446.9100000001"/>
    <n v="0"/>
    <n v="0"/>
    <n v="0"/>
  </r>
  <r>
    <x v="376"/>
    <x v="9"/>
    <x v="11"/>
    <x v="63"/>
    <n v="0"/>
    <m/>
    <n v="0"/>
    <n v="0"/>
    <m/>
    <n v="0"/>
    <n v="26642149.920000002"/>
    <n v="0"/>
    <n v="26642149.920000002"/>
    <n v="0"/>
    <n v="0"/>
    <n v="0"/>
  </r>
  <r>
    <x v="377"/>
    <x v="9"/>
    <x v="11"/>
    <x v="63"/>
    <n v="0"/>
    <m/>
    <n v="0"/>
    <n v="0"/>
    <m/>
    <n v="0"/>
    <n v="300000"/>
    <n v="0"/>
    <n v="300000"/>
    <n v="0"/>
    <n v="0"/>
    <n v="0"/>
  </r>
  <r>
    <x v="378"/>
    <x v="9"/>
    <x v="11"/>
    <x v="63"/>
    <n v="0"/>
    <m/>
    <n v="0"/>
    <n v="0"/>
    <m/>
    <n v="0"/>
    <n v="83731782.780000001"/>
    <n v="0"/>
    <n v="83731782.780000001"/>
    <n v="0"/>
    <n v="0"/>
    <n v="0"/>
  </r>
  <r>
    <x v="379"/>
    <x v="9"/>
    <x v="11"/>
    <x v="63"/>
    <n v="0"/>
    <m/>
    <n v="0"/>
    <n v="0"/>
    <m/>
    <n v="0"/>
    <n v="17362000"/>
    <n v="0"/>
    <n v="17362000"/>
    <n v="0"/>
    <n v="0"/>
    <n v="0"/>
  </r>
  <r>
    <x v="380"/>
    <x v="1"/>
    <x v="1"/>
    <x v="1"/>
    <n v="0"/>
    <m/>
    <n v="0"/>
    <n v="351471"/>
    <m/>
    <n v="351471"/>
    <n v="0"/>
    <n v="0"/>
    <n v="0"/>
    <n v="0"/>
    <n v="0"/>
    <n v="0"/>
  </r>
  <r>
    <x v="381"/>
    <x v="2"/>
    <x v="8"/>
    <x v="11"/>
    <n v="8923"/>
    <m/>
    <n v="8923"/>
    <n v="0"/>
    <m/>
    <n v="0"/>
    <n v="11164"/>
    <n v="0"/>
    <n v="11164"/>
    <n v="0"/>
    <n v="0"/>
    <n v="0"/>
  </r>
  <r>
    <x v="382"/>
    <x v="5"/>
    <x v="5"/>
    <x v="5"/>
    <n v="14904501.640000001"/>
    <m/>
    <n v="14904501.640000001"/>
    <n v="0"/>
    <m/>
    <n v="0"/>
    <n v="22024573.640000001"/>
    <n v="0"/>
    <n v="22024573.640000001"/>
    <n v="0"/>
    <n v="0"/>
    <n v="0"/>
  </r>
  <r>
    <x v="383"/>
    <x v="3"/>
    <x v="3"/>
    <x v="31"/>
    <n v="0"/>
    <m/>
    <n v="0"/>
    <n v="0"/>
    <m/>
    <n v="0"/>
    <n v="0"/>
    <n v="0"/>
    <n v="0"/>
    <n v="0"/>
    <n v="0"/>
    <n v="0"/>
  </r>
  <r>
    <x v="384"/>
    <x v="1"/>
    <x v="1"/>
    <x v="6"/>
    <n v="0"/>
    <m/>
    <n v="0"/>
    <n v="0"/>
    <m/>
    <n v="0"/>
    <n v="0"/>
    <n v="0"/>
    <n v="0"/>
    <n v="2033181"/>
    <n v="-36025.617030000081"/>
    <n v="1997155.3829699999"/>
  </r>
  <r>
    <x v="385"/>
    <x v="5"/>
    <x v="5"/>
    <x v="5"/>
    <n v="0"/>
    <m/>
    <n v="0"/>
    <n v="0"/>
    <m/>
    <n v="0"/>
    <n v="1442225"/>
    <n v="0"/>
    <n v="1442225"/>
    <n v="0"/>
    <n v="0"/>
    <n v="0"/>
  </r>
  <r>
    <x v="386"/>
    <x v="7"/>
    <x v="7"/>
    <x v="80"/>
    <n v="0"/>
    <m/>
    <n v="0"/>
    <n v="0"/>
    <m/>
    <n v="0"/>
    <n v="0"/>
    <n v="0"/>
    <n v="0"/>
    <n v="7500000"/>
    <n v="0"/>
    <n v="7500000"/>
  </r>
  <r>
    <x v="387"/>
    <x v="1"/>
    <x v="1"/>
    <x v="6"/>
    <n v="0"/>
    <m/>
    <n v="0"/>
    <n v="0"/>
    <m/>
    <n v="0"/>
    <n v="0"/>
    <n v="0"/>
    <n v="0"/>
    <n v="0"/>
    <n v="0"/>
    <n v="0"/>
  </r>
  <r>
    <x v="388"/>
    <x v="18"/>
    <x v="21"/>
    <x v="42"/>
    <n v="0"/>
    <m/>
    <n v="0"/>
    <n v="0"/>
    <m/>
    <n v="0"/>
    <n v="577328.1"/>
    <n v="0"/>
    <n v="577328.1"/>
    <n v="0"/>
    <n v="0"/>
    <n v="0"/>
  </r>
  <r>
    <x v="389"/>
    <x v="6"/>
    <x v="6"/>
    <x v="7"/>
    <n v="0"/>
    <m/>
    <n v="0"/>
    <n v="0"/>
    <m/>
    <n v="0"/>
    <n v="0"/>
    <n v="0"/>
    <n v="0"/>
    <n v="3388226.94"/>
    <n v="0"/>
    <n v="3388226.94"/>
  </r>
  <r>
    <x v="390"/>
    <x v="6"/>
    <x v="6"/>
    <x v="7"/>
    <n v="0"/>
    <m/>
    <n v="0"/>
    <n v="0"/>
    <m/>
    <n v="0"/>
    <n v="2263811.12"/>
    <n v="0"/>
    <n v="2263811.12"/>
    <n v="0"/>
    <n v="0"/>
    <n v="0"/>
  </r>
  <r>
    <x v="391"/>
    <x v="1"/>
    <x v="1"/>
    <x v="1"/>
    <n v="0"/>
    <m/>
    <n v="0"/>
    <n v="0"/>
    <m/>
    <n v="0"/>
    <n v="0"/>
    <n v="0"/>
    <n v="0"/>
    <n v="62499"/>
    <n v="0"/>
    <n v="62499"/>
  </r>
  <r>
    <x v="392"/>
    <x v="6"/>
    <x v="6"/>
    <x v="57"/>
    <n v="0"/>
    <m/>
    <n v="0"/>
    <n v="0"/>
    <m/>
    <n v="0"/>
    <n v="0"/>
    <n v="0"/>
    <n v="0"/>
    <n v="37052"/>
    <n v="0"/>
    <n v="37052"/>
  </r>
  <r>
    <x v="393"/>
    <x v="2"/>
    <x v="10"/>
    <x v="18"/>
    <n v="0"/>
    <m/>
    <n v="0"/>
    <n v="0"/>
    <m/>
    <n v="0"/>
    <n v="500"/>
    <n v="0"/>
    <n v="500"/>
    <n v="0"/>
    <n v="0"/>
    <n v="0"/>
  </r>
  <r>
    <x v="394"/>
    <x v="7"/>
    <x v="7"/>
    <x v="9"/>
    <n v="0"/>
    <m/>
    <n v="0"/>
    <n v="0"/>
    <m/>
    <n v="0"/>
    <n v="0"/>
    <n v="0"/>
    <n v="0"/>
    <n v="2529925"/>
    <n v="0"/>
    <n v="2529925"/>
  </r>
  <r>
    <x v="395"/>
    <x v="2"/>
    <x v="8"/>
    <x v="11"/>
    <n v="0"/>
    <m/>
    <n v="0"/>
    <n v="0"/>
    <m/>
    <n v="0"/>
    <n v="85698"/>
    <n v="0"/>
    <n v="85698"/>
    <n v="0"/>
    <n v="0"/>
    <n v="0"/>
  </r>
  <r>
    <x v="396"/>
    <x v="6"/>
    <x v="6"/>
    <x v="7"/>
    <n v="0"/>
    <m/>
    <n v="0"/>
    <n v="0"/>
    <m/>
    <n v="0"/>
    <n v="0"/>
    <n v="0"/>
    <n v="0"/>
    <n v="1402087"/>
    <n v="0"/>
    <n v="1402087"/>
  </r>
  <r>
    <x v="397"/>
    <x v="6"/>
    <x v="6"/>
    <x v="7"/>
    <n v="0"/>
    <m/>
    <n v="0"/>
    <n v="0"/>
    <m/>
    <n v="0"/>
    <n v="1932482.82"/>
    <n v="0"/>
    <n v="1932482.82"/>
    <n v="0"/>
    <n v="0"/>
    <n v="0"/>
  </r>
  <r>
    <x v="398"/>
    <x v="2"/>
    <x v="8"/>
    <x v="11"/>
    <n v="0"/>
    <m/>
    <n v="0"/>
    <n v="0"/>
    <m/>
    <n v="0"/>
    <n v="200"/>
    <n v="0"/>
    <n v="200"/>
    <n v="0"/>
    <n v="0"/>
    <n v="0"/>
  </r>
  <r>
    <x v="399"/>
    <x v="4"/>
    <x v="4"/>
    <x v="13"/>
    <n v="0"/>
    <m/>
    <n v="0"/>
    <n v="0"/>
    <m/>
    <n v="0"/>
    <n v="1000"/>
    <n v="0"/>
    <n v="1000"/>
    <n v="0"/>
    <n v="0"/>
    <n v="0"/>
  </r>
  <r>
    <x v="400"/>
    <x v="4"/>
    <x v="4"/>
    <x v="13"/>
    <n v="0"/>
    <m/>
    <n v="0"/>
    <n v="0"/>
    <m/>
    <n v="0"/>
    <n v="3000"/>
    <n v="0"/>
    <n v="3000"/>
    <n v="0"/>
    <n v="0"/>
    <n v="0"/>
  </r>
  <r>
    <x v="401"/>
    <x v="1"/>
    <x v="1"/>
    <x v="1"/>
    <n v="0"/>
    <m/>
    <n v="0"/>
    <n v="0"/>
    <m/>
    <n v="0"/>
    <n v="0"/>
    <n v="0"/>
    <n v="0"/>
    <n v="84960"/>
    <n v="0"/>
    <n v="84960"/>
  </r>
  <r>
    <x v="402"/>
    <x v="1"/>
    <x v="1"/>
    <x v="1"/>
    <n v="0"/>
    <m/>
    <n v="0"/>
    <n v="0"/>
    <m/>
    <n v="0"/>
    <n v="0"/>
    <n v="0"/>
    <n v="0"/>
    <n v="21000"/>
    <n v="0"/>
    <n v="21000"/>
  </r>
  <r>
    <x v="403"/>
    <x v="23"/>
    <x v="27"/>
    <x v="83"/>
    <n v="0"/>
    <m/>
    <n v="0"/>
    <n v="0"/>
    <m/>
    <n v="0"/>
    <n v="0"/>
    <n v="0"/>
    <n v="0"/>
    <n v="2500"/>
    <n v="0"/>
    <n v="2500"/>
  </r>
  <r>
    <x v="404"/>
    <x v="2"/>
    <x v="10"/>
    <x v="28"/>
    <n v="0"/>
    <m/>
    <n v="0"/>
    <n v="0"/>
    <m/>
    <n v="0"/>
    <n v="920985"/>
    <n v="0"/>
    <n v="920985"/>
    <n v="0"/>
    <n v="0"/>
    <n v="0"/>
  </r>
  <r>
    <x v="405"/>
    <x v="4"/>
    <x v="4"/>
    <x v="13"/>
    <n v="0"/>
    <m/>
    <n v="0"/>
    <n v="0"/>
    <m/>
    <n v="0"/>
    <n v="7500"/>
    <n v="0"/>
    <n v="7500"/>
    <n v="0"/>
    <n v="0"/>
    <n v="0"/>
  </r>
  <r>
    <x v="406"/>
    <x v="1"/>
    <x v="1"/>
    <x v="1"/>
    <n v="0"/>
    <m/>
    <n v="0"/>
    <n v="0"/>
    <m/>
    <n v="0"/>
    <n v="0"/>
    <n v="0"/>
    <n v="0"/>
    <n v="192958"/>
    <n v="0"/>
    <n v="192958"/>
  </r>
  <r>
    <x v="407"/>
    <x v="1"/>
    <x v="1"/>
    <x v="6"/>
    <n v="0"/>
    <m/>
    <n v="0"/>
    <n v="0"/>
    <m/>
    <n v="0"/>
    <n v="0"/>
    <n v="0"/>
    <n v="0"/>
    <n v="1296380"/>
    <n v="0"/>
    <n v="1296380"/>
  </r>
  <r>
    <x v="408"/>
    <x v="1"/>
    <x v="1"/>
    <x v="6"/>
    <n v="0"/>
    <m/>
    <n v="0"/>
    <n v="0"/>
    <m/>
    <n v="0"/>
    <n v="0"/>
    <n v="0"/>
    <n v="0"/>
    <n v="3794288"/>
    <n v="-67231.489200000186"/>
    <n v="3727056.5107999998"/>
  </r>
  <r>
    <x v="409"/>
    <x v="1"/>
    <x v="1"/>
    <x v="6"/>
    <n v="0"/>
    <m/>
    <n v="0"/>
    <n v="0"/>
    <m/>
    <n v="0"/>
    <n v="0"/>
    <n v="0"/>
    <n v="0"/>
    <n v="1115100"/>
    <n v="0"/>
    <n v="1115100"/>
  </r>
  <r>
    <x v="410"/>
    <x v="2"/>
    <x v="8"/>
    <x v="11"/>
    <n v="0"/>
    <m/>
    <n v="0"/>
    <n v="0"/>
    <m/>
    <n v="0"/>
    <n v="217500"/>
    <n v="0"/>
    <n v="217500"/>
    <n v="0"/>
    <n v="0"/>
    <n v="0"/>
  </r>
  <r>
    <x v="411"/>
    <x v="1"/>
    <x v="1"/>
    <x v="1"/>
    <n v="0"/>
    <m/>
    <n v="0"/>
    <n v="0"/>
    <m/>
    <n v="0"/>
    <n v="0"/>
    <n v="0"/>
    <n v="0"/>
    <n v="25438"/>
    <n v="0"/>
    <n v="25438"/>
  </r>
  <r>
    <x v="412"/>
    <x v="2"/>
    <x v="8"/>
    <x v="11"/>
    <n v="0"/>
    <m/>
    <n v="0"/>
    <n v="0"/>
    <m/>
    <n v="0"/>
    <n v="1400"/>
    <n v="0"/>
    <n v="1400"/>
    <n v="0"/>
    <n v="0"/>
    <n v="0"/>
  </r>
  <r>
    <x v="413"/>
    <x v="6"/>
    <x v="6"/>
    <x v="7"/>
    <n v="0"/>
    <m/>
    <n v="0"/>
    <n v="0"/>
    <m/>
    <n v="0"/>
    <n v="0"/>
    <n v="0"/>
    <n v="0"/>
    <n v="3387430.12"/>
    <n v="0"/>
    <n v="3387430.12"/>
  </r>
  <r>
    <x v="414"/>
    <x v="6"/>
    <x v="6"/>
    <x v="7"/>
    <n v="0"/>
    <m/>
    <n v="0"/>
    <n v="0"/>
    <m/>
    <n v="0"/>
    <n v="2263811.12"/>
    <n v="0"/>
    <n v="2263811.12"/>
    <n v="0"/>
    <n v="0"/>
    <n v="0"/>
  </r>
  <r>
    <x v="415"/>
    <x v="5"/>
    <x v="5"/>
    <x v="5"/>
    <n v="0"/>
    <m/>
    <n v="0"/>
    <n v="0"/>
    <m/>
    <n v="0"/>
    <n v="196757"/>
    <n v="0"/>
    <n v="196757"/>
    <n v="0"/>
    <n v="0"/>
    <n v="0"/>
  </r>
  <r>
    <x v="416"/>
    <x v="1"/>
    <x v="1"/>
    <x v="1"/>
    <n v="0"/>
    <m/>
    <n v="0"/>
    <n v="0"/>
    <m/>
    <n v="0"/>
    <n v="4200"/>
    <n v="0"/>
    <n v="4200"/>
    <n v="0"/>
    <n v="0"/>
    <n v="0"/>
  </r>
  <r>
    <x v="417"/>
    <x v="20"/>
    <x v="24"/>
    <x v="51"/>
    <n v="0"/>
    <m/>
    <n v="0"/>
    <n v="0"/>
    <m/>
    <n v="0"/>
    <n v="0"/>
    <n v="0"/>
    <n v="0"/>
    <n v="0"/>
    <n v="0"/>
    <n v="0"/>
  </r>
  <r>
    <x v="418"/>
    <x v="20"/>
    <x v="24"/>
    <x v="51"/>
    <n v="0"/>
    <m/>
    <n v="0"/>
    <n v="0"/>
    <m/>
    <n v="0"/>
    <n v="0"/>
    <n v="0"/>
    <n v="0"/>
    <n v="0"/>
    <n v="0"/>
    <n v="0"/>
  </r>
  <r>
    <x v="419"/>
    <x v="6"/>
    <x v="6"/>
    <x v="57"/>
    <n v="0"/>
    <m/>
    <n v="0"/>
    <n v="0"/>
    <m/>
    <n v="0"/>
    <n v="0"/>
    <n v="0"/>
    <n v="0"/>
    <n v="65000"/>
    <n v="0"/>
    <n v="65000"/>
  </r>
  <r>
    <x v="420"/>
    <x v="14"/>
    <x v="16"/>
    <x v="84"/>
    <n v="0"/>
    <m/>
    <n v="0"/>
    <n v="0"/>
    <m/>
    <n v="0"/>
    <n v="204000"/>
    <n v="0"/>
    <n v="204000"/>
    <n v="0"/>
    <n v="0"/>
    <n v="0"/>
  </r>
  <r>
    <x v="421"/>
    <x v="6"/>
    <x v="6"/>
    <x v="57"/>
    <n v="0"/>
    <m/>
    <n v="0"/>
    <n v="0"/>
    <m/>
    <n v="0"/>
    <n v="0"/>
    <n v="0"/>
    <n v="0"/>
    <n v="12980"/>
    <n v="0"/>
    <n v="12980"/>
  </r>
  <r>
    <x v="422"/>
    <x v="3"/>
    <x v="3"/>
    <x v="31"/>
    <n v="0"/>
    <m/>
    <n v="0"/>
    <n v="0"/>
    <m/>
    <n v="0"/>
    <n v="175000"/>
    <n v="0"/>
    <n v="175000"/>
    <n v="0"/>
    <n v="0"/>
    <n v="0"/>
  </r>
  <r>
    <x v="423"/>
    <x v="1"/>
    <x v="1"/>
    <x v="6"/>
    <n v="0"/>
    <m/>
    <n v="0"/>
    <n v="0"/>
    <m/>
    <n v="0"/>
    <n v="0"/>
    <n v="0"/>
    <n v="0"/>
    <n v="295397"/>
    <n v="0"/>
    <n v="295397"/>
  </r>
  <r>
    <x v="424"/>
    <x v="1"/>
    <x v="1"/>
    <x v="6"/>
    <n v="0"/>
    <m/>
    <n v="0"/>
    <n v="0"/>
    <m/>
    <n v="0"/>
    <n v="0"/>
    <n v="0"/>
    <n v="0"/>
    <n v="0"/>
    <n v="0"/>
    <n v="0"/>
  </r>
  <r>
    <x v="425"/>
    <x v="6"/>
    <x v="6"/>
    <x v="57"/>
    <n v="0"/>
    <m/>
    <n v="0"/>
    <n v="0"/>
    <m/>
    <n v="0"/>
    <n v="0"/>
    <n v="0"/>
    <n v="0"/>
    <n v="672000"/>
    <n v="0"/>
    <n v="672000"/>
  </r>
  <r>
    <x v="426"/>
    <x v="1"/>
    <x v="1"/>
    <x v="1"/>
    <n v="0"/>
    <m/>
    <n v="0"/>
    <n v="0"/>
    <m/>
    <n v="0"/>
    <n v="0"/>
    <n v="0"/>
    <n v="0"/>
    <n v="0"/>
    <n v="0"/>
    <n v="0"/>
  </r>
  <r>
    <x v="427"/>
    <x v="5"/>
    <x v="5"/>
    <x v="5"/>
    <n v="0"/>
    <m/>
    <n v="0"/>
    <n v="0"/>
    <m/>
    <n v="0"/>
    <n v="152951"/>
    <n v="0"/>
    <n v="152951"/>
    <n v="0"/>
    <n v="0"/>
    <n v="0"/>
  </r>
  <r>
    <x v="428"/>
    <x v="5"/>
    <x v="5"/>
    <x v="5"/>
    <n v="0"/>
    <m/>
    <n v="0"/>
    <n v="0"/>
    <m/>
    <n v="0"/>
    <n v="13460226"/>
    <n v="0"/>
    <n v="13460226"/>
    <n v="0"/>
    <n v="0"/>
    <n v="0"/>
  </r>
  <r>
    <x v="429"/>
    <x v="1"/>
    <x v="1"/>
    <x v="6"/>
    <n v="0"/>
    <m/>
    <n v="0"/>
    <n v="0"/>
    <m/>
    <n v="0"/>
    <n v="0"/>
    <n v="0"/>
    <n v="0"/>
    <n v="0"/>
    <n v="0"/>
    <n v="0"/>
  </r>
  <r>
    <x v="430"/>
    <x v="1"/>
    <x v="1"/>
    <x v="6"/>
    <n v="0"/>
    <m/>
    <n v="0"/>
    <n v="0"/>
    <m/>
    <n v="0"/>
    <n v="0"/>
    <n v="0"/>
    <n v="0"/>
    <n v="146832"/>
    <n v="0"/>
    <n v="146832"/>
  </r>
  <r>
    <x v="431"/>
    <x v="1"/>
    <x v="1"/>
    <x v="1"/>
    <n v="0"/>
    <m/>
    <n v="0"/>
    <n v="0"/>
    <m/>
    <n v="0"/>
    <n v="0"/>
    <n v="0"/>
    <n v="0"/>
    <n v="6490"/>
    <n v="0"/>
    <n v="6490"/>
  </r>
  <r>
    <x v="432"/>
    <x v="5"/>
    <x v="5"/>
    <x v="5"/>
    <n v="0"/>
    <m/>
    <n v="0"/>
    <n v="0"/>
    <m/>
    <n v="0"/>
    <n v="509902"/>
    <n v="0"/>
    <n v="509902"/>
    <n v="0"/>
    <n v="0"/>
    <n v="0"/>
  </r>
  <r>
    <x v="433"/>
    <x v="5"/>
    <x v="5"/>
    <x v="5"/>
    <n v="0"/>
    <m/>
    <n v="0"/>
    <n v="0"/>
    <m/>
    <n v="0"/>
    <n v="0"/>
    <n v="0"/>
    <n v="0"/>
    <n v="33034"/>
    <n v="0"/>
    <n v="33034"/>
  </r>
  <r>
    <x v="434"/>
    <x v="5"/>
    <x v="5"/>
    <x v="5"/>
    <n v="0"/>
    <m/>
    <n v="0"/>
    <n v="0"/>
    <m/>
    <n v="0"/>
    <n v="0"/>
    <n v="0"/>
    <n v="0"/>
    <n v="0"/>
    <n v="0"/>
    <n v="0"/>
  </r>
  <r>
    <x v="435"/>
    <x v="3"/>
    <x v="3"/>
    <x v="31"/>
    <n v="0"/>
    <m/>
    <n v="0"/>
    <n v="0"/>
    <m/>
    <n v="0"/>
    <n v="0"/>
    <n v="0"/>
    <n v="0"/>
    <n v="0"/>
    <n v="0"/>
    <n v="0"/>
  </r>
  <r>
    <x v="436"/>
    <x v="4"/>
    <x v="4"/>
    <x v="13"/>
    <n v="0"/>
    <m/>
    <n v="0"/>
    <n v="0"/>
    <m/>
    <n v="0"/>
    <n v="0"/>
    <n v="0"/>
    <n v="0"/>
    <n v="0"/>
    <n v="0"/>
    <n v="0"/>
  </r>
  <r>
    <x v="437"/>
    <x v="1"/>
    <x v="1"/>
    <x v="6"/>
    <n v="0"/>
    <m/>
    <n v="0"/>
    <n v="0"/>
    <m/>
    <n v="0"/>
    <n v="0"/>
    <n v="0"/>
    <n v="0"/>
    <n v="1093393"/>
    <n v="-19373.903244000161"/>
    <n v="1074019.0967559998"/>
  </r>
  <r>
    <x v="438"/>
    <x v="1"/>
    <x v="1"/>
    <x v="6"/>
    <n v="0"/>
    <m/>
    <n v="0"/>
    <n v="0"/>
    <m/>
    <n v="0"/>
    <n v="0"/>
    <n v="0"/>
    <n v="0"/>
    <n v="3880855"/>
    <n v="-68765.660375000443"/>
    <n v="3812089.3396249996"/>
  </r>
  <r>
    <x v="439"/>
    <x v="1"/>
    <x v="1"/>
    <x v="6"/>
    <n v="0"/>
    <m/>
    <n v="0"/>
    <n v="0"/>
    <m/>
    <n v="0"/>
    <n v="0"/>
    <n v="0"/>
    <n v="0"/>
    <n v="0"/>
    <n v="0"/>
    <n v="0"/>
  </r>
  <r>
    <x v="440"/>
    <x v="1"/>
    <x v="1"/>
    <x v="6"/>
    <n v="0"/>
    <m/>
    <n v="0"/>
    <n v="0"/>
    <m/>
    <n v="0"/>
    <n v="0"/>
    <n v="0"/>
    <n v="0"/>
    <n v="533042"/>
    <n v="0"/>
    <n v="533042"/>
  </r>
  <r>
    <x v="441"/>
    <x v="1"/>
    <x v="1"/>
    <x v="6"/>
    <n v="0"/>
    <m/>
    <n v="0"/>
    <n v="0"/>
    <m/>
    <n v="0"/>
    <n v="0"/>
    <n v="0"/>
    <n v="0"/>
    <n v="996630"/>
    <n v="0"/>
    <n v="996630"/>
  </r>
  <r>
    <x v="442"/>
    <x v="1"/>
    <x v="1"/>
    <x v="1"/>
    <n v="0"/>
    <m/>
    <n v="0"/>
    <n v="0"/>
    <m/>
    <n v="0"/>
    <n v="0"/>
    <n v="0"/>
    <n v="0"/>
    <n v="0"/>
    <n v="0"/>
    <n v="0"/>
  </r>
  <r>
    <x v="443"/>
    <x v="7"/>
    <x v="7"/>
    <x v="9"/>
    <n v="0"/>
    <m/>
    <n v="0"/>
    <n v="0"/>
    <m/>
    <n v="0"/>
    <n v="0"/>
    <n v="0"/>
    <n v="0"/>
    <n v="1085610"/>
    <n v="0"/>
    <n v="1085610"/>
  </r>
  <r>
    <x v="444"/>
    <x v="2"/>
    <x v="8"/>
    <x v="12"/>
    <n v="0"/>
    <m/>
    <n v="0"/>
    <n v="0"/>
    <m/>
    <n v="0"/>
    <n v="0"/>
    <n v="0"/>
    <n v="0"/>
    <n v="0"/>
    <n v="0"/>
    <n v="0"/>
  </r>
  <r>
    <x v="445"/>
    <x v="1"/>
    <x v="1"/>
    <x v="1"/>
    <n v="0"/>
    <m/>
    <n v="0"/>
    <n v="0"/>
    <m/>
    <n v="0"/>
    <n v="0"/>
    <n v="0"/>
    <n v="0"/>
    <n v="0"/>
    <n v="0"/>
    <n v="0"/>
  </r>
  <r>
    <x v="446"/>
    <x v="2"/>
    <x v="8"/>
    <x v="85"/>
    <n v="0"/>
    <m/>
    <n v="0"/>
    <n v="0"/>
    <m/>
    <n v="0"/>
    <n v="0"/>
    <n v="0"/>
    <n v="0"/>
    <n v="0"/>
    <n v="0"/>
    <n v="0"/>
  </r>
  <r>
    <x v="447"/>
    <x v="2"/>
    <x v="8"/>
    <x v="17"/>
    <n v="0"/>
    <m/>
    <n v="0"/>
    <n v="0"/>
    <m/>
    <n v="0"/>
    <n v="0"/>
    <n v="0"/>
    <n v="0"/>
    <n v="0"/>
    <n v="0"/>
    <n v="0"/>
  </r>
  <r>
    <x v="448"/>
    <x v="4"/>
    <x v="4"/>
    <x v="13"/>
    <n v="0"/>
    <m/>
    <n v="0"/>
    <n v="0"/>
    <m/>
    <n v="0"/>
    <n v="17500"/>
    <n v="0"/>
    <n v="17500"/>
    <n v="0"/>
    <n v="0"/>
    <n v="0"/>
  </r>
  <r>
    <x v="449"/>
    <x v="6"/>
    <x v="6"/>
    <x v="7"/>
    <n v="0"/>
    <m/>
    <n v="0"/>
    <n v="0"/>
    <m/>
    <n v="0"/>
    <n v="0"/>
    <n v="0"/>
    <n v="0"/>
    <n v="0"/>
    <n v="0"/>
    <n v="0"/>
  </r>
  <r>
    <x v="450"/>
    <x v="6"/>
    <x v="6"/>
    <x v="7"/>
    <n v="0"/>
    <m/>
    <n v="0"/>
    <n v="0"/>
    <m/>
    <n v="0"/>
    <n v="0"/>
    <n v="0"/>
    <n v="0"/>
    <n v="0"/>
    <n v="0"/>
    <n v="0"/>
  </r>
  <r>
    <x v="451"/>
    <x v="5"/>
    <x v="5"/>
    <x v="5"/>
    <n v="0"/>
    <m/>
    <n v="0"/>
    <n v="0"/>
    <m/>
    <n v="0"/>
    <n v="305863"/>
    <n v="0"/>
    <n v="305863"/>
    <n v="0"/>
    <n v="0"/>
    <n v="0"/>
  </r>
  <r>
    <x v="452"/>
    <x v="12"/>
    <x v="14"/>
    <x v="26"/>
    <n v="0"/>
    <m/>
    <n v="0"/>
    <n v="0"/>
    <m/>
    <n v="0"/>
    <n v="2760009"/>
    <n v="0"/>
    <n v="2760009"/>
    <n v="0"/>
    <n v="0"/>
    <n v="0"/>
  </r>
  <r>
    <x v="453"/>
    <x v="1"/>
    <x v="1"/>
    <x v="6"/>
    <n v="0"/>
    <m/>
    <n v="0"/>
    <n v="0"/>
    <m/>
    <n v="0"/>
    <n v="0"/>
    <n v="0"/>
    <n v="0"/>
    <n v="0"/>
    <n v="0"/>
    <n v="0"/>
  </r>
  <r>
    <x v="454"/>
    <x v="2"/>
    <x v="8"/>
    <x v="33"/>
    <n v="0"/>
    <m/>
    <n v="0"/>
    <n v="0"/>
    <m/>
    <n v="0"/>
    <n v="32087"/>
    <n v="0"/>
    <n v="32087"/>
    <n v="0"/>
    <n v="0"/>
    <n v="0"/>
  </r>
  <r>
    <x v="455"/>
    <x v="5"/>
    <x v="5"/>
    <x v="5"/>
    <n v="0"/>
    <m/>
    <n v="0"/>
    <n v="0"/>
    <m/>
    <n v="0"/>
    <n v="0"/>
    <n v="0"/>
    <n v="0"/>
    <n v="0"/>
    <n v="0"/>
    <n v="0"/>
  </r>
  <r>
    <x v="456"/>
    <x v="2"/>
    <x v="8"/>
    <x v="11"/>
    <n v="0"/>
    <m/>
    <n v="0"/>
    <n v="0"/>
    <m/>
    <n v="0"/>
    <n v="0"/>
    <n v="0"/>
    <n v="0"/>
    <n v="0"/>
    <n v="0"/>
    <n v="0"/>
  </r>
  <r>
    <x v="457"/>
    <x v="16"/>
    <x v="18"/>
    <x v="39"/>
    <n v="0"/>
    <m/>
    <n v="0"/>
    <n v="0"/>
    <m/>
    <n v="0"/>
    <n v="150294"/>
    <n v="0"/>
    <n v="150294"/>
    <n v="0"/>
    <n v="0"/>
    <n v="0"/>
  </r>
  <r>
    <x v="458"/>
    <x v="4"/>
    <x v="4"/>
    <x v="13"/>
    <n v="0"/>
    <m/>
    <n v="0"/>
    <n v="0"/>
    <m/>
    <n v="0"/>
    <n v="23000"/>
    <n v="0"/>
    <n v="23000"/>
    <n v="0"/>
    <n v="0"/>
    <n v="0"/>
  </r>
  <r>
    <x v="459"/>
    <x v="1"/>
    <x v="1"/>
    <x v="6"/>
    <n v="0"/>
    <m/>
    <n v="0"/>
    <n v="0"/>
    <m/>
    <n v="0"/>
    <n v="0"/>
    <n v="0"/>
    <n v="0"/>
    <n v="29160"/>
    <n v="0"/>
    <n v="29160"/>
  </r>
  <r>
    <x v="460"/>
    <x v="14"/>
    <x v="16"/>
    <x v="84"/>
    <n v="0"/>
    <m/>
    <n v="0"/>
    <n v="0"/>
    <m/>
    <n v="0"/>
    <n v="18000"/>
    <n v="0"/>
    <n v="18000"/>
    <n v="0"/>
    <n v="0"/>
    <n v="0"/>
  </r>
  <r>
    <x v="461"/>
    <x v="17"/>
    <x v="20"/>
    <x v="41"/>
    <n v="12943"/>
    <m/>
    <n v="12943"/>
    <n v="0"/>
    <m/>
    <n v="0"/>
    <n v="10975"/>
    <n v="0"/>
    <n v="10975"/>
    <n v="0"/>
    <n v="0"/>
    <n v="0"/>
  </r>
  <r>
    <x v="462"/>
    <x v="12"/>
    <x v="14"/>
    <x v="26"/>
    <n v="0"/>
    <m/>
    <n v="0"/>
    <n v="0"/>
    <m/>
    <n v="0"/>
    <n v="0"/>
    <n v="0"/>
    <n v="0"/>
    <n v="0"/>
    <n v="0"/>
    <n v="0"/>
  </r>
  <r>
    <x v="463"/>
    <x v="2"/>
    <x v="2"/>
    <x v="86"/>
    <n v="0"/>
    <m/>
    <n v="0"/>
    <n v="0"/>
    <m/>
    <n v="0"/>
    <n v="0"/>
    <n v="0"/>
    <n v="0"/>
    <n v="0"/>
    <n v="0"/>
    <n v="0"/>
  </r>
  <r>
    <x v="464"/>
    <x v="18"/>
    <x v="21"/>
    <x v="42"/>
    <n v="0"/>
    <m/>
    <n v="0"/>
    <n v="0"/>
    <m/>
    <n v="0"/>
    <n v="0"/>
    <n v="0"/>
    <n v="0"/>
    <n v="0"/>
    <n v="0"/>
    <n v="0"/>
  </r>
  <r>
    <x v="465"/>
    <x v="2"/>
    <x v="10"/>
    <x v="18"/>
    <n v="0"/>
    <m/>
    <n v="0"/>
    <n v="0"/>
    <m/>
    <n v="0"/>
    <n v="30878.05"/>
    <n v="0"/>
    <n v="30878.05"/>
    <n v="0"/>
    <n v="0"/>
    <n v="0"/>
  </r>
  <r>
    <x v="466"/>
    <x v="12"/>
    <x v="14"/>
    <x v="26"/>
    <n v="0"/>
    <m/>
    <n v="0"/>
    <n v="0"/>
    <m/>
    <n v="0"/>
    <n v="0"/>
    <n v="0"/>
    <n v="0"/>
    <n v="0"/>
    <n v="0"/>
    <n v="0"/>
  </r>
  <r>
    <x v="467"/>
    <x v="1"/>
    <x v="1"/>
    <x v="1"/>
    <n v="0"/>
    <m/>
    <n v="0"/>
    <n v="0"/>
    <m/>
    <n v="0"/>
    <n v="0"/>
    <n v="0"/>
    <n v="0"/>
    <n v="74340"/>
    <n v="0"/>
    <n v="74340"/>
  </r>
  <r>
    <x v="468"/>
    <x v="2"/>
    <x v="8"/>
    <x v="30"/>
    <n v="0"/>
    <m/>
    <n v="0"/>
    <n v="0"/>
    <m/>
    <n v="0"/>
    <n v="30000"/>
    <n v="0"/>
    <n v="30000"/>
    <n v="0"/>
    <n v="0"/>
    <n v="0"/>
  </r>
  <r>
    <x v="469"/>
    <x v="2"/>
    <x v="8"/>
    <x v="30"/>
    <n v="0"/>
    <m/>
    <n v="0"/>
    <n v="0"/>
    <m/>
    <n v="0"/>
    <n v="0"/>
    <n v="0"/>
    <n v="0"/>
    <n v="0"/>
    <n v="0"/>
    <n v="0"/>
  </r>
  <r>
    <x v="470"/>
    <x v="1"/>
    <x v="1"/>
    <x v="1"/>
    <n v="0"/>
    <m/>
    <n v="0"/>
    <n v="0"/>
    <m/>
    <n v="0"/>
    <n v="0"/>
    <n v="0"/>
    <n v="0"/>
    <n v="0"/>
    <n v="0"/>
    <n v="0"/>
  </r>
  <r>
    <x v="471"/>
    <x v="1"/>
    <x v="1"/>
    <x v="1"/>
    <n v="0"/>
    <m/>
    <n v="0"/>
    <n v="0"/>
    <m/>
    <n v="0"/>
    <n v="0"/>
    <n v="0"/>
    <n v="0"/>
    <n v="27000"/>
    <n v="0"/>
    <n v="27000"/>
  </r>
  <r>
    <x v="472"/>
    <x v="1"/>
    <x v="1"/>
    <x v="1"/>
    <n v="0"/>
    <m/>
    <n v="0"/>
    <n v="0"/>
    <m/>
    <n v="0"/>
    <n v="0"/>
    <n v="0"/>
    <n v="0"/>
    <n v="75205"/>
    <n v="0"/>
    <n v="75205"/>
  </r>
  <r>
    <x v="473"/>
    <x v="2"/>
    <x v="8"/>
    <x v="59"/>
    <n v="0"/>
    <m/>
    <n v="0"/>
    <n v="0"/>
    <m/>
    <n v="0"/>
    <n v="32000"/>
    <n v="0"/>
    <n v="32000"/>
    <n v="0"/>
    <n v="0"/>
    <n v="0"/>
  </r>
  <r>
    <x v="474"/>
    <x v="21"/>
    <x v="25"/>
    <x v="38"/>
    <n v="0"/>
    <m/>
    <n v="0"/>
    <n v="0"/>
    <m/>
    <n v="0"/>
    <n v="0"/>
    <n v="0"/>
    <n v="0"/>
    <n v="0"/>
    <n v="0"/>
    <n v="0"/>
  </r>
  <r>
    <x v="475"/>
    <x v="8"/>
    <x v="9"/>
    <x v="55"/>
    <n v="0"/>
    <m/>
    <n v="0"/>
    <n v="0"/>
    <m/>
    <n v="0"/>
    <n v="0"/>
    <n v="0"/>
    <n v="0"/>
    <n v="0"/>
    <n v="0"/>
    <n v="0"/>
  </r>
  <r>
    <x v="476"/>
    <x v="8"/>
    <x v="9"/>
    <x v="55"/>
    <n v="0"/>
    <m/>
    <n v="0"/>
    <n v="0"/>
    <m/>
    <n v="0"/>
    <n v="0"/>
    <n v="0"/>
    <n v="0"/>
    <n v="0"/>
    <n v="0"/>
    <n v="0"/>
  </r>
  <r>
    <x v="477"/>
    <x v="2"/>
    <x v="8"/>
    <x v="46"/>
    <n v="0"/>
    <m/>
    <n v="0"/>
    <n v="0"/>
    <m/>
    <n v="0"/>
    <n v="0"/>
    <n v="0"/>
    <n v="0"/>
    <n v="0"/>
    <n v="0"/>
    <n v="0"/>
  </r>
  <r>
    <x v="478"/>
    <x v="2"/>
    <x v="8"/>
    <x v="46"/>
    <n v="0"/>
    <m/>
    <n v="0"/>
    <n v="0"/>
    <m/>
    <n v="0"/>
    <n v="2700"/>
    <n v="0"/>
    <n v="2700"/>
    <n v="0"/>
    <n v="0"/>
    <n v="0"/>
  </r>
  <r>
    <x v="479"/>
    <x v="14"/>
    <x v="16"/>
    <x v="84"/>
    <n v="0"/>
    <m/>
    <n v="0"/>
    <n v="0"/>
    <m/>
    <n v="0"/>
    <n v="0"/>
    <n v="0"/>
    <n v="0"/>
    <n v="0"/>
    <n v="0"/>
    <n v="0"/>
  </r>
  <r>
    <x v="480"/>
    <x v="5"/>
    <x v="5"/>
    <x v="5"/>
    <n v="0"/>
    <m/>
    <n v="0"/>
    <n v="0"/>
    <m/>
    <n v="0"/>
    <n v="0"/>
    <n v="0"/>
    <n v="0"/>
    <n v="0"/>
    <n v="0"/>
    <n v="0"/>
  </r>
  <r>
    <x v="481"/>
    <x v="4"/>
    <x v="4"/>
    <x v="13"/>
    <n v="0"/>
    <m/>
    <n v="0"/>
    <n v="0"/>
    <m/>
    <n v="0"/>
    <n v="27000"/>
    <n v="0"/>
    <n v="27000"/>
    <n v="0"/>
    <n v="0"/>
    <n v="0"/>
  </r>
  <r>
    <x v="482"/>
    <x v="1"/>
    <x v="1"/>
    <x v="6"/>
    <n v="0"/>
    <m/>
    <n v="0"/>
    <n v="0"/>
    <m/>
    <n v="0"/>
    <n v="0"/>
    <n v="0"/>
    <n v="0"/>
    <n v="0"/>
    <n v="0"/>
    <n v="0"/>
  </r>
  <r>
    <x v="483"/>
    <x v="4"/>
    <x v="4"/>
    <x v="13"/>
    <n v="0"/>
    <m/>
    <n v="0"/>
    <n v="0"/>
    <m/>
    <n v="0"/>
    <n v="2000"/>
    <n v="0"/>
    <n v="2000"/>
    <n v="0"/>
    <n v="0"/>
    <n v="0"/>
  </r>
  <r>
    <x v="484"/>
    <x v="2"/>
    <x v="8"/>
    <x v="46"/>
    <n v="0"/>
    <m/>
    <n v="0"/>
    <n v="0"/>
    <m/>
    <n v="0"/>
    <n v="279"/>
    <n v="0"/>
    <n v="279"/>
    <n v="0"/>
    <n v="0"/>
    <n v="0"/>
  </r>
  <r>
    <x v="485"/>
    <x v="1"/>
    <x v="1"/>
    <x v="6"/>
    <n v="0"/>
    <m/>
    <n v="0"/>
    <n v="0"/>
    <m/>
    <n v="0"/>
    <n v="0"/>
    <n v="0"/>
    <n v="0"/>
    <n v="2296047.5"/>
    <n v="0"/>
    <n v="2296047.5"/>
  </r>
  <r>
    <x v="486"/>
    <x v="4"/>
    <x v="4"/>
    <x v="13"/>
    <n v="0"/>
    <m/>
    <n v="0"/>
    <n v="0"/>
    <m/>
    <n v="0"/>
    <n v="21000"/>
    <n v="0"/>
    <n v="21000"/>
    <n v="0"/>
    <n v="0"/>
    <n v="0"/>
  </r>
  <r>
    <x v="487"/>
    <x v="1"/>
    <x v="1"/>
    <x v="1"/>
    <n v="0"/>
    <m/>
    <n v="0"/>
    <n v="0"/>
    <m/>
    <n v="0"/>
    <n v="0"/>
    <n v="0"/>
    <n v="0"/>
    <n v="218293"/>
    <n v="0"/>
    <n v="218293"/>
  </r>
  <r>
    <x v="488"/>
    <x v="1"/>
    <x v="1"/>
    <x v="1"/>
    <n v="0"/>
    <m/>
    <n v="0"/>
    <n v="0"/>
    <m/>
    <n v="0"/>
    <n v="0"/>
    <n v="0"/>
    <n v="0"/>
    <n v="27100"/>
    <n v="0"/>
    <n v="27100"/>
  </r>
  <r>
    <x v="489"/>
    <x v="4"/>
    <x v="4"/>
    <x v="13"/>
    <n v="0"/>
    <m/>
    <n v="0"/>
    <n v="0"/>
    <m/>
    <n v="0"/>
    <n v="32000"/>
    <n v="0"/>
    <n v="32000"/>
    <n v="0"/>
    <n v="0"/>
    <n v="0"/>
  </r>
  <r>
    <x v="490"/>
    <x v="2"/>
    <x v="8"/>
    <x v="11"/>
    <n v="0"/>
    <m/>
    <n v="0"/>
    <n v="0"/>
    <m/>
    <n v="0"/>
    <n v="0"/>
    <n v="0"/>
    <n v="0"/>
    <n v="0"/>
    <n v="0"/>
    <n v="0"/>
  </r>
  <r>
    <x v="491"/>
    <x v="4"/>
    <x v="4"/>
    <x v="13"/>
    <n v="0"/>
    <m/>
    <n v="0"/>
    <n v="0"/>
    <m/>
    <n v="0"/>
    <n v="0"/>
    <n v="0"/>
    <n v="0"/>
    <n v="0"/>
    <n v="0"/>
    <n v="0"/>
  </r>
  <r>
    <x v="492"/>
    <x v="1"/>
    <x v="1"/>
    <x v="1"/>
    <n v="0"/>
    <m/>
    <n v="0"/>
    <n v="0"/>
    <m/>
    <n v="0"/>
    <n v="0"/>
    <n v="0"/>
    <n v="0"/>
    <n v="0"/>
    <n v="0"/>
    <n v="0"/>
  </r>
  <r>
    <x v="493"/>
    <x v="3"/>
    <x v="3"/>
    <x v="31"/>
    <n v="0"/>
    <m/>
    <n v="0"/>
    <n v="0"/>
    <m/>
    <n v="0"/>
    <n v="0"/>
    <n v="0"/>
    <n v="0"/>
    <n v="0"/>
    <n v="0"/>
    <n v="0"/>
  </r>
  <r>
    <x v="494"/>
    <x v="12"/>
    <x v="14"/>
    <x v="26"/>
    <n v="0"/>
    <m/>
    <n v="0"/>
    <n v="0"/>
    <m/>
    <n v="0"/>
    <n v="1200"/>
    <n v="0"/>
    <n v="1200"/>
    <n v="0"/>
    <n v="0"/>
    <n v="0"/>
  </r>
  <r>
    <x v="495"/>
    <x v="2"/>
    <x v="8"/>
    <x v="46"/>
    <n v="0"/>
    <m/>
    <n v="0"/>
    <n v="0"/>
    <m/>
    <n v="0"/>
    <n v="2956"/>
    <n v="0"/>
    <n v="2956"/>
    <n v="0"/>
    <n v="0"/>
    <n v="0"/>
  </r>
  <r>
    <x v="496"/>
    <x v="2"/>
    <x v="8"/>
    <x v="46"/>
    <n v="0"/>
    <m/>
    <n v="0"/>
    <n v="0"/>
    <m/>
    <n v="0"/>
    <n v="0"/>
    <n v="0"/>
    <n v="0"/>
    <n v="0"/>
    <n v="0"/>
    <n v="0"/>
  </r>
  <r>
    <x v="497"/>
    <x v="1"/>
    <x v="1"/>
    <x v="1"/>
    <n v="0"/>
    <m/>
    <n v="0"/>
    <n v="0"/>
    <m/>
    <n v="0"/>
    <n v="9980"/>
    <n v="0"/>
    <n v="9980"/>
    <n v="0"/>
    <n v="0"/>
    <n v="0"/>
  </r>
  <r>
    <x v="498"/>
    <x v="6"/>
    <x v="6"/>
    <x v="10"/>
    <n v="0"/>
    <m/>
    <n v="0"/>
    <n v="160600"/>
    <m/>
    <n v="160600"/>
    <n v="0"/>
    <n v="0"/>
    <n v="0"/>
    <n v="2200000"/>
    <n v="0"/>
    <n v="2200000"/>
  </r>
  <r>
    <x v="499"/>
    <x v="5"/>
    <x v="5"/>
    <x v="5"/>
    <n v="0"/>
    <m/>
    <n v="0"/>
    <n v="0"/>
    <m/>
    <n v="0"/>
    <n v="2898184"/>
    <n v="0"/>
    <n v="2898184"/>
    <n v="0"/>
    <n v="0"/>
    <n v="0"/>
  </r>
  <r>
    <x v="500"/>
    <x v="0"/>
    <x v="12"/>
    <x v="64"/>
    <n v="0"/>
    <m/>
    <n v="0"/>
    <n v="0"/>
    <m/>
    <n v="0"/>
    <n v="0"/>
    <n v="0"/>
    <n v="0"/>
    <n v="453421"/>
    <n v="0"/>
    <n v="453421"/>
  </r>
  <r>
    <x v="501"/>
    <x v="20"/>
    <x v="24"/>
    <x v="51"/>
    <n v="0"/>
    <m/>
    <n v="0"/>
    <n v="0"/>
    <m/>
    <n v="0"/>
    <n v="0"/>
    <n v="0"/>
    <n v="0"/>
    <n v="0"/>
    <n v="0"/>
    <n v="0"/>
  </r>
  <r>
    <x v="502"/>
    <x v="12"/>
    <x v="14"/>
    <x v="26"/>
    <n v="0"/>
    <m/>
    <n v="0"/>
    <n v="0"/>
    <m/>
    <n v="0"/>
    <n v="15197750"/>
    <n v="0"/>
    <n v="15197750"/>
    <n v="0"/>
    <n v="0"/>
    <n v="0"/>
  </r>
  <r>
    <x v="503"/>
    <x v="5"/>
    <x v="5"/>
    <x v="5"/>
    <n v="0"/>
    <m/>
    <n v="0"/>
    <n v="0"/>
    <m/>
    <n v="0"/>
    <n v="0"/>
    <n v="0"/>
    <n v="0"/>
    <n v="0"/>
    <n v="0"/>
    <n v="0"/>
  </r>
  <r>
    <x v="504"/>
    <x v="1"/>
    <x v="1"/>
    <x v="6"/>
    <n v="0"/>
    <m/>
    <n v="0"/>
    <n v="0"/>
    <m/>
    <n v="0"/>
    <n v="0"/>
    <n v="0"/>
    <n v="0"/>
    <n v="3418"/>
    <n v="0"/>
    <n v="3418"/>
  </r>
  <r>
    <x v="505"/>
    <x v="6"/>
    <x v="6"/>
    <x v="7"/>
    <n v="0"/>
    <m/>
    <n v="0"/>
    <n v="0"/>
    <m/>
    <n v="0"/>
    <n v="807"/>
    <n v="0"/>
    <n v="807"/>
    <n v="0"/>
    <n v="0"/>
    <n v="0"/>
  </r>
  <r>
    <x v="506"/>
    <x v="6"/>
    <x v="6"/>
    <x v="7"/>
    <n v="0"/>
    <m/>
    <n v="0"/>
    <n v="0"/>
    <m/>
    <n v="0"/>
    <n v="116981"/>
    <n v="0"/>
    <n v="116981"/>
    <n v="0"/>
    <n v="0"/>
    <n v="0"/>
  </r>
  <r>
    <x v="507"/>
    <x v="6"/>
    <x v="6"/>
    <x v="7"/>
    <n v="0"/>
    <m/>
    <n v="0"/>
    <n v="0"/>
    <m/>
    <n v="0"/>
    <n v="116981"/>
    <n v="0"/>
    <n v="116981"/>
    <n v="0"/>
    <n v="0"/>
    <n v="0"/>
  </r>
  <r>
    <x v="508"/>
    <x v="4"/>
    <x v="4"/>
    <x v="13"/>
    <n v="0"/>
    <m/>
    <n v="0"/>
    <n v="0"/>
    <m/>
    <n v="0"/>
    <n v="0"/>
    <n v="0"/>
    <n v="0"/>
    <n v="0"/>
    <n v="0"/>
    <n v="0"/>
  </r>
  <r>
    <x v="509"/>
    <x v="18"/>
    <x v="21"/>
    <x v="42"/>
    <n v="0"/>
    <m/>
    <n v="0"/>
    <n v="0"/>
    <m/>
    <n v="0"/>
    <n v="0"/>
    <n v="0"/>
    <n v="0"/>
    <n v="20016750.5"/>
    <n v="0"/>
    <n v="20016750.5"/>
  </r>
  <r>
    <x v="510"/>
    <x v="5"/>
    <x v="5"/>
    <x v="5"/>
    <n v="0"/>
    <m/>
    <n v="0"/>
    <n v="0"/>
    <m/>
    <n v="0"/>
    <n v="0"/>
    <n v="0"/>
    <n v="0"/>
    <n v="0"/>
    <n v="0"/>
    <n v="0"/>
  </r>
  <r>
    <x v="511"/>
    <x v="5"/>
    <x v="5"/>
    <x v="5"/>
    <n v="0"/>
    <m/>
    <n v="0"/>
    <n v="0"/>
    <m/>
    <n v="0"/>
    <n v="0"/>
    <n v="0"/>
    <n v="0"/>
    <n v="0"/>
    <n v="0"/>
    <n v="0"/>
  </r>
  <r>
    <x v="512"/>
    <x v="1"/>
    <x v="1"/>
    <x v="6"/>
    <n v="0"/>
    <m/>
    <n v="0"/>
    <n v="0"/>
    <m/>
    <n v="0"/>
    <n v="0"/>
    <n v="0"/>
    <n v="0"/>
    <n v="182880"/>
    <n v="0"/>
    <n v="182880"/>
  </r>
  <r>
    <x v="513"/>
    <x v="2"/>
    <x v="8"/>
    <x v="11"/>
    <n v="0"/>
    <m/>
    <n v="0"/>
    <n v="0"/>
    <m/>
    <n v="0"/>
    <n v="0"/>
    <n v="0"/>
    <n v="0"/>
    <n v="0"/>
    <n v="0"/>
    <n v="0"/>
  </r>
  <r>
    <x v="514"/>
    <x v="4"/>
    <x v="4"/>
    <x v="13"/>
    <n v="0"/>
    <m/>
    <n v="0"/>
    <n v="0"/>
    <m/>
    <n v="0"/>
    <n v="27000"/>
    <n v="0"/>
    <n v="27000"/>
    <n v="0"/>
    <n v="0"/>
    <n v="0"/>
  </r>
  <r>
    <x v="515"/>
    <x v="1"/>
    <x v="1"/>
    <x v="6"/>
    <n v="0"/>
    <m/>
    <n v="0"/>
    <n v="0"/>
    <m/>
    <n v="0"/>
    <n v="0"/>
    <n v="0"/>
    <n v="0"/>
    <n v="0"/>
    <n v="0"/>
    <n v="0"/>
  </r>
  <r>
    <x v="516"/>
    <x v="4"/>
    <x v="4"/>
    <x v="13"/>
    <n v="0"/>
    <m/>
    <n v="0"/>
    <n v="0"/>
    <m/>
    <n v="0"/>
    <n v="0"/>
    <n v="0"/>
    <n v="0"/>
    <n v="0"/>
    <n v="0"/>
    <n v="0"/>
  </r>
  <r>
    <x v="517"/>
    <x v="6"/>
    <x v="6"/>
    <x v="32"/>
    <n v="0"/>
    <m/>
    <n v="0"/>
    <n v="0"/>
    <m/>
    <n v="0"/>
    <n v="0"/>
    <n v="0"/>
    <n v="0"/>
    <n v="2555"/>
    <n v="0"/>
    <n v="2555"/>
  </r>
  <r>
    <x v="518"/>
    <x v="1"/>
    <x v="1"/>
    <x v="1"/>
    <n v="0"/>
    <m/>
    <n v="0"/>
    <n v="0"/>
    <m/>
    <n v="0"/>
    <n v="0"/>
    <n v="0"/>
    <n v="0"/>
    <n v="0"/>
    <n v="0"/>
    <n v="0"/>
  </r>
  <r>
    <x v="519"/>
    <x v="1"/>
    <x v="1"/>
    <x v="6"/>
    <n v="0"/>
    <m/>
    <n v="0"/>
    <n v="0"/>
    <m/>
    <n v="0"/>
    <n v="0"/>
    <n v="0"/>
    <n v="0"/>
    <n v="80955"/>
    <n v="0"/>
    <n v="80955"/>
  </r>
  <r>
    <x v="520"/>
    <x v="5"/>
    <x v="5"/>
    <x v="5"/>
    <n v="0"/>
    <m/>
    <n v="0"/>
    <n v="0"/>
    <m/>
    <n v="0"/>
    <n v="0"/>
    <n v="0"/>
    <n v="0"/>
    <n v="0"/>
    <n v="0"/>
    <n v="0"/>
  </r>
  <r>
    <x v="521"/>
    <x v="1"/>
    <x v="1"/>
    <x v="1"/>
    <n v="0"/>
    <m/>
    <n v="0"/>
    <n v="0"/>
    <m/>
    <n v="0"/>
    <n v="0"/>
    <n v="0"/>
    <n v="0"/>
    <n v="0"/>
    <n v="0"/>
    <n v="0"/>
  </r>
  <r>
    <x v="522"/>
    <x v="5"/>
    <x v="5"/>
    <x v="5"/>
    <n v="0"/>
    <m/>
    <n v="0"/>
    <n v="0"/>
    <m/>
    <n v="0"/>
    <n v="0"/>
    <n v="0"/>
    <n v="0"/>
    <n v="0"/>
    <n v="0"/>
    <n v="0"/>
  </r>
  <r>
    <x v="523"/>
    <x v="1"/>
    <x v="1"/>
    <x v="1"/>
    <n v="0"/>
    <m/>
    <n v="0"/>
    <n v="0"/>
    <m/>
    <n v="0"/>
    <n v="0"/>
    <n v="0"/>
    <n v="0"/>
    <n v="21491"/>
    <n v="0"/>
    <n v="21491"/>
  </r>
  <r>
    <x v="524"/>
    <x v="2"/>
    <x v="2"/>
    <x v="49"/>
    <n v="0"/>
    <m/>
    <n v="0"/>
    <n v="0"/>
    <m/>
    <n v="0"/>
    <n v="67144"/>
    <n v="0"/>
    <n v="67144"/>
    <n v="0"/>
    <n v="0"/>
    <n v="0"/>
  </r>
  <r>
    <x v="525"/>
    <x v="6"/>
    <x v="6"/>
    <x v="7"/>
    <n v="0"/>
    <m/>
    <n v="0"/>
    <n v="0"/>
    <m/>
    <n v="0"/>
    <n v="0"/>
    <n v="0"/>
    <n v="0"/>
    <n v="0"/>
    <n v="0"/>
    <n v="0"/>
  </r>
  <r>
    <x v="526"/>
    <x v="14"/>
    <x v="16"/>
    <x v="84"/>
    <n v="0"/>
    <m/>
    <n v="0"/>
    <n v="0"/>
    <m/>
    <n v="0"/>
    <n v="0"/>
    <n v="0"/>
    <n v="0"/>
    <n v="0"/>
    <n v="0"/>
    <n v="0"/>
  </r>
  <r>
    <x v="527"/>
    <x v="6"/>
    <x v="6"/>
    <x v="57"/>
    <n v="0"/>
    <m/>
    <n v="0"/>
    <n v="0"/>
    <m/>
    <n v="0"/>
    <n v="0"/>
    <n v="0"/>
    <n v="0"/>
    <n v="3104070"/>
    <n v="0"/>
    <n v="3104070"/>
  </r>
  <r>
    <x v="528"/>
    <x v="1"/>
    <x v="1"/>
    <x v="6"/>
    <n v="0"/>
    <m/>
    <n v="0"/>
    <n v="0"/>
    <m/>
    <n v="0"/>
    <n v="0"/>
    <n v="0"/>
    <n v="0"/>
    <n v="0"/>
    <n v="0"/>
    <n v="0"/>
  </r>
  <r>
    <x v="529"/>
    <x v="1"/>
    <x v="1"/>
    <x v="1"/>
    <n v="0"/>
    <m/>
    <n v="0"/>
    <n v="0"/>
    <m/>
    <n v="0"/>
    <n v="0"/>
    <n v="0"/>
    <n v="0"/>
    <n v="0"/>
    <n v="0"/>
    <n v="0"/>
  </r>
  <r>
    <x v="530"/>
    <x v="2"/>
    <x v="8"/>
    <x v="85"/>
    <n v="0"/>
    <m/>
    <n v="0"/>
    <n v="0"/>
    <m/>
    <n v="0"/>
    <n v="0"/>
    <n v="0"/>
    <n v="0"/>
    <n v="0"/>
    <n v="0"/>
    <n v="0"/>
  </r>
  <r>
    <x v="531"/>
    <x v="12"/>
    <x v="14"/>
    <x v="26"/>
    <n v="0"/>
    <m/>
    <n v="0"/>
    <n v="0"/>
    <m/>
    <n v="0"/>
    <n v="419631"/>
    <n v="0"/>
    <n v="419631"/>
    <n v="0"/>
    <n v="0"/>
    <n v="0"/>
  </r>
  <r>
    <x v="532"/>
    <x v="6"/>
    <x v="6"/>
    <x v="87"/>
    <n v="0"/>
    <m/>
    <n v="0"/>
    <n v="0"/>
    <m/>
    <n v="0"/>
    <n v="0"/>
    <n v="0"/>
    <n v="0"/>
    <n v="0"/>
    <n v="0"/>
    <n v="0"/>
  </r>
  <r>
    <x v="533"/>
    <x v="1"/>
    <x v="1"/>
    <x v="1"/>
    <n v="0"/>
    <m/>
    <n v="0"/>
    <n v="0"/>
    <m/>
    <n v="0"/>
    <n v="0"/>
    <n v="0"/>
    <n v="0"/>
    <n v="0"/>
    <n v="0"/>
    <n v="0"/>
  </r>
  <r>
    <x v="534"/>
    <x v="2"/>
    <x v="8"/>
    <x v="46"/>
    <n v="0"/>
    <m/>
    <n v="0"/>
    <n v="0"/>
    <m/>
    <n v="0"/>
    <n v="0"/>
    <n v="0"/>
    <n v="0"/>
    <n v="0"/>
    <n v="0"/>
    <n v="0"/>
  </r>
  <r>
    <x v="535"/>
    <x v="2"/>
    <x v="10"/>
    <x v="18"/>
    <n v="0"/>
    <m/>
    <n v="0"/>
    <n v="0"/>
    <m/>
    <n v="0"/>
    <n v="0"/>
    <n v="0"/>
    <n v="0"/>
    <n v="0"/>
    <n v="0"/>
    <n v="0"/>
  </r>
  <r>
    <x v="536"/>
    <x v="14"/>
    <x v="16"/>
    <x v="84"/>
    <n v="0"/>
    <m/>
    <n v="0"/>
    <n v="0"/>
    <m/>
    <n v="0"/>
    <n v="0"/>
    <n v="0"/>
    <n v="0"/>
    <n v="0"/>
    <n v="0"/>
    <n v="0"/>
  </r>
  <r>
    <x v="537"/>
    <x v="6"/>
    <x v="6"/>
    <x v="57"/>
    <n v="0"/>
    <m/>
    <n v="0"/>
    <n v="0"/>
    <m/>
    <n v="0"/>
    <n v="0"/>
    <n v="0"/>
    <n v="0"/>
    <n v="444140"/>
    <n v="0"/>
    <n v="444140"/>
  </r>
  <r>
    <x v="538"/>
    <x v="14"/>
    <x v="16"/>
    <x v="84"/>
    <n v="0"/>
    <m/>
    <n v="0"/>
    <n v="0"/>
    <m/>
    <n v="0"/>
    <n v="0"/>
    <n v="0"/>
    <n v="0"/>
    <n v="0"/>
    <n v="0"/>
    <n v="0"/>
  </r>
  <r>
    <x v="539"/>
    <x v="6"/>
    <x v="6"/>
    <x v="7"/>
    <n v="0"/>
    <m/>
    <n v="0"/>
    <n v="0"/>
    <m/>
    <n v="0"/>
    <n v="0"/>
    <n v="0"/>
    <n v="0"/>
    <n v="0"/>
    <n v="0"/>
    <n v="0"/>
  </r>
  <r>
    <x v="540"/>
    <x v="6"/>
    <x v="6"/>
    <x v="7"/>
    <n v="0"/>
    <m/>
    <n v="0"/>
    <n v="0"/>
    <m/>
    <n v="0"/>
    <n v="0"/>
    <n v="0"/>
    <n v="0"/>
    <n v="0"/>
    <n v="0"/>
    <n v="0"/>
  </r>
  <r>
    <x v="541"/>
    <x v="14"/>
    <x v="16"/>
    <x v="84"/>
    <n v="0"/>
    <m/>
    <n v="0"/>
    <n v="0"/>
    <m/>
    <n v="0"/>
    <n v="0"/>
    <n v="0"/>
    <n v="0"/>
    <n v="0"/>
    <n v="0"/>
    <n v="0"/>
  </r>
  <r>
    <x v="542"/>
    <x v="6"/>
    <x v="6"/>
    <x v="57"/>
    <n v="0"/>
    <m/>
    <n v="0"/>
    <n v="0"/>
    <m/>
    <n v="0"/>
    <n v="0"/>
    <n v="0"/>
    <n v="0"/>
    <n v="100000"/>
    <n v="0"/>
    <n v="100000"/>
  </r>
  <r>
    <x v="543"/>
    <x v="14"/>
    <x v="16"/>
    <x v="84"/>
    <n v="0"/>
    <m/>
    <n v="0"/>
    <n v="0"/>
    <m/>
    <n v="0"/>
    <n v="0"/>
    <n v="0"/>
    <n v="0"/>
    <n v="0"/>
    <n v="0"/>
    <n v="0"/>
  </r>
  <r>
    <x v="544"/>
    <x v="1"/>
    <x v="1"/>
    <x v="6"/>
    <n v="0"/>
    <m/>
    <n v="0"/>
    <n v="0"/>
    <m/>
    <n v="0"/>
    <n v="0"/>
    <n v="0"/>
    <n v="0"/>
    <n v="193615"/>
    <n v="0"/>
    <n v="193615"/>
  </r>
  <r>
    <x v="545"/>
    <x v="2"/>
    <x v="8"/>
    <x v="46"/>
    <n v="0"/>
    <m/>
    <n v="0"/>
    <n v="0"/>
    <m/>
    <n v="0"/>
    <n v="0"/>
    <n v="0"/>
    <n v="0"/>
    <n v="0"/>
    <n v="0"/>
    <n v="0"/>
  </r>
  <r>
    <x v="546"/>
    <x v="1"/>
    <x v="1"/>
    <x v="6"/>
    <n v="0"/>
    <m/>
    <n v="0"/>
    <n v="0"/>
    <m/>
    <n v="0"/>
    <n v="0"/>
    <n v="0"/>
    <n v="0"/>
    <n v="0"/>
    <n v="0"/>
    <n v="0"/>
  </r>
  <r>
    <x v="547"/>
    <x v="1"/>
    <x v="1"/>
    <x v="1"/>
    <n v="0"/>
    <m/>
    <n v="0"/>
    <n v="0"/>
    <m/>
    <n v="0"/>
    <n v="0"/>
    <n v="0"/>
    <n v="0"/>
    <n v="0"/>
    <n v="0"/>
    <n v="0"/>
  </r>
  <r>
    <x v="548"/>
    <x v="4"/>
    <x v="4"/>
    <x v="13"/>
    <n v="0"/>
    <m/>
    <n v="0"/>
    <n v="0"/>
    <m/>
    <n v="0"/>
    <n v="0"/>
    <n v="0"/>
    <n v="0"/>
    <n v="0"/>
    <n v="0"/>
    <n v="0"/>
  </r>
  <r>
    <x v="549"/>
    <x v="9"/>
    <x v="11"/>
    <x v="63"/>
    <n v="0"/>
    <m/>
    <n v="0"/>
    <n v="0"/>
    <m/>
    <n v="0"/>
    <n v="0"/>
    <n v="0"/>
    <n v="0"/>
    <n v="0"/>
    <n v="0"/>
    <n v="0"/>
  </r>
  <r>
    <x v="550"/>
    <x v="2"/>
    <x v="10"/>
    <x v="28"/>
    <n v="0"/>
    <m/>
    <n v="0"/>
    <n v="0"/>
    <m/>
    <n v="0"/>
    <n v="52365641"/>
    <n v="0"/>
    <n v="52365641"/>
    <n v="0"/>
    <n v="0"/>
    <n v="0"/>
  </r>
  <r>
    <x v="551"/>
    <x v="4"/>
    <x v="4"/>
    <x v="13"/>
    <n v="0"/>
    <m/>
    <n v="0"/>
    <n v="0"/>
    <m/>
    <n v="0"/>
    <n v="0"/>
    <n v="0"/>
    <n v="0"/>
    <n v="0"/>
    <n v="0"/>
    <n v="0"/>
  </r>
  <r>
    <x v="552"/>
    <x v="5"/>
    <x v="5"/>
    <x v="5"/>
    <n v="0"/>
    <m/>
    <n v="0"/>
    <n v="0"/>
    <m/>
    <n v="0"/>
    <n v="0"/>
    <n v="0"/>
    <n v="0"/>
    <n v="7528"/>
    <n v="0"/>
    <n v="7528"/>
  </r>
  <r>
    <x v="553"/>
    <x v="4"/>
    <x v="4"/>
    <x v="13"/>
    <n v="0"/>
    <m/>
    <n v="0"/>
    <n v="0"/>
    <m/>
    <n v="0"/>
    <n v="0"/>
    <n v="0"/>
    <n v="0"/>
    <n v="0"/>
    <n v="0"/>
    <n v="0"/>
  </r>
  <r>
    <x v="554"/>
    <x v="6"/>
    <x v="6"/>
    <x v="7"/>
    <n v="0"/>
    <m/>
    <n v="0"/>
    <n v="0"/>
    <m/>
    <n v="0"/>
    <n v="0"/>
    <n v="0"/>
    <n v="0"/>
    <n v="0"/>
    <n v="0"/>
    <n v="0"/>
  </r>
  <r>
    <x v="555"/>
    <x v="1"/>
    <x v="1"/>
    <x v="6"/>
    <n v="0"/>
    <m/>
    <n v="0"/>
    <n v="0"/>
    <m/>
    <n v="0"/>
    <n v="0"/>
    <n v="0"/>
    <n v="0"/>
    <n v="0"/>
    <n v="0"/>
    <n v="0"/>
  </r>
  <r>
    <x v="556"/>
    <x v="14"/>
    <x v="16"/>
    <x v="84"/>
    <n v="0"/>
    <m/>
    <n v="0"/>
    <n v="0"/>
    <m/>
    <n v="0"/>
    <n v="0"/>
    <n v="0"/>
    <n v="0"/>
    <n v="0"/>
    <n v="0"/>
    <n v="0"/>
  </r>
  <r>
    <x v="557"/>
    <x v="4"/>
    <x v="4"/>
    <x v="13"/>
    <n v="0"/>
    <m/>
    <n v="0"/>
    <n v="0"/>
    <m/>
    <n v="0"/>
    <n v="0"/>
    <n v="0"/>
    <n v="0"/>
    <n v="0"/>
    <n v="0"/>
    <n v="0"/>
  </r>
  <r>
    <x v="558"/>
    <x v="4"/>
    <x v="4"/>
    <x v="13"/>
    <n v="0"/>
    <m/>
    <n v="0"/>
    <n v="0"/>
    <m/>
    <n v="0"/>
    <n v="0"/>
    <n v="0"/>
    <n v="0"/>
    <n v="0"/>
    <n v="0"/>
    <n v="0"/>
  </r>
  <r>
    <x v="559"/>
    <x v="20"/>
    <x v="24"/>
    <x v="51"/>
    <n v="0"/>
    <m/>
    <n v="0"/>
    <n v="0"/>
    <m/>
    <n v="0"/>
    <n v="0"/>
    <n v="0"/>
    <n v="0"/>
    <n v="0"/>
    <n v="0"/>
    <n v="0"/>
  </r>
  <r>
    <x v="560"/>
    <x v="20"/>
    <x v="24"/>
    <x v="51"/>
    <n v="0"/>
    <m/>
    <n v="0"/>
    <n v="0"/>
    <m/>
    <n v="0"/>
    <n v="0"/>
    <n v="0"/>
    <n v="0"/>
    <n v="0"/>
    <n v="0"/>
    <n v="0"/>
  </r>
  <r>
    <x v="561"/>
    <x v="1"/>
    <x v="1"/>
    <x v="6"/>
    <n v="0"/>
    <m/>
    <n v="0"/>
    <n v="0"/>
    <m/>
    <n v="0"/>
    <n v="0"/>
    <n v="0"/>
    <n v="0"/>
    <n v="163013"/>
    <n v="0"/>
    <n v="163013"/>
  </r>
  <r>
    <x v="562"/>
    <x v="1"/>
    <x v="1"/>
    <x v="1"/>
    <n v="0"/>
    <m/>
    <n v="0"/>
    <n v="0"/>
    <m/>
    <n v="0"/>
    <n v="0"/>
    <n v="0"/>
    <n v="0"/>
    <n v="0"/>
    <n v="0"/>
    <n v="0"/>
  </r>
  <r>
    <x v="563"/>
    <x v="1"/>
    <x v="1"/>
    <x v="6"/>
    <n v="0"/>
    <m/>
    <n v="0"/>
    <n v="0"/>
    <m/>
    <n v="0"/>
    <n v="0"/>
    <n v="0"/>
    <n v="0"/>
    <n v="90199"/>
    <n v="0"/>
    <n v="90199"/>
  </r>
  <r>
    <x v="564"/>
    <x v="1"/>
    <x v="1"/>
    <x v="6"/>
    <n v="0"/>
    <m/>
    <n v="0"/>
    <n v="0"/>
    <m/>
    <n v="0"/>
    <n v="0"/>
    <n v="0"/>
    <n v="0"/>
    <n v="0"/>
    <n v="0"/>
    <n v="0"/>
  </r>
  <r>
    <x v="565"/>
    <x v="1"/>
    <x v="1"/>
    <x v="6"/>
    <n v="0"/>
    <m/>
    <n v="0"/>
    <n v="0"/>
    <m/>
    <n v="0"/>
    <n v="0"/>
    <n v="0"/>
    <n v="0"/>
    <n v="226800"/>
    <n v="0"/>
    <n v="226800"/>
  </r>
  <r>
    <x v="566"/>
    <x v="2"/>
    <x v="10"/>
    <x v="18"/>
    <n v="0"/>
    <m/>
    <n v="0"/>
    <n v="0"/>
    <m/>
    <n v="0"/>
    <n v="388251"/>
    <n v="0"/>
    <n v="388251"/>
    <n v="0"/>
    <n v="0"/>
    <n v="0"/>
  </r>
  <r>
    <x v="567"/>
    <x v="14"/>
    <x v="16"/>
    <x v="84"/>
    <n v="0"/>
    <m/>
    <n v="0"/>
    <n v="0"/>
    <m/>
    <n v="0"/>
    <n v="0"/>
    <n v="0"/>
    <n v="0"/>
    <n v="0"/>
    <n v="0"/>
    <n v="0"/>
  </r>
  <r>
    <x v="568"/>
    <x v="14"/>
    <x v="16"/>
    <x v="84"/>
    <n v="0"/>
    <m/>
    <n v="0"/>
    <n v="0"/>
    <m/>
    <n v="0"/>
    <n v="0"/>
    <n v="0"/>
    <n v="0"/>
    <n v="0"/>
    <n v="0"/>
    <n v="0"/>
  </r>
  <r>
    <x v="569"/>
    <x v="6"/>
    <x v="6"/>
    <x v="57"/>
    <n v="0"/>
    <m/>
    <n v="0"/>
    <n v="0"/>
    <m/>
    <n v="0"/>
    <n v="0"/>
    <n v="0"/>
    <n v="0"/>
    <n v="150105"/>
    <n v="0"/>
    <n v="1501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950900C-3362-4174-9F4A-DD7653CDFE41}" name="PivotTable3" cacheId="0"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1:H715" firstHeaderRow="1" firstDataRow="2" firstDataCol="4"/>
  <pivotFields count="16">
    <pivotField axis="axisRow" compact="0" outline="0" showAll="0">
      <items count="572">
        <item x="12"/>
        <item x="569"/>
        <item x="568"/>
        <item x="1"/>
        <item x="2"/>
        <item x="433"/>
        <item x="435"/>
        <item x="383"/>
        <item x="501"/>
        <item x="10"/>
        <item x="11"/>
        <item x="432"/>
        <item x="434"/>
        <item x="384"/>
        <item x="439"/>
        <item x="430"/>
        <item x="428"/>
        <item x="13"/>
        <item x="14"/>
        <item x="15"/>
        <item x="385"/>
        <item x="443"/>
        <item x="16"/>
        <item x="17"/>
        <item x="18"/>
        <item x="521"/>
        <item x="522"/>
        <item x="19"/>
        <item x="386"/>
        <item x="20"/>
        <item x="21"/>
        <item x="22"/>
        <item x="23"/>
        <item x="37"/>
        <item x="24"/>
        <item x="25"/>
        <item x="523"/>
        <item x="26"/>
        <item x="27"/>
        <item x="28"/>
        <item x="447"/>
        <item x="29"/>
        <item x="30"/>
        <item x="31"/>
        <item x="32"/>
        <item x="33"/>
        <item x="448"/>
        <item x="34"/>
        <item x="387"/>
        <item x="35"/>
        <item x="36"/>
        <item x="38"/>
        <item x="388"/>
        <item x="437"/>
        <item x="39"/>
        <item x="40"/>
        <item x="41"/>
        <item x="524"/>
        <item x="42"/>
        <item x="43"/>
        <item x="438"/>
        <item x="44"/>
        <item x="45"/>
        <item x="431"/>
        <item x="449"/>
        <item x="506"/>
        <item x="46"/>
        <item x="525"/>
        <item x="389"/>
        <item x="47"/>
        <item x="390"/>
        <item x="527"/>
        <item x="526"/>
        <item x="48"/>
        <item x="451"/>
        <item x="458"/>
        <item x="49"/>
        <item x="528"/>
        <item x="50"/>
        <item x="453"/>
        <item x="51"/>
        <item x="52"/>
        <item x="53"/>
        <item x="452"/>
        <item x="54"/>
        <item x="55"/>
        <item x="56"/>
        <item x="529"/>
        <item x="57"/>
        <item x="58"/>
        <item x="59"/>
        <item x="60"/>
        <item x="61"/>
        <item x="454"/>
        <item x="455"/>
        <item x="62"/>
        <item x="456"/>
        <item x="446"/>
        <item x="530"/>
        <item x="65"/>
        <item x="531"/>
        <item x="532"/>
        <item x="66"/>
        <item x="67"/>
        <item x="68"/>
        <item x="70"/>
        <item x="69"/>
        <item x="71"/>
        <item x="76"/>
        <item x="77"/>
        <item x="78"/>
        <item x="79"/>
        <item x="80"/>
        <item x="457"/>
        <item x="72"/>
        <item x="73"/>
        <item x="74"/>
        <item x="75"/>
        <item x="81"/>
        <item x="82"/>
        <item x="83"/>
        <item x="84"/>
        <item x="85"/>
        <item x="86"/>
        <item x="87"/>
        <item x="459"/>
        <item x="88"/>
        <item x="89"/>
        <item x="90"/>
        <item x="91"/>
        <item x="92"/>
        <item x="93"/>
        <item x="533"/>
        <item x="442"/>
        <item x="460"/>
        <item x="94"/>
        <item x="95"/>
        <item x="534"/>
        <item x="391"/>
        <item x="392"/>
        <item x="97"/>
        <item x="96"/>
        <item x="98"/>
        <item x="99"/>
        <item x="100"/>
        <item x="462"/>
        <item x="463"/>
        <item x="464"/>
        <item x="101"/>
        <item x="102"/>
        <item x="103"/>
        <item x="104"/>
        <item x="105"/>
        <item x="106"/>
        <item x="465"/>
        <item x="107"/>
        <item x="108"/>
        <item x="109"/>
        <item x="110"/>
        <item x="111"/>
        <item x="466"/>
        <item x="112"/>
        <item x="113"/>
        <item x="535"/>
        <item x="393"/>
        <item x="114"/>
        <item x="115"/>
        <item x="116"/>
        <item x="394"/>
        <item x="117"/>
        <item x="118"/>
        <item x="119"/>
        <item x="537"/>
        <item x="536"/>
        <item x="120"/>
        <item x="121"/>
        <item x="467"/>
        <item x="469"/>
        <item x="468"/>
        <item x="445"/>
        <item x="471"/>
        <item x="122"/>
        <item x="395"/>
        <item x="472"/>
        <item x="123"/>
        <item x="124"/>
        <item x="125"/>
        <item x="538"/>
        <item x="126"/>
        <item x="473"/>
        <item x="539"/>
        <item x="540"/>
        <item x="505"/>
        <item x="127"/>
        <item x="396"/>
        <item x="128"/>
        <item x="397"/>
        <item x="542"/>
        <item x="541"/>
        <item x="129"/>
        <item x="474"/>
        <item x="130"/>
        <item x="131"/>
        <item x="132"/>
        <item x="133"/>
        <item x="134"/>
        <item x="135"/>
        <item x="543"/>
        <item x="544"/>
        <item x="136"/>
        <item x="137"/>
        <item x="138"/>
        <item x="139"/>
        <item x="4"/>
        <item x="140"/>
        <item x="461"/>
        <item x="141"/>
        <item x="142"/>
        <item x="475"/>
        <item x="476"/>
        <item x="143"/>
        <item x="144"/>
        <item x="145"/>
        <item x="146"/>
        <item x="477"/>
        <item x="545"/>
        <item x="478"/>
        <item x="147"/>
        <item x="398"/>
        <item x="150"/>
        <item x="148"/>
        <item x="149"/>
        <item x="151"/>
        <item x="152"/>
        <item x="153"/>
        <item x="5"/>
        <item x="154"/>
        <item x="155"/>
        <item x="156"/>
        <item x="157"/>
        <item x="399"/>
        <item x="162"/>
        <item x="158"/>
        <item x="6"/>
        <item x="159"/>
        <item x="160"/>
        <item x="161"/>
        <item x="480"/>
        <item x="481"/>
        <item x="169"/>
        <item x="163"/>
        <item x="165"/>
        <item x="164"/>
        <item x="166"/>
        <item x="482"/>
        <item x="167"/>
        <item x="567"/>
        <item x="168"/>
        <item x="483"/>
        <item x="178"/>
        <item x="170"/>
        <item x="172"/>
        <item x="171"/>
        <item x="484"/>
        <item x="173"/>
        <item x="174"/>
        <item x="175"/>
        <item x="176"/>
        <item x="177"/>
        <item x="485"/>
        <item x="179"/>
        <item x="180"/>
        <item x="182"/>
        <item x="181"/>
        <item x="440"/>
        <item x="183"/>
        <item x="486"/>
        <item x="184"/>
        <item x="487"/>
        <item x="552"/>
        <item x="488"/>
        <item x="489"/>
        <item x="400"/>
        <item x="185"/>
        <item x="490"/>
        <item x="497"/>
        <item x="426"/>
        <item x="491"/>
        <item x="441"/>
        <item x="186"/>
        <item x="187"/>
        <item x="492"/>
        <item x="188"/>
        <item x="189"/>
        <item x="190"/>
        <item x="191"/>
        <item x="192"/>
        <item x="193"/>
        <item x="194"/>
        <item x="195"/>
        <item x="196"/>
        <item x="197"/>
        <item x="198"/>
        <item x="493"/>
        <item x="199"/>
        <item x="200"/>
        <item x="0"/>
        <item x="201"/>
        <item x="202"/>
        <item x="203"/>
        <item x="494"/>
        <item x="204"/>
        <item x="205"/>
        <item x="500"/>
        <item x="549"/>
        <item x="206"/>
        <item x="207"/>
        <item x="221"/>
        <item x="232"/>
        <item x="208"/>
        <item x="209"/>
        <item x="210"/>
        <item x="211"/>
        <item x="546"/>
        <item x="212"/>
        <item x="401"/>
        <item x="213"/>
        <item x="470"/>
        <item x="402"/>
        <item x="214"/>
        <item x="215"/>
        <item x="216"/>
        <item x="217"/>
        <item x="218"/>
        <item x="219"/>
        <item x="495"/>
        <item x="496"/>
        <item x="220"/>
        <item x="547"/>
        <item x="222"/>
        <item x="223"/>
        <item x="224"/>
        <item x="548"/>
        <item x="499"/>
        <item x="429"/>
        <item x="225"/>
        <item x="226"/>
        <item x="229"/>
        <item x="228"/>
        <item x="227"/>
        <item x="230"/>
        <item x="231"/>
        <item x="444"/>
        <item x="233"/>
        <item x="234"/>
        <item x="403"/>
        <item x="235"/>
        <item x="236"/>
        <item x="237"/>
        <item x="238"/>
        <item x="239"/>
        <item x="240"/>
        <item x="241"/>
        <item x="242"/>
        <item x="243"/>
        <item x="244"/>
        <item x="245"/>
        <item x="246"/>
        <item x="250"/>
        <item x="247"/>
        <item x="249"/>
        <item x="248"/>
        <item x="251"/>
        <item x="252"/>
        <item x="253"/>
        <item x="254"/>
        <item x="550"/>
        <item x="404"/>
        <item x="255"/>
        <item x="256"/>
        <item x="257"/>
        <item x="502"/>
        <item x="258"/>
        <item x="266"/>
        <item x="277"/>
        <item x="503"/>
        <item x="282"/>
        <item x="259"/>
        <item x="260"/>
        <item x="261"/>
        <item x="262"/>
        <item x="504"/>
        <item x="405"/>
        <item x="406"/>
        <item x="407"/>
        <item x="263"/>
        <item x="264"/>
        <item x="265"/>
        <item x="267"/>
        <item x="268"/>
        <item x="269"/>
        <item x="408"/>
        <item x="498"/>
        <item x="270"/>
        <item x="271"/>
        <item x="272"/>
        <item x="274"/>
        <item x="273"/>
        <item x="275"/>
        <item x="276"/>
        <item x="409"/>
        <item x="410"/>
        <item x="551"/>
        <item x="278"/>
        <item x="279"/>
        <item x="280"/>
        <item x="281"/>
        <item x="556"/>
        <item x="305"/>
        <item x="564"/>
        <item x="301"/>
        <item x="302"/>
        <item x="300"/>
        <item x="303"/>
        <item x="318"/>
        <item x="415"/>
        <item x="508"/>
        <item x="283"/>
        <item x="411"/>
        <item x="284"/>
        <item x="285"/>
        <item x="286"/>
        <item x="287"/>
        <item x="288"/>
        <item x="289"/>
        <item x="290"/>
        <item x="294"/>
        <item x="291"/>
        <item x="292"/>
        <item x="293"/>
        <item x="412"/>
        <item x="295"/>
        <item x="296"/>
        <item x="297"/>
        <item x="553"/>
        <item x="298"/>
        <item x="299"/>
        <item x="304"/>
        <item x="306"/>
        <item x="307"/>
        <item x="308"/>
        <item x="309"/>
        <item x="509"/>
        <item x="450"/>
        <item x="507"/>
        <item x="310"/>
        <item x="413"/>
        <item x="554"/>
        <item x="311"/>
        <item x="414"/>
        <item x="510"/>
        <item x="312"/>
        <item x="511"/>
        <item x="313"/>
        <item x="314"/>
        <item x="315"/>
        <item x="316"/>
        <item x="555"/>
        <item x="512"/>
        <item x="427"/>
        <item x="513"/>
        <item x="317"/>
        <item x="319"/>
        <item x="320"/>
        <item x="321"/>
        <item x="322"/>
        <item x="323"/>
        <item x="324"/>
        <item x="325"/>
        <item x="326"/>
        <item x="327"/>
        <item x="557"/>
        <item x="436"/>
        <item x="514"/>
        <item x="515"/>
        <item x="328"/>
        <item x="329"/>
        <item x="558"/>
        <item x="516"/>
        <item x="479"/>
        <item x="330"/>
        <item x="416"/>
        <item x="331"/>
        <item x="332"/>
        <item x="335"/>
        <item x="336"/>
        <item x="559"/>
        <item x="333"/>
        <item x="334"/>
        <item x="417"/>
        <item x="337"/>
        <item x="344"/>
        <item x="338"/>
        <item x="339"/>
        <item x="340"/>
        <item x="418"/>
        <item x="343"/>
        <item x="517"/>
        <item x="341"/>
        <item x="342"/>
        <item x="345"/>
        <item x="347"/>
        <item x="348"/>
        <item x="560"/>
        <item x="349"/>
        <item x="346"/>
        <item x="350"/>
        <item x="518"/>
        <item x="351"/>
        <item x="352"/>
        <item x="353"/>
        <item x="354"/>
        <item x="419"/>
        <item x="420"/>
        <item x="519"/>
        <item x="520"/>
        <item x="421"/>
        <item x="356"/>
        <item x="355"/>
        <item x="357"/>
        <item x="358"/>
        <item x="563"/>
        <item x="359"/>
        <item x="360"/>
        <item x="361"/>
        <item x="362"/>
        <item x="363"/>
        <item x="364"/>
        <item x="365"/>
        <item x="561"/>
        <item x="562"/>
        <item x="422"/>
        <item x="366"/>
        <item x="379"/>
        <item x="377"/>
        <item x="424"/>
        <item x="423"/>
        <item x="565"/>
        <item x="367"/>
        <item x="368"/>
        <item x="566"/>
        <item x="369"/>
        <item x="370"/>
        <item x="371"/>
        <item x="372"/>
        <item x="373"/>
        <item x="374"/>
        <item x="375"/>
        <item x="376"/>
        <item x="378"/>
        <item x="380"/>
        <item x="425"/>
        <item x="381"/>
        <item x="382"/>
        <item x="3"/>
        <item x="7"/>
        <item x="8"/>
        <item x="9"/>
        <item m="1" x="570"/>
        <item x="64"/>
        <item x="63"/>
        <item t="default"/>
      </items>
    </pivotField>
    <pivotField axis="axisRow" compact="0" outline="0" showAll="0">
      <items count="25">
        <item x="9"/>
        <item x="16"/>
        <item x="14"/>
        <item x="5"/>
        <item x="11"/>
        <item x="4"/>
        <item x="3"/>
        <item x="20"/>
        <item x="10"/>
        <item x="7"/>
        <item x="15"/>
        <item x="13"/>
        <item x="22"/>
        <item x="1"/>
        <item x="6"/>
        <item x="23"/>
        <item x="21"/>
        <item x="18"/>
        <item x="19"/>
        <item x="12"/>
        <item x="17"/>
        <item x="8"/>
        <item x="2"/>
        <item x="0"/>
        <item t="default"/>
      </items>
    </pivotField>
    <pivotField axis="axisRow" compact="0" outline="0" showAll="0">
      <items count="31">
        <item x="13"/>
        <item x="24"/>
        <item x="15"/>
        <item x="19"/>
        <item x="20"/>
        <item x="9"/>
        <item x="5"/>
        <item x="7"/>
        <item x="17"/>
        <item x="0"/>
        <item x="8"/>
        <item x="10"/>
        <item x="2"/>
        <item x="3"/>
        <item x="27"/>
        <item x="4"/>
        <item x="18"/>
        <item x="6"/>
        <item x="23"/>
        <item x="16"/>
        <item x="11"/>
        <item x="14"/>
        <item x="12"/>
        <item x="21"/>
        <item x="22"/>
        <item x="26"/>
        <item x="25"/>
        <item x="1"/>
        <item m="1" x="29"/>
        <item m="1" x="28"/>
        <item t="default"/>
      </items>
    </pivotField>
    <pivotField axis="axisRow" compact="0" outline="0" showAll="0">
      <items count="91">
        <item x="84"/>
        <item x="51"/>
        <item x="31"/>
        <item x="8"/>
        <item x="14"/>
        <item x="15"/>
        <item x="72"/>
        <item x="39"/>
        <item x="25"/>
        <item x="17"/>
        <item x="21"/>
        <item x="63"/>
        <item x="23"/>
        <item x="86"/>
        <item x="29"/>
        <item x="45"/>
        <item x="85"/>
        <item x="87"/>
        <item x="36"/>
        <item x="40"/>
        <item x="43"/>
        <item x="24"/>
        <item x="10"/>
        <item x="62"/>
        <item x="18"/>
        <item x="47"/>
        <item x="48"/>
        <item x="49"/>
        <item x="11"/>
        <item x="50"/>
        <item x="7"/>
        <item x="27"/>
        <item x="52"/>
        <item x="3"/>
        <item x="2"/>
        <item x="55"/>
        <item x="54"/>
        <item x="56"/>
        <item x="44"/>
        <item x="30"/>
        <item x="12"/>
        <item x="13"/>
        <item x="37"/>
        <item x="19"/>
        <item x="0"/>
        <item x="16"/>
        <item x="60"/>
        <item x="28"/>
        <item x="53"/>
        <item x="76"/>
        <item x="83"/>
        <item x="38"/>
        <item x="65"/>
        <item x="46"/>
        <item x="26"/>
        <item x="68"/>
        <item x="59"/>
        <item x="70"/>
        <item x="22"/>
        <item x="69"/>
        <item x="79"/>
        <item x="41"/>
        <item x="42"/>
        <item x="61"/>
        <item x="71"/>
        <item x="75"/>
        <item x="73"/>
        <item x="74"/>
        <item x="58"/>
        <item x="77"/>
        <item x="32"/>
        <item x="67"/>
        <item x="64"/>
        <item x="20"/>
        <item x="66"/>
        <item x="78"/>
        <item x="6"/>
        <item x="1"/>
        <item m="1" x="88"/>
        <item x="5"/>
        <item x="33"/>
        <item x="80"/>
        <item x="9"/>
        <item x="81"/>
        <item x="82"/>
        <item m="1" x="89"/>
        <item x="57"/>
        <item x="4"/>
        <item x="34"/>
        <item x="35"/>
        <item t="default"/>
      </items>
    </pivotField>
    <pivotField compact="0" numFmtId="164" outline="0" showAll="0"/>
    <pivotField compact="0" outline="0" showAll="0"/>
    <pivotField dataField="1" compact="0" numFmtId="164" outline="0" showAll="0"/>
    <pivotField compact="0" numFmtId="164" outline="0" showAll="0"/>
    <pivotField compact="0" outline="0" showAll="0"/>
    <pivotField dataField="1" compact="0" numFmtId="164" outline="0" showAll="0"/>
    <pivotField compact="0" numFmtId="164" outline="0" showAll="0"/>
    <pivotField compact="0" numFmtId="164" outline="0" showAll="0"/>
    <pivotField dataField="1" compact="0" numFmtId="164" outline="0" showAll="0"/>
    <pivotField compact="0" numFmtId="164" outline="0" showAll="0"/>
    <pivotField compact="0" numFmtId="164" outline="0" showAll="0"/>
    <pivotField dataField="1" compact="0" numFmtId="164" outline="0" showAll="0"/>
  </pivotFields>
  <rowFields count="4">
    <field x="1"/>
    <field x="2"/>
    <field x="3"/>
    <field x="0"/>
  </rowFields>
  <rowItems count="713">
    <i>
      <x/>
      <x v="20"/>
      <x v="11"/>
      <x v="314"/>
    </i>
    <i r="3">
      <x v="347"/>
    </i>
    <i r="3">
      <x v="348"/>
    </i>
    <i r="3">
      <x v="349"/>
    </i>
    <i r="3">
      <x v="350"/>
    </i>
    <i r="3">
      <x v="543"/>
    </i>
    <i r="3">
      <x v="544"/>
    </i>
    <i r="3">
      <x v="557"/>
    </i>
    <i r="3">
      <x v="558"/>
    </i>
    <i r="3">
      <x v="559"/>
    </i>
    <i t="default" r="2">
      <x v="11"/>
    </i>
    <i r="2">
      <x v="73"/>
      <x v="51"/>
    </i>
    <i r="3">
      <x v="86"/>
    </i>
    <i r="3">
      <x v="141"/>
    </i>
    <i r="3">
      <x v="161"/>
    </i>
    <i r="3">
      <x v="166"/>
    </i>
    <i r="3">
      <x v="299"/>
    </i>
    <i r="3">
      <x v="337"/>
    </i>
    <i r="3">
      <x v="535"/>
    </i>
    <i t="default" r="2">
      <x v="73"/>
    </i>
    <i r="2">
      <x v="74"/>
      <x v="360"/>
    </i>
    <i r="3">
      <x v="361"/>
    </i>
    <i r="3">
      <x v="362"/>
    </i>
    <i r="3">
      <x v="363"/>
    </i>
    <i r="3">
      <x v="364"/>
    </i>
    <i r="3">
      <x v="365"/>
    </i>
    <i r="3">
      <x v="366"/>
    </i>
    <i r="3">
      <x v="367"/>
    </i>
    <i t="default" r="2">
      <x v="74"/>
    </i>
    <i t="default" r="1">
      <x v="20"/>
    </i>
    <i t="default">
      <x/>
    </i>
    <i>
      <x v="1"/>
      <x v="16"/>
      <x v="7"/>
      <x v="110"/>
    </i>
    <i r="3">
      <x v="111"/>
    </i>
    <i r="3">
      <x v="112"/>
    </i>
    <i r="3">
      <x v="113"/>
    </i>
    <i r="3">
      <x v="157"/>
    </i>
    <i r="3">
      <x v="158"/>
    </i>
    <i r="3">
      <x v="234"/>
    </i>
    <i t="default" r="2">
      <x v="7"/>
    </i>
    <i t="default" r="1">
      <x v="16"/>
    </i>
    <i t="default">
      <x v="1"/>
    </i>
    <i>
      <x v="2"/>
      <x v="19"/>
      <x/>
      <x v="2"/>
    </i>
    <i r="3">
      <x v="72"/>
    </i>
    <i r="3">
      <x v="134"/>
    </i>
    <i r="3">
      <x v="173"/>
    </i>
    <i r="3">
      <x v="187"/>
    </i>
    <i r="3">
      <x v="198"/>
    </i>
    <i r="3">
      <x v="207"/>
    </i>
    <i r="3">
      <x v="256"/>
    </i>
    <i r="3">
      <x v="417"/>
    </i>
    <i r="3">
      <x v="489"/>
    </i>
    <i r="3">
      <x v="523"/>
    </i>
    <i t="default" r="2">
      <x/>
    </i>
    <i r="2">
      <x v="42"/>
      <x v="105"/>
    </i>
    <i r="3">
      <x v="107"/>
    </i>
    <i r="3">
      <x v="108"/>
    </i>
    <i r="3">
      <x v="109"/>
    </i>
    <i r="3">
      <x v="114"/>
    </i>
    <i r="3">
      <x v="115"/>
    </i>
    <i t="default" r="2">
      <x v="42"/>
    </i>
    <i t="default" r="1">
      <x v="19"/>
    </i>
    <i t="default">
      <x v="2"/>
    </i>
    <i>
      <x v="3"/>
      <x v="6"/>
      <x v="79"/>
      <x v="5"/>
    </i>
    <i r="3">
      <x v="11"/>
    </i>
    <i r="3">
      <x v="12"/>
    </i>
    <i r="3">
      <x v="16"/>
    </i>
    <i r="3">
      <x v="17"/>
    </i>
    <i r="3">
      <x v="20"/>
    </i>
    <i r="3">
      <x v="26"/>
    </i>
    <i r="3">
      <x v="27"/>
    </i>
    <i r="3">
      <x v="31"/>
    </i>
    <i r="3">
      <x v="33"/>
    </i>
    <i r="3">
      <x v="73"/>
    </i>
    <i r="3">
      <x v="74"/>
    </i>
    <i r="3">
      <x v="78"/>
    </i>
    <i r="3">
      <x v="94"/>
    </i>
    <i r="3">
      <x v="209"/>
    </i>
    <i r="3">
      <x v="243"/>
    </i>
    <i r="3">
      <x v="246"/>
    </i>
    <i r="3">
      <x v="247"/>
    </i>
    <i r="3">
      <x v="262"/>
    </i>
    <i r="3">
      <x v="265"/>
    </i>
    <i r="3">
      <x v="279"/>
    </i>
    <i r="3">
      <x v="307"/>
    </i>
    <i r="3">
      <x v="318"/>
    </i>
    <i r="3">
      <x v="321"/>
    </i>
    <i r="3">
      <x v="343"/>
    </i>
    <i r="3">
      <x v="383"/>
    </i>
    <i r="3">
      <x v="385"/>
    </i>
    <i r="3">
      <x v="386"/>
    </i>
    <i r="3">
      <x v="387"/>
    </i>
    <i r="3">
      <x v="405"/>
    </i>
    <i r="3">
      <x v="425"/>
    </i>
    <i r="3">
      <x v="427"/>
    </i>
    <i r="3">
      <x v="446"/>
    </i>
    <i r="3">
      <x v="460"/>
    </i>
    <i r="3">
      <x v="462"/>
    </i>
    <i r="3">
      <x v="463"/>
    </i>
    <i r="3">
      <x v="464"/>
    </i>
    <i r="3">
      <x v="466"/>
    </i>
    <i r="3">
      <x v="469"/>
    </i>
    <i r="3">
      <x v="525"/>
    </i>
    <i r="3">
      <x v="534"/>
    </i>
    <i r="3">
      <x v="563"/>
    </i>
    <i t="default" r="2">
      <x v="79"/>
    </i>
    <i t="default" r="1">
      <x v="6"/>
    </i>
    <i t="default">
      <x v="3"/>
    </i>
    <i>
      <x v="4"/>
      <x/>
      <x v="6"/>
      <x v="423"/>
    </i>
    <i t="default" r="2">
      <x v="6"/>
    </i>
    <i r="2">
      <x v="12"/>
      <x v="59"/>
    </i>
    <i t="default" r="2">
      <x v="12"/>
    </i>
    <i t="default" r="1">
      <x/>
    </i>
    <i t="default">
      <x v="4"/>
    </i>
    <i>
      <x v="5"/>
      <x v="15"/>
      <x v="8"/>
      <x v="69"/>
    </i>
    <i r="3">
      <x v="195"/>
    </i>
    <i r="3">
      <x v="373"/>
    </i>
    <i t="default" r="2">
      <x v="8"/>
    </i>
    <i r="2">
      <x v="21"/>
      <x v="62"/>
    </i>
    <i r="3">
      <x v="106"/>
    </i>
    <i t="default" r="2">
      <x v="21"/>
    </i>
    <i r="2">
      <x v="23"/>
      <x v="341"/>
    </i>
    <i t="default" r="2">
      <x v="23"/>
    </i>
    <i r="2">
      <x v="41"/>
      <x v="24"/>
    </i>
    <i r="3">
      <x v="46"/>
    </i>
    <i r="3">
      <x v="75"/>
    </i>
    <i r="3">
      <x v="126"/>
    </i>
    <i r="3">
      <x v="186"/>
    </i>
    <i r="3">
      <x v="240"/>
    </i>
    <i r="3">
      <x v="248"/>
    </i>
    <i r="3">
      <x v="258"/>
    </i>
    <i r="3">
      <x v="276"/>
    </i>
    <i r="3">
      <x v="281"/>
    </i>
    <i r="3">
      <x v="282"/>
    </i>
    <i r="3">
      <x v="287"/>
    </i>
    <i r="3">
      <x v="292"/>
    </i>
    <i r="3">
      <x v="294"/>
    </i>
    <i r="3">
      <x v="295"/>
    </i>
    <i r="3">
      <x v="342"/>
    </i>
    <i r="3">
      <x v="392"/>
    </i>
    <i r="3">
      <x v="396"/>
    </i>
    <i r="3">
      <x v="412"/>
    </i>
    <i r="3">
      <x v="426"/>
    </i>
    <i r="3">
      <x v="444"/>
    </i>
    <i r="3">
      <x v="481"/>
    </i>
    <i r="3">
      <x v="482"/>
    </i>
    <i r="3">
      <x v="483"/>
    </i>
    <i r="3">
      <x v="487"/>
    </i>
    <i r="3">
      <x v="488"/>
    </i>
    <i r="3">
      <x v="490"/>
    </i>
    <i t="default" r="2">
      <x v="41"/>
    </i>
    <i r="2">
      <x v="87"/>
      <x v="235"/>
    </i>
    <i t="default" r="2">
      <x v="87"/>
    </i>
    <i t="default" r="1">
      <x v="15"/>
    </i>
    <i t="default">
      <x v="5"/>
    </i>
    <i>
      <x v="6"/>
      <x v="13"/>
      <x v="2"/>
      <x v="6"/>
    </i>
    <i r="3">
      <x v="7"/>
    </i>
    <i r="3">
      <x v="89"/>
    </i>
    <i r="3">
      <x v="275"/>
    </i>
    <i r="3">
      <x v="303"/>
    </i>
    <i r="3">
      <x v="541"/>
    </i>
    <i r="3">
      <x v="555"/>
    </i>
    <i t="default" r="2">
      <x v="2"/>
    </i>
    <i r="2">
      <x v="31"/>
      <x v="80"/>
    </i>
    <i r="3">
      <x v="414"/>
    </i>
    <i t="default" r="2">
      <x v="31"/>
    </i>
    <i r="2">
      <x v="33"/>
      <x v="213"/>
    </i>
    <i r="3">
      <x v="214"/>
    </i>
    <i t="default" r="2">
      <x v="33"/>
    </i>
    <i r="2">
      <x v="48"/>
      <x v="216"/>
    </i>
    <i r="3">
      <x v="351"/>
    </i>
    <i t="default" r="2">
      <x v="48"/>
    </i>
    <i t="default" r="1">
      <x v="13"/>
    </i>
    <i t="default">
      <x v="6"/>
    </i>
    <i>
      <x v="7"/>
      <x v="1"/>
      <x v="1"/>
      <x v="8"/>
    </i>
    <i r="3">
      <x v="203"/>
    </i>
    <i r="3">
      <x v="204"/>
    </i>
    <i r="3">
      <x v="205"/>
    </i>
    <i r="3">
      <x v="368"/>
    </i>
    <i r="3">
      <x v="369"/>
    </i>
    <i r="3">
      <x v="370"/>
    </i>
    <i r="3">
      <x v="371"/>
    </i>
    <i r="3">
      <x v="494"/>
    </i>
    <i r="3">
      <x v="495"/>
    </i>
    <i r="3">
      <x v="496"/>
    </i>
    <i r="3">
      <x v="499"/>
    </i>
    <i r="3">
      <x v="502"/>
    </i>
    <i r="3">
      <x v="503"/>
    </i>
    <i r="3">
      <x v="504"/>
    </i>
    <i r="3">
      <x v="505"/>
    </i>
    <i r="3">
      <x v="513"/>
    </i>
    <i r="3">
      <x v="514"/>
    </i>
    <i t="default" r="2">
      <x v="1"/>
    </i>
    <i t="default" r="1">
      <x v="1"/>
    </i>
    <i t="default">
      <x v="7"/>
    </i>
    <i>
      <x v="8"/>
      <x v="22"/>
      <x v="10"/>
      <x v="54"/>
    </i>
    <i r="3">
      <x v="409"/>
    </i>
    <i t="default" r="2">
      <x v="10"/>
    </i>
    <i t="default" r="1">
      <x v="22"/>
    </i>
    <i r="1">
      <x v="24"/>
      <x v="38"/>
      <x v="142"/>
    </i>
    <i t="default" r="2">
      <x v="38"/>
    </i>
    <i t="default" r="1">
      <x v="24"/>
    </i>
    <i t="default">
      <x v="8"/>
    </i>
    <i>
      <x v="9"/>
      <x v="7"/>
      <x v="64"/>
      <x v="418"/>
    </i>
    <i r="3">
      <x v="420"/>
    </i>
    <i r="3">
      <x v="421"/>
    </i>
    <i r="3">
      <x v="422"/>
    </i>
    <i r="3">
      <x v="447"/>
    </i>
    <i t="default" r="2">
      <x v="64"/>
    </i>
    <i r="2">
      <x v="81"/>
      <x v="28"/>
    </i>
    <i r="3">
      <x v="548"/>
    </i>
    <i t="default" r="2">
      <x v="81"/>
    </i>
    <i r="2">
      <x v="82"/>
      <x v="18"/>
    </i>
    <i r="3">
      <x v="21"/>
    </i>
    <i r="3">
      <x v="37"/>
    </i>
    <i r="3">
      <x v="168"/>
    </i>
    <i r="3">
      <x v="169"/>
    </i>
    <i r="3">
      <x v="185"/>
    </i>
    <i r="3">
      <x v="244"/>
    </i>
    <i r="3">
      <x v="251"/>
    </i>
    <i r="3">
      <x v="252"/>
    </i>
    <i r="3">
      <x v="304"/>
    </i>
    <i r="3">
      <x v="441"/>
    </i>
    <i r="3">
      <x v="443"/>
    </i>
    <i r="3">
      <x v="473"/>
    </i>
    <i t="default" r="2">
      <x v="82"/>
    </i>
    <i t="default" r="1">
      <x v="7"/>
    </i>
    <i t="default">
      <x v="9"/>
    </i>
    <i>
      <x v="10"/>
      <x v="8"/>
      <x v="51"/>
      <x v="116"/>
    </i>
    <i r="3">
      <x v="117"/>
    </i>
    <i r="3">
      <x v="359"/>
    </i>
    <i r="3">
      <x v="372"/>
    </i>
    <i t="default" r="2">
      <x v="51"/>
    </i>
    <i t="default" r="1">
      <x v="8"/>
    </i>
    <i t="default">
      <x v="10"/>
    </i>
    <i>
      <x v="11"/>
      <x v="2"/>
      <x v="18"/>
      <x v="104"/>
    </i>
    <i t="default" r="2">
      <x v="18"/>
    </i>
    <i t="default" r="1">
      <x v="2"/>
    </i>
    <i t="default">
      <x v="11"/>
    </i>
    <i>
      <x v="12"/>
      <x v="25"/>
      <x v="65"/>
      <x v="476"/>
    </i>
    <i t="default" r="2">
      <x v="65"/>
    </i>
    <i t="default" r="1">
      <x v="25"/>
    </i>
    <i t="default">
      <x v="12"/>
    </i>
    <i>
      <x v="13"/>
      <x v="27"/>
      <x v="76"/>
      <x v="13"/>
    </i>
    <i r="3">
      <x v="14"/>
    </i>
    <i r="3">
      <x v="15"/>
    </i>
    <i r="3">
      <x v="32"/>
    </i>
    <i r="3">
      <x v="35"/>
    </i>
    <i r="3">
      <x v="44"/>
    </i>
    <i r="3">
      <x v="45"/>
    </i>
    <i r="3">
      <x v="48"/>
    </i>
    <i r="3">
      <x v="53"/>
    </i>
    <i r="3">
      <x v="60"/>
    </i>
    <i r="3">
      <x v="77"/>
    </i>
    <i r="3">
      <x v="79"/>
    </i>
    <i r="3">
      <x v="103"/>
    </i>
    <i r="3">
      <x v="125"/>
    </i>
    <i r="3">
      <x v="135"/>
    </i>
    <i r="3">
      <x v="136"/>
    </i>
    <i r="3">
      <x v="167"/>
    </i>
    <i r="3">
      <x v="174"/>
    </i>
    <i r="3">
      <x v="188"/>
    </i>
    <i r="3">
      <x v="206"/>
    </i>
    <i r="3">
      <x v="208"/>
    </i>
    <i r="3">
      <x v="241"/>
    </i>
    <i r="3">
      <x v="242"/>
    </i>
    <i r="3">
      <x v="253"/>
    </i>
    <i r="3">
      <x v="254"/>
    </i>
    <i r="3">
      <x v="261"/>
    </i>
    <i r="3">
      <x v="269"/>
    </i>
    <i r="3">
      <x v="274"/>
    </i>
    <i r="3">
      <x v="277"/>
    </i>
    <i r="3">
      <x v="288"/>
    </i>
    <i r="3">
      <x v="308"/>
    </i>
    <i r="3">
      <x v="322"/>
    </i>
    <i r="3">
      <x v="323"/>
    </i>
    <i r="3">
      <x v="324"/>
    </i>
    <i r="3">
      <x v="344"/>
    </i>
    <i r="3">
      <x v="375"/>
    </i>
    <i r="3">
      <x v="388"/>
    </i>
    <i r="3">
      <x v="389"/>
    </i>
    <i r="3">
      <x v="391"/>
    </i>
    <i r="3">
      <x v="394"/>
    </i>
    <i r="3">
      <x v="401"/>
    </i>
    <i r="3">
      <x v="410"/>
    </i>
    <i r="3">
      <x v="415"/>
    </i>
    <i r="3">
      <x v="419"/>
    </i>
    <i r="3">
      <x v="429"/>
    </i>
    <i r="3">
      <x v="450"/>
    </i>
    <i r="3">
      <x v="451"/>
    </i>
    <i r="3">
      <x v="461"/>
    </i>
    <i r="3">
      <x v="465"/>
    </i>
    <i r="3">
      <x v="467"/>
    </i>
    <i r="3">
      <x v="468"/>
    </i>
    <i r="3">
      <x v="484"/>
    </i>
    <i r="3">
      <x v="485"/>
    </i>
    <i r="3">
      <x v="492"/>
    </i>
    <i r="3">
      <x v="493"/>
    </i>
    <i r="3">
      <x v="497"/>
    </i>
    <i r="3">
      <x v="498"/>
    </i>
    <i r="3">
      <x v="524"/>
    </i>
    <i r="3">
      <x v="530"/>
    </i>
    <i r="3">
      <x v="531"/>
    </i>
    <i r="3">
      <x v="532"/>
    </i>
    <i r="3">
      <x v="538"/>
    </i>
    <i r="3">
      <x v="539"/>
    </i>
    <i r="3">
      <x v="542"/>
    </i>
    <i r="3">
      <x v="545"/>
    </i>
    <i r="3">
      <x v="546"/>
    </i>
    <i r="3">
      <x v="547"/>
    </i>
    <i r="3">
      <x v="565"/>
    </i>
    <i t="default" r="2">
      <x v="76"/>
    </i>
    <i r="2">
      <x v="77"/>
      <x/>
    </i>
    <i r="3">
      <x v="3"/>
    </i>
    <i r="3">
      <x v="4"/>
    </i>
    <i r="3">
      <x v="10"/>
    </i>
    <i r="3">
      <x v="25"/>
    </i>
    <i r="3">
      <x v="30"/>
    </i>
    <i r="3">
      <x v="36"/>
    </i>
    <i r="3">
      <x v="43"/>
    </i>
    <i r="3">
      <x v="47"/>
    </i>
    <i r="3">
      <x v="61"/>
    </i>
    <i r="3">
      <x v="63"/>
    </i>
    <i r="3">
      <x v="87"/>
    </i>
    <i r="3">
      <x v="102"/>
    </i>
    <i r="3">
      <x v="130"/>
    </i>
    <i r="3">
      <x v="132"/>
    </i>
    <i r="3">
      <x v="133"/>
    </i>
    <i r="3">
      <x v="138"/>
    </i>
    <i r="3">
      <x v="140"/>
    </i>
    <i r="3">
      <x v="156"/>
    </i>
    <i r="3">
      <x v="165"/>
    </i>
    <i r="3">
      <x v="171"/>
    </i>
    <i r="3">
      <x v="176"/>
    </i>
    <i r="3">
      <x v="179"/>
    </i>
    <i r="3">
      <x v="180"/>
    </i>
    <i r="3">
      <x v="183"/>
    </i>
    <i r="3">
      <x v="184"/>
    </i>
    <i r="3">
      <x v="210"/>
    </i>
    <i r="3">
      <x v="249"/>
    </i>
    <i r="3">
      <x v="257"/>
    </i>
    <i r="3">
      <x v="259"/>
    </i>
    <i r="3">
      <x v="264"/>
    </i>
    <i r="3">
      <x v="278"/>
    </i>
    <i r="3">
      <x v="280"/>
    </i>
    <i r="3">
      <x v="285"/>
    </i>
    <i r="3">
      <x v="286"/>
    </i>
    <i r="3">
      <x v="289"/>
    </i>
    <i r="3">
      <x v="290"/>
    </i>
    <i r="3">
      <x v="291"/>
    </i>
    <i r="3">
      <x v="296"/>
    </i>
    <i r="3">
      <x v="317"/>
    </i>
    <i r="3">
      <x v="325"/>
    </i>
    <i r="3">
      <x v="326"/>
    </i>
    <i r="3">
      <x v="327"/>
    </i>
    <i r="3">
      <x v="328"/>
    </i>
    <i r="3">
      <x v="329"/>
    </i>
    <i r="3">
      <x v="330"/>
    </i>
    <i r="3">
      <x v="338"/>
    </i>
    <i r="3">
      <x v="340"/>
    </i>
    <i r="3">
      <x v="345"/>
    </i>
    <i r="3">
      <x v="346"/>
    </i>
    <i r="3">
      <x v="374"/>
    </i>
    <i r="3">
      <x v="390"/>
    </i>
    <i r="3">
      <x v="393"/>
    </i>
    <i r="3">
      <x v="408"/>
    </i>
    <i r="3">
      <x v="424"/>
    </i>
    <i r="3">
      <x v="428"/>
    </i>
    <i r="3">
      <x v="435"/>
    </i>
    <i r="3">
      <x v="442"/>
    </i>
    <i r="3">
      <x v="445"/>
    </i>
    <i r="3">
      <x v="472"/>
    </i>
    <i r="3">
      <x v="491"/>
    </i>
    <i r="3">
      <x v="517"/>
    </i>
    <i r="3">
      <x v="519"/>
    </i>
    <i r="3">
      <x v="529"/>
    </i>
    <i r="3">
      <x v="533"/>
    </i>
    <i r="3">
      <x v="540"/>
    </i>
    <i r="3">
      <x v="556"/>
    </i>
    <i r="3">
      <x v="560"/>
    </i>
    <i r="3">
      <x v="567"/>
    </i>
    <i t="default" r="2">
      <x v="77"/>
    </i>
    <i t="default" r="1">
      <x v="27"/>
    </i>
    <i t="default">
      <x v="13"/>
    </i>
    <i>
      <x v="14"/>
      <x v="17"/>
      <x v="17"/>
      <x v="101"/>
    </i>
    <i t="default" r="2">
      <x v="17"/>
    </i>
    <i r="2">
      <x v="22"/>
      <x v="19"/>
    </i>
    <i r="3">
      <x v="245"/>
    </i>
    <i r="3">
      <x v="250"/>
    </i>
    <i r="3">
      <x v="305"/>
    </i>
    <i r="3">
      <x v="402"/>
    </i>
    <i r="3">
      <x v="430"/>
    </i>
    <i t="default" r="2">
      <x v="22"/>
    </i>
    <i r="2">
      <x v="30"/>
      <x v="64"/>
    </i>
    <i r="3">
      <x v="65"/>
    </i>
    <i r="3">
      <x v="66"/>
    </i>
    <i r="3">
      <x v="67"/>
    </i>
    <i r="3">
      <x v="68"/>
    </i>
    <i r="3">
      <x v="70"/>
    </i>
    <i r="3">
      <x v="190"/>
    </i>
    <i r="3">
      <x v="191"/>
    </i>
    <i r="3">
      <x v="192"/>
    </i>
    <i r="3">
      <x v="193"/>
    </i>
    <i r="3">
      <x v="194"/>
    </i>
    <i r="3">
      <x v="196"/>
    </i>
    <i r="3">
      <x v="398"/>
    </i>
    <i r="3">
      <x v="399"/>
    </i>
    <i r="3">
      <x v="400"/>
    </i>
    <i r="3">
      <x v="453"/>
    </i>
    <i r="3">
      <x v="454"/>
    </i>
    <i r="3">
      <x v="455"/>
    </i>
    <i r="3">
      <x v="456"/>
    </i>
    <i r="3">
      <x v="457"/>
    </i>
    <i r="3">
      <x v="458"/>
    </i>
    <i r="3">
      <x v="459"/>
    </i>
    <i r="3">
      <x v="566"/>
    </i>
    <i t="default" r="2">
      <x v="30"/>
    </i>
    <i r="2">
      <x v="70"/>
      <x v="90"/>
    </i>
    <i r="3">
      <x v="91"/>
    </i>
    <i r="3">
      <x v="474"/>
    </i>
    <i r="3">
      <x v="500"/>
    </i>
    <i r="3">
      <x v="501"/>
    </i>
    <i r="3">
      <x v="506"/>
    </i>
    <i r="3">
      <x v="507"/>
    </i>
    <i r="3">
      <x v="508"/>
    </i>
    <i r="3">
      <x v="509"/>
    </i>
    <i r="3">
      <x v="510"/>
    </i>
    <i r="3">
      <x v="511"/>
    </i>
    <i r="3">
      <x v="512"/>
    </i>
    <i r="3">
      <x v="515"/>
    </i>
    <i t="default" r="2">
      <x v="70"/>
    </i>
    <i r="2">
      <x v="86"/>
      <x v="1"/>
    </i>
    <i r="3">
      <x v="71"/>
    </i>
    <i r="3">
      <x v="139"/>
    </i>
    <i r="3">
      <x v="172"/>
    </i>
    <i r="3">
      <x v="197"/>
    </i>
    <i r="3">
      <x v="255"/>
    </i>
    <i r="3">
      <x v="293"/>
    </i>
    <i r="3">
      <x v="384"/>
    </i>
    <i r="3">
      <x v="522"/>
    </i>
    <i r="3">
      <x v="526"/>
    </i>
    <i r="3">
      <x v="561"/>
    </i>
    <i t="default" r="2">
      <x v="86"/>
    </i>
    <i t="default" r="1">
      <x v="17"/>
    </i>
    <i t="default">
      <x v="14"/>
    </i>
    <i>
      <x v="15"/>
      <x v="14"/>
      <x v="50"/>
      <x v="355"/>
    </i>
    <i t="default" r="2">
      <x v="50"/>
    </i>
    <i t="default" r="1">
      <x v="14"/>
    </i>
    <i t="default">
      <x v="15"/>
    </i>
    <i>
      <x v="16"/>
      <x v="26"/>
      <x v="51"/>
      <x v="200"/>
    </i>
    <i r="3">
      <x v="267"/>
    </i>
    <i t="default" r="2">
      <x v="51"/>
    </i>
    <i t="default" r="1">
      <x v="26"/>
    </i>
    <i t="default">
      <x v="16"/>
    </i>
    <i>
      <x v="17"/>
      <x v="23"/>
      <x v="52"/>
      <x v="357"/>
    </i>
    <i t="default" r="2">
      <x v="52"/>
    </i>
    <i r="2">
      <x v="62"/>
      <x v="52"/>
    </i>
    <i r="3">
      <x v="128"/>
    </i>
    <i r="3">
      <x v="129"/>
    </i>
    <i r="3">
      <x v="147"/>
    </i>
    <i r="3">
      <x v="319"/>
    </i>
    <i r="3">
      <x v="436"/>
    </i>
    <i r="3">
      <x v="437"/>
    </i>
    <i r="3">
      <x v="438"/>
    </i>
    <i r="3">
      <x v="439"/>
    </i>
    <i r="3">
      <x v="452"/>
    </i>
    <i r="3">
      <x v="471"/>
    </i>
    <i r="3">
      <x v="520"/>
    </i>
    <i t="default" r="2">
      <x v="62"/>
    </i>
    <i t="default" r="1">
      <x v="23"/>
    </i>
    <i t="default">
      <x v="17"/>
    </i>
    <i>
      <x v="18"/>
      <x v="18"/>
      <x v="26"/>
      <x v="159"/>
    </i>
    <i t="default" r="2">
      <x v="26"/>
    </i>
    <i r="2">
      <x v="36"/>
      <x v="217"/>
    </i>
    <i t="default" r="2">
      <x v="36"/>
    </i>
    <i r="2">
      <x v="63"/>
      <x v="316"/>
    </i>
    <i t="default" r="2">
      <x v="63"/>
    </i>
    <i t="default" r="1">
      <x v="18"/>
    </i>
    <i t="default">
      <x v="18"/>
    </i>
    <i>
      <x v="19"/>
      <x v="21"/>
      <x v="54"/>
      <x v="76"/>
    </i>
    <i r="3">
      <x v="81"/>
    </i>
    <i r="3">
      <x v="82"/>
    </i>
    <i r="3">
      <x v="83"/>
    </i>
    <i r="3">
      <x v="99"/>
    </i>
    <i r="3">
      <x v="100"/>
    </i>
    <i r="3">
      <x v="145"/>
    </i>
    <i r="3">
      <x v="160"/>
    </i>
    <i r="3">
      <x v="199"/>
    </i>
    <i r="3">
      <x v="309"/>
    </i>
    <i r="3">
      <x v="310"/>
    </i>
    <i r="3">
      <x v="315"/>
    </i>
    <i r="3">
      <x v="378"/>
    </i>
    <i r="3">
      <x v="381"/>
    </i>
    <i r="3">
      <x v="527"/>
    </i>
    <i r="3">
      <x v="554"/>
    </i>
    <i t="default" r="2">
      <x v="54"/>
    </i>
    <i t="default" r="1">
      <x v="21"/>
    </i>
    <i t="default">
      <x v="19"/>
    </i>
    <i>
      <x v="20"/>
      <x v="4"/>
      <x v="15"/>
      <x v="143"/>
    </i>
    <i r="3">
      <x v="175"/>
    </i>
    <i r="3">
      <x v="358"/>
    </i>
    <i t="default" r="2">
      <x v="15"/>
    </i>
    <i r="2">
      <x v="61"/>
      <x v="127"/>
    </i>
    <i r="3">
      <x v="202"/>
    </i>
    <i r="3">
      <x v="215"/>
    </i>
    <i r="3">
      <x v="266"/>
    </i>
    <i r="3">
      <x v="403"/>
    </i>
    <i r="3">
      <x v="431"/>
    </i>
    <i r="3">
      <x v="432"/>
    </i>
    <i r="3">
      <x v="433"/>
    </i>
    <i r="3">
      <x v="434"/>
    </i>
    <i t="default" r="2">
      <x v="61"/>
    </i>
    <i r="2">
      <x v="68"/>
      <x v="283"/>
    </i>
    <i t="default" r="2">
      <x v="68"/>
    </i>
    <i t="default" r="1">
      <x v="4"/>
    </i>
    <i t="default">
      <x v="20"/>
    </i>
    <i>
      <x v="21"/>
      <x v="5"/>
      <x v="35"/>
      <x v="218"/>
    </i>
    <i r="3">
      <x v="219"/>
    </i>
    <i r="3">
      <x v="222"/>
    </i>
    <i r="3">
      <x v="229"/>
    </i>
    <i r="3">
      <x v="232"/>
    </i>
    <i r="3">
      <x v="233"/>
    </i>
    <i r="3">
      <x v="236"/>
    </i>
    <i r="3">
      <x v="237"/>
    </i>
    <i r="3">
      <x v="238"/>
    </i>
    <i t="default" r="2">
      <x v="35"/>
    </i>
    <i r="2">
      <x v="45"/>
      <x v="38"/>
    </i>
    <i r="3">
      <x v="41"/>
    </i>
    <i r="3">
      <x v="42"/>
    </i>
    <i r="3">
      <x v="480"/>
    </i>
    <i t="default" r="2">
      <x v="45"/>
    </i>
    <i t="default" r="1">
      <x v="5"/>
    </i>
    <i t="default">
      <x v="21"/>
    </i>
    <i>
      <x v="22"/>
      <x v="10"/>
      <x v="4"/>
      <x v="29"/>
    </i>
    <i t="default" r="2">
      <x v="4"/>
    </i>
    <i r="2">
      <x v="5"/>
      <x v="34"/>
    </i>
    <i t="default" r="2">
      <x v="5"/>
    </i>
    <i r="2">
      <x v="9"/>
      <x v="39"/>
    </i>
    <i r="3">
      <x v="40"/>
    </i>
    <i t="default" r="2">
      <x v="9"/>
    </i>
    <i r="2">
      <x v="16"/>
      <x v="97"/>
    </i>
    <i r="3">
      <x v="98"/>
    </i>
    <i t="default" r="2">
      <x v="16"/>
    </i>
    <i r="2">
      <x v="20"/>
      <x v="131"/>
    </i>
    <i t="default" r="2">
      <x v="20"/>
    </i>
    <i r="2">
      <x v="28"/>
      <x v="22"/>
    </i>
    <i r="3">
      <x v="95"/>
    </i>
    <i r="3">
      <x v="96"/>
    </i>
    <i r="3">
      <x v="153"/>
    </i>
    <i r="3">
      <x v="181"/>
    </i>
    <i r="3">
      <x v="182"/>
    </i>
    <i r="3">
      <x v="201"/>
    </i>
    <i r="3">
      <x v="228"/>
    </i>
    <i r="3">
      <x v="284"/>
    </i>
    <i r="3">
      <x v="339"/>
    </i>
    <i r="3">
      <x v="404"/>
    </i>
    <i r="3">
      <x v="411"/>
    </i>
    <i r="3">
      <x v="416"/>
    </i>
    <i r="3">
      <x v="440"/>
    </i>
    <i r="3">
      <x v="470"/>
    </i>
    <i r="3">
      <x v="486"/>
    </i>
    <i r="3">
      <x v="562"/>
    </i>
    <i t="default" r="2">
      <x v="28"/>
    </i>
    <i r="2">
      <x v="32"/>
      <x v="212"/>
    </i>
    <i t="default" r="2">
      <x v="32"/>
    </i>
    <i r="2">
      <x v="37"/>
      <x v="239"/>
    </i>
    <i t="default" r="2">
      <x v="37"/>
    </i>
    <i r="2">
      <x v="39"/>
      <x v="88"/>
    </i>
    <i r="3">
      <x v="177"/>
    </i>
    <i r="3">
      <x v="178"/>
    </i>
    <i r="3">
      <x v="268"/>
    </i>
    <i r="3">
      <x v="353"/>
    </i>
    <i r="3">
      <x v="475"/>
    </i>
    <i t="default" r="2">
      <x v="39"/>
    </i>
    <i r="2">
      <x v="40"/>
      <x v="23"/>
    </i>
    <i r="3">
      <x v="352"/>
    </i>
    <i t="default" r="2">
      <x v="40"/>
    </i>
    <i r="2">
      <x v="43"/>
      <x v="50"/>
    </i>
    <i r="3">
      <x v="297"/>
    </i>
    <i r="3">
      <x v="298"/>
    </i>
    <i r="3">
      <x v="300"/>
    </i>
    <i r="3">
      <x v="302"/>
    </i>
    <i t="default" r="2">
      <x v="43"/>
    </i>
    <i r="2">
      <x v="49"/>
      <x v="478"/>
    </i>
    <i t="default" r="2">
      <x v="49"/>
    </i>
    <i r="2">
      <x v="53"/>
      <x v="137"/>
    </i>
    <i r="3">
      <x v="144"/>
    </i>
    <i r="3">
      <x v="152"/>
    </i>
    <i r="3">
      <x v="220"/>
    </i>
    <i r="3">
      <x v="221"/>
    </i>
    <i r="3">
      <x v="223"/>
    </i>
    <i r="3">
      <x v="224"/>
    </i>
    <i r="3">
      <x v="225"/>
    </i>
    <i r="3">
      <x v="226"/>
    </i>
    <i r="3">
      <x v="227"/>
    </i>
    <i r="3">
      <x v="230"/>
    </i>
    <i r="3">
      <x v="231"/>
    </i>
    <i r="3">
      <x v="260"/>
    </i>
    <i r="3">
      <x v="263"/>
    </i>
    <i r="3">
      <x v="331"/>
    </i>
    <i r="3">
      <x v="332"/>
    </i>
    <i r="3">
      <x v="333"/>
    </i>
    <i r="3">
      <x v="334"/>
    </i>
    <i r="3">
      <x v="335"/>
    </i>
    <i r="3">
      <x v="336"/>
    </i>
    <i r="3">
      <x v="354"/>
    </i>
    <i r="3">
      <x v="395"/>
    </i>
    <i r="3">
      <x v="413"/>
    </i>
    <i t="default" r="2">
      <x v="53"/>
    </i>
    <i r="2">
      <x v="56"/>
      <x v="189"/>
    </i>
    <i r="3">
      <x v="301"/>
    </i>
    <i t="default" r="2">
      <x v="56"/>
    </i>
    <i r="2">
      <x v="59"/>
      <x v="407"/>
    </i>
    <i t="default" r="2">
      <x v="59"/>
    </i>
    <i r="2">
      <x v="60"/>
      <x v="536"/>
    </i>
    <i r="3">
      <x v="537"/>
    </i>
    <i t="default" r="2">
      <x v="60"/>
    </i>
    <i r="2">
      <x v="69"/>
      <x v="479"/>
    </i>
    <i t="default" r="2">
      <x v="69"/>
    </i>
    <i r="2">
      <x v="75"/>
      <x v="516"/>
    </i>
    <i t="default" r="2">
      <x v="75"/>
    </i>
    <i r="2">
      <x v="80"/>
      <x v="92"/>
    </i>
    <i r="3">
      <x v="93"/>
    </i>
    <i r="3">
      <x v="521"/>
    </i>
    <i t="default" r="2">
      <x v="80"/>
    </i>
    <i r="2">
      <x v="88"/>
      <x v="570"/>
    </i>
    <i t="default" r="2">
      <x v="88"/>
    </i>
    <i r="2">
      <x v="89"/>
      <x v="569"/>
    </i>
    <i t="default" r="2">
      <x v="89"/>
    </i>
    <i t="default" r="1">
      <x v="10"/>
    </i>
    <i r="1">
      <x v="11"/>
      <x v="24"/>
      <x v="49"/>
    </i>
    <i r="3">
      <x v="56"/>
    </i>
    <i r="3">
      <x v="58"/>
    </i>
    <i r="3">
      <x v="148"/>
    </i>
    <i r="3">
      <x v="149"/>
    </i>
    <i r="3">
      <x v="151"/>
    </i>
    <i r="3">
      <x v="154"/>
    </i>
    <i r="3">
      <x v="163"/>
    </i>
    <i r="3">
      <x v="164"/>
    </i>
    <i r="3">
      <x v="518"/>
    </i>
    <i r="3">
      <x v="550"/>
    </i>
    <i t="default" r="2">
      <x v="24"/>
    </i>
    <i r="2">
      <x v="25"/>
      <x v="155"/>
    </i>
    <i t="default" r="2">
      <x v="25"/>
    </i>
    <i r="2">
      <x v="46"/>
      <x v="312"/>
    </i>
    <i r="3">
      <x v="320"/>
    </i>
    <i r="3">
      <x v="380"/>
    </i>
    <i r="3">
      <x v="528"/>
    </i>
    <i t="default" r="2">
      <x v="46"/>
    </i>
    <i r="2">
      <x v="47"/>
      <x v="84"/>
    </i>
    <i r="3">
      <x v="150"/>
    </i>
    <i r="3">
      <x v="311"/>
    </i>
    <i r="3">
      <x v="376"/>
    </i>
    <i r="3">
      <x v="377"/>
    </i>
    <i r="3">
      <x v="379"/>
    </i>
    <i r="3">
      <x v="477"/>
    </i>
    <i t="default" r="2">
      <x v="47"/>
    </i>
    <i r="2">
      <x v="55"/>
      <x v="397"/>
    </i>
    <i t="default" r="2">
      <x v="55"/>
    </i>
    <i r="2">
      <x v="57"/>
      <x v="406"/>
    </i>
    <i t="default" r="2">
      <x v="57"/>
    </i>
    <i r="2">
      <x v="58"/>
      <x v="55"/>
    </i>
    <i r="3">
      <x v="270"/>
    </i>
    <i r="3">
      <x v="271"/>
    </i>
    <i r="3">
      <x v="272"/>
    </i>
    <i r="3">
      <x v="273"/>
    </i>
    <i t="default" r="2">
      <x v="58"/>
    </i>
    <i r="2">
      <x v="67"/>
      <x v="449"/>
    </i>
    <i t="default" r="2">
      <x v="67"/>
    </i>
    <i r="2">
      <x v="71"/>
      <x v="382"/>
    </i>
    <i t="default" r="2">
      <x v="71"/>
    </i>
    <i r="2">
      <x v="83"/>
      <x v="549"/>
    </i>
    <i r="3">
      <x v="551"/>
    </i>
    <i r="3">
      <x v="552"/>
    </i>
    <i t="default" r="2">
      <x v="83"/>
    </i>
    <i r="2">
      <x v="84"/>
      <x v="553"/>
    </i>
    <i t="default" r="2">
      <x v="84"/>
    </i>
    <i t="default" r="1">
      <x v="11"/>
    </i>
    <i r="1">
      <x v="12"/>
      <x v="3"/>
      <x v="9"/>
    </i>
    <i t="default" r="2">
      <x v="3"/>
    </i>
    <i r="2">
      <x v="13"/>
      <x v="146"/>
    </i>
    <i t="default" r="2">
      <x v="13"/>
    </i>
    <i r="2">
      <x v="14"/>
      <x v="85"/>
    </i>
    <i t="default" r="2">
      <x v="14"/>
    </i>
    <i r="2">
      <x v="27"/>
      <x v="57"/>
    </i>
    <i r="3">
      <x v="162"/>
    </i>
    <i t="default" r="2">
      <x v="27"/>
    </i>
    <i r="2">
      <x v="34"/>
      <x v="211"/>
    </i>
    <i r="3">
      <x v="564"/>
    </i>
    <i t="default" r="2">
      <x v="34"/>
    </i>
    <i t="default" r="1">
      <x v="12"/>
    </i>
    <i t="default">
      <x v="22"/>
    </i>
    <i>
      <x v="23"/>
      <x v="3"/>
      <x v="19"/>
      <x v="118"/>
    </i>
    <i r="3">
      <x v="119"/>
    </i>
    <i r="3">
      <x v="120"/>
    </i>
    <i r="3">
      <x v="121"/>
    </i>
    <i r="3">
      <x v="122"/>
    </i>
    <i r="3">
      <x v="123"/>
    </i>
    <i r="3">
      <x v="124"/>
    </i>
    <i t="default" r="2">
      <x v="19"/>
    </i>
    <i t="default" r="1">
      <x v="3"/>
    </i>
    <i r="1">
      <x v="9"/>
      <x v="44"/>
      <x v="306"/>
    </i>
    <i t="default" r="2">
      <x v="44"/>
    </i>
    <i t="default" r="1">
      <x v="9"/>
    </i>
    <i r="1">
      <x v="22"/>
      <x v="29"/>
      <x v="170"/>
    </i>
    <i t="default" r="2">
      <x v="29"/>
    </i>
    <i r="2">
      <x v="66"/>
      <x v="448"/>
    </i>
    <i t="default" r="2">
      <x v="66"/>
    </i>
    <i r="2">
      <x v="72"/>
      <x v="313"/>
    </i>
    <i r="3">
      <x v="356"/>
    </i>
    <i t="default" r="2">
      <x v="72"/>
    </i>
    <i t="default" r="1">
      <x v="22"/>
    </i>
    <i t="default">
      <x v="23"/>
    </i>
    <i t="grand">
      <x/>
    </i>
  </rowItems>
  <colFields count="1">
    <field x="-2"/>
  </colFields>
  <colItems count="4">
    <i>
      <x/>
    </i>
    <i i="1">
      <x v="1"/>
    </i>
    <i i="2">
      <x v="2"/>
    </i>
    <i i="3">
      <x v="3"/>
    </i>
  </colItems>
  <dataFields count="4">
    <dataField name="Sum of Dr. Final 23-24" fld="6" baseField="0" baseItem="0"/>
    <dataField name="Sum of Cr. Final 23-24" fld="9" baseField="0" baseItem="0"/>
    <dataField name="Sum of Dr. Final 22-23" fld="12" baseField="0" baseItem="0"/>
    <dataField name="Sum of Cr. Final 22-23" fld="15" baseField="0" baseItem="0"/>
  </dataFields>
  <formats count="261">
    <format dxfId="266">
      <pivotArea outline="0" collapsedLevelsAreSubtotals="1" fieldPosition="0"/>
    </format>
    <format dxfId="265">
      <pivotArea outline="0" fieldPosition="0">
        <references count="3">
          <reference field="1" count="1" selected="0">
            <x v="2"/>
          </reference>
          <reference field="2" count="1" selected="0">
            <x v="19"/>
          </reference>
          <reference field="3" count="1" selected="0" defaultSubtotal="1">
            <x v="0"/>
          </reference>
        </references>
      </pivotArea>
    </format>
    <format dxfId="264">
      <pivotArea outline="0" fieldPosition="0">
        <references count="2">
          <reference field="1" count="1" selected="0">
            <x v="1"/>
          </reference>
          <reference field="2" count="1" selected="0" defaultSubtotal="1">
            <x v="16"/>
          </reference>
        </references>
      </pivotArea>
    </format>
    <format dxfId="263">
      <pivotArea outline="0" fieldPosition="0">
        <references count="3">
          <reference field="1" count="1" selected="0">
            <x v="2"/>
          </reference>
          <reference field="2" count="1" selected="0">
            <x v="19"/>
          </reference>
          <reference field="3" count="1" selected="0" defaultSubtotal="1">
            <x v="8"/>
          </reference>
        </references>
      </pivotArea>
    </format>
    <format dxfId="262">
      <pivotArea outline="0" fieldPosition="0">
        <references count="3">
          <reference field="1" count="1" selected="0">
            <x v="2"/>
          </reference>
          <reference field="2" count="1" selected="0">
            <x v="19"/>
          </reference>
          <reference field="3" count="1" selected="0" defaultSubtotal="1">
            <x v="42"/>
          </reference>
        </references>
      </pivotArea>
    </format>
    <format dxfId="261">
      <pivotArea outline="0" fieldPosition="0">
        <references count="3">
          <reference field="1" count="1" selected="0">
            <x v="3"/>
          </reference>
          <reference field="2" count="1" selected="0">
            <x v="6"/>
          </reference>
          <reference field="3" count="1" selected="0" defaultSubtotal="1">
            <x v="79"/>
          </reference>
        </references>
      </pivotArea>
    </format>
    <format dxfId="260">
      <pivotArea outline="0" fieldPosition="0">
        <references count="3">
          <reference field="1" count="1" selected="0">
            <x v="0"/>
          </reference>
          <reference field="2" count="1" selected="0">
            <x v="20"/>
          </reference>
          <reference field="3" count="1" selected="0" defaultSubtotal="1">
            <x v="73"/>
          </reference>
        </references>
      </pivotArea>
    </format>
    <format dxfId="259">
      <pivotArea outline="0" fieldPosition="0">
        <references count="3">
          <reference field="1" count="1" selected="0">
            <x v="4"/>
          </reference>
          <reference field="2" count="1" selected="0">
            <x v="0"/>
          </reference>
          <reference field="3" count="1" selected="0" defaultSubtotal="1">
            <x v="6"/>
          </reference>
        </references>
      </pivotArea>
    </format>
    <format dxfId="258">
      <pivotArea outline="0" fieldPosition="0">
        <references count="3">
          <reference field="1" count="1" selected="0">
            <x v="4"/>
          </reference>
          <reference field="2" count="1" selected="0">
            <x v="0"/>
          </reference>
          <reference field="3" count="1" selected="0" defaultSubtotal="1">
            <x v="12"/>
          </reference>
        </references>
      </pivotArea>
    </format>
    <format dxfId="257">
      <pivotArea outline="0" fieldPosition="0">
        <references count="3">
          <reference field="1" count="1" selected="0">
            <x v="5"/>
          </reference>
          <reference field="2" count="1" selected="0">
            <x v="15"/>
          </reference>
          <reference field="3" count="1" selected="0" defaultSubtotal="1">
            <x v="41"/>
          </reference>
        </references>
      </pivotArea>
    </format>
    <format dxfId="256">
      <pivotArea outline="0" fieldPosition="0">
        <references count="3">
          <reference field="1" count="1" selected="0">
            <x v="6"/>
          </reference>
          <reference field="2" count="1" selected="0">
            <x v="13"/>
          </reference>
          <reference field="3" count="1" selected="0" defaultSubtotal="1">
            <x v="48"/>
          </reference>
        </references>
      </pivotArea>
    </format>
    <format dxfId="255">
      <pivotArea outline="0" fieldPosition="0">
        <references count="3">
          <reference field="1" count="1" selected="0">
            <x v="6"/>
          </reference>
          <reference field="2" count="1" selected="0">
            <x v="13"/>
          </reference>
          <reference field="3" count="1" selected="0" defaultSubtotal="1">
            <x v="33"/>
          </reference>
        </references>
      </pivotArea>
    </format>
    <format dxfId="254">
      <pivotArea outline="0" fieldPosition="0">
        <references count="3">
          <reference field="1" count="1" selected="0">
            <x v="7"/>
          </reference>
          <reference field="2" count="1" selected="0">
            <x v="1"/>
          </reference>
          <reference field="3" count="1" selected="0" defaultSubtotal="1">
            <x v="1"/>
          </reference>
        </references>
      </pivotArea>
    </format>
    <format dxfId="253">
      <pivotArea outline="0" fieldPosition="0">
        <references count="3">
          <reference field="1" count="1" selected="0">
            <x v="9"/>
          </reference>
          <reference field="2" count="1" selected="0">
            <x v="7"/>
          </reference>
          <reference field="3" count="1" selected="0" defaultSubtotal="1">
            <x v="64"/>
          </reference>
        </references>
      </pivotArea>
    </format>
    <format dxfId="252">
      <pivotArea outline="0" fieldPosition="0">
        <references count="3">
          <reference field="1" count="1" selected="0">
            <x v="9"/>
          </reference>
          <reference field="2" count="1" selected="0">
            <x v="7"/>
          </reference>
          <reference field="3" count="1" selected="0" defaultSubtotal="1">
            <x v="81"/>
          </reference>
        </references>
      </pivotArea>
    </format>
    <format dxfId="251">
      <pivotArea outline="0" fieldPosition="0">
        <references count="3">
          <reference field="1" count="1" selected="0">
            <x v="10"/>
          </reference>
          <reference field="2" count="1" selected="0">
            <x v="8"/>
          </reference>
          <reference field="3" count="1" selected="0" defaultSubtotal="1">
            <x v="51"/>
          </reference>
        </references>
      </pivotArea>
    </format>
    <format dxfId="250">
      <pivotArea outline="0" fieldPosition="0">
        <references count="2">
          <reference field="1" count="1" selected="0">
            <x v="11"/>
          </reference>
          <reference field="2" count="1" selected="0" defaultSubtotal="1">
            <x v="2"/>
          </reference>
        </references>
      </pivotArea>
    </format>
    <format dxfId="249">
      <pivotArea outline="0" fieldPosition="0">
        <references count="2">
          <reference field="1" count="1" selected="0">
            <x v="12"/>
          </reference>
          <reference field="2" count="1" selected="0" defaultSubtotal="1">
            <x v="25"/>
          </reference>
        </references>
      </pivotArea>
    </format>
    <format dxfId="248">
      <pivotArea outline="0" fieldPosition="0">
        <references count="3">
          <reference field="1" count="1" selected="0">
            <x v="13"/>
          </reference>
          <reference field="2" count="1" selected="0">
            <x v="27"/>
          </reference>
          <reference field="3" count="1" selected="0" defaultSubtotal="1">
            <x v="77"/>
          </reference>
        </references>
      </pivotArea>
    </format>
    <format dxfId="247">
      <pivotArea outline="0" fieldPosition="0">
        <references count="2">
          <reference field="1" count="1" selected="0">
            <x v="13"/>
          </reference>
          <reference field="2" count="1" selected="0" defaultSubtotal="1">
            <x v="27"/>
          </reference>
        </references>
      </pivotArea>
    </format>
    <format dxfId="246">
      <pivotArea outline="0" fieldPosition="0">
        <references count="3">
          <reference field="1" count="1" selected="0">
            <x v="14"/>
          </reference>
          <reference field="2" count="1" selected="0">
            <x v="17"/>
          </reference>
          <reference field="3" count="1" selected="0" defaultSubtotal="1">
            <x v="22"/>
          </reference>
        </references>
      </pivotArea>
    </format>
    <format dxfId="245">
      <pivotArea outline="0" fieldPosition="0">
        <references count="3">
          <reference field="1" count="1" selected="0">
            <x v="15"/>
          </reference>
          <reference field="2" count="1" selected="0">
            <x v="14"/>
          </reference>
          <reference field="3" count="1" selected="0" defaultSubtotal="1">
            <x v="70"/>
          </reference>
        </references>
      </pivotArea>
    </format>
    <format dxfId="244">
      <pivotArea outline="0" fieldPosition="0">
        <references count="3">
          <reference field="1" count="1" selected="0">
            <x v="16"/>
          </reference>
          <reference field="2" count="1" selected="0">
            <x v="26"/>
          </reference>
          <reference field="3" count="1" selected="0" defaultSubtotal="1">
            <x v="51"/>
          </reference>
        </references>
      </pivotArea>
    </format>
    <format dxfId="243">
      <pivotArea outline="0" fieldPosition="0">
        <references count="3">
          <reference field="1" count="1" selected="0">
            <x v="17"/>
          </reference>
          <reference field="2" count="1" selected="0">
            <x v="23"/>
          </reference>
          <reference field="3" count="1" selected="0" defaultSubtotal="1">
            <x v="52"/>
          </reference>
        </references>
      </pivotArea>
    </format>
    <format dxfId="242">
      <pivotArea outline="0" fieldPosition="0">
        <references count="3">
          <reference field="1" count="1" selected="0">
            <x v="18"/>
          </reference>
          <reference field="2" count="1" selected="0">
            <x v="18"/>
          </reference>
          <reference field="3" count="1" selected="0" defaultSubtotal="1">
            <x v="26"/>
          </reference>
        </references>
      </pivotArea>
    </format>
    <format dxfId="241">
      <pivotArea outline="0" fieldPosition="0">
        <references count="3">
          <reference field="1" count="1" selected="0">
            <x v="18"/>
          </reference>
          <reference field="2" count="1" selected="0">
            <x v="18"/>
          </reference>
          <reference field="3" count="1" selected="0" defaultSubtotal="1">
            <x v="63"/>
          </reference>
        </references>
      </pivotArea>
    </format>
    <format dxfId="240">
      <pivotArea outline="0" fieldPosition="0">
        <references count="3">
          <reference field="1" count="1" selected="0">
            <x v="23"/>
          </reference>
          <reference field="2" count="1" selected="0">
            <x v="9"/>
          </reference>
          <reference field="3" count="1" selected="0" defaultSubtotal="1">
            <x v="44"/>
          </reference>
        </references>
      </pivotArea>
    </format>
    <format dxfId="239">
      <pivotArea outline="0" fieldPosition="0">
        <references count="3">
          <reference field="1" count="1" selected="0">
            <x v="19"/>
          </reference>
          <reference field="2" count="1" selected="0">
            <x v="21"/>
          </reference>
          <reference field="3" count="1" selected="0" defaultSubtotal="1">
            <x v="54"/>
          </reference>
        </references>
      </pivotArea>
    </format>
    <format dxfId="238">
      <pivotArea outline="0" fieldPosition="0">
        <references count="3">
          <reference field="1" count="1" selected="0">
            <x v="20"/>
          </reference>
          <reference field="2" count="1" selected="0">
            <x v="4"/>
          </reference>
          <reference field="3" count="1" selected="0" defaultSubtotal="1">
            <x v="15"/>
          </reference>
        </references>
      </pivotArea>
    </format>
    <format dxfId="237">
      <pivotArea outline="0" fieldPosition="0">
        <references count="3">
          <reference field="1" count="1" selected="0">
            <x v="21"/>
          </reference>
          <reference field="2" count="1" selected="0">
            <x v="5"/>
          </reference>
          <reference field="3" count="1" selected="0" defaultSubtotal="1">
            <x v="35"/>
          </reference>
        </references>
      </pivotArea>
    </format>
    <format dxfId="236">
      <pivotArea outline="0" fieldPosition="0">
        <references count="3">
          <reference field="1" count="1" selected="0">
            <x v="22"/>
          </reference>
          <reference field="2" count="1" selected="0">
            <x v="11"/>
          </reference>
          <reference field="3" count="1" selected="0" defaultSubtotal="1">
            <x v="24"/>
          </reference>
        </references>
      </pivotArea>
    </format>
    <format dxfId="235">
      <pivotArea outline="0" fieldPosition="0">
        <references count="3">
          <reference field="1" count="1" selected="0">
            <x v="22"/>
          </reference>
          <reference field="2" count="1" selected="0">
            <x v="11"/>
          </reference>
          <reference field="3" count="1" selected="0" defaultSubtotal="1">
            <x v="46"/>
          </reference>
        </references>
      </pivotArea>
    </format>
    <format dxfId="234">
      <pivotArea outline="0" fieldPosition="0">
        <references count="3">
          <reference field="1" count="1" selected="0">
            <x v="22"/>
          </reference>
          <reference field="2" count="1" selected="0">
            <x v="11"/>
          </reference>
          <reference field="3" count="1" selected="0" defaultSubtotal="1">
            <x v="57"/>
          </reference>
        </references>
      </pivotArea>
    </format>
    <format dxfId="233">
      <pivotArea outline="0" fieldPosition="0">
        <references count="3">
          <reference field="1" count="1" selected="0">
            <x v="22"/>
          </reference>
          <reference field="2" count="1" selected="0">
            <x v="11"/>
          </reference>
          <reference field="3" count="1" selected="0" defaultSubtotal="1">
            <x v="67"/>
          </reference>
        </references>
      </pivotArea>
    </format>
    <format dxfId="232">
      <pivotArea outline="0" fieldPosition="0">
        <references count="3">
          <reference field="1" count="1" selected="0">
            <x v="22"/>
          </reference>
          <reference field="2" count="1" selected="0">
            <x v="11"/>
          </reference>
          <reference field="3" count="1" selected="0" defaultSubtotal="1">
            <x v="71"/>
          </reference>
        </references>
      </pivotArea>
    </format>
    <format dxfId="231">
      <pivotArea outline="0" fieldPosition="0">
        <references count="3">
          <reference field="1" count="1" selected="0">
            <x v="22"/>
          </reference>
          <reference field="2" count="1" selected="0">
            <x v="11"/>
          </reference>
          <reference field="3" count="1" selected="0" defaultSubtotal="1">
            <x v="83"/>
          </reference>
        </references>
      </pivotArea>
    </format>
    <format dxfId="230">
      <pivotArea outline="0" fieldPosition="0">
        <references count="3">
          <reference field="1" count="1" selected="0">
            <x v="22"/>
          </reference>
          <reference field="2" count="1" selected="0">
            <x v="10"/>
          </reference>
          <reference field="3" count="1" selected="0" defaultSubtotal="1">
            <x v="4"/>
          </reference>
        </references>
      </pivotArea>
    </format>
    <format dxfId="229">
      <pivotArea outline="0" fieldPosition="0">
        <references count="3">
          <reference field="1" count="1" selected="0">
            <x v="22"/>
          </reference>
          <reference field="2" count="1" selected="0">
            <x v="10"/>
          </reference>
          <reference field="3" count="1" selected="0" defaultSubtotal="1">
            <x v="9"/>
          </reference>
        </references>
      </pivotArea>
    </format>
    <format dxfId="228">
      <pivotArea outline="0" fieldPosition="0">
        <references count="3">
          <reference field="1" count="1" selected="0">
            <x v="22"/>
          </reference>
          <reference field="2" count="1" selected="0">
            <x v="10"/>
          </reference>
          <reference field="3" count="1" selected="0" defaultSubtotal="1">
            <x v="5"/>
          </reference>
        </references>
      </pivotArea>
    </format>
    <format dxfId="227">
      <pivotArea outline="0" fieldPosition="0">
        <references count="3">
          <reference field="1" count="1" selected="0">
            <x v="22"/>
          </reference>
          <reference field="2" count="1" selected="0">
            <x v="10"/>
          </reference>
          <reference field="3" count="1" selected="0" defaultSubtotal="1">
            <x v="16"/>
          </reference>
        </references>
      </pivotArea>
    </format>
    <format dxfId="226">
      <pivotArea outline="0" fieldPosition="0">
        <references count="3">
          <reference field="1" count="1" selected="0">
            <x v="22"/>
          </reference>
          <reference field="2" count="1" selected="0">
            <x v="10"/>
          </reference>
          <reference field="3" count="1" selected="0" defaultSubtotal="1">
            <x v="28"/>
          </reference>
        </references>
      </pivotArea>
    </format>
    <format dxfId="225">
      <pivotArea outline="0" fieldPosition="0">
        <references count="3">
          <reference field="1" count="1" selected="0">
            <x v="22"/>
          </reference>
          <reference field="2" count="1" selected="0">
            <x v="10"/>
          </reference>
          <reference field="3" count="1" selected="0" defaultSubtotal="1">
            <x v="32"/>
          </reference>
        </references>
      </pivotArea>
    </format>
    <format dxfId="224">
      <pivotArea outline="0" fieldPosition="0">
        <references count="3">
          <reference field="1" count="1" selected="0">
            <x v="22"/>
          </reference>
          <reference field="2" count="1" selected="0">
            <x v="10"/>
          </reference>
          <reference field="3" count="1" selected="0" defaultSubtotal="1">
            <x v="39"/>
          </reference>
        </references>
      </pivotArea>
    </format>
    <format dxfId="223">
      <pivotArea outline="0" fieldPosition="0">
        <references count="3">
          <reference field="1" count="1" selected="0">
            <x v="22"/>
          </reference>
          <reference field="2" count="1" selected="0">
            <x v="10"/>
          </reference>
          <reference field="3" count="1" selected="0" defaultSubtotal="1">
            <x v="40"/>
          </reference>
        </references>
      </pivotArea>
    </format>
    <format dxfId="222">
      <pivotArea outline="0" fieldPosition="0">
        <references count="3">
          <reference field="1" count="1" selected="0">
            <x v="22"/>
          </reference>
          <reference field="2" count="1" selected="0">
            <x v="10"/>
          </reference>
          <reference field="3" count="1" selected="0" defaultSubtotal="1">
            <x v="53"/>
          </reference>
        </references>
      </pivotArea>
    </format>
    <format dxfId="221">
      <pivotArea outline="0" fieldPosition="0">
        <references count="3">
          <reference field="1" count="1" selected="0">
            <x v="22"/>
          </reference>
          <reference field="2" count="1" selected="0">
            <x v="10"/>
          </reference>
          <reference field="3" count="1" selected="0" defaultSubtotal="1">
            <x v="49"/>
          </reference>
        </references>
      </pivotArea>
    </format>
    <format dxfId="220">
      <pivotArea outline="0" fieldPosition="0">
        <references count="3">
          <reference field="1" count="1" selected="0">
            <x v="22"/>
          </reference>
          <reference field="2" count="1" selected="0">
            <x v="10"/>
          </reference>
          <reference field="3" count="1" selected="0" defaultSubtotal="1">
            <x v="43"/>
          </reference>
        </references>
      </pivotArea>
    </format>
    <format dxfId="219">
      <pivotArea outline="0" fieldPosition="0">
        <references count="3">
          <reference field="1" count="1" selected="0">
            <x v="22"/>
          </reference>
          <reference field="2" count="1" selected="0">
            <x v="10"/>
          </reference>
          <reference field="3" count="1" selected="0" defaultSubtotal="1">
            <x v="59"/>
          </reference>
        </references>
      </pivotArea>
    </format>
    <format dxfId="218">
      <pivotArea outline="0" fieldPosition="0">
        <references count="4">
          <reference field="0" count="1" selected="0">
            <x v="537"/>
          </reference>
          <reference field="1" count="1" selected="0">
            <x v="22"/>
          </reference>
          <reference field="2" count="1" selected="0">
            <x v="10"/>
          </reference>
          <reference field="3" count="1" selected="0">
            <x v="60"/>
          </reference>
        </references>
      </pivotArea>
    </format>
    <format dxfId="217">
      <pivotArea outline="0" fieldPosition="0">
        <references count="3">
          <reference field="1" count="1" selected="0">
            <x v="22"/>
          </reference>
          <reference field="2" count="1" selected="0">
            <x v="10"/>
          </reference>
          <reference field="3" count="1" selected="0" defaultSubtotal="1">
            <x v="75"/>
          </reference>
        </references>
      </pivotArea>
    </format>
    <format dxfId="216">
      <pivotArea outline="0" fieldPosition="0">
        <references count="3">
          <reference field="1" count="1" selected="0">
            <x v="22"/>
          </reference>
          <reference field="2" count="1" selected="0">
            <x v="10"/>
          </reference>
          <reference field="3" count="1" selected="0" defaultSubtotal="1">
            <x v="80"/>
          </reference>
        </references>
      </pivotArea>
    </format>
    <format dxfId="215">
      <pivotArea outline="0" fieldPosition="0">
        <references count="3">
          <reference field="1" count="1" selected="0">
            <x v="22"/>
          </reference>
          <reference field="2" count="1" selected="0">
            <x v="12"/>
          </reference>
          <reference field="3" count="1" selected="0" defaultSubtotal="1">
            <x v="3"/>
          </reference>
        </references>
      </pivotArea>
    </format>
    <format dxfId="214">
      <pivotArea outline="0" fieldPosition="0">
        <references count="3">
          <reference field="1" count="1" selected="0">
            <x v="15"/>
          </reference>
          <reference field="2" count="1" selected="0">
            <x v="14"/>
          </reference>
          <reference field="3" count="1" selected="0" defaultSubtotal="1">
            <x v="30"/>
          </reference>
        </references>
      </pivotArea>
    </format>
    <format dxfId="213">
      <pivotArea outline="0" fieldPosition="0">
        <references count="1">
          <reference field="4294967294" count="2" selected="0">
            <x v="0"/>
            <x v="1"/>
          </reference>
        </references>
      </pivotArea>
    </format>
    <format dxfId="212">
      <pivotArea field="1" type="button" dataOnly="0" labelOnly="1" outline="0" axis="axisRow" fieldPosition="0"/>
    </format>
    <format dxfId="211">
      <pivotArea field="2" type="button" dataOnly="0" labelOnly="1" outline="0" axis="axisRow" fieldPosition="1"/>
    </format>
    <format dxfId="210">
      <pivotArea field="3" type="button" dataOnly="0" labelOnly="1" outline="0" axis="axisRow" fieldPosition="2"/>
    </format>
    <format dxfId="209">
      <pivotArea field="0" type="button" dataOnly="0" labelOnly="1" outline="0" axis="axisRow" fieldPosition="3"/>
    </format>
    <format dxfId="208">
      <pivotArea dataOnly="0" labelOnly="1" outline="0" fieldPosition="0">
        <references count="1">
          <reference field="1" count="0"/>
        </references>
      </pivotArea>
    </format>
    <format dxfId="207">
      <pivotArea dataOnly="0" labelOnly="1" outline="0" fieldPosition="0">
        <references count="1">
          <reference field="1" count="0" defaultSubtotal="1"/>
        </references>
      </pivotArea>
    </format>
    <format dxfId="206">
      <pivotArea dataOnly="0" labelOnly="1" grandRow="1" outline="0" fieldPosition="0"/>
    </format>
    <format dxfId="205">
      <pivotArea dataOnly="0" labelOnly="1" outline="0" fieldPosition="0">
        <references count="2">
          <reference field="1" count="1" selected="0">
            <x v="0"/>
          </reference>
          <reference field="2" count="1">
            <x v="20"/>
          </reference>
        </references>
      </pivotArea>
    </format>
    <format dxfId="204">
      <pivotArea dataOnly="0" labelOnly="1" outline="0" fieldPosition="0">
        <references count="2">
          <reference field="1" count="1" selected="0">
            <x v="0"/>
          </reference>
          <reference field="2" count="1" defaultSubtotal="1">
            <x v="20"/>
          </reference>
        </references>
      </pivotArea>
    </format>
    <format dxfId="203">
      <pivotArea dataOnly="0" labelOnly="1" outline="0" fieldPosition="0">
        <references count="2">
          <reference field="1" count="1" selected="0">
            <x v="1"/>
          </reference>
          <reference field="2" count="1">
            <x v="16"/>
          </reference>
        </references>
      </pivotArea>
    </format>
    <format dxfId="202">
      <pivotArea dataOnly="0" labelOnly="1" outline="0" fieldPosition="0">
        <references count="2">
          <reference field="1" count="1" selected="0">
            <x v="1"/>
          </reference>
          <reference field="2" count="1" defaultSubtotal="1">
            <x v="16"/>
          </reference>
        </references>
      </pivotArea>
    </format>
    <format dxfId="201">
      <pivotArea dataOnly="0" labelOnly="1" outline="0" fieldPosition="0">
        <references count="2">
          <reference field="1" count="1" selected="0">
            <x v="2"/>
          </reference>
          <reference field="2" count="1">
            <x v="19"/>
          </reference>
        </references>
      </pivotArea>
    </format>
    <format dxfId="200">
      <pivotArea dataOnly="0" labelOnly="1" outline="0" fieldPosition="0">
        <references count="2">
          <reference field="1" count="1" selected="0">
            <x v="2"/>
          </reference>
          <reference field="2" count="1" defaultSubtotal="1">
            <x v="19"/>
          </reference>
        </references>
      </pivotArea>
    </format>
    <format dxfId="199">
      <pivotArea dataOnly="0" labelOnly="1" outline="0" fieldPosition="0">
        <references count="2">
          <reference field="1" count="1" selected="0">
            <x v="3"/>
          </reference>
          <reference field="2" count="1">
            <x v="6"/>
          </reference>
        </references>
      </pivotArea>
    </format>
    <format dxfId="198">
      <pivotArea dataOnly="0" labelOnly="1" outline="0" fieldPosition="0">
        <references count="2">
          <reference field="1" count="1" selected="0">
            <x v="3"/>
          </reference>
          <reference field="2" count="1" defaultSubtotal="1">
            <x v="6"/>
          </reference>
        </references>
      </pivotArea>
    </format>
    <format dxfId="197">
      <pivotArea dataOnly="0" labelOnly="1" outline="0" fieldPosition="0">
        <references count="2">
          <reference field="1" count="1" selected="0">
            <x v="4"/>
          </reference>
          <reference field="2" count="1">
            <x v="0"/>
          </reference>
        </references>
      </pivotArea>
    </format>
    <format dxfId="196">
      <pivotArea dataOnly="0" labelOnly="1" outline="0" fieldPosition="0">
        <references count="2">
          <reference field="1" count="1" selected="0">
            <x v="4"/>
          </reference>
          <reference field="2" count="1" defaultSubtotal="1">
            <x v="0"/>
          </reference>
        </references>
      </pivotArea>
    </format>
    <format dxfId="195">
      <pivotArea dataOnly="0" labelOnly="1" outline="0" fieldPosition="0">
        <references count="2">
          <reference field="1" count="1" selected="0">
            <x v="5"/>
          </reference>
          <reference field="2" count="1">
            <x v="15"/>
          </reference>
        </references>
      </pivotArea>
    </format>
    <format dxfId="194">
      <pivotArea dataOnly="0" labelOnly="1" outline="0" fieldPosition="0">
        <references count="2">
          <reference field="1" count="1" selected="0">
            <x v="5"/>
          </reference>
          <reference field="2" count="1" defaultSubtotal="1">
            <x v="15"/>
          </reference>
        </references>
      </pivotArea>
    </format>
    <format dxfId="193">
      <pivotArea dataOnly="0" labelOnly="1" outline="0" fieldPosition="0">
        <references count="2">
          <reference field="1" count="1" selected="0">
            <x v="6"/>
          </reference>
          <reference field="2" count="1">
            <x v="13"/>
          </reference>
        </references>
      </pivotArea>
    </format>
    <format dxfId="192">
      <pivotArea dataOnly="0" labelOnly="1" outline="0" fieldPosition="0">
        <references count="2">
          <reference field="1" count="1" selected="0">
            <x v="6"/>
          </reference>
          <reference field="2" count="1" defaultSubtotal="1">
            <x v="13"/>
          </reference>
        </references>
      </pivotArea>
    </format>
    <format dxfId="191">
      <pivotArea dataOnly="0" labelOnly="1" outline="0" fieldPosition="0">
        <references count="2">
          <reference field="1" count="1" selected="0">
            <x v="7"/>
          </reference>
          <reference field="2" count="1">
            <x v="1"/>
          </reference>
        </references>
      </pivotArea>
    </format>
    <format dxfId="190">
      <pivotArea dataOnly="0" labelOnly="1" outline="0" fieldPosition="0">
        <references count="2">
          <reference field="1" count="1" selected="0">
            <x v="7"/>
          </reference>
          <reference field="2" count="1" defaultSubtotal="1">
            <x v="1"/>
          </reference>
        </references>
      </pivotArea>
    </format>
    <format dxfId="189">
      <pivotArea dataOnly="0" labelOnly="1" outline="0" fieldPosition="0">
        <references count="2">
          <reference field="1" count="1" selected="0">
            <x v="8"/>
          </reference>
          <reference field="2" count="2">
            <x v="22"/>
            <x v="24"/>
          </reference>
        </references>
      </pivotArea>
    </format>
    <format dxfId="188">
      <pivotArea dataOnly="0" labelOnly="1" outline="0" fieldPosition="0">
        <references count="2">
          <reference field="1" count="1" selected="0">
            <x v="8"/>
          </reference>
          <reference field="2" count="2" defaultSubtotal="1">
            <x v="22"/>
            <x v="24"/>
          </reference>
        </references>
      </pivotArea>
    </format>
    <format dxfId="187">
      <pivotArea dataOnly="0" labelOnly="1" outline="0" fieldPosition="0">
        <references count="2">
          <reference field="1" count="1" selected="0">
            <x v="9"/>
          </reference>
          <reference field="2" count="1">
            <x v="7"/>
          </reference>
        </references>
      </pivotArea>
    </format>
    <format dxfId="186">
      <pivotArea dataOnly="0" labelOnly="1" outline="0" fieldPosition="0">
        <references count="2">
          <reference field="1" count="1" selected="0">
            <x v="9"/>
          </reference>
          <reference field="2" count="1" defaultSubtotal="1">
            <x v="7"/>
          </reference>
        </references>
      </pivotArea>
    </format>
    <format dxfId="185">
      <pivotArea dataOnly="0" labelOnly="1" outline="0" fieldPosition="0">
        <references count="2">
          <reference field="1" count="1" selected="0">
            <x v="10"/>
          </reference>
          <reference field="2" count="1">
            <x v="8"/>
          </reference>
        </references>
      </pivotArea>
    </format>
    <format dxfId="184">
      <pivotArea dataOnly="0" labelOnly="1" outline="0" fieldPosition="0">
        <references count="2">
          <reference field="1" count="1" selected="0">
            <x v="10"/>
          </reference>
          <reference field="2" count="1" defaultSubtotal="1">
            <x v="8"/>
          </reference>
        </references>
      </pivotArea>
    </format>
    <format dxfId="183">
      <pivotArea dataOnly="0" labelOnly="1" outline="0" fieldPosition="0">
        <references count="2">
          <reference field="1" count="1" selected="0">
            <x v="11"/>
          </reference>
          <reference field="2" count="1">
            <x v="2"/>
          </reference>
        </references>
      </pivotArea>
    </format>
    <format dxfId="182">
      <pivotArea dataOnly="0" labelOnly="1" outline="0" fieldPosition="0">
        <references count="2">
          <reference field="1" count="1" selected="0">
            <x v="11"/>
          </reference>
          <reference field="2" count="1" defaultSubtotal="1">
            <x v="2"/>
          </reference>
        </references>
      </pivotArea>
    </format>
    <format dxfId="181">
      <pivotArea dataOnly="0" labelOnly="1" outline="0" fieldPosition="0">
        <references count="2">
          <reference field="1" count="1" selected="0">
            <x v="12"/>
          </reference>
          <reference field="2" count="1">
            <x v="25"/>
          </reference>
        </references>
      </pivotArea>
    </format>
    <format dxfId="180">
      <pivotArea dataOnly="0" labelOnly="1" outline="0" fieldPosition="0">
        <references count="2">
          <reference field="1" count="1" selected="0">
            <x v="12"/>
          </reference>
          <reference field="2" count="1" defaultSubtotal="1">
            <x v="25"/>
          </reference>
        </references>
      </pivotArea>
    </format>
    <format dxfId="179">
      <pivotArea dataOnly="0" labelOnly="1" outline="0" fieldPosition="0">
        <references count="2">
          <reference field="1" count="1" selected="0">
            <x v="13"/>
          </reference>
          <reference field="2" count="1">
            <x v="27"/>
          </reference>
        </references>
      </pivotArea>
    </format>
    <format dxfId="178">
      <pivotArea dataOnly="0" labelOnly="1" outline="0" fieldPosition="0">
        <references count="2">
          <reference field="1" count="1" selected="0">
            <x v="13"/>
          </reference>
          <reference field="2" count="1" defaultSubtotal="1">
            <x v="27"/>
          </reference>
        </references>
      </pivotArea>
    </format>
    <format dxfId="177">
      <pivotArea dataOnly="0" labelOnly="1" outline="0" fieldPosition="0">
        <references count="2">
          <reference field="1" count="1" selected="0">
            <x v="14"/>
          </reference>
          <reference field="2" count="3">
            <x v="14"/>
            <x v="17"/>
            <x v="29"/>
          </reference>
        </references>
      </pivotArea>
    </format>
    <format dxfId="176">
      <pivotArea dataOnly="0" labelOnly="1" outline="0" fieldPosition="0">
        <references count="2">
          <reference field="1" count="1" selected="0">
            <x v="14"/>
          </reference>
          <reference field="2" count="3" defaultSubtotal="1">
            <x v="14"/>
            <x v="17"/>
            <x v="29"/>
          </reference>
        </references>
      </pivotArea>
    </format>
    <format dxfId="175">
      <pivotArea dataOnly="0" labelOnly="1" outline="0" fieldPosition="0">
        <references count="2">
          <reference field="1" count="1" selected="0">
            <x v="15"/>
          </reference>
          <reference field="2" count="1">
            <x v="14"/>
          </reference>
        </references>
      </pivotArea>
    </format>
    <format dxfId="174">
      <pivotArea dataOnly="0" labelOnly="1" outline="0" fieldPosition="0">
        <references count="2">
          <reference field="1" count="1" selected="0">
            <x v="15"/>
          </reference>
          <reference field="2" count="1" defaultSubtotal="1">
            <x v="14"/>
          </reference>
        </references>
      </pivotArea>
    </format>
    <format dxfId="173">
      <pivotArea dataOnly="0" labelOnly="1" outline="0" fieldPosition="0">
        <references count="2">
          <reference field="1" count="1" selected="0">
            <x v="16"/>
          </reference>
          <reference field="2" count="1">
            <x v="26"/>
          </reference>
        </references>
      </pivotArea>
    </format>
    <format dxfId="172">
      <pivotArea dataOnly="0" labelOnly="1" outline="0" fieldPosition="0">
        <references count="2">
          <reference field="1" count="1" selected="0">
            <x v="16"/>
          </reference>
          <reference field="2" count="1" defaultSubtotal="1">
            <x v="26"/>
          </reference>
        </references>
      </pivotArea>
    </format>
    <format dxfId="171">
      <pivotArea dataOnly="0" labelOnly="1" outline="0" fieldPosition="0">
        <references count="2">
          <reference field="1" count="1" selected="0">
            <x v="17"/>
          </reference>
          <reference field="2" count="1">
            <x v="23"/>
          </reference>
        </references>
      </pivotArea>
    </format>
    <format dxfId="170">
      <pivotArea dataOnly="0" labelOnly="1" outline="0" fieldPosition="0">
        <references count="2">
          <reference field="1" count="1" selected="0">
            <x v="17"/>
          </reference>
          <reference field="2" count="1" defaultSubtotal="1">
            <x v="23"/>
          </reference>
        </references>
      </pivotArea>
    </format>
    <format dxfId="169">
      <pivotArea dataOnly="0" labelOnly="1" outline="0" fieldPosition="0">
        <references count="2">
          <reference field="1" count="1" selected="0">
            <x v="18"/>
          </reference>
          <reference field="2" count="1">
            <x v="18"/>
          </reference>
        </references>
      </pivotArea>
    </format>
    <format dxfId="168">
      <pivotArea dataOnly="0" labelOnly="1" outline="0" fieldPosition="0">
        <references count="2">
          <reference field="1" count="1" selected="0">
            <x v="18"/>
          </reference>
          <reference field="2" count="1" defaultSubtotal="1">
            <x v="18"/>
          </reference>
        </references>
      </pivotArea>
    </format>
    <format dxfId="167">
      <pivotArea dataOnly="0" labelOnly="1" outline="0" fieldPosition="0">
        <references count="2">
          <reference field="1" count="1" selected="0">
            <x v="19"/>
          </reference>
          <reference field="2" count="1">
            <x v="21"/>
          </reference>
        </references>
      </pivotArea>
    </format>
    <format dxfId="166">
      <pivotArea dataOnly="0" labelOnly="1" outline="0" fieldPosition="0">
        <references count="2">
          <reference field="1" count="1" selected="0">
            <x v="19"/>
          </reference>
          <reference field="2" count="1" defaultSubtotal="1">
            <x v="21"/>
          </reference>
        </references>
      </pivotArea>
    </format>
    <format dxfId="165">
      <pivotArea dataOnly="0" labelOnly="1" outline="0" fieldPosition="0">
        <references count="2">
          <reference field="1" count="1" selected="0">
            <x v="20"/>
          </reference>
          <reference field="2" count="1">
            <x v="4"/>
          </reference>
        </references>
      </pivotArea>
    </format>
    <format dxfId="164">
      <pivotArea dataOnly="0" labelOnly="1" outline="0" fieldPosition="0">
        <references count="2">
          <reference field="1" count="1" selected="0">
            <x v="20"/>
          </reference>
          <reference field="2" count="1" defaultSubtotal="1">
            <x v="4"/>
          </reference>
        </references>
      </pivotArea>
    </format>
    <format dxfId="163">
      <pivotArea dataOnly="0" labelOnly="1" outline="0" fieldPosition="0">
        <references count="2">
          <reference field="1" count="1" selected="0">
            <x v="21"/>
          </reference>
          <reference field="2" count="1">
            <x v="5"/>
          </reference>
        </references>
      </pivotArea>
    </format>
    <format dxfId="162">
      <pivotArea dataOnly="0" labelOnly="1" outline="0" fieldPosition="0">
        <references count="2">
          <reference field="1" count="1" selected="0">
            <x v="21"/>
          </reference>
          <reference field="2" count="1" defaultSubtotal="1">
            <x v="5"/>
          </reference>
        </references>
      </pivotArea>
    </format>
    <format dxfId="161">
      <pivotArea dataOnly="0" labelOnly="1" outline="0" fieldPosition="0">
        <references count="2">
          <reference field="1" count="1" selected="0">
            <x v="22"/>
          </reference>
          <reference field="2" count="3">
            <x v="10"/>
            <x v="11"/>
            <x v="12"/>
          </reference>
        </references>
      </pivotArea>
    </format>
    <format dxfId="160">
      <pivotArea dataOnly="0" labelOnly="1" outline="0" fieldPosition="0">
        <references count="2">
          <reference field="1" count="1" selected="0">
            <x v="22"/>
          </reference>
          <reference field="2" count="3" defaultSubtotal="1">
            <x v="10"/>
            <x v="11"/>
            <x v="12"/>
          </reference>
        </references>
      </pivotArea>
    </format>
    <format dxfId="159">
      <pivotArea dataOnly="0" labelOnly="1" outline="0" fieldPosition="0">
        <references count="2">
          <reference field="1" count="1" selected="0">
            <x v="23"/>
          </reference>
          <reference field="2" count="3">
            <x v="3"/>
            <x v="9"/>
            <x v="22"/>
          </reference>
        </references>
      </pivotArea>
    </format>
    <format dxfId="158">
      <pivotArea dataOnly="0" labelOnly="1" outline="0" fieldPosition="0">
        <references count="2">
          <reference field="1" count="1" selected="0">
            <x v="23"/>
          </reference>
          <reference field="2" count="3" defaultSubtotal="1">
            <x v="3"/>
            <x v="9"/>
            <x v="22"/>
          </reference>
        </references>
      </pivotArea>
    </format>
    <format dxfId="157">
      <pivotArea dataOnly="0" labelOnly="1" outline="0" fieldPosition="0">
        <references count="3">
          <reference field="1" count="1" selected="0">
            <x v="0"/>
          </reference>
          <reference field="2" count="1" selected="0">
            <x v="20"/>
          </reference>
          <reference field="3" count="3">
            <x v="11"/>
            <x v="73"/>
            <x v="74"/>
          </reference>
        </references>
      </pivotArea>
    </format>
    <format dxfId="156">
      <pivotArea dataOnly="0" labelOnly="1" outline="0" fieldPosition="0">
        <references count="3">
          <reference field="1" count="1" selected="0">
            <x v="0"/>
          </reference>
          <reference field="2" count="1" selected="0">
            <x v="20"/>
          </reference>
          <reference field="3" count="3" defaultSubtotal="1">
            <x v="11"/>
            <x v="73"/>
            <x v="74"/>
          </reference>
        </references>
      </pivotArea>
    </format>
    <format dxfId="155">
      <pivotArea dataOnly="0" labelOnly="1" outline="0" fieldPosition="0">
        <references count="3">
          <reference field="1" count="1" selected="0">
            <x v="1"/>
          </reference>
          <reference field="2" count="1" selected="0">
            <x v="16"/>
          </reference>
          <reference field="3" count="1">
            <x v="7"/>
          </reference>
        </references>
      </pivotArea>
    </format>
    <format dxfId="154">
      <pivotArea dataOnly="0" labelOnly="1" outline="0" fieldPosition="0">
        <references count="3">
          <reference field="1" count="1" selected="0">
            <x v="1"/>
          </reference>
          <reference field="2" count="1" selected="0">
            <x v="16"/>
          </reference>
          <reference field="3" count="1" defaultSubtotal="1">
            <x v="7"/>
          </reference>
        </references>
      </pivotArea>
    </format>
    <format dxfId="153">
      <pivotArea dataOnly="0" labelOnly="1" outline="0" fieldPosition="0">
        <references count="3">
          <reference field="1" count="1" selected="0">
            <x v="2"/>
          </reference>
          <reference field="2" count="1" selected="0">
            <x v="19"/>
          </reference>
          <reference field="3" count="3">
            <x v="0"/>
            <x v="8"/>
            <x v="42"/>
          </reference>
        </references>
      </pivotArea>
    </format>
    <format dxfId="152">
      <pivotArea dataOnly="0" labelOnly="1" outline="0" fieldPosition="0">
        <references count="3">
          <reference field="1" count="1" selected="0">
            <x v="2"/>
          </reference>
          <reference field="2" count="1" selected="0">
            <x v="19"/>
          </reference>
          <reference field="3" count="3" defaultSubtotal="1">
            <x v="0"/>
            <x v="8"/>
            <x v="42"/>
          </reference>
        </references>
      </pivotArea>
    </format>
    <format dxfId="151">
      <pivotArea dataOnly="0" labelOnly="1" outline="0" fieldPosition="0">
        <references count="3">
          <reference field="1" count="1" selected="0">
            <x v="3"/>
          </reference>
          <reference field="2" count="1" selected="0">
            <x v="6"/>
          </reference>
          <reference field="3" count="1">
            <x v="79"/>
          </reference>
        </references>
      </pivotArea>
    </format>
    <format dxfId="150">
      <pivotArea dataOnly="0" labelOnly="1" outline="0" fieldPosition="0">
        <references count="3">
          <reference field="1" count="1" selected="0">
            <x v="3"/>
          </reference>
          <reference field="2" count="1" selected="0">
            <x v="6"/>
          </reference>
          <reference field="3" count="1" defaultSubtotal="1">
            <x v="79"/>
          </reference>
        </references>
      </pivotArea>
    </format>
    <format dxfId="149">
      <pivotArea dataOnly="0" labelOnly="1" outline="0" fieldPosition="0">
        <references count="3">
          <reference field="1" count="1" selected="0">
            <x v="4"/>
          </reference>
          <reference field="2" count="1" selected="0">
            <x v="0"/>
          </reference>
          <reference field="3" count="2">
            <x v="6"/>
            <x v="12"/>
          </reference>
        </references>
      </pivotArea>
    </format>
    <format dxfId="148">
      <pivotArea dataOnly="0" labelOnly="1" outline="0" fieldPosition="0">
        <references count="3">
          <reference field="1" count="1" selected="0">
            <x v="4"/>
          </reference>
          <reference field="2" count="1" selected="0">
            <x v="0"/>
          </reference>
          <reference field="3" count="2" defaultSubtotal="1">
            <x v="6"/>
            <x v="12"/>
          </reference>
        </references>
      </pivotArea>
    </format>
    <format dxfId="147">
      <pivotArea dataOnly="0" labelOnly="1" outline="0" fieldPosition="0">
        <references count="3">
          <reference field="1" count="1" selected="0">
            <x v="5"/>
          </reference>
          <reference field="2" count="1" selected="0">
            <x v="15"/>
          </reference>
          <reference field="3" count="2">
            <x v="41"/>
            <x v="87"/>
          </reference>
        </references>
      </pivotArea>
    </format>
    <format dxfId="146">
      <pivotArea dataOnly="0" labelOnly="1" outline="0" fieldPosition="0">
        <references count="3">
          <reference field="1" count="1" selected="0">
            <x v="5"/>
          </reference>
          <reference field="2" count="1" selected="0">
            <x v="15"/>
          </reference>
          <reference field="3" count="2" defaultSubtotal="1">
            <x v="41"/>
            <x v="87"/>
          </reference>
        </references>
      </pivotArea>
    </format>
    <format dxfId="145">
      <pivotArea dataOnly="0" labelOnly="1" outline="0" fieldPosition="0">
        <references count="3">
          <reference field="1" count="1" selected="0">
            <x v="6"/>
          </reference>
          <reference field="2" count="1" selected="0">
            <x v="13"/>
          </reference>
          <reference field="3" count="6">
            <x v="2"/>
            <x v="21"/>
            <x v="23"/>
            <x v="31"/>
            <x v="33"/>
            <x v="48"/>
          </reference>
        </references>
      </pivotArea>
    </format>
    <format dxfId="144">
      <pivotArea dataOnly="0" labelOnly="1" outline="0" fieldPosition="0">
        <references count="3">
          <reference field="1" count="1" selected="0">
            <x v="6"/>
          </reference>
          <reference field="2" count="1" selected="0">
            <x v="13"/>
          </reference>
          <reference field="3" count="6" defaultSubtotal="1">
            <x v="2"/>
            <x v="21"/>
            <x v="23"/>
            <x v="31"/>
            <x v="33"/>
            <x v="48"/>
          </reference>
        </references>
      </pivotArea>
    </format>
    <format dxfId="143">
      <pivotArea dataOnly="0" labelOnly="1" outline="0" fieldPosition="0">
        <references count="3">
          <reference field="1" count="1" selected="0">
            <x v="7"/>
          </reference>
          <reference field="2" count="1" selected="0">
            <x v="1"/>
          </reference>
          <reference field="3" count="1">
            <x v="1"/>
          </reference>
        </references>
      </pivotArea>
    </format>
    <format dxfId="142">
      <pivotArea dataOnly="0" labelOnly="1" outline="0" fieldPosition="0">
        <references count="3">
          <reference field="1" count="1" selected="0">
            <x v="7"/>
          </reference>
          <reference field="2" count="1" selected="0">
            <x v="1"/>
          </reference>
          <reference field="3" count="1" defaultSubtotal="1">
            <x v="1"/>
          </reference>
        </references>
      </pivotArea>
    </format>
    <format dxfId="141">
      <pivotArea dataOnly="0" labelOnly="1" outline="0" fieldPosition="0">
        <references count="3">
          <reference field="1" count="1" selected="0">
            <x v="8"/>
          </reference>
          <reference field="2" count="1" selected="0">
            <x v="22"/>
          </reference>
          <reference field="3" count="1">
            <x v="10"/>
          </reference>
        </references>
      </pivotArea>
    </format>
    <format dxfId="140">
      <pivotArea dataOnly="0" labelOnly="1" outline="0" fieldPosition="0">
        <references count="3">
          <reference field="1" count="1" selected="0">
            <x v="8"/>
          </reference>
          <reference field="2" count="1" selected="0">
            <x v="22"/>
          </reference>
          <reference field="3" count="1" defaultSubtotal="1">
            <x v="10"/>
          </reference>
        </references>
      </pivotArea>
    </format>
    <format dxfId="139">
      <pivotArea dataOnly="0" labelOnly="1" outline="0" fieldPosition="0">
        <references count="3">
          <reference field="1" count="1" selected="0">
            <x v="8"/>
          </reference>
          <reference field="2" count="1" selected="0">
            <x v="24"/>
          </reference>
          <reference field="3" count="1">
            <x v="38"/>
          </reference>
        </references>
      </pivotArea>
    </format>
    <format dxfId="138">
      <pivotArea dataOnly="0" labelOnly="1" outline="0" fieldPosition="0">
        <references count="3">
          <reference field="1" count="1" selected="0">
            <x v="8"/>
          </reference>
          <reference field="2" count="1" selected="0">
            <x v="24"/>
          </reference>
          <reference field="3" count="1" defaultSubtotal="1">
            <x v="38"/>
          </reference>
        </references>
      </pivotArea>
    </format>
    <format dxfId="137">
      <pivotArea dataOnly="0" labelOnly="1" outline="0" fieldPosition="0">
        <references count="3">
          <reference field="1" count="1" selected="0">
            <x v="9"/>
          </reference>
          <reference field="2" count="1" selected="0">
            <x v="7"/>
          </reference>
          <reference field="3" count="3">
            <x v="64"/>
            <x v="81"/>
            <x v="82"/>
          </reference>
        </references>
      </pivotArea>
    </format>
    <format dxfId="136">
      <pivotArea dataOnly="0" labelOnly="1" outline="0" fieldPosition="0">
        <references count="3">
          <reference field="1" count="1" selected="0">
            <x v="9"/>
          </reference>
          <reference field="2" count="1" selected="0">
            <x v="7"/>
          </reference>
          <reference field="3" count="3" defaultSubtotal="1">
            <x v="64"/>
            <x v="81"/>
            <x v="82"/>
          </reference>
        </references>
      </pivotArea>
    </format>
    <format dxfId="135">
      <pivotArea dataOnly="0" labelOnly="1" outline="0" fieldPosition="0">
        <references count="3">
          <reference field="1" count="1" selected="0">
            <x v="10"/>
          </reference>
          <reference field="2" count="1" selected="0">
            <x v="8"/>
          </reference>
          <reference field="3" count="1">
            <x v="51"/>
          </reference>
        </references>
      </pivotArea>
    </format>
    <format dxfId="134">
      <pivotArea dataOnly="0" labelOnly="1" outline="0" fieldPosition="0">
        <references count="3">
          <reference field="1" count="1" selected="0">
            <x v="10"/>
          </reference>
          <reference field="2" count="1" selected="0">
            <x v="8"/>
          </reference>
          <reference field="3" count="1" defaultSubtotal="1">
            <x v="51"/>
          </reference>
        </references>
      </pivotArea>
    </format>
    <format dxfId="133">
      <pivotArea dataOnly="0" labelOnly="1" outline="0" fieldPosition="0">
        <references count="3">
          <reference field="1" count="1" selected="0">
            <x v="11"/>
          </reference>
          <reference field="2" count="1" selected="0">
            <x v="2"/>
          </reference>
          <reference field="3" count="1">
            <x v="18"/>
          </reference>
        </references>
      </pivotArea>
    </format>
    <format dxfId="132">
      <pivotArea dataOnly="0" labelOnly="1" outline="0" fieldPosition="0">
        <references count="3">
          <reference field="1" count="1" selected="0">
            <x v="11"/>
          </reference>
          <reference field="2" count="1" selected="0">
            <x v="2"/>
          </reference>
          <reference field="3" count="1" defaultSubtotal="1">
            <x v="18"/>
          </reference>
        </references>
      </pivotArea>
    </format>
    <format dxfId="131">
      <pivotArea dataOnly="0" labelOnly="1" outline="0" fieldPosition="0">
        <references count="3">
          <reference field="1" count="1" selected="0">
            <x v="12"/>
          </reference>
          <reference field="2" count="1" selected="0">
            <x v="25"/>
          </reference>
          <reference field="3" count="1">
            <x v="65"/>
          </reference>
        </references>
      </pivotArea>
    </format>
    <format dxfId="130">
      <pivotArea dataOnly="0" labelOnly="1" outline="0" fieldPosition="0">
        <references count="3">
          <reference field="1" count="1" selected="0">
            <x v="12"/>
          </reference>
          <reference field="2" count="1" selected="0">
            <x v="25"/>
          </reference>
          <reference field="3" count="1" defaultSubtotal="1">
            <x v="65"/>
          </reference>
        </references>
      </pivotArea>
    </format>
    <format dxfId="129">
      <pivotArea dataOnly="0" labelOnly="1" outline="0" fieldPosition="0">
        <references count="3">
          <reference field="1" count="1" selected="0">
            <x v="13"/>
          </reference>
          <reference field="2" count="1" selected="0">
            <x v="27"/>
          </reference>
          <reference field="3" count="2">
            <x v="76"/>
            <x v="77"/>
          </reference>
        </references>
      </pivotArea>
    </format>
    <format dxfId="128">
      <pivotArea dataOnly="0" labelOnly="1" outline="0" fieldPosition="0">
        <references count="3">
          <reference field="1" count="1" selected="0">
            <x v="13"/>
          </reference>
          <reference field="2" count="1" selected="0">
            <x v="27"/>
          </reference>
          <reference field="3" count="2" defaultSubtotal="1">
            <x v="76"/>
            <x v="77"/>
          </reference>
        </references>
      </pivotArea>
    </format>
    <format dxfId="127">
      <pivotArea dataOnly="0" labelOnly="1" outline="0" fieldPosition="0">
        <references count="3">
          <reference field="1" count="1" selected="0">
            <x v="14"/>
          </reference>
          <reference field="2" count="1" selected="0">
            <x v="14"/>
          </reference>
          <reference field="3" count="1">
            <x v="17"/>
          </reference>
        </references>
      </pivotArea>
    </format>
    <format dxfId="126">
      <pivotArea dataOnly="0" labelOnly="1" outline="0" fieldPosition="0">
        <references count="3">
          <reference field="1" count="1" selected="0">
            <x v="14"/>
          </reference>
          <reference field="2" count="1" selected="0">
            <x v="14"/>
          </reference>
          <reference field="3" count="1" defaultSubtotal="1">
            <x v="17"/>
          </reference>
        </references>
      </pivotArea>
    </format>
    <format dxfId="125">
      <pivotArea dataOnly="0" labelOnly="1" outline="0" fieldPosition="0">
        <references count="3">
          <reference field="1" count="1" selected="0">
            <x v="14"/>
          </reference>
          <reference field="2" count="1" selected="0">
            <x v="17"/>
          </reference>
          <reference field="3" count="1">
            <x v="22"/>
          </reference>
        </references>
      </pivotArea>
    </format>
    <format dxfId="124">
      <pivotArea dataOnly="0" labelOnly="1" outline="0" fieldPosition="0">
        <references count="3">
          <reference field="1" count="1" selected="0">
            <x v="14"/>
          </reference>
          <reference field="2" count="1" selected="0">
            <x v="17"/>
          </reference>
          <reference field="3" count="1" defaultSubtotal="1">
            <x v="22"/>
          </reference>
        </references>
      </pivotArea>
    </format>
    <format dxfId="123">
      <pivotArea dataOnly="0" labelOnly="1" outline="0" fieldPosition="0">
        <references count="3">
          <reference field="1" count="1" selected="0">
            <x v="14"/>
          </reference>
          <reference field="2" count="1" selected="0">
            <x v="29"/>
          </reference>
          <reference field="3" count="1">
            <x v="86"/>
          </reference>
        </references>
      </pivotArea>
    </format>
    <format dxfId="122">
      <pivotArea dataOnly="0" labelOnly="1" outline="0" fieldPosition="0">
        <references count="3">
          <reference field="1" count="1" selected="0">
            <x v="14"/>
          </reference>
          <reference field="2" count="1" selected="0">
            <x v="29"/>
          </reference>
          <reference field="3" count="1" defaultSubtotal="1">
            <x v="86"/>
          </reference>
        </references>
      </pivotArea>
    </format>
    <format dxfId="121">
      <pivotArea dataOnly="0" labelOnly="1" outline="0" fieldPosition="0">
        <references count="3">
          <reference field="1" count="1" selected="0">
            <x v="15"/>
          </reference>
          <reference field="2" count="1" selected="0">
            <x v="14"/>
          </reference>
          <reference field="3" count="3">
            <x v="30"/>
            <x v="50"/>
            <x v="70"/>
          </reference>
        </references>
      </pivotArea>
    </format>
    <format dxfId="120">
      <pivotArea dataOnly="0" labelOnly="1" outline="0" fieldPosition="0">
        <references count="3">
          <reference field="1" count="1" selected="0">
            <x v="15"/>
          </reference>
          <reference field="2" count="1" selected="0">
            <x v="14"/>
          </reference>
          <reference field="3" count="3" defaultSubtotal="1">
            <x v="30"/>
            <x v="50"/>
            <x v="70"/>
          </reference>
        </references>
      </pivotArea>
    </format>
    <format dxfId="119">
      <pivotArea dataOnly="0" labelOnly="1" outline="0" fieldPosition="0">
        <references count="3">
          <reference field="1" count="1" selected="0">
            <x v="16"/>
          </reference>
          <reference field="2" count="1" selected="0">
            <x v="26"/>
          </reference>
          <reference field="3" count="1">
            <x v="51"/>
          </reference>
        </references>
      </pivotArea>
    </format>
    <format dxfId="118">
      <pivotArea dataOnly="0" labelOnly="1" outline="0" fieldPosition="0">
        <references count="3">
          <reference field="1" count="1" selected="0">
            <x v="16"/>
          </reference>
          <reference field="2" count="1" selected="0">
            <x v="26"/>
          </reference>
          <reference field="3" count="1" defaultSubtotal="1">
            <x v="51"/>
          </reference>
        </references>
      </pivotArea>
    </format>
    <format dxfId="117">
      <pivotArea dataOnly="0" labelOnly="1" outline="0" fieldPosition="0">
        <references count="3">
          <reference field="1" count="1" selected="0">
            <x v="17"/>
          </reference>
          <reference field="2" count="1" selected="0">
            <x v="23"/>
          </reference>
          <reference field="3" count="2">
            <x v="52"/>
            <x v="62"/>
          </reference>
        </references>
      </pivotArea>
    </format>
    <format dxfId="116">
      <pivotArea dataOnly="0" labelOnly="1" outline="0" fieldPosition="0">
        <references count="3">
          <reference field="1" count="1" selected="0">
            <x v="17"/>
          </reference>
          <reference field="2" count="1" selected="0">
            <x v="23"/>
          </reference>
          <reference field="3" count="2" defaultSubtotal="1">
            <x v="52"/>
            <x v="62"/>
          </reference>
        </references>
      </pivotArea>
    </format>
    <format dxfId="115">
      <pivotArea dataOnly="0" labelOnly="1" outline="0" fieldPosition="0">
        <references count="3">
          <reference field="1" count="1" selected="0">
            <x v="18"/>
          </reference>
          <reference field="2" count="1" selected="0">
            <x v="18"/>
          </reference>
          <reference field="3" count="3">
            <x v="26"/>
            <x v="36"/>
            <x v="63"/>
          </reference>
        </references>
      </pivotArea>
    </format>
    <format dxfId="114">
      <pivotArea dataOnly="0" labelOnly="1" outline="0" fieldPosition="0">
        <references count="3">
          <reference field="1" count="1" selected="0">
            <x v="18"/>
          </reference>
          <reference field="2" count="1" selected="0">
            <x v="18"/>
          </reference>
          <reference field="3" count="3" defaultSubtotal="1">
            <x v="26"/>
            <x v="36"/>
            <x v="63"/>
          </reference>
        </references>
      </pivotArea>
    </format>
    <format dxfId="113">
      <pivotArea dataOnly="0" labelOnly="1" outline="0" fieldPosition="0">
        <references count="3">
          <reference field="1" count="1" selected="0">
            <x v="19"/>
          </reference>
          <reference field="2" count="1" selected="0">
            <x v="21"/>
          </reference>
          <reference field="3" count="1">
            <x v="54"/>
          </reference>
        </references>
      </pivotArea>
    </format>
    <format dxfId="112">
      <pivotArea dataOnly="0" labelOnly="1" outline="0" fieldPosition="0">
        <references count="3">
          <reference field="1" count="1" selected="0">
            <x v="19"/>
          </reference>
          <reference field="2" count="1" selected="0">
            <x v="21"/>
          </reference>
          <reference field="3" count="1" defaultSubtotal="1">
            <x v="54"/>
          </reference>
        </references>
      </pivotArea>
    </format>
    <format dxfId="111">
      <pivotArea dataOnly="0" labelOnly="1" outline="0" fieldPosition="0">
        <references count="3">
          <reference field="1" count="1" selected="0">
            <x v="20"/>
          </reference>
          <reference field="2" count="1" selected="0">
            <x v="4"/>
          </reference>
          <reference field="3" count="3">
            <x v="15"/>
            <x v="61"/>
            <x v="68"/>
          </reference>
        </references>
      </pivotArea>
    </format>
    <format dxfId="110">
      <pivotArea dataOnly="0" labelOnly="1" outline="0" fieldPosition="0">
        <references count="3">
          <reference field="1" count="1" selected="0">
            <x v="20"/>
          </reference>
          <reference field="2" count="1" selected="0">
            <x v="4"/>
          </reference>
          <reference field="3" count="3" defaultSubtotal="1">
            <x v="15"/>
            <x v="61"/>
            <x v="68"/>
          </reference>
        </references>
      </pivotArea>
    </format>
    <format dxfId="109">
      <pivotArea dataOnly="0" labelOnly="1" outline="0" fieldPosition="0">
        <references count="3">
          <reference field="1" count="1" selected="0">
            <x v="21"/>
          </reference>
          <reference field="2" count="1" selected="0">
            <x v="5"/>
          </reference>
          <reference field="3" count="2">
            <x v="35"/>
            <x v="45"/>
          </reference>
        </references>
      </pivotArea>
    </format>
    <format dxfId="108">
      <pivotArea dataOnly="0" labelOnly="1" outline="0" fieldPosition="0">
        <references count="3">
          <reference field="1" count="1" selected="0">
            <x v="21"/>
          </reference>
          <reference field="2" count="1" selected="0">
            <x v="5"/>
          </reference>
          <reference field="3" count="2" defaultSubtotal="1">
            <x v="35"/>
            <x v="45"/>
          </reference>
        </references>
      </pivotArea>
    </format>
    <format dxfId="107">
      <pivotArea dataOnly="0" labelOnly="1" outline="0" fieldPosition="0">
        <references count="3">
          <reference field="1" count="1" selected="0">
            <x v="22"/>
          </reference>
          <reference field="2" count="1" selected="0">
            <x v="10"/>
          </reference>
          <reference field="3" count="19">
            <x v="4"/>
            <x v="5"/>
            <x v="9"/>
            <x v="16"/>
            <x v="20"/>
            <x v="28"/>
            <x v="32"/>
            <x v="37"/>
            <x v="39"/>
            <x v="40"/>
            <x v="43"/>
            <x v="49"/>
            <x v="53"/>
            <x v="56"/>
            <x v="59"/>
            <x v="60"/>
            <x v="69"/>
            <x v="75"/>
            <x v="80"/>
          </reference>
        </references>
      </pivotArea>
    </format>
    <format dxfId="106">
      <pivotArea dataOnly="0" labelOnly="1" outline="0" fieldPosition="0">
        <references count="3">
          <reference field="1" count="1" selected="0">
            <x v="22"/>
          </reference>
          <reference field="2" count="1" selected="0">
            <x v="10"/>
          </reference>
          <reference field="3" count="19" defaultSubtotal="1">
            <x v="4"/>
            <x v="5"/>
            <x v="9"/>
            <x v="16"/>
            <x v="20"/>
            <x v="28"/>
            <x v="32"/>
            <x v="37"/>
            <x v="39"/>
            <x v="40"/>
            <x v="43"/>
            <x v="49"/>
            <x v="53"/>
            <x v="56"/>
            <x v="59"/>
            <x v="60"/>
            <x v="69"/>
            <x v="75"/>
            <x v="80"/>
          </reference>
        </references>
      </pivotArea>
    </format>
    <format dxfId="105">
      <pivotArea dataOnly="0" labelOnly="1" outline="0" fieldPosition="0">
        <references count="3">
          <reference field="1" count="1" selected="0">
            <x v="22"/>
          </reference>
          <reference field="2" count="1" selected="0">
            <x v="11"/>
          </reference>
          <reference field="3" count="11">
            <x v="24"/>
            <x v="25"/>
            <x v="46"/>
            <x v="47"/>
            <x v="55"/>
            <x v="57"/>
            <x v="58"/>
            <x v="67"/>
            <x v="71"/>
            <x v="83"/>
            <x v="84"/>
          </reference>
        </references>
      </pivotArea>
    </format>
    <format dxfId="104">
      <pivotArea dataOnly="0" labelOnly="1" outline="0" fieldPosition="0">
        <references count="3">
          <reference field="1" count="1" selected="0">
            <x v="22"/>
          </reference>
          <reference field="2" count="1" selected="0">
            <x v="11"/>
          </reference>
          <reference field="3" count="11" defaultSubtotal="1">
            <x v="24"/>
            <x v="25"/>
            <x v="46"/>
            <x v="47"/>
            <x v="55"/>
            <x v="57"/>
            <x v="58"/>
            <x v="67"/>
            <x v="71"/>
            <x v="83"/>
            <x v="84"/>
          </reference>
        </references>
      </pivotArea>
    </format>
    <format dxfId="103">
      <pivotArea dataOnly="0" labelOnly="1" outline="0" fieldPosition="0">
        <references count="3">
          <reference field="1" count="1" selected="0">
            <x v="22"/>
          </reference>
          <reference field="2" count="1" selected="0">
            <x v="12"/>
          </reference>
          <reference field="3" count="5">
            <x v="3"/>
            <x v="13"/>
            <x v="14"/>
            <x v="27"/>
            <x v="34"/>
          </reference>
        </references>
      </pivotArea>
    </format>
    <format dxfId="102">
      <pivotArea dataOnly="0" labelOnly="1" outline="0" fieldPosition="0">
        <references count="3">
          <reference field="1" count="1" selected="0">
            <x v="22"/>
          </reference>
          <reference field="2" count="1" selected="0">
            <x v="12"/>
          </reference>
          <reference field="3" count="5" defaultSubtotal="1">
            <x v="3"/>
            <x v="13"/>
            <x v="14"/>
            <x v="27"/>
            <x v="34"/>
          </reference>
        </references>
      </pivotArea>
    </format>
    <format dxfId="101">
      <pivotArea dataOnly="0" labelOnly="1" outline="0" fieldPosition="0">
        <references count="3">
          <reference field="1" count="1" selected="0">
            <x v="23"/>
          </reference>
          <reference field="2" count="1" selected="0">
            <x v="3"/>
          </reference>
          <reference field="3" count="1">
            <x v="19"/>
          </reference>
        </references>
      </pivotArea>
    </format>
    <format dxfId="100">
      <pivotArea dataOnly="0" labelOnly="1" outline="0" fieldPosition="0">
        <references count="3">
          <reference field="1" count="1" selected="0">
            <x v="23"/>
          </reference>
          <reference field="2" count="1" selected="0">
            <x v="3"/>
          </reference>
          <reference field="3" count="1" defaultSubtotal="1">
            <x v="19"/>
          </reference>
        </references>
      </pivotArea>
    </format>
    <format dxfId="99">
      <pivotArea dataOnly="0" labelOnly="1" outline="0" fieldPosition="0">
        <references count="3">
          <reference field="1" count="1" selected="0">
            <x v="23"/>
          </reference>
          <reference field="2" count="1" selected="0">
            <x v="9"/>
          </reference>
          <reference field="3" count="1">
            <x v="44"/>
          </reference>
        </references>
      </pivotArea>
    </format>
    <format dxfId="98">
      <pivotArea dataOnly="0" labelOnly="1" outline="0" fieldPosition="0">
        <references count="3">
          <reference field="1" count="1" selected="0">
            <x v="23"/>
          </reference>
          <reference field="2" count="1" selected="0">
            <x v="9"/>
          </reference>
          <reference field="3" count="1" defaultSubtotal="1">
            <x v="44"/>
          </reference>
        </references>
      </pivotArea>
    </format>
    <format dxfId="97">
      <pivotArea dataOnly="0" labelOnly="1" outline="0" fieldPosition="0">
        <references count="3">
          <reference field="1" count="1" selected="0">
            <x v="23"/>
          </reference>
          <reference field="2" count="1" selected="0">
            <x v="22"/>
          </reference>
          <reference field="3" count="3">
            <x v="29"/>
            <x v="66"/>
            <x v="72"/>
          </reference>
        </references>
      </pivotArea>
    </format>
    <format dxfId="96">
      <pivotArea dataOnly="0" labelOnly="1" outline="0" fieldPosition="0">
        <references count="3">
          <reference field="1" count="1" selected="0">
            <x v="23"/>
          </reference>
          <reference field="2" count="1" selected="0">
            <x v="22"/>
          </reference>
          <reference field="3" count="3" defaultSubtotal="1">
            <x v="29"/>
            <x v="66"/>
            <x v="72"/>
          </reference>
        </references>
      </pivotArea>
    </format>
    <format dxfId="95">
      <pivotArea dataOnly="0" labelOnly="1" outline="0" fieldPosition="0">
        <references count="4">
          <reference field="0" count="10">
            <x v="314"/>
            <x v="347"/>
            <x v="348"/>
            <x v="349"/>
            <x v="350"/>
            <x v="543"/>
            <x v="544"/>
            <x v="557"/>
            <x v="558"/>
            <x v="559"/>
          </reference>
          <reference field="1" count="1" selected="0">
            <x v="0"/>
          </reference>
          <reference field="2" count="1" selected="0">
            <x v="20"/>
          </reference>
          <reference field="3" count="1" selected="0">
            <x v="11"/>
          </reference>
        </references>
      </pivotArea>
    </format>
    <format dxfId="94">
      <pivotArea dataOnly="0" labelOnly="1" outline="0" fieldPosition="0">
        <references count="4">
          <reference field="0" count="8">
            <x v="51"/>
            <x v="86"/>
            <x v="141"/>
            <x v="161"/>
            <x v="166"/>
            <x v="299"/>
            <x v="337"/>
            <x v="535"/>
          </reference>
          <reference field="1" count="1" selected="0">
            <x v="0"/>
          </reference>
          <reference field="2" count="1" selected="0">
            <x v="20"/>
          </reference>
          <reference field="3" count="1" selected="0">
            <x v="73"/>
          </reference>
        </references>
      </pivotArea>
    </format>
    <format dxfId="93">
      <pivotArea dataOnly="0" labelOnly="1" outline="0" fieldPosition="0">
        <references count="4">
          <reference field="0" count="8">
            <x v="360"/>
            <x v="361"/>
            <x v="362"/>
            <x v="363"/>
            <x v="364"/>
            <x v="365"/>
            <x v="366"/>
            <x v="367"/>
          </reference>
          <reference field="1" count="1" selected="0">
            <x v="0"/>
          </reference>
          <reference field="2" count="1" selected="0">
            <x v="20"/>
          </reference>
          <reference field="3" count="1" selected="0">
            <x v="74"/>
          </reference>
        </references>
      </pivotArea>
    </format>
    <format dxfId="92">
      <pivotArea dataOnly="0" labelOnly="1" outline="0" fieldPosition="0">
        <references count="4">
          <reference field="0" count="7">
            <x v="110"/>
            <x v="111"/>
            <x v="112"/>
            <x v="113"/>
            <x v="157"/>
            <x v="158"/>
            <x v="234"/>
          </reference>
          <reference field="1" count="1" selected="0">
            <x v="1"/>
          </reference>
          <reference field="2" count="1" selected="0">
            <x v="16"/>
          </reference>
          <reference field="3" count="1" selected="0">
            <x v="7"/>
          </reference>
        </references>
      </pivotArea>
    </format>
    <format dxfId="91">
      <pivotArea dataOnly="0" labelOnly="1" outline="0" fieldPosition="0">
        <references count="4">
          <reference field="0" count="11">
            <x v="2"/>
            <x v="72"/>
            <x v="134"/>
            <x v="173"/>
            <x v="187"/>
            <x v="198"/>
            <x v="207"/>
            <x v="256"/>
            <x v="417"/>
            <x v="489"/>
            <x v="523"/>
          </reference>
          <reference field="1" count="1" selected="0">
            <x v="2"/>
          </reference>
          <reference field="2" count="1" selected="0">
            <x v="19"/>
          </reference>
          <reference field="3" count="1" selected="0">
            <x v="0"/>
          </reference>
        </references>
      </pivotArea>
    </format>
    <format dxfId="90">
      <pivotArea dataOnly="0" labelOnly="1" outline="0" fieldPosition="0">
        <references count="4">
          <reference field="0" count="4">
            <x v="69"/>
            <x v="195"/>
            <x v="373"/>
            <x v="458"/>
          </reference>
          <reference field="1" count="1" selected="0">
            <x v="2"/>
          </reference>
          <reference field="2" count="1" selected="0">
            <x v="19"/>
          </reference>
          <reference field="3" count="1" selected="0">
            <x v="8"/>
          </reference>
        </references>
      </pivotArea>
    </format>
    <format dxfId="89">
      <pivotArea dataOnly="0" labelOnly="1" outline="0" fieldPosition="0">
        <references count="4">
          <reference field="0" count="6">
            <x v="105"/>
            <x v="107"/>
            <x v="108"/>
            <x v="109"/>
            <x v="114"/>
            <x v="115"/>
          </reference>
          <reference field="1" count="1" selected="0">
            <x v="2"/>
          </reference>
          <reference field="2" count="1" selected="0">
            <x v="19"/>
          </reference>
          <reference field="3" count="1" selected="0">
            <x v="42"/>
          </reference>
        </references>
      </pivotArea>
    </format>
    <format dxfId="88">
      <pivotArea dataOnly="0" labelOnly="1" outline="0" fieldPosition="0">
        <references count="4">
          <reference field="0" count="42">
            <x v="5"/>
            <x v="11"/>
            <x v="12"/>
            <x v="16"/>
            <x v="17"/>
            <x v="20"/>
            <x v="26"/>
            <x v="27"/>
            <x v="31"/>
            <x v="33"/>
            <x v="73"/>
            <x v="74"/>
            <x v="78"/>
            <x v="94"/>
            <x v="209"/>
            <x v="243"/>
            <x v="246"/>
            <x v="247"/>
            <x v="262"/>
            <x v="265"/>
            <x v="279"/>
            <x v="307"/>
            <x v="318"/>
            <x v="321"/>
            <x v="343"/>
            <x v="383"/>
            <x v="385"/>
            <x v="386"/>
            <x v="387"/>
            <x v="405"/>
            <x v="425"/>
            <x v="427"/>
            <x v="446"/>
            <x v="460"/>
            <x v="462"/>
            <x v="463"/>
            <x v="464"/>
            <x v="466"/>
            <x v="469"/>
            <x v="525"/>
            <x v="534"/>
            <x v="563"/>
          </reference>
          <reference field="1" count="1" selected="0">
            <x v="3"/>
          </reference>
          <reference field="2" count="1" selected="0">
            <x v="6"/>
          </reference>
          <reference field="3" count="1" selected="0">
            <x v="79"/>
          </reference>
        </references>
      </pivotArea>
    </format>
    <format dxfId="87">
      <pivotArea dataOnly="0" labelOnly="1" outline="0" fieldPosition="0">
        <references count="4">
          <reference field="0" count="1">
            <x v="423"/>
          </reference>
          <reference field="1" count="1" selected="0">
            <x v="4"/>
          </reference>
          <reference field="2" count="1" selected="0">
            <x v="0"/>
          </reference>
          <reference field="3" count="1" selected="0">
            <x v="6"/>
          </reference>
        </references>
      </pivotArea>
    </format>
    <format dxfId="86">
      <pivotArea dataOnly="0" labelOnly="1" outline="0" fieldPosition="0">
        <references count="4">
          <reference field="0" count="1">
            <x v="59"/>
          </reference>
          <reference field="1" count="1" selected="0">
            <x v="4"/>
          </reference>
          <reference field="2" count="1" selected="0">
            <x v="0"/>
          </reference>
          <reference field="3" count="1" selected="0">
            <x v="12"/>
          </reference>
        </references>
      </pivotArea>
    </format>
    <format dxfId="85">
      <pivotArea dataOnly="0" labelOnly="1" outline="0" fieldPosition="0">
        <references count="4">
          <reference field="0" count="27">
            <x v="24"/>
            <x v="46"/>
            <x v="75"/>
            <x v="126"/>
            <x v="186"/>
            <x v="240"/>
            <x v="248"/>
            <x v="258"/>
            <x v="276"/>
            <x v="281"/>
            <x v="282"/>
            <x v="287"/>
            <x v="292"/>
            <x v="294"/>
            <x v="295"/>
            <x v="342"/>
            <x v="392"/>
            <x v="396"/>
            <x v="412"/>
            <x v="426"/>
            <x v="444"/>
            <x v="481"/>
            <x v="482"/>
            <x v="483"/>
            <x v="487"/>
            <x v="488"/>
            <x v="490"/>
          </reference>
          <reference field="1" count="1" selected="0">
            <x v="5"/>
          </reference>
          <reference field="2" count="1" selected="0">
            <x v="15"/>
          </reference>
          <reference field="3" count="1" selected="0">
            <x v="41"/>
          </reference>
        </references>
      </pivotArea>
    </format>
    <format dxfId="84">
      <pivotArea dataOnly="0" labelOnly="1" outline="0" fieldPosition="0">
        <references count="4">
          <reference field="0" count="1">
            <x v="235"/>
          </reference>
          <reference field="1" count="1" selected="0">
            <x v="5"/>
          </reference>
          <reference field="2" count="1" selected="0">
            <x v="15"/>
          </reference>
          <reference field="3" count="1" selected="0">
            <x v="87"/>
          </reference>
        </references>
      </pivotArea>
    </format>
    <format dxfId="83">
      <pivotArea dataOnly="0" labelOnly="1" outline="0" fieldPosition="0">
        <references count="4">
          <reference field="0" count="7">
            <x v="6"/>
            <x v="7"/>
            <x v="89"/>
            <x v="275"/>
            <x v="303"/>
            <x v="541"/>
            <x v="555"/>
          </reference>
          <reference field="1" count="1" selected="0">
            <x v="6"/>
          </reference>
          <reference field="2" count="1" selected="0">
            <x v="13"/>
          </reference>
          <reference field="3" count="1" selected="0">
            <x v="2"/>
          </reference>
        </references>
      </pivotArea>
    </format>
    <format dxfId="82">
      <pivotArea dataOnly="0" labelOnly="1" outline="0" fieldPosition="0">
        <references count="4">
          <reference field="0" count="2">
            <x v="62"/>
            <x v="106"/>
          </reference>
          <reference field="1" count="1" selected="0">
            <x v="6"/>
          </reference>
          <reference field="2" count="1" selected="0">
            <x v="13"/>
          </reference>
          <reference field="3" count="1" selected="0">
            <x v="21"/>
          </reference>
        </references>
      </pivotArea>
    </format>
    <format dxfId="81">
      <pivotArea dataOnly="0" labelOnly="1" outline="0" fieldPosition="0">
        <references count="4">
          <reference field="0" count="1">
            <x v="341"/>
          </reference>
          <reference field="1" count="1" selected="0">
            <x v="6"/>
          </reference>
          <reference field="2" count="1" selected="0">
            <x v="13"/>
          </reference>
          <reference field="3" count="1" selected="0">
            <x v="23"/>
          </reference>
        </references>
      </pivotArea>
    </format>
    <format dxfId="80">
      <pivotArea dataOnly="0" labelOnly="1" outline="0" fieldPosition="0">
        <references count="4">
          <reference field="0" count="2">
            <x v="80"/>
            <x v="414"/>
          </reference>
          <reference field="1" count="1" selected="0">
            <x v="6"/>
          </reference>
          <reference field="2" count="1" selected="0">
            <x v="13"/>
          </reference>
          <reference field="3" count="1" selected="0">
            <x v="31"/>
          </reference>
        </references>
      </pivotArea>
    </format>
    <format dxfId="79">
      <pivotArea dataOnly="0" labelOnly="1" outline="0" fieldPosition="0">
        <references count="4">
          <reference field="0" count="2">
            <x v="213"/>
            <x v="214"/>
          </reference>
          <reference field="1" count="1" selected="0">
            <x v="6"/>
          </reference>
          <reference field="2" count="1" selected="0">
            <x v="13"/>
          </reference>
          <reference field="3" count="1" selected="0">
            <x v="33"/>
          </reference>
        </references>
      </pivotArea>
    </format>
    <format dxfId="78">
      <pivotArea dataOnly="0" labelOnly="1" outline="0" fieldPosition="0">
        <references count="4">
          <reference field="0" count="2">
            <x v="216"/>
            <x v="351"/>
          </reference>
          <reference field="1" count="1" selected="0">
            <x v="6"/>
          </reference>
          <reference field="2" count="1" selected="0">
            <x v="13"/>
          </reference>
          <reference field="3" count="1" selected="0">
            <x v="48"/>
          </reference>
        </references>
      </pivotArea>
    </format>
    <format dxfId="77">
      <pivotArea dataOnly="0" labelOnly="1" outline="0" fieldPosition="0">
        <references count="4">
          <reference field="0" count="18">
            <x v="8"/>
            <x v="203"/>
            <x v="204"/>
            <x v="205"/>
            <x v="368"/>
            <x v="369"/>
            <x v="370"/>
            <x v="371"/>
            <x v="494"/>
            <x v="495"/>
            <x v="496"/>
            <x v="499"/>
            <x v="502"/>
            <x v="503"/>
            <x v="504"/>
            <x v="505"/>
            <x v="513"/>
            <x v="514"/>
          </reference>
          <reference field="1" count="1" selected="0">
            <x v="7"/>
          </reference>
          <reference field="2" count="1" selected="0">
            <x v="1"/>
          </reference>
          <reference field="3" count="1" selected="0">
            <x v="1"/>
          </reference>
        </references>
      </pivotArea>
    </format>
    <format dxfId="76">
      <pivotArea dataOnly="0" labelOnly="1" outline="0" fieldPosition="0">
        <references count="4">
          <reference field="0" count="2">
            <x v="54"/>
            <x v="409"/>
          </reference>
          <reference field="1" count="1" selected="0">
            <x v="8"/>
          </reference>
          <reference field="2" count="1" selected="0">
            <x v="22"/>
          </reference>
          <reference field="3" count="1" selected="0">
            <x v="10"/>
          </reference>
        </references>
      </pivotArea>
    </format>
    <format dxfId="75">
      <pivotArea dataOnly="0" labelOnly="1" outline="0" fieldPosition="0">
        <references count="4">
          <reference field="0" count="1">
            <x v="142"/>
          </reference>
          <reference field="1" count="1" selected="0">
            <x v="8"/>
          </reference>
          <reference field="2" count="1" selected="0">
            <x v="24"/>
          </reference>
          <reference field="3" count="1" selected="0">
            <x v="38"/>
          </reference>
        </references>
      </pivotArea>
    </format>
    <format dxfId="74">
      <pivotArea dataOnly="0" labelOnly="1" outline="0" fieldPosition="0">
        <references count="4">
          <reference field="0" count="5">
            <x v="418"/>
            <x v="420"/>
            <x v="421"/>
            <x v="422"/>
            <x v="447"/>
          </reference>
          <reference field="1" count="1" selected="0">
            <x v="9"/>
          </reference>
          <reference field="2" count="1" selected="0">
            <x v="7"/>
          </reference>
          <reference field="3" count="1" selected="0">
            <x v="64"/>
          </reference>
        </references>
      </pivotArea>
    </format>
    <format dxfId="73">
      <pivotArea dataOnly="0" labelOnly="1" outline="0" fieldPosition="0">
        <references count="4">
          <reference field="0" count="2">
            <x v="28"/>
            <x v="548"/>
          </reference>
          <reference field="1" count="1" selected="0">
            <x v="9"/>
          </reference>
          <reference field="2" count="1" selected="0">
            <x v="7"/>
          </reference>
          <reference field="3" count="1" selected="0">
            <x v="81"/>
          </reference>
        </references>
      </pivotArea>
    </format>
    <format dxfId="72">
      <pivotArea dataOnly="0" labelOnly="1" outline="0" fieldPosition="0">
        <references count="4">
          <reference field="0" count="13">
            <x v="18"/>
            <x v="21"/>
            <x v="37"/>
            <x v="168"/>
            <x v="169"/>
            <x v="185"/>
            <x v="244"/>
            <x v="251"/>
            <x v="252"/>
            <x v="304"/>
            <x v="441"/>
            <x v="443"/>
            <x v="473"/>
          </reference>
          <reference field="1" count="1" selected="0">
            <x v="9"/>
          </reference>
          <reference field="2" count="1" selected="0">
            <x v="7"/>
          </reference>
          <reference field="3" count="1" selected="0">
            <x v="82"/>
          </reference>
        </references>
      </pivotArea>
    </format>
    <format dxfId="71">
      <pivotArea dataOnly="0" labelOnly="1" outline="0" fieldPosition="0">
        <references count="4">
          <reference field="0" count="4">
            <x v="116"/>
            <x v="117"/>
            <x v="359"/>
            <x v="372"/>
          </reference>
          <reference field="1" count="1" selected="0">
            <x v="10"/>
          </reference>
          <reference field="2" count="1" selected="0">
            <x v="8"/>
          </reference>
          <reference field="3" count="1" selected="0">
            <x v="51"/>
          </reference>
        </references>
      </pivotArea>
    </format>
    <format dxfId="70">
      <pivotArea dataOnly="0" labelOnly="1" outline="0" fieldPosition="0">
        <references count="4">
          <reference field="0" count="1">
            <x v="104"/>
          </reference>
          <reference field="1" count="1" selected="0">
            <x v="11"/>
          </reference>
          <reference field="2" count="1" selected="0">
            <x v="2"/>
          </reference>
          <reference field="3" count="1" selected="0">
            <x v="18"/>
          </reference>
        </references>
      </pivotArea>
    </format>
    <format dxfId="69">
      <pivotArea dataOnly="0" labelOnly="1" outline="0" fieldPosition="0">
        <references count="4">
          <reference field="0" count="1">
            <x v="476"/>
          </reference>
          <reference field="1" count="1" selected="0">
            <x v="12"/>
          </reference>
          <reference field="2" count="1" selected="0">
            <x v="25"/>
          </reference>
          <reference field="3" count="1" selected="0">
            <x v="65"/>
          </reference>
        </references>
      </pivotArea>
    </format>
    <format dxfId="68">
      <pivotArea dataOnly="0" labelOnly="1" outline="0" fieldPosition="0">
        <references count="4">
          <reference field="0" count="50">
            <x v="13"/>
            <x v="14"/>
            <x v="15"/>
            <x v="32"/>
            <x v="35"/>
            <x v="44"/>
            <x v="45"/>
            <x v="48"/>
            <x v="53"/>
            <x v="60"/>
            <x v="77"/>
            <x v="79"/>
            <x v="103"/>
            <x v="125"/>
            <x v="135"/>
            <x v="136"/>
            <x v="167"/>
            <x v="174"/>
            <x v="188"/>
            <x v="206"/>
            <x v="208"/>
            <x v="241"/>
            <x v="242"/>
            <x v="253"/>
            <x v="254"/>
            <x v="261"/>
            <x v="269"/>
            <x v="274"/>
            <x v="277"/>
            <x v="288"/>
            <x v="308"/>
            <x v="322"/>
            <x v="323"/>
            <x v="324"/>
            <x v="344"/>
            <x v="375"/>
            <x v="388"/>
            <x v="389"/>
            <x v="391"/>
            <x v="394"/>
            <x v="401"/>
            <x v="410"/>
            <x v="415"/>
            <x v="419"/>
            <x v="429"/>
            <x v="450"/>
            <x v="451"/>
            <x v="461"/>
            <x v="465"/>
            <x v="467"/>
          </reference>
          <reference field="1" count="1" selected="0">
            <x v="13"/>
          </reference>
          <reference field="2" count="1" selected="0">
            <x v="27"/>
          </reference>
          <reference field="3" count="1" selected="0">
            <x v="76"/>
          </reference>
        </references>
      </pivotArea>
    </format>
    <format dxfId="67">
      <pivotArea dataOnly="0" labelOnly="1" outline="0" fieldPosition="0">
        <references count="4">
          <reference field="0" count="18">
            <x v="468"/>
            <x v="484"/>
            <x v="485"/>
            <x v="492"/>
            <x v="493"/>
            <x v="497"/>
            <x v="498"/>
            <x v="524"/>
            <x v="530"/>
            <x v="531"/>
            <x v="532"/>
            <x v="538"/>
            <x v="539"/>
            <x v="542"/>
            <x v="545"/>
            <x v="546"/>
            <x v="547"/>
            <x v="565"/>
          </reference>
          <reference field="1" count="1" selected="0">
            <x v="13"/>
          </reference>
          <reference field="2" count="1" selected="0">
            <x v="27"/>
          </reference>
          <reference field="3" count="1" selected="0">
            <x v="76"/>
          </reference>
        </references>
      </pivotArea>
    </format>
    <format dxfId="66">
      <pivotArea dataOnly="0" labelOnly="1" outline="0" fieldPosition="0">
        <references count="4">
          <reference field="0" count="50">
            <x v="0"/>
            <x v="3"/>
            <x v="4"/>
            <x v="10"/>
            <x v="25"/>
            <x v="30"/>
            <x v="36"/>
            <x v="43"/>
            <x v="47"/>
            <x v="61"/>
            <x v="63"/>
            <x v="87"/>
            <x v="102"/>
            <x v="130"/>
            <x v="132"/>
            <x v="133"/>
            <x v="138"/>
            <x v="140"/>
            <x v="156"/>
            <x v="165"/>
            <x v="171"/>
            <x v="176"/>
            <x v="179"/>
            <x v="180"/>
            <x v="183"/>
            <x v="184"/>
            <x v="210"/>
            <x v="249"/>
            <x v="257"/>
            <x v="259"/>
            <x v="264"/>
            <x v="278"/>
            <x v="280"/>
            <x v="285"/>
            <x v="286"/>
            <x v="289"/>
            <x v="290"/>
            <x v="291"/>
            <x v="296"/>
            <x v="317"/>
            <x v="325"/>
            <x v="326"/>
            <x v="327"/>
            <x v="328"/>
            <x v="329"/>
            <x v="330"/>
            <x v="338"/>
            <x v="340"/>
            <x v="345"/>
            <x v="346"/>
          </reference>
          <reference field="1" count="1" selected="0">
            <x v="13"/>
          </reference>
          <reference field="2" count="1" selected="0">
            <x v="27"/>
          </reference>
          <reference field="3" count="1" selected="0">
            <x v="77"/>
          </reference>
        </references>
      </pivotArea>
    </format>
    <format dxfId="65">
      <pivotArea dataOnly="0" labelOnly="1" outline="0" fieldPosition="0">
        <references count="4">
          <reference field="0" count="20">
            <x v="374"/>
            <x v="390"/>
            <x v="393"/>
            <x v="402"/>
            <x v="408"/>
            <x v="424"/>
            <x v="428"/>
            <x v="435"/>
            <x v="442"/>
            <x v="445"/>
            <x v="472"/>
            <x v="491"/>
            <x v="517"/>
            <x v="519"/>
            <x v="529"/>
            <x v="533"/>
            <x v="540"/>
            <x v="556"/>
            <x v="560"/>
            <x v="567"/>
          </reference>
          <reference field="1" count="1" selected="0">
            <x v="13"/>
          </reference>
          <reference field="2" count="1" selected="0">
            <x v="27"/>
          </reference>
          <reference field="3" count="1" selected="0">
            <x v="77"/>
          </reference>
        </references>
      </pivotArea>
    </format>
    <format dxfId="64">
      <pivotArea dataOnly="0" labelOnly="1" outline="0" fieldPosition="0">
        <references count="4">
          <reference field="0" count="1">
            <x v="101"/>
          </reference>
          <reference field="1" count="1" selected="0">
            <x v="14"/>
          </reference>
          <reference field="2" count="1" selected="0">
            <x v="14"/>
          </reference>
          <reference field="3" count="1" selected="0">
            <x v="17"/>
          </reference>
        </references>
      </pivotArea>
    </format>
    <format dxfId="63">
      <pivotArea dataOnly="0" labelOnly="1" outline="0" fieldPosition="0">
        <references count="4">
          <reference field="0" count="5">
            <x v="19"/>
            <x v="245"/>
            <x v="250"/>
            <x v="305"/>
            <x v="430"/>
          </reference>
          <reference field="1" count="1" selected="0">
            <x v="14"/>
          </reference>
          <reference field="2" count="1" selected="0">
            <x v="17"/>
          </reference>
          <reference field="3" count="1" selected="0">
            <x v="22"/>
          </reference>
        </references>
      </pivotArea>
    </format>
    <format dxfId="62">
      <pivotArea dataOnly="0" labelOnly="1" outline="0" fieldPosition="0">
        <references count="4">
          <reference field="0" count="11">
            <x v="1"/>
            <x v="71"/>
            <x v="139"/>
            <x v="172"/>
            <x v="197"/>
            <x v="255"/>
            <x v="293"/>
            <x v="384"/>
            <x v="522"/>
            <x v="526"/>
            <x v="561"/>
          </reference>
          <reference field="1" count="1" selected="0">
            <x v="14"/>
          </reference>
          <reference field="2" count="1" selected="0">
            <x v="29"/>
          </reference>
          <reference field="3" count="1" selected="0">
            <x v="86"/>
          </reference>
        </references>
      </pivotArea>
    </format>
    <format dxfId="61">
      <pivotArea dataOnly="0" labelOnly="1" outline="0" fieldPosition="0">
        <references count="4">
          <reference field="0" count="22">
            <x v="64"/>
            <x v="65"/>
            <x v="66"/>
            <x v="67"/>
            <x v="68"/>
            <x v="70"/>
            <x v="190"/>
            <x v="191"/>
            <x v="192"/>
            <x v="193"/>
            <x v="194"/>
            <x v="196"/>
            <x v="398"/>
            <x v="399"/>
            <x v="400"/>
            <x v="453"/>
            <x v="454"/>
            <x v="455"/>
            <x v="456"/>
            <x v="457"/>
            <x v="459"/>
            <x v="566"/>
          </reference>
          <reference field="1" count="1" selected="0">
            <x v="15"/>
          </reference>
          <reference field="2" count="1" selected="0">
            <x v="14"/>
          </reference>
          <reference field="3" count="1" selected="0">
            <x v="30"/>
          </reference>
        </references>
      </pivotArea>
    </format>
    <format dxfId="60">
      <pivotArea dataOnly="0" labelOnly="1" outline="0" fieldPosition="0">
        <references count="4">
          <reference field="0" count="1">
            <x v="355"/>
          </reference>
          <reference field="1" count="1" selected="0">
            <x v="15"/>
          </reference>
          <reference field="2" count="1" selected="0">
            <x v="14"/>
          </reference>
          <reference field="3" count="1" selected="0">
            <x v="50"/>
          </reference>
        </references>
      </pivotArea>
    </format>
    <format dxfId="59">
      <pivotArea dataOnly="0" labelOnly="1" outline="0" fieldPosition="0">
        <references count="4">
          <reference field="0" count="13">
            <x v="90"/>
            <x v="91"/>
            <x v="474"/>
            <x v="500"/>
            <x v="501"/>
            <x v="506"/>
            <x v="507"/>
            <x v="508"/>
            <x v="509"/>
            <x v="510"/>
            <x v="511"/>
            <x v="512"/>
            <x v="515"/>
          </reference>
          <reference field="1" count="1" selected="0">
            <x v="15"/>
          </reference>
          <reference field="2" count="1" selected="0">
            <x v="14"/>
          </reference>
          <reference field="3" count="1" selected="0">
            <x v="70"/>
          </reference>
        </references>
      </pivotArea>
    </format>
    <format dxfId="58">
      <pivotArea dataOnly="0" labelOnly="1" outline="0" fieldPosition="0">
        <references count="4">
          <reference field="0" count="2">
            <x v="200"/>
            <x v="267"/>
          </reference>
          <reference field="1" count="1" selected="0">
            <x v="16"/>
          </reference>
          <reference field="2" count="1" selected="0">
            <x v="26"/>
          </reference>
          <reference field="3" count="1" selected="0">
            <x v="51"/>
          </reference>
        </references>
      </pivotArea>
    </format>
    <format dxfId="57">
      <pivotArea dataOnly="0" labelOnly="1" outline="0" fieldPosition="0">
        <references count="4">
          <reference field="0" count="1">
            <x v="357"/>
          </reference>
          <reference field="1" count="1" selected="0">
            <x v="17"/>
          </reference>
          <reference field="2" count="1" selected="0">
            <x v="23"/>
          </reference>
          <reference field="3" count="1" selected="0">
            <x v="52"/>
          </reference>
        </references>
      </pivotArea>
    </format>
    <format dxfId="56">
      <pivotArea dataOnly="0" labelOnly="1" outline="0" fieldPosition="0">
        <references count="4">
          <reference field="0" count="12">
            <x v="52"/>
            <x v="128"/>
            <x v="129"/>
            <x v="147"/>
            <x v="319"/>
            <x v="436"/>
            <x v="437"/>
            <x v="438"/>
            <x v="439"/>
            <x v="452"/>
            <x v="471"/>
            <x v="520"/>
          </reference>
          <reference field="1" count="1" selected="0">
            <x v="17"/>
          </reference>
          <reference field="2" count="1" selected="0">
            <x v="23"/>
          </reference>
          <reference field="3" count="1" selected="0">
            <x v="62"/>
          </reference>
        </references>
      </pivotArea>
    </format>
    <format dxfId="55">
      <pivotArea dataOnly="0" labelOnly="1" outline="0" fieldPosition="0">
        <references count="4">
          <reference field="0" count="1">
            <x v="159"/>
          </reference>
          <reference field="1" count="1" selected="0">
            <x v="18"/>
          </reference>
          <reference field="2" count="1" selected="0">
            <x v="18"/>
          </reference>
          <reference field="3" count="1" selected="0">
            <x v="26"/>
          </reference>
        </references>
      </pivotArea>
    </format>
    <format dxfId="54">
      <pivotArea dataOnly="0" labelOnly="1" outline="0" fieldPosition="0">
        <references count="4">
          <reference field="0" count="1">
            <x v="217"/>
          </reference>
          <reference field="1" count="1" selected="0">
            <x v="18"/>
          </reference>
          <reference field="2" count="1" selected="0">
            <x v="18"/>
          </reference>
          <reference field="3" count="1" selected="0">
            <x v="36"/>
          </reference>
        </references>
      </pivotArea>
    </format>
    <format dxfId="53">
      <pivotArea dataOnly="0" labelOnly="1" outline="0" fieldPosition="0">
        <references count="4">
          <reference field="0" count="1">
            <x v="316"/>
          </reference>
          <reference field="1" count="1" selected="0">
            <x v="18"/>
          </reference>
          <reference field="2" count="1" selected="0">
            <x v="18"/>
          </reference>
          <reference field="3" count="1" selected="0">
            <x v="63"/>
          </reference>
        </references>
      </pivotArea>
    </format>
    <format dxfId="52">
      <pivotArea dataOnly="0" labelOnly="1" outline="0" fieldPosition="0">
        <references count="4">
          <reference field="0" count="16">
            <x v="76"/>
            <x v="81"/>
            <x v="82"/>
            <x v="83"/>
            <x v="99"/>
            <x v="100"/>
            <x v="145"/>
            <x v="160"/>
            <x v="199"/>
            <x v="309"/>
            <x v="310"/>
            <x v="315"/>
            <x v="378"/>
            <x v="381"/>
            <x v="527"/>
            <x v="554"/>
          </reference>
          <reference field="1" count="1" selected="0">
            <x v="19"/>
          </reference>
          <reference field="2" count="1" selected="0">
            <x v="21"/>
          </reference>
          <reference field="3" count="1" selected="0">
            <x v="54"/>
          </reference>
        </references>
      </pivotArea>
    </format>
    <format dxfId="51">
      <pivotArea dataOnly="0" labelOnly="1" outline="0" fieldPosition="0">
        <references count="4">
          <reference field="0" count="3">
            <x v="143"/>
            <x v="175"/>
            <x v="358"/>
          </reference>
          <reference field="1" count="1" selected="0">
            <x v="20"/>
          </reference>
          <reference field="2" count="1" selected="0">
            <x v="4"/>
          </reference>
          <reference field="3" count="1" selected="0">
            <x v="15"/>
          </reference>
        </references>
      </pivotArea>
    </format>
    <format dxfId="50">
      <pivotArea dataOnly="0" labelOnly="1" outline="0" fieldPosition="0">
        <references count="4">
          <reference field="0" count="9">
            <x v="127"/>
            <x v="202"/>
            <x v="215"/>
            <x v="266"/>
            <x v="403"/>
            <x v="431"/>
            <x v="432"/>
            <x v="433"/>
            <x v="434"/>
          </reference>
          <reference field="1" count="1" selected="0">
            <x v="20"/>
          </reference>
          <reference field="2" count="1" selected="0">
            <x v="4"/>
          </reference>
          <reference field="3" count="1" selected="0">
            <x v="61"/>
          </reference>
        </references>
      </pivotArea>
    </format>
    <format dxfId="49">
      <pivotArea dataOnly="0" labelOnly="1" outline="0" fieldPosition="0">
        <references count="4">
          <reference field="0" count="1">
            <x v="283"/>
          </reference>
          <reference field="1" count="1" selected="0">
            <x v="20"/>
          </reference>
          <reference field="2" count="1" selected="0">
            <x v="4"/>
          </reference>
          <reference field="3" count="1" selected="0">
            <x v="68"/>
          </reference>
        </references>
      </pivotArea>
    </format>
    <format dxfId="48">
      <pivotArea dataOnly="0" labelOnly="1" outline="0" fieldPosition="0">
        <references count="4">
          <reference field="0" count="9">
            <x v="218"/>
            <x v="219"/>
            <x v="222"/>
            <x v="229"/>
            <x v="232"/>
            <x v="233"/>
            <x v="236"/>
            <x v="237"/>
            <x v="238"/>
          </reference>
          <reference field="1" count="1" selected="0">
            <x v="21"/>
          </reference>
          <reference field="2" count="1" selected="0">
            <x v="5"/>
          </reference>
          <reference field="3" count="1" selected="0">
            <x v="35"/>
          </reference>
        </references>
      </pivotArea>
    </format>
    <format dxfId="47">
      <pivotArea dataOnly="0" labelOnly="1" outline="0" fieldPosition="0">
        <references count="4">
          <reference field="0" count="4">
            <x v="38"/>
            <x v="41"/>
            <x v="42"/>
            <x v="480"/>
          </reference>
          <reference field="1" count="1" selected="0">
            <x v="21"/>
          </reference>
          <reference field="2" count="1" selected="0">
            <x v="5"/>
          </reference>
          <reference field="3" count="1" selected="0">
            <x v="45"/>
          </reference>
        </references>
      </pivotArea>
    </format>
    <format dxfId="46">
      <pivotArea dataOnly="0" labelOnly="1" outline="0" fieldPosition="0">
        <references count="4">
          <reference field="0" count="1">
            <x v="29"/>
          </reference>
          <reference field="1" count="1" selected="0">
            <x v="22"/>
          </reference>
          <reference field="2" count="1" selected="0">
            <x v="10"/>
          </reference>
          <reference field="3" count="1" selected="0">
            <x v="4"/>
          </reference>
        </references>
      </pivotArea>
    </format>
    <format dxfId="45">
      <pivotArea dataOnly="0" labelOnly="1" outline="0" fieldPosition="0">
        <references count="4">
          <reference field="0" count="1">
            <x v="34"/>
          </reference>
          <reference field="1" count="1" selected="0">
            <x v="22"/>
          </reference>
          <reference field="2" count="1" selected="0">
            <x v="10"/>
          </reference>
          <reference field="3" count="1" selected="0">
            <x v="5"/>
          </reference>
        </references>
      </pivotArea>
    </format>
    <format dxfId="44">
      <pivotArea dataOnly="0" labelOnly="1" outline="0" fieldPosition="0">
        <references count="4">
          <reference field="0" count="2">
            <x v="39"/>
            <x v="40"/>
          </reference>
          <reference field="1" count="1" selected="0">
            <x v="22"/>
          </reference>
          <reference field="2" count="1" selected="0">
            <x v="10"/>
          </reference>
          <reference field="3" count="1" selected="0">
            <x v="9"/>
          </reference>
        </references>
      </pivotArea>
    </format>
    <format dxfId="43">
      <pivotArea dataOnly="0" labelOnly="1" outline="0" fieldPosition="0">
        <references count="4">
          <reference field="0" count="2">
            <x v="97"/>
            <x v="98"/>
          </reference>
          <reference field="1" count="1" selected="0">
            <x v="22"/>
          </reference>
          <reference field="2" count="1" selected="0">
            <x v="10"/>
          </reference>
          <reference field="3" count="1" selected="0">
            <x v="16"/>
          </reference>
        </references>
      </pivotArea>
    </format>
    <format dxfId="42">
      <pivotArea dataOnly="0" labelOnly="1" outline="0" fieldPosition="0">
        <references count="4">
          <reference field="0" count="1">
            <x v="131"/>
          </reference>
          <reference field="1" count="1" selected="0">
            <x v="22"/>
          </reference>
          <reference field="2" count="1" selected="0">
            <x v="10"/>
          </reference>
          <reference field="3" count="1" selected="0">
            <x v="20"/>
          </reference>
        </references>
      </pivotArea>
    </format>
    <format dxfId="41">
      <pivotArea dataOnly="0" labelOnly="1" outline="0" fieldPosition="0">
        <references count="4">
          <reference field="0" count="17">
            <x v="22"/>
            <x v="95"/>
            <x v="96"/>
            <x v="153"/>
            <x v="181"/>
            <x v="182"/>
            <x v="201"/>
            <x v="228"/>
            <x v="284"/>
            <x v="339"/>
            <x v="404"/>
            <x v="411"/>
            <x v="416"/>
            <x v="440"/>
            <x v="470"/>
            <x v="486"/>
            <x v="562"/>
          </reference>
          <reference field="1" count="1" selected="0">
            <x v="22"/>
          </reference>
          <reference field="2" count="1" selected="0">
            <x v="10"/>
          </reference>
          <reference field="3" count="1" selected="0">
            <x v="28"/>
          </reference>
        </references>
      </pivotArea>
    </format>
    <format dxfId="40">
      <pivotArea dataOnly="0" labelOnly="1" outline="0" fieldPosition="0">
        <references count="4">
          <reference field="0" count="1">
            <x v="212"/>
          </reference>
          <reference field="1" count="1" selected="0">
            <x v="22"/>
          </reference>
          <reference field="2" count="1" selected="0">
            <x v="10"/>
          </reference>
          <reference field="3" count="1" selected="0">
            <x v="32"/>
          </reference>
        </references>
      </pivotArea>
    </format>
    <format dxfId="39">
      <pivotArea dataOnly="0" labelOnly="1" outline="0" fieldPosition="0">
        <references count="4">
          <reference field="0" count="1">
            <x v="239"/>
          </reference>
          <reference field="1" count="1" selected="0">
            <x v="22"/>
          </reference>
          <reference field="2" count="1" selected="0">
            <x v="10"/>
          </reference>
          <reference field="3" count="1" selected="0">
            <x v="37"/>
          </reference>
        </references>
      </pivotArea>
    </format>
    <format dxfId="38">
      <pivotArea dataOnly="0" labelOnly="1" outline="0" fieldPosition="0">
        <references count="4">
          <reference field="0" count="6">
            <x v="88"/>
            <x v="177"/>
            <x v="178"/>
            <x v="268"/>
            <x v="353"/>
            <x v="475"/>
          </reference>
          <reference field="1" count="1" selected="0">
            <x v="22"/>
          </reference>
          <reference field="2" count="1" selected="0">
            <x v="10"/>
          </reference>
          <reference field="3" count="1" selected="0">
            <x v="39"/>
          </reference>
        </references>
      </pivotArea>
    </format>
    <format dxfId="37">
      <pivotArea dataOnly="0" labelOnly="1" outline="0" fieldPosition="0">
        <references count="4">
          <reference field="0" count="2">
            <x v="23"/>
            <x v="352"/>
          </reference>
          <reference field="1" count="1" selected="0">
            <x v="22"/>
          </reference>
          <reference field="2" count="1" selected="0">
            <x v="10"/>
          </reference>
          <reference field="3" count="1" selected="0">
            <x v="40"/>
          </reference>
        </references>
      </pivotArea>
    </format>
    <format dxfId="36">
      <pivotArea dataOnly="0" labelOnly="1" outline="0" fieldPosition="0">
        <references count="4">
          <reference field="0" count="5">
            <x v="50"/>
            <x v="297"/>
            <x v="298"/>
            <x v="300"/>
            <x v="302"/>
          </reference>
          <reference field="1" count="1" selected="0">
            <x v="22"/>
          </reference>
          <reference field="2" count="1" selected="0">
            <x v="10"/>
          </reference>
          <reference field="3" count="1" selected="0">
            <x v="43"/>
          </reference>
        </references>
      </pivotArea>
    </format>
    <format dxfId="35">
      <pivotArea dataOnly="0" labelOnly="1" outline="0" fieldPosition="0">
        <references count="4">
          <reference field="0" count="1">
            <x v="478"/>
          </reference>
          <reference field="1" count="1" selected="0">
            <x v="22"/>
          </reference>
          <reference field="2" count="1" selected="0">
            <x v="10"/>
          </reference>
          <reference field="3" count="1" selected="0">
            <x v="49"/>
          </reference>
        </references>
      </pivotArea>
    </format>
    <format dxfId="34">
      <pivotArea dataOnly="0" labelOnly="1" outline="0" fieldPosition="0">
        <references count="4">
          <reference field="0" count="23">
            <x v="137"/>
            <x v="144"/>
            <x v="152"/>
            <x v="220"/>
            <x v="221"/>
            <x v="223"/>
            <x v="224"/>
            <x v="225"/>
            <x v="226"/>
            <x v="227"/>
            <x v="230"/>
            <x v="231"/>
            <x v="260"/>
            <x v="263"/>
            <x v="331"/>
            <x v="332"/>
            <x v="333"/>
            <x v="334"/>
            <x v="335"/>
            <x v="336"/>
            <x v="354"/>
            <x v="395"/>
            <x v="413"/>
          </reference>
          <reference field="1" count="1" selected="0">
            <x v="22"/>
          </reference>
          <reference field="2" count="1" selected="0">
            <x v="10"/>
          </reference>
          <reference field="3" count="1" selected="0">
            <x v="53"/>
          </reference>
        </references>
      </pivotArea>
    </format>
    <format dxfId="33">
      <pivotArea dataOnly="0" labelOnly="1" outline="0" fieldPosition="0">
        <references count="4">
          <reference field="0" count="2">
            <x v="189"/>
            <x v="301"/>
          </reference>
          <reference field="1" count="1" selected="0">
            <x v="22"/>
          </reference>
          <reference field="2" count="1" selected="0">
            <x v="10"/>
          </reference>
          <reference field="3" count="1" selected="0">
            <x v="56"/>
          </reference>
        </references>
      </pivotArea>
    </format>
    <format dxfId="32">
      <pivotArea dataOnly="0" labelOnly="1" outline="0" fieldPosition="0">
        <references count="4">
          <reference field="0" count="1">
            <x v="407"/>
          </reference>
          <reference field="1" count="1" selected="0">
            <x v="22"/>
          </reference>
          <reference field="2" count="1" selected="0">
            <x v="10"/>
          </reference>
          <reference field="3" count="1" selected="0">
            <x v="59"/>
          </reference>
        </references>
      </pivotArea>
    </format>
    <format dxfId="31">
      <pivotArea dataOnly="0" labelOnly="1" outline="0" fieldPosition="0">
        <references count="4">
          <reference field="0" count="2">
            <x v="536"/>
            <x v="537"/>
          </reference>
          <reference field="1" count="1" selected="0">
            <x v="22"/>
          </reference>
          <reference field="2" count="1" selected="0">
            <x v="10"/>
          </reference>
          <reference field="3" count="1" selected="0">
            <x v="60"/>
          </reference>
        </references>
      </pivotArea>
    </format>
    <format dxfId="30">
      <pivotArea dataOnly="0" labelOnly="1" outline="0" fieldPosition="0">
        <references count="4">
          <reference field="0" count="1">
            <x v="479"/>
          </reference>
          <reference field="1" count="1" selected="0">
            <x v="22"/>
          </reference>
          <reference field="2" count="1" selected="0">
            <x v="10"/>
          </reference>
          <reference field="3" count="1" selected="0">
            <x v="69"/>
          </reference>
        </references>
      </pivotArea>
    </format>
    <format dxfId="29">
      <pivotArea dataOnly="0" labelOnly="1" outline="0" fieldPosition="0">
        <references count="4">
          <reference field="0" count="1">
            <x v="516"/>
          </reference>
          <reference field="1" count="1" selected="0">
            <x v="22"/>
          </reference>
          <reference field="2" count="1" selected="0">
            <x v="10"/>
          </reference>
          <reference field="3" count="1" selected="0">
            <x v="75"/>
          </reference>
        </references>
      </pivotArea>
    </format>
    <format dxfId="28">
      <pivotArea dataOnly="0" labelOnly="1" outline="0" fieldPosition="0">
        <references count="4">
          <reference field="0" count="3">
            <x v="92"/>
            <x v="93"/>
            <x v="521"/>
          </reference>
          <reference field="1" count="1" selected="0">
            <x v="22"/>
          </reference>
          <reference field="2" count="1" selected="0">
            <x v="10"/>
          </reference>
          <reference field="3" count="1" selected="0">
            <x v="80"/>
          </reference>
        </references>
      </pivotArea>
    </format>
    <format dxfId="27">
      <pivotArea dataOnly="0" labelOnly="1" outline="0" fieldPosition="0">
        <references count="4">
          <reference field="0" count="11">
            <x v="49"/>
            <x v="56"/>
            <x v="58"/>
            <x v="148"/>
            <x v="149"/>
            <x v="151"/>
            <x v="154"/>
            <x v="163"/>
            <x v="164"/>
            <x v="518"/>
            <x v="550"/>
          </reference>
          <reference field="1" count="1" selected="0">
            <x v="22"/>
          </reference>
          <reference field="2" count="1" selected="0">
            <x v="11"/>
          </reference>
          <reference field="3" count="1" selected="0">
            <x v="24"/>
          </reference>
        </references>
      </pivotArea>
    </format>
    <format dxfId="26">
      <pivotArea dataOnly="0" labelOnly="1" outline="0" fieldPosition="0">
        <references count="4">
          <reference field="0" count="1">
            <x v="155"/>
          </reference>
          <reference field="1" count="1" selected="0">
            <x v="22"/>
          </reference>
          <reference field="2" count="1" selected="0">
            <x v="11"/>
          </reference>
          <reference field="3" count="1" selected="0">
            <x v="25"/>
          </reference>
        </references>
      </pivotArea>
    </format>
    <format dxfId="25">
      <pivotArea dataOnly="0" labelOnly="1" outline="0" fieldPosition="0">
        <references count="4">
          <reference field="0" count="4">
            <x v="312"/>
            <x v="320"/>
            <x v="380"/>
            <x v="528"/>
          </reference>
          <reference field="1" count="1" selected="0">
            <x v="22"/>
          </reference>
          <reference field="2" count="1" selected="0">
            <x v="11"/>
          </reference>
          <reference field="3" count="1" selected="0">
            <x v="46"/>
          </reference>
        </references>
      </pivotArea>
    </format>
    <format dxfId="24">
      <pivotArea dataOnly="0" labelOnly="1" outline="0" fieldPosition="0">
        <references count="4">
          <reference field="0" count="7">
            <x v="84"/>
            <x v="150"/>
            <x v="311"/>
            <x v="376"/>
            <x v="377"/>
            <x v="379"/>
            <x v="477"/>
          </reference>
          <reference field="1" count="1" selected="0">
            <x v="22"/>
          </reference>
          <reference field="2" count="1" selected="0">
            <x v="11"/>
          </reference>
          <reference field="3" count="1" selected="0">
            <x v="47"/>
          </reference>
        </references>
      </pivotArea>
    </format>
    <format dxfId="23">
      <pivotArea dataOnly="0" labelOnly="1" outline="0" fieldPosition="0">
        <references count="4">
          <reference field="0" count="1">
            <x v="397"/>
          </reference>
          <reference field="1" count="1" selected="0">
            <x v="22"/>
          </reference>
          <reference field="2" count="1" selected="0">
            <x v="11"/>
          </reference>
          <reference field="3" count="1" selected="0">
            <x v="55"/>
          </reference>
        </references>
      </pivotArea>
    </format>
    <format dxfId="22">
      <pivotArea dataOnly="0" labelOnly="1" outline="0" fieldPosition="0">
        <references count="4">
          <reference field="0" count="1">
            <x v="406"/>
          </reference>
          <reference field="1" count="1" selected="0">
            <x v="22"/>
          </reference>
          <reference field="2" count="1" selected="0">
            <x v="11"/>
          </reference>
          <reference field="3" count="1" selected="0">
            <x v="57"/>
          </reference>
        </references>
      </pivotArea>
    </format>
    <format dxfId="21">
      <pivotArea dataOnly="0" labelOnly="1" outline="0" fieldPosition="0">
        <references count="4">
          <reference field="0" count="5">
            <x v="55"/>
            <x v="270"/>
            <x v="271"/>
            <x v="272"/>
            <x v="273"/>
          </reference>
          <reference field="1" count="1" selected="0">
            <x v="22"/>
          </reference>
          <reference field="2" count="1" selected="0">
            <x v="11"/>
          </reference>
          <reference field="3" count="1" selected="0">
            <x v="58"/>
          </reference>
        </references>
      </pivotArea>
    </format>
    <format dxfId="20">
      <pivotArea dataOnly="0" labelOnly="1" outline="0" fieldPosition="0">
        <references count="4">
          <reference field="0" count="1">
            <x v="449"/>
          </reference>
          <reference field="1" count="1" selected="0">
            <x v="22"/>
          </reference>
          <reference field="2" count="1" selected="0">
            <x v="11"/>
          </reference>
          <reference field="3" count="1" selected="0">
            <x v="67"/>
          </reference>
        </references>
      </pivotArea>
    </format>
    <format dxfId="19">
      <pivotArea dataOnly="0" labelOnly="1" outline="0" fieldPosition="0">
        <references count="4">
          <reference field="0" count="1">
            <x v="382"/>
          </reference>
          <reference field="1" count="1" selected="0">
            <x v="22"/>
          </reference>
          <reference field="2" count="1" selected="0">
            <x v="11"/>
          </reference>
          <reference field="3" count="1" selected="0">
            <x v="71"/>
          </reference>
        </references>
      </pivotArea>
    </format>
    <format dxfId="18">
      <pivotArea dataOnly="0" labelOnly="1" outline="0" fieldPosition="0">
        <references count="4">
          <reference field="0" count="3">
            <x v="549"/>
            <x v="551"/>
            <x v="552"/>
          </reference>
          <reference field="1" count="1" selected="0">
            <x v="22"/>
          </reference>
          <reference field="2" count="1" selected="0">
            <x v="11"/>
          </reference>
          <reference field="3" count="1" selected="0">
            <x v="83"/>
          </reference>
        </references>
      </pivotArea>
    </format>
    <format dxfId="17">
      <pivotArea dataOnly="0" labelOnly="1" outline="0" fieldPosition="0">
        <references count="4">
          <reference field="0" count="1">
            <x v="553"/>
          </reference>
          <reference field="1" count="1" selected="0">
            <x v="22"/>
          </reference>
          <reference field="2" count="1" selected="0">
            <x v="11"/>
          </reference>
          <reference field="3" count="1" selected="0">
            <x v="84"/>
          </reference>
        </references>
      </pivotArea>
    </format>
    <format dxfId="16">
      <pivotArea dataOnly="0" labelOnly="1" outline="0" fieldPosition="0">
        <references count="4">
          <reference field="0" count="1">
            <x v="9"/>
          </reference>
          <reference field="1" count="1" selected="0">
            <x v="22"/>
          </reference>
          <reference field="2" count="1" selected="0">
            <x v="12"/>
          </reference>
          <reference field="3" count="1" selected="0">
            <x v="3"/>
          </reference>
        </references>
      </pivotArea>
    </format>
    <format dxfId="15">
      <pivotArea dataOnly="0" labelOnly="1" outline="0" fieldPosition="0">
        <references count="4">
          <reference field="0" count="1">
            <x v="146"/>
          </reference>
          <reference field="1" count="1" selected="0">
            <x v="22"/>
          </reference>
          <reference field="2" count="1" selected="0">
            <x v="12"/>
          </reference>
          <reference field="3" count="1" selected="0">
            <x v="13"/>
          </reference>
        </references>
      </pivotArea>
    </format>
    <format dxfId="14">
      <pivotArea dataOnly="0" labelOnly="1" outline="0" fieldPosition="0">
        <references count="4">
          <reference field="0" count="1">
            <x v="85"/>
          </reference>
          <reference field="1" count="1" selected="0">
            <x v="22"/>
          </reference>
          <reference field="2" count="1" selected="0">
            <x v="12"/>
          </reference>
          <reference field="3" count="1" selected="0">
            <x v="14"/>
          </reference>
        </references>
      </pivotArea>
    </format>
    <format dxfId="13">
      <pivotArea dataOnly="0" labelOnly="1" outline="0" fieldPosition="0">
        <references count="4">
          <reference field="0" count="2">
            <x v="57"/>
            <x v="162"/>
          </reference>
          <reference field="1" count="1" selected="0">
            <x v="22"/>
          </reference>
          <reference field="2" count="1" selected="0">
            <x v="12"/>
          </reference>
          <reference field="3" count="1" selected="0">
            <x v="27"/>
          </reference>
        </references>
      </pivotArea>
    </format>
    <format dxfId="12">
      <pivotArea dataOnly="0" labelOnly="1" outline="0" fieldPosition="0">
        <references count="4">
          <reference field="0" count="2">
            <x v="211"/>
            <x v="564"/>
          </reference>
          <reference field="1" count="1" selected="0">
            <x v="22"/>
          </reference>
          <reference field="2" count="1" selected="0">
            <x v="12"/>
          </reference>
          <reference field="3" count="1" selected="0">
            <x v="34"/>
          </reference>
        </references>
      </pivotArea>
    </format>
    <format dxfId="11">
      <pivotArea dataOnly="0" labelOnly="1" outline="0" fieldPosition="0">
        <references count="4">
          <reference field="0" count="7">
            <x v="118"/>
            <x v="119"/>
            <x v="120"/>
            <x v="121"/>
            <x v="122"/>
            <x v="123"/>
            <x v="124"/>
          </reference>
          <reference field="1" count="1" selected="0">
            <x v="23"/>
          </reference>
          <reference field="2" count="1" selected="0">
            <x v="3"/>
          </reference>
          <reference field="3" count="1" selected="0">
            <x v="19"/>
          </reference>
        </references>
      </pivotArea>
    </format>
    <format dxfId="10">
      <pivotArea dataOnly="0" labelOnly="1" outline="0" fieldPosition="0">
        <references count="4">
          <reference field="0" count="1">
            <x v="306"/>
          </reference>
          <reference field="1" count="1" selected="0">
            <x v="23"/>
          </reference>
          <reference field="2" count="1" selected="0">
            <x v="9"/>
          </reference>
          <reference field="3" count="1" selected="0">
            <x v="44"/>
          </reference>
        </references>
      </pivotArea>
    </format>
    <format dxfId="9">
      <pivotArea dataOnly="0" labelOnly="1" outline="0" fieldPosition="0">
        <references count="4">
          <reference field="0" count="1">
            <x v="170"/>
          </reference>
          <reference field="1" count="1" selected="0">
            <x v="23"/>
          </reference>
          <reference field="2" count="1" selected="0">
            <x v="22"/>
          </reference>
          <reference field="3" count="1" selected="0">
            <x v="29"/>
          </reference>
        </references>
      </pivotArea>
    </format>
    <format dxfId="8">
      <pivotArea dataOnly="0" labelOnly="1" outline="0" fieldPosition="0">
        <references count="4">
          <reference field="0" count="1">
            <x v="448"/>
          </reference>
          <reference field="1" count="1" selected="0">
            <x v="23"/>
          </reference>
          <reference field="2" count="1" selected="0">
            <x v="22"/>
          </reference>
          <reference field="3" count="1" selected="0">
            <x v="66"/>
          </reference>
        </references>
      </pivotArea>
    </format>
    <format dxfId="7">
      <pivotArea dataOnly="0" labelOnly="1" outline="0" fieldPosition="0">
        <references count="4">
          <reference field="0" count="2">
            <x v="313"/>
            <x v="356"/>
          </reference>
          <reference field="1" count="1" selected="0">
            <x v="23"/>
          </reference>
          <reference field="2" count="1" selected="0">
            <x v="22"/>
          </reference>
          <reference field="3" count="1" selected="0">
            <x v="72"/>
          </reference>
        </references>
      </pivotArea>
    </format>
    <format dxfId="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ivotTable" Target="../pivotTables/pivotTable1.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printerSettings" Target="../printerSettings/printerSettings5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printerSettings" Target="../printerSettings/printerSettings6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printerSettings" Target="../printerSettings/printerSettings6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printerSettings" Target="../printerSettings/printerSettings6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printerSettings" Target="../printerSettings/printerSettings7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printerSettings" Target="../printerSettings/printerSettings8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1.xml"/><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0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0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11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59"/>
  <sheetViews>
    <sheetView view="pageBreakPreview" topLeftCell="A32" zoomScale="80" zoomScaleNormal="100" zoomScaleSheetLayoutView="80" workbookViewId="0">
      <selection activeCell="B2" sqref="B2:G59"/>
    </sheetView>
  </sheetViews>
  <sheetFormatPr defaultColWidth="8.88671875" defaultRowHeight="14.4"/>
  <cols>
    <col min="2" max="2" width="80.44140625" customWidth="1"/>
    <col min="3" max="5" width="15.44140625" bestFit="1" customWidth="1"/>
    <col min="6" max="7" width="15.44140625" customWidth="1"/>
    <col min="8" max="8" width="2.88671875" customWidth="1"/>
    <col min="10" max="12" width="11.33203125" bestFit="1" customWidth="1"/>
    <col min="13" max="13" width="9.88671875" bestFit="1" customWidth="1"/>
  </cols>
  <sheetData>
    <row r="1" spans="2:13" ht="15" thickBot="1">
      <c r="B1">
        <v>100000</v>
      </c>
    </row>
    <row r="2" spans="2:13" ht="21">
      <c r="B2" s="2232" t="s">
        <v>702</v>
      </c>
      <c r="C2" s="2233"/>
      <c r="D2" s="2233"/>
      <c r="E2" s="2233"/>
      <c r="F2" s="2233"/>
      <c r="G2" s="2234"/>
    </row>
    <row r="3" spans="2:13" ht="21">
      <c r="B3" s="2236" t="s">
        <v>4705</v>
      </c>
      <c r="C3" s="2237"/>
      <c r="D3" s="2237"/>
      <c r="E3" s="2237"/>
      <c r="F3" s="2237"/>
      <c r="G3" s="2238"/>
      <c r="H3" s="915"/>
      <c r="I3" s="906"/>
    </row>
    <row r="4" spans="2:13">
      <c r="B4" s="824"/>
      <c r="G4" s="825"/>
    </row>
    <row r="5" spans="2:13" ht="15.6">
      <c r="B5" s="824"/>
      <c r="G5" s="920" t="s">
        <v>2699</v>
      </c>
      <c r="H5" s="867"/>
      <c r="I5" s="867"/>
    </row>
    <row r="6" spans="2:13">
      <c r="B6" s="2225" t="s">
        <v>463</v>
      </c>
      <c r="C6" s="2228" t="s">
        <v>2700</v>
      </c>
      <c r="D6" s="2228"/>
      <c r="E6" s="2228"/>
      <c r="F6" s="2229" t="s">
        <v>756</v>
      </c>
      <c r="G6" s="2230"/>
    </row>
    <row r="7" spans="2:13">
      <c r="B7" s="2226"/>
      <c r="C7" s="377" t="s">
        <v>2701</v>
      </c>
      <c r="D7" s="377" t="s">
        <v>2701</v>
      </c>
      <c r="E7" s="377" t="s">
        <v>2701</v>
      </c>
      <c r="F7" s="377" t="s">
        <v>2702</v>
      </c>
      <c r="G7" s="921" t="s">
        <v>2702</v>
      </c>
      <c r="J7" s="2224" t="s">
        <v>2750</v>
      </c>
      <c r="K7" s="2224"/>
      <c r="L7" s="2224"/>
      <c r="M7" s="2224"/>
    </row>
    <row r="8" spans="2:13">
      <c r="B8" s="2227"/>
      <c r="C8" s="918">
        <v>45382</v>
      </c>
      <c r="D8" s="918">
        <v>45291</v>
      </c>
      <c r="E8" s="918">
        <v>45016</v>
      </c>
      <c r="F8" s="918">
        <v>45382</v>
      </c>
      <c r="G8" s="922">
        <v>45016</v>
      </c>
      <c r="J8" s="908">
        <v>45107</v>
      </c>
      <c r="K8" s="908">
        <v>45199</v>
      </c>
      <c r="L8" s="908">
        <v>45291</v>
      </c>
      <c r="M8" s="866" t="s">
        <v>824</v>
      </c>
    </row>
    <row r="9" spans="2:13">
      <c r="B9" s="923" t="s">
        <v>2703</v>
      </c>
      <c r="C9" s="868"/>
      <c r="D9" s="868"/>
      <c r="E9" s="868"/>
      <c r="F9" s="868"/>
      <c r="G9" s="924"/>
    </row>
    <row r="10" spans="2:13">
      <c r="B10" s="925" t="s">
        <v>2704</v>
      </c>
      <c r="C10" s="869">
        <f>+F10-M10</f>
        <v>1532.7520640000002</v>
      </c>
      <c r="D10" s="869">
        <f>+L10</f>
        <v>1683.87</v>
      </c>
      <c r="E10" s="869">
        <v>2193.16</v>
      </c>
      <c r="F10" s="869">
        <f>+BSPL!G79/'Result 1 P&amp;L'!$B$1</f>
        <v>5891.822064</v>
      </c>
      <c r="G10" s="926">
        <f>+BSPL!H79/'Result 1 P&amp;L'!$B$1</f>
        <v>10523.1770242</v>
      </c>
      <c r="J10" s="907">
        <v>759.44</v>
      </c>
      <c r="K10" s="907">
        <v>1915.76</v>
      </c>
      <c r="L10" s="1">
        <v>1683.87</v>
      </c>
      <c r="M10" s="1">
        <f>+J10+K10+L10</f>
        <v>4359.07</v>
      </c>
    </row>
    <row r="11" spans="2:13">
      <c r="B11" s="925" t="s">
        <v>2705</v>
      </c>
      <c r="C11" s="869">
        <f>+F11-M11</f>
        <v>3.7877899999999993</v>
      </c>
      <c r="D11" s="869">
        <f>+L11</f>
        <v>4</v>
      </c>
      <c r="E11" s="869">
        <v>9.5500000000000007</v>
      </c>
      <c r="F11" s="869">
        <f>+BSPL!G80/'Result 1 P&amp;L'!$B$1</f>
        <v>9.0177899999999998</v>
      </c>
      <c r="G11" s="926">
        <f>+BSPL!H80/'Result 1 P&amp;L'!$B$1</f>
        <v>10.91313059849001</v>
      </c>
      <c r="J11" s="907">
        <v>0</v>
      </c>
      <c r="K11" s="907">
        <v>1.23</v>
      </c>
      <c r="L11" s="1">
        <v>4</v>
      </c>
      <c r="M11" s="1">
        <f>+J11+K11+L11</f>
        <v>5.23</v>
      </c>
    </row>
    <row r="12" spans="2:13">
      <c r="B12" s="927" t="s">
        <v>2706</v>
      </c>
      <c r="C12" s="533">
        <f>SUM(C10:C11)</f>
        <v>1536.5398540000003</v>
      </c>
      <c r="D12" s="533">
        <f>SUM(D10:D11)</f>
        <v>1687.87</v>
      </c>
      <c r="E12" s="533">
        <f>SUM(E10:E11)</f>
        <v>2202.71</v>
      </c>
      <c r="F12" s="533">
        <f t="shared" ref="F12:G12" si="0">SUM(F10:F11)</f>
        <v>5900.8398539999998</v>
      </c>
      <c r="G12" s="928">
        <f t="shared" si="0"/>
        <v>10534.09015479849</v>
      </c>
      <c r="J12" s="907"/>
      <c r="K12" s="907"/>
      <c r="L12" s="1"/>
      <c r="M12" s="870">
        <f t="shared" ref="M12" si="1">SUM(M10:M11)</f>
        <v>4364.2999999999993</v>
      </c>
    </row>
    <row r="13" spans="2:13">
      <c r="B13" s="929" t="s">
        <v>2707</v>
      </c>
      <c r="C13" s="869"/>
      <c r="D13" s="869"/>
      <c r="E13" s="869"/>
      <c r="F13" s="869"/>
      <c r="G13" s="926"/>
      <c r="J13" s="907"/>
      <c r="K13" s="907"/>
      <c r="L13" s="1"/>
      <c r="M13" s="1"/>
    </row>
    <row r="14" spans="2:13">
      <c r="B14" s="925" t="s">
        <v>2708</v>
      </c>
      <c r="C14" s="869">
        <f t="shared" ref="C14:C19" si="2">+F14-M14</f>
        <v>1093.7378749000004</v>
      </c>
      <c r="D14" s="869">
        <f t="shared" ref="D14:D19" si="3">+L14</f>
        <v>1162.72</v>
      </c>
      <c r="E14" s="869">
        <v>1647.62</v>
      </c>
      <c r="F14" s="869">
        <f>+BSPL!G83/'Result 1 P&amp;L'!$B$1</f>
        <v>4139.2978749000004</v>
      </c>
      <c r="G14" s="926">
        <f>+BSPL!H83/'Result 1 P&amp;L'!$B$1</f>
        <v>8151.2370549999996</v>
      </c>
      <c r="J14" s="907">
        <v>484.32</v>
      </c>
      <c r="K14" s="907">
        <v>1398.52</v>
      </c>
      <c r="L14" s="1">
        <v>1162.72</v>
      </c>
      <c r="M14" s="1">
        <f>+J14+K14+L14</f>
        <v>3045.56</v>
      </c>
    </row>
    <row r="15" spans="2:13">
      <c r="B15" s="925" t="s">
        <v>2709</v>
      </c>
      <c r="C15" s="869">
        <f t="shared" si="2"/>
        <v>-7.5988073326678744</v>
      </c>
      <c r="D15" s="869">
        <f t="shared" si="3"/>
        <v>34.94</v>
      </c>
      <c r="E15" s="869">
        <v>-86.91</v>
      </c>
      <c r="F15" s="869">
        <f>+BSPL!G85/'Result 1 P&amp;L'!$B$1</f>
        <v>123.56119266733212</v>
      </c>
      <c r="G15" s="926">
        <f>+BSPL!H85/'Result 1 P&amp;L'!$B$1</f>
        <v>6.2306499999999998</v>
      </c>
      <c r="J15" s="907">
        <v>122.37</v>
      </c>
      <c r="K15" s="907">
        <v>-26.15</v>
      </c>
      <c r="L15" s="1">
        <v>34.94</v>
      </c>
      <c r="M15" s="1">
        <f t="shared" ref="M15:M19" si="4">+J15+K15+L15</f>
        <v>131.16</v>
      </c>
    </row>
    <row r="16" spans="2:13">
      <c r="B16" s="925" t="s">
        <v>2710</v>
      </c>
      <c r="C16" s="869">
        <f t="shared" si="2"/>
        <v>69.490649999999988</v>
      </c>
      <c r="D16" s="869">
        <f t="shared" si="3"/>
        <v>57.55</v>
      </c>
      <c r="E16" s="869">
        <v>0.1</v>
      </c>
      <c r="F16" s="869">
        <f>+BSPL!G86/'Result 1 P&amp;L'!$B$1</f>
        <v>205.98065</v>
      </c>
      <c r="G16" s="926">
        <f>+BSPL!H86/'Result 1 P&amp;L'!$B$1</f>
        <v>184.73732000000001</v>
      </c>
      <c r="J16" s="907">
        <v>27.66</v>
      </c>
      <c r="K16" s="907">
        <v>51.28</v>
      </c>
      <c r="L16" s="1">
        <v>57.55</v>
      </c>
      <c r="M16" s="1">
        <f t="shared" si="4"/>
        <v>136.49</v>
      </c>
    </row>
    <row r="17" spans="2:13">
      <c r="B17" s="925" t="s">
        <v>2711</v>
      </c>
      <c r="C17" s="869">
        <f t="shared" si="2"/>
        <v>63.219450000000009</v>
      </c>
      <c r="D17" s="869">
        <f t="shared" si="3"/>
        <v>35.75</v>
      </c>
      <c r="E17" s="869">
        <v>19.64</v>
      </c>
      <c r="F17" s="869">
        <f>+BSPL!G87/'Result 1 P&amp;L'!$B$1</f>
        <v>156.44945000000001</v>
      </c>
      <c r="G17" s="926">
        <f>+BSPL!H87/'Result 1 P&amp;L'!$B$1</f>
        <v>85.876410000000007</v>
      </c>
      <c r="J17" s="907">
        <v>23.74</v>
      </c>
      <c r="K17" s="907">
        <v>33.74</v>
      </c>
      <c r="L17" s="1">
        <v>35.75</v>
      </c>
      <c r="M17" s="1">
        <f t="shared" si="4"/>
        <v>93.23</v>
      </c>
    </row>
    <row r="18" spans="2:13">
      <c r="B18" s="925" t="s">
        <v>2712</v>
      </c>
      <c r="C18" s="869">
        <f t="shared" si="2"/>
        <v>60.238959999999963</v>
      </c>
      <c r="D18" s="869">
        <f t="shared" si="3"/>
        <v>45.2</v>
      </c>
      <c r="E18" s="869">
        <v>38.54</v>
      </c>
      <c r="F18" s="869">
        <f>+BSPL!G88/'Result 1 P&amp;L'!$B$1</f>
        <v>195.83895999999999</v>
      </c>
      <c r="G18" s="926">
        <f>+BSPL!H88/'Result 1 P&amp;L'!$B$1</f>
        <v>180.81667364197128</v>
      </c>
      <c r="J18" s="907">
        <v>45.2</v>
      </c>
      <c r="K18" s="907">
        <v>45.2</v>
      </c>
      <c r="L18" s="1">
        <v>45.2</v>
      </c>
      <c r="M18" s="1">
        <f t="shared" si="4"/>
        <v>135.60000000000002</v>
      </c>
    </row>
    <row r="19" spans="2:13">
      <c r="B19" s="925" t="s">
        <v>2713</v>
      </c>
      <c r="C19" s="869">
        <f t="shared" si="2"/>
        <v>512.33419370000001</v>
      </c>
      <c r="D19" s="869">
        <f t="shared" si="3"/>
        <v>536.36</v>
      </c>
      <c r="E19" s="869">
        <v>524.19000000000005</v>
      </c>
      <c r="F19" s="869">
        <f>+BSPL!G89/'Result 1 P&amp;L'!$B$1</f>
        <v>1766.9141936999999</v>
      </c>
      <c r="G19" s="926">
        <f>+BSPL!H89/'Result 1 P&amp;L'!$B$1</f>
        <v>2422.9425275999997</v>
      </c>
      <c r="J19" s="1">
        <v>197.55</v>
      </c>
      <c r="K19" s="907">
        <v>520.66999999999996</v>
      </c>
      <c r="L19" s="1">
        <v>536.36</v>
      </c>
      <c r="M19" s="1">
        <f t="shared" si="4"/>
        <v>1254.58</v>
      </c>
    </row>
    <row r="20" spans="2:13">
      <c r="B20" s="927" t="s">
        <v>2714</v>
      </c>
      <c r="C20" s="533">
        <f>SUM(C14:C19)</f>
        <v>1791.4223212673326</v>
      </c>
      <c r="D20" s="533">
        <f>SUM(D14:D19)+0.01</f>
        <v>1872.53</v>
      </c>
      <c r="E20" s="533">
        <f>SUM(E14:E19)</f>
        <v>2143.1799999999998</v>
      </c>
      <c r="F20" s="533">
        <f>SUM(F14:F19)</f>
        <v>6588.0423212673322</v>
      </c>
      <c r="G20" s="928">
        <f>SUM(G14:G19)</f>
        <v>11031.840636241972</v>
      </c>
      <c r="J20" s="1"/>
      <c r="K20" s="1"/>
      <c r="L20" s="1"/>
      <c r="M20" s="870">
        <f>SUM(M14:M19)</f>
        <v>4796.62</v>
      </c>
    </row>
    <row r="21" spans="2:13" ht="33.75" customHeight="1">
      <c r="B21" s="930" t="s">
        <v>2715</v>
      </c>
      <c r="C21" s="533">
        <f>+C12-C20</f>
        <v>-254.88246726733223</v>
      </c>
      <c r="D21" s="533">
        <f>+D12-D20+0.01</f>
        <v>-184.65000000000009</v>
      </c>
      <c r="E21" s="533">
        <f>+E12-E20</f>
        <v>59.5300000000002</v>
      </c>
      <c r="F21" s="533">
        <f>+F12-F20</f>
        <v>-687.20246726733239</v>
      </c>
      <c r="G21" s="928">
        <f>+G12-G20</f>
        <v>-497.75048144348148</v>
      </c>
      <c r="J21" s="1"/>
      <c r="K21" s="1"/>
      <c r="L21" s="1"/>
      <c r="M21" s="870">
        <f>+M12-M20</f>
        <v>-432.32000000000062</v>
      </c>
    </row>
    <row r="22" spans="2:13">
      <c r="B22" s="931" t="s">
        <v>2716</v>
      </c>
      <c r="C22" s="871">
        <v>0</v>
      </c>
      <c r="D22" s="871">
        <v>0</v>
      </c>
      <c r="E22" s="871">
        <v>0</v>
      </c>
      <c r="F22" s="533">
        <f>+[70]BSPL!F97/'[71]Result 1 P&amp;L'!$A$1</f>
        <v>0</v>
      </c>
      <c r="G22" s="932">
        <v>0</v>
      </c>
      <c r="J22" s="1"/>
      <c r="K22" s="1"/>
      <c r="L22" s="1"/>
      <c r="M22" s="1"/>
    </row>
    <row r="23" spans="2:13">
      <c r="B23" s="933" t="s">
        <v>2717</v>
      </c>
      <c r="C23" s="919">
        <f>+C21+C22</f>
        <v>-254.88246726733223</v>
      </c>
      <c r="D23" s="919">
        <f t="shared" ref="D23:E23" si="5">+D21+D22</f>
        <v>-184.65000000000009</v>
      </c>
      <c r="E23" s="919">
        <f t="shared" si="5"/>
        <v>59.5300000000002</v>
      </c>
      <c r="F23" s="919">
        <f>+F21+F22</f>
        <v>-687.20246726733239</v>
      </c>
      <c r="G23" s="934">
        <f>+G21+G22</f>
        <v>-497.75048144348148</v>
      </c>
      <c r="J23" s="1"/>
      <c r="K23" s="1"/>
      <c r="L23" s="1"/>
      <c r="M23" s="1"/>
    </row>
    <row r="24" spans="2:13">
      <c r="B24" s="824" t="s">
        <v>2718</v>
      </c>
      <c r="C24" s="871"/>
      <c r="D24" s="871"/>
      <c r="E24" s="871"/>
      <c r="F24" s="871"/>
      <c r="G24" s="932"/>
      <c r="J24" s="1"/>
      <c r="K24" s="1"/>
      <c r="L24" s="1"/>
      <c r="M24" s="1"/>
    </row>
    <row r="25" spans="2:13">
      <c r="B25" s="927" t="s">
        <v>2719</v>
      </c>
      <c r="C25" s="533">
        <f>C12-C20</f>
        <v>-254.88246726733223</v>
      </c>
      <c r="D25" s="533">
        <f>D12-D20+0.01</f>
        <v>-184.65000000000009</v>
      </c>
      <c r="E25" s="533">
        <f>E12-E20</f>
        <v>59.5300000000002</v>
      </c>
      <c r="F25" s="533">
        <f>F12-F20</f>
        <v>-687.20246726733239</v>
      </c>
      <c r="G25" s="928">
        <f>G12-G20</f>
        <v>-497.75048144348148</v>
      </c>
      <c r="J25" s="1"/>
      <c r="K25" s="1"/>
      <c r="L25" s="1"/>
      <c r="M25" s="1"/>
    </row>
    <row r="26" spans="2:13">
      <c r="B26" s="931" t="s">
        <v>2720</v>
      </c>
      <c r="C26" s="869"/>
      <c r="D26" s="869"/>
      <c r="E26" s="869"/>
      <c r="F26" s="869"/>
      <c r="G26" s="926"/>
      <c r="J26" s="1"/>
      <c r="K26" s="1"/>
      <c r="L26" s="1"/>
      <c r="M26" s="1"/>
    </row>
    <row r="27" spans="2:13">
      <c r="B27" s="925" t="s">
        <v>2721</v>
      </c>
      <c r="C27" s="869">
        <f t="shared" ref="C27:C30" si="6">+F27-M27</f>
        <v>0</v>
      </c>
      <c r="D27" s="869"/>
      <c r="E27" s="869">
        <v>0</v>
      </c>
      <c r="F27" s="869">
        <f>+BSPL!G96/'Result 1 P&amp;L'!$B$1</f>
        <v>0</v>
      </c>
      <c r="G27" s="926">
        <f>+BSPL!H96/'Result 1 P&amp;L'!$B$1</f>
        <v>0</v>
      </c>
      <c r="J27" s="1">
        <v>0</v>
      </c>
      <c r="K27" s="1">
        <v>0</v>
      </c>
      <c r="L27" s="1">
        <f t="shared" ref="L27:L30" si="7">+D27</f>
        <v>0</v>
      </c>
      <c r="M27" s="1">
        <f t="shared" ref="M27:M30" si="8">+SUM(J27:L27)</f>
        <v>0</v>
      </c>
    </row>
    <row r="28" spans="2:13">
      <c r="B28" s="925" t="s">
        <v>2722</v>
      </c>
      <c r="C28" s="869">
        <f t="shared" si="6"/>
        <v>0</v>
      </c>
      <c r="D28" s="869"/>
      <c r="E28" s="869">
        <v>0</v>
      </c>
      <c r="F28" s="869">
        <f>+BSPL!G97/'Result 1 P&amp;L'!$B$1</f>
        <v>0</v>
      </c>
      <c r="G28" s="926">
        <f>+BSPL!H97/'Result 1 P&amp;L'!$B$1</f>
        <v>0</v>
      </c>
      <c r="J28" s="1">
        <v>0</v>
      </c>
      <c r="K28" s="1">
        <v>0</v>
      </c>
      <c r="L28" s="1">
        <f t="shared" si="7"/>
        <v>0</v>
      </c>
      <c r="M28" s="1">
        <f t="shared" si="8"/>
        <v>0</v>
      </c>
    </row>
    <row r="29" spans="2:13">
      <c r="B29" s="925" t="s">
        <v>2723</v>
      </c>
      <c r="C29" s="869">
        <f t="shared" si="6"/>
        <v>0</v>
      </c>
      <c r="D29" s="869"/>
      <c r="E29" s="869">
        <v>0</v>
      </c>
      <c r="F29" s="869">
        <f>+BSPL!G98/'Result 1 P&amp;L'!$B$1</f>
        <v>0</v>
      </c>
      <c r="G29" s="926">
        <f>+BSPL!H98/'Result 1 P&amp;L'!$B$1</f>
        <v>0</v>
      </c>
      <c r="J29" s="1">
        <v>0</v>
      </c>
      <c r="K29" s="1">
        <v>0</v>
      </c>
      <c r="L29" s="1">
        <f t="shared" si="7"/>
        <v>0</v>
      </c>
      <c r="M29" s="1">
        <f t="shared" si="8"/>
        <v>0</v>
      </c>
    </row>
    <row r="30" spans="2:13">
      <c r="B30" s="925" t="s">
        <v>2724</v>
      </c>
      <c r="C30" s="869">
        <f t="shared" si="6"/>
        <v>-176.08870467050835</v>
      </c>
      <c r="D30" s="869"/>
      <c r="E30" s="869">
        <v>-120.45</v>
      </c>
      <c r="F30" s="869">
        <f>+BSPL!G99/'Result 1 P&amp;L'!$B$1</f>
        <v>-176.08870467050835</v>
      </c>
      <c r="G30" s="926">
        <f>+BSPL!H99/'Result 1 P&amp;L'!$B$1</f>
        <v>-120.453720312252</v>
      </c>
      <c r="J30" s="1">
        <v>0</v>
      </c>
      <c r="K30" s="1">
        <v>0</v>
      </c>
      <c r="L30" s="1">
        <f t="shared" si="7"/>
        <v>0</v>
      </c>
      <c r="M30" s="1">
        <f t="shared" si="8"/>
        <v>0</v>
      </c>
    </row>
    <row r="31" spans="2:13">
      <c r="B31" s="935" t="s">
        <v>2725</v>
      </c>
      <c r="C31" s="872">
        <f>SUM(C27:C30)</f>
        <v>-176.08870467050835</v>
      </c>
      <c r="D31" s="872">
        <f t="shared" ref="D31:G31" si="9">SUM(D27:D30)</f>
        <v>0</v>
      </c>
      <c r="E31" s="872">
        <f t="shared" si="9"/>
        <v>-120.45</v>
      </c>
      <c r="F31" s="872">
        <f t="shared" si="9"/>
        <v>-176.08870467050835</v>
      </c>
      <c r="G31" s="936">
        <f t="shared" si="9"/>
        <v>-120.453720312252</v>
      </c>
      <c r="J31" s="1"/>
      <c r="K31" s="1"/>
      <c r="L31" s="1"/>
      <c r="M31" s="1"/>
    </row>
    <row r="32" spans="2:13">
      <c r="B32" s="927" t="s">
        <v>2726</v>
      </c>
      <c r="C32" s="533">
        <f>C25-C31</f>
        <v>-78.793762596823882</v>
      </c>
      <c r="D32" s="533">
        <f>D25-D31</f>
        <v>-184.65000000000009</v>
      </c>
      <c r="E32" s="533">
        <f>E25-E31</f>
        <v>179.98000000000019</v>
      </c>
      <c r="F32" s="533">
        <f>F25-F31</f>
        <v>-511.11376259682402</v>
      </c>
      <c r="G32" s="928">
        <f t="shared" ref="G32" si="10">G25-G31</f>
        <v>-377.29676113122946</v>
      </c>
      <c r="J32" s="1"/>
      <c r="K32" s="1"/>
      <c r="L32" s="1"/>
      <c r="M32" s="1"/>
    </row>
    <row r="33" spans="2:13">
      <c r="B33" s="931"/>
      <c r="C33" s="872"/>
      <c r="D33" s="872"/>
      <c r="E33" s="872"/>
      <c r="F33" s="872"/>
      <c r="G33" s="936"/>
      <c r="J33" s="1"/>
      <c r="K33" s="1"/>
      <c r="L33" s="1"/>
      <c r="M33" s="1"/>
    </row>
    <row r="34" spans="2:13">
      <c r="B34" s="931" t="s">
        <v>2727</v>
      </c>
      <c r="C34" s="869"/>
      <c r="D34" s="869"/>
      <c r="E34" s="869"/>
      <c r="F34" s="869"/>
      <c r="G34" s="926"/>
      <c r="J34" s="1"/>
      <c r="K34" s="1"/>
      <c r="L34" s="1"/>
      <c r="M34" s="1"/>
    </row>
    <row r="35" spans="2:13">
      <c r="B35" s="925" t="s">
        <v>2728</v>
      </c>
      <c r="C35" s="869">
        <f t="shared" ref="C35:C36" si="11">+F35-M35</f>
        <v>14.51163</v>
      </c>
      <c r="D35" s="869">
        <v>0</v>
      </c>
      <c r="E35" s="869">
        <v>4.53</v>
      </c>
      <c r="F35" s="869">
        <f>+BSPL!G104/'Result 1 P&amp;L'!$B$1</f>
        <v>14.51163</v>
      </c>
      <c r="G35" s="926">
        <f>+BSPL!H104/'Result 1 P&amp;L'!$B$1</f>
        <v>4.5342099999999999</v>
      </c>
      <c r="J35" s="1">
        <v>0</v>
      </c>
      <c r="K35" s="1">
        <v>0</v>
      </c>
      <c r="L35" s="1">
        <f t="shared" ref="L35:L36" si="12">+D35</f>
        <v>0</v>
      </c>
      <c r="M35" s="1">
        <f t="shared" ref="M35:M36" si="13">+SUM(J35:L35)</f>
        <v>0</v>
      </c>
    </row>
    <row r="36" spans="2:13">
      <c r="B36" s="925" t="s">
        <v>2729</v>
      </c>
      <c r="C36" s="874">
        <f t="shared" si="11"/>
        <v>0</v>
      </c>
      <c r="D36" s="874">
        <v>0</v>
      </c>
      <c r="E36" s="874">
        <v>0</v>
      </c>
      <c r="F36" s="874">
        <f>+BSPL!G105/'Result 1 P&amp;L'!$B$1</f>
        <v>0</v>
      </c>
      <c r="G36" s="937">
        <f>+BSPL!H105/'Result 1 P&amp;L'!$B$1</f>
        <v>0</v>
      </c>
      <c r="J36" s="1">
        <v>0</v>
      </c>
      <c r="K36" s="1">
        <v>0</v>
      </c>
      <c r="L36" s="1">
        <f t="shared" si="12"/>
        <v>0</v>
      </c>
      <c r="M36" s="1">
        <f t="shared" si="13"/>
        <v>0</v>
      </c>
    </row>
    <row r="37" spans="2:13">
      <c r="B37" s="927" t="s">
        <v>781</v>
      </c>
      <c r="C37" s="872">
        <f>SUM(C35:C36)</f>
        <v>14.51163</v>
      </c>
      <c r="D37" s="872">
        <f t="shared" ref="D37:G37" si="14">SUM(D35:D36)</f>
        <v>0</v>
      </c>
      <c r="E37" s="872">
        <f t="shared" si="14"/>
        <v>4.53</v>
      </c>
      <c r="F37" s="872">
        <f t="shared" si="14"/>
        <v>14.51163</v>
      </c>
      <c r="G37" s="936">
        <f t="shared" si="14"/>
        <v>4.5342099999999999</v>
      </c>
      <c r="J37" s="376"/>
      <c r="K37" s="376"/>
      <c r="L37" s="376"/>
      <c r="M37" s="376"/>
    </row>
    <row r="38" spans="2:13">
      <c r="B38" s="938" t="s">
        <v>2730</v>
      </c>
      <c r="C38" s="533">
        <f>+C32+C37</f>
        <v>-64.282132596823885</v>
      </c>
      <c r="D38" s="533">
        <f t="shared" ref="D38:G38" si="15">+D32+D37</f>
        <v>-184.65000000000009</v>
      </c>
      <c r="E38" s="533">
        <f t="shared" si="15"/>
        <v>184.51000000000019</v>
      </c>
      <c r="F38" s="533">
        <f t="shared" si="15"/>
        <v>-496.60213259682399</v>
      </c>
      <c r="G38" s="928">
        <f t="shared" si="15"/>
        <v>-372.76255113122949</v>
      </c>
      <c r="J38" s="1"/>
      <c r="K38" s="1"/>
      <c r="L38" s="1"/>
      <c r="M38" s="1"/>
    </row>
    <row r="39" spans="2:13">
      <c r="B39" s="939" t="s">
        <v>2731</v>
      </c>
      <c r="C39" s="873">
        <v>269.23</v>
      </c>
      <c r="D39" s="873">
        <v>269.23</v>
      </c>
      <c r="E39" s="873">
        <v>269.23</v>
      </c>
      <c r="F39" s="873">
        <v>269.23</v>
      </c>
      <c r="G39" s="940">
        <v>269.23</v>
      </c>
      <c r="J39" s="1"/>
      <c r="K39" s="1"/>
      <c r="L39" s="1"/>
      <c r="M39" s="1"/>
    </row>
    <row r="40" spans="2:13">
      <c r="B40" s="941" t="s">
        <v>2732</v>
      </c>
      <c r="C40" s="869"/>
      <c r="D40" s="916"/>
      <c r="E40" s="869"/>
      <c r="F40" s="869"/>
      <c r="G40" s="926"/>
      <c r="J40" s="1"/>
      <c r="K40" s="1"/>
      <c r="L40" s="1"/>
      <c r="M40" s="1"/>
    </row>
    <row r="41" spans="2:13">
      <c r="B41" s="939" t="s">
        <v>2733</v>
      </c>
      <c r="C41" s="869"/>
      <c r="D41" s="869"/>
      <c r="E41" s="869"/>
      <c r="F41" s="869"/>
      <c r="G41" s="926"/>
      <c r="J41" s="1"/>
      <c r="K41" s="1"/>
      <c r="L41" s="1"/>
      <c r="M41" s="1"/>
    </row>
    <row r="42" spans="2:13">
      <c r="B42" s="939" t="s">
        <v>2734</v>
      </c>
      <c r="C42" s="869">
        <f t="shared" ref="C42:G42" si="16">+(C32*100000)/(C39*100000/10)</f>
        <v>-2.9266338296929719</v>
      </c>
      <c r="D42" s="869">
        <f t="shared" si="16"/>
        <v>-6.8584481669947657</v>
      </c>
      <c r="E42" s="869">
        <f t="shared" si="16"/>
        <v>6.6849905285443745</v>
      </c>
      <c r="F42" s="869">
        <f t="shared" si="16"/>
        <v>-18.984279708681203</v>
      </c>
      <c r="G42" s="926">
        <f t="shared" si="16"/>
        <v>-14.013919738930635</v>
      </c>
      <c r="J42" s="1"/>
      <c r="K42" s="1"/>
      <c r="L42" s="1"/>
      <c r="M42" s="1"/>
    </row>
    <row r="43" spans="2:13" ht="15" thickBot="1">
      <c r="B43" s="942" t="s">
        <v>2735</v>
      </c>
      <c r="C43" s="943">
        <f t="shared" ref="C43:G43" si="17">+(C32*100000)/(C39*100000/10)</f>
        <v>-2.9266338296929719</v>
      </c>
      <c r="D43" s="943">
        <f t="shared" si="17"/>
        <v>-6.8584481669947657</v>
      </c>
      <c r="E43" s="943">
        <f t="shared" si="17"/>
        <v>6.6849905285443745</v>
      </c>
      <c r="F43" s="943">
        <f t="shared" si="17"/>
        <v>-18.984279708681203</v>
      </c>
      <c r="G43" s="944">
        <f t="shared" si="17"/>
        <v>-14.013919738930635</v>
      </c>
      <c r="J43" s="1"/>
      <c r="K43" s="1"/>
      <c r="L43" s="1"/>
      <c r="M43" s="1"/>
    </row>
    <row r="44" spans="2:13">
      <c r="J44" s="1"/>
      <c r="K44" s="1"/>
      <c r="L44" s="1"/>
      <c r="M44" s="1"/>
    </row>
    <row r="45" spans="2:13" ht="15.6">
      <c r="B45" s="875" t="s">
        <v>2736</v>
      </c>
      <c r="J45" s="1"/>
      <c r="K45" s="1"/>
      <c r="L45" s="1"/>
      <c r="M45" s="1"/>
    </row>
    <row r="46" spans="2:13">
      <c r="B46" s="2231" t="s">
        <v>4752</v>
      </c>
      <c r="C46" s="2231"/>
      <c r="D46" s="2231"/>
      <c r="E46" s="2231"/>
      <c r="F46" s="2231"/>
      <c r="G46" s="2231"/>
      <c r="J46" s="1"/>
      <c r="K46" s="1"/>
      <c r="L46" s="1"/>
      <c r="M46" s="1"/>
    </row>
    <row r="47" spans="2:13">
      <c r="B47" s="2218"/>
      <c r="C47" s="2218"/>
      <c r="D47" s="2218"/>
      <c r="E47" s="2218"/>
      <c r="F47" s="2218"/>
      <c r="G47" s="2218"/>
      <c r="J47" s="1"/>
      <c r="K47" s="1"/>
      <c r="L47" s="1"/>
      <c r="M47" s="1"/>
    </row>
    <row r="48" spans="2:13" ht="16.2" customHeight="1">
      <c r="B48" s="2231" t="s">
        <v>4758</v>
      </c>
      <c r="C48" s="2231"/>
      <c r="D48" s="2231"/>
      <c r="E48" s="2231"/>
      <c r="F48" s="2231"/>
      <c r="G48" s="2231"/>
      <c r="J48" s="1"/>
      <c r="K48" s="1"/>
      <c r="L48" s="1"/>
      <c r="M48" s="1"/>
    </row>
    <row r="49" spans="2:8">
      <c r="B49" s="328"/>
      <c r="C49" s="328"/>
      <c r="D49" s="328"/>
      <c r="E49" s="328"/>
      <c r="F49" s="328"/>
      <c r="G49" s="328"/>
    </row>
    <row r="50" spans="2:8">
      <c r="B50" s="2231" t="s">
        <v>4753</v>
      </c>
      <c r="C50" s="2231"/>
      <c r="D50" s="2231"/>
      <c r="E50" s="2231"/>
      <c r="F50" s="2231"/>
      <c r="G50" s="2231"/>
    </row>
    <row r="51" spans="2:8">
      <c r="B51" s="2231"/>
      <c r="C51" s="2231"/>
      <c r="D51" s="2231"/>
      <c r="E51" s="2231"/>
      <c r="F51" s="2231"/>
      <c r="G51" s="2231"/>
    </row>
    <row r="52" spans="2:8">
      <c r="B52" s="328"/>
      <c r="C52" s="328"/>
      <c r="D52" s="328"/>
      <c r="E52" s="328"/>
      <c r="F52" s="328"/>
      <c r="G52" s="328"/>
    </row>
    <row r="53" spans="2:8" ht="20.25" customHeight="1">
      <c r="B53" s="2231" t="s">
        <v>4754</v>
      </c>
      <c r="C53" s="2231"/>
      <c r="D53" s="2231"/>
      <c r="E53" s="2231"/>
      <c r="F53" s="2231"/>
      <c r="G53" s="2231"/>
    </row>
    <row r="54" spans="2:8">
      <c r="B54" s="328"/>
      <c r="C54" s="328"/>
      <c r="D54" s="328"/>
      <c r="E54" s="328"/>
      <c r="F54" s="328"/>
      <c r="G54" s="328"/>
    </row>
    <row r="55" spans="2:8" ht="24" customHeight="1">
      <c r="B55" s="2231" t="s">
        <v>4755</v>
      </c>
      <c r="C55" s="2231"/>
      <c r="D55" s="2231"/>
      <c r="E55" s="2231"/>
      <c r="F55" s="2231"/>
      <c r="G55" s="2231"/>
      <c r="H55" s="328"/>
    </row>
    <row r="57" spans="2:8" ht="30" customHeight="1">
      <c r="B57" s="2235" t="s">
        <v>4756</v>
      </c>
      <c r="C57" s="2235"/>
      <c r="D57" s="2235"/>
      <c r="E57" s="2235"/>
      <c r="F57" s="2235"/>
      <c r="G57" s="2235"/>
    </row>
    <row r="59" spans="2:8">
      <c r="B59" t="s">
        <v>4757</v>
      </c>
    </row>
  </sheetData>
  <customSheetViews>
    <customSheetView guid="{ADEA4918-0326-423A-8D00-FB47A486004B}" scale="80" showPageBreaks="1" printArea="1" view="pageBreakPreview">
      <selection activeCell="F38" sqref="F38"/>
      <pageMargins left="0.7" right="0.7" top="0.75" bottom="0.75" header="0.3" footer="0.3"/>
      <pageSetup scale="53" orientation="portrait" r:id="rId1"/>
    </customSheetView>
    <customSheetView guid="{2A78E287-3113-4387-BB62-BE98FA5C13C2}" scale="80" showPageBreaks="1" printArea="1" view="pageBreakPreview">
      <selection activeCell="D595" sqref="D595"/>
      <pageMargins left="0.7" right="0.7" top="0.75" bottom="0.75" header="0.3" footer="0.3"/>
      <pageSetup scale="53" orientation="portrait" r:id="rId2"/>
    </customSheetView>
    <customSheetView guid="{DC5DA12B-0FA6-4F41-A983-6E433AD4604D}" scale="93" showPageBreaks="1" printArea="1" view="pageBreakPreview" topLeftCell="A27">
      <selection activeCell="D26" sqref="D26"/>
      <pageMargins left="0.7" right="0.7" top="0.75" bottom="0.75" header="0.3" footer="0.3"/>
      <pageSetup scale="53" orientation="portrait" r:id="rId3"/>
    </customSheetView>
  </customSheetViews>
  <mergeCells count="12">
    <mergeCell ref="B2:G2"/>
    <mergeCell ref="B50:G51"/>
    <mergeCell ref="B53:G53"/>
    <mergeCell ref="B55:G55"/>
    <mergeCell ref="B57:G57"/>
    <mergeCell ref="B3:G3"/>
    <mergeCell ref="B48:G48"/>
    <mergeCell ref="J7:M7"/>
    <mergeCell ref="B6:B8"/>
    <mergeCell ref="C6:E6"/>
    <mergeCell ref="F6:G6"/>
    <mergeCell ref="B46:G46"/>
  </mergeCells>
  <pageMargins left="0.7" right="0.7" top="0.75" bottom="0.75" header="0.3" footer="0.3"/>
  <pageSetup scale="53"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92AD-A340-43FF-8822-316C8E817093}">
  <sheetPr>
    <pageSetUpPr fitToPage="1"/>
  </sheetPr>
  <dimension ref="A1:I715"/>
  <sheetViews>
    <sheetView workbookViewId="0">
      <pane ySplit="2" topLeftCell="A269" activePane="bottomLeft" state="frozen"/>
      <selection activeCell="C1" sqref="C1"/>
      <selection pane="bottomLeft" activeCell="D281" sqref="D281"/>
    </sheetView>
  </sheetViews>
  <sheetFormatPr defaultRowHeight="14.4"/>
  <cols>
    <col min="1" max="1" width="11.6640625" bestFit="1" customWidth="1"/>
    <col min="2" max="2" width="40.88671875" bestFit="1" customWidth="1"/>
    <col min="3" max="3" width="42.88671875" bestFit="1" customWidth="1"/>
    <col min="4" max="4" width="49.44140625" bestFit="1" customWidth="1"/>
    <col min="5" max="5" width="20.33203125" bestFit="1" customWidth="1"/>
    <col min="6" max="6" width="20.109375" bestFit="1" customWidth="1"/>
    <col min="7" max="7" width="20.33203125" bestFit="1" customWidth="1"/>
    <col min="8" max="8" width="20.109375" bestFit="1" customWidth="1"/>
    <col min="9" max="10" width="12" bestFit="1" customWidth="1"/>
  </cols>
  <sheetData>
    <row r="1" spans="1:8">
      <c r="E1" s="4" t="s">
        <v>3025</v>
      </c>
    </row>
    <row r="2" spans="1:8">
      <c r="A2" s="1746" t="s">
        <v>1</v>
      </c>
      <c r="B2" s="1746" t="s">
        <v>2</v>
      </c>
      <c r="C2" s="1746" t="s">
        <v>3</v>
      </c>
      <c r="D2" s="1746" t="s">
        <v>0</v>
      </c>
      <c r="E2" s="856" t="s">
        <v>3023</v>
      </c>
      <c r="F2" s="856" t="s">
        <v>3024</v>
      </c>
      <c r="G2" t="s">
        <v>595</v>
      </c>
      <c r="H2" t="s">
        <v>596</v>
      </c>
    </row>
    <row r="3" spans="1:8">
      <c r="A3" s="856">
        <v>2</v>
      </c>
      <c r="B3" s="856" t="s">
        <v>77</v>
      </c>
      <c r="C3" s="856" t="s">
        <v>399</v>
      </c>
      <c r="D3" s="856" t="s">
        <v>2252</v>
      </c>
      <c r="E3" s="1506">
        <v>0</v>
      </c>
      <c r="F3" s="1506">
        <v>0</v>
      </c>
      <c r="G3" s="124">
        <v>0</v>
      </c>
      <c r="H3" s="124">
        <v>0</v>
      </c>
    </row>
    <row r="4" spans="1:8">
      <c r="A4" s="856"/>
      <c r="B4" s="856"/>
      <c r="C4" s="856"/>
      <c r="D4" s="856" t="s">
        <v>401</v>
      </c>
      <c r="E4" s="1506">
        <v>0</v>
      </c>
      <c r="F4" s="1506">
        <v>0</v>
      </c>
      <c r="G4" s="124">
        <v>9930454</v>
      </c>
      <c r="H4" s="124">
        <v>0</v>
      </c>
    </row>
    <row r="5" spans="1:8">
      <c r="A5" s="856"/>
      <c r="B5" s="856"/>
      <c r="C5" s="856"/>
      <c r="D5" s="856" t="s">
        <v>400</v>
      </c>
      <c r="E5" s="1506">
        <v>0</v>
      </c>
      <c r="F5" s="1506">
        <v>0</v>
      </c>
      <c r="G5" s="124">
        <v>198800</v>
      </c>
      <c r="H5" s="124">
        <v>0</v>
      </c>
    </row>
    <row r="6" spans="1:8">
      <c r="A6" s="856"/>
      <c r="B6" s="856"/>
      <c r="C6" s="856"/>
      <c r="D6" s="856" t="s">
        <v>398</v>
      </c>
      <c r="E6" s="1506">
        <v>0</v>
      </c>
      <c r="F6" s="1506">
        <v>0</v>
      </c>
      <c r="G6" s="124">
        <v>1374004</v>
      </c>
      <c r="H6" s="124">
        <v>0</v>
      </c>
    </row>
    <row r="7" spans="1:8">
      <c r="A7" s="856"/>
      <c r="B7" s="856"/>
      <c r="C7" s="856"/>
      <c r="D7" s="856" t="s">
        <v>402</v>
      </c>
      <c r="E7" s="1506">
        <v>0</v>
      </c>
      <c r="F7" s="1506">
        <v>0</v>
      </c>
      <c r="G7" s="124">
        <v>491595</v>
      </c>
      <c r="H7" s="124">
        <v>0</v>
      </c>
    </row>
    <row r="8" spans="1:8">
      <c r="A8" s="856"/>
      <c r="B8" s="856"/>
      <c r="C8" s="856"/>
      <c r="D8" s="856" t="s">
        <v>426</v>
      </c>
      <c r="E8" s="1506">
        <v>0</v>
      </c>
      <c r="F8" s="1506">
        <v>0</v>
      </c>
      <c r="G8" s="124">
        <v>17362000</v>
      </c>
      <c r="H8" s="124">
        <v>0</v>
      </c>
    </row>
    <row r="9" spans="1:8">
      <c r="A9" s="856"/>
      <c r="B9" s="856"/>
      <c r="C9" s="856"/>
      <c r="D9" s="856" t="s">
        <v>2614</v>
      </c>
      <c r="E9" s="1506">
        <v>0</v>
      </c>
      <c r="F9" s="1506">
        <v>0</v>
      </c>
      <c r="G9" s="124">
        <v>300000</v>
      </c>
      <c r="H9" s="124">
        <v>0</v>
      </c>
    </row>
    <row r="10" spans="1:8">
      <c r="A10" s="856"/>
      <c r="B10" s="856"/>
      <c r="C10" s="856"/>
      <c r="D10" s="856" t="s">
        <v>449</v>
      </c>
      <c r="E10" s="1506">
        <v>0</v>
      </c>
      <c r="F10" s="1506">
        <v>0</v>
      </c>
      <c r="G10" s="124">
        <v>6416446.9100000001</v>
      </c>
      <c r="H10" s="124">
        <v>0</v>
      </c>
    </row>
    <row r="11" spans="1:8">
      <c r="A11" s="856"/>
      <c r="B11" s="856"/>
      <c r="C11" s="856"/>
      <c r="D11" s="856" t="s">
        <v>425</v>
      </c>
      <c r="E11" s="1506">
        <v>0</v>
      </c>
      <c r="F11" s="1506">
        <v>0</v>
      </c>
      <c r="G11" s="124">
        <v>26642149.920000002</v>
      </c>
      <c r="H11" s="124">
        <v>0</v>
      </c>
    </row>
    <row r="12" spans="1:8">
      <c r="A12" s="856"/>
      <c r="B12" s="856"/>
      <c r="C12" s="856"/>
      <c r="D12" s="856" t="s">
        <v>450</v>
      </c>
      <c r="E12" s="1506">
        <v>0</v>
      </c>
      <c r="F12" s="1506">
        <v>0</v>
      </c>
      <c r="G12" s="124">
        <v>83731782.780000001</v>
      </c>
      <c r="H12" s="124">
        <v>0</v>
      </c>
    </row>
    <row r="13" spans="1:8">
      <c r="A13" s="856"/>
      <c r="B13" s="856"/>
      <c r="C13" s="856" t="s">
        <v>625</v>
      </c>
      <c r="D13" s="856"/>
      <c r="E13" s="1506">
        <v>0</v>
      </c>
      <c r="F13" s="1506">
        <v>0</v>
      </c>
      <c r="G13" s="124">
        <v>146447232.61000001</v>
      </c>
      <c r="H13" s="124">
        <v>0</v>
      </c>
    </row>
    <row r="14" spans="1:8">
      <c r="A14" s="856"/>
      <c r="B14" s="856"/>
      <c r="C14" s="856" t="s">
        <v>78</v>
      </c>
      <c r="D14" s="856" t="s">
        <v>476</v>
      </c>
      <c r="E14" s="1506">
        <v>74323684.409999996</v>
      </c>
      <c r="F14" s="1506">
        <v>0</v>
      </c>
      <c r="G14" s="124">
        <v>64116710.619999997</v>
      </c>
      <c r="H14" s="124">
        <v>0</v>
      </c>
    </row>
    <row r="15" spans="1:8">
      <c r="A15" s="856"/>
      <c r="B15" s="856"/>
      <c r="C15" s="856"/>
      <c r="D15" s="856" t="s">
        <v>102</v>
      </c>
      <c r="E15" s="1506">
        <v>1056621.7</v>
      </c>
      <c r="F15" s="1506">
        <v>0</v>
      </c>
      <c r="G15" s="124">
        <v>898435.7</v>
      </c>
      <c r="H15" s="124">
        <v>0</v>
      </c>
    </row>
    <row r="16" spans="1:8">
      <c r="A16" s="856"/>
      <c r="B16" s="856"/>
      <c r="C16" s="856"/>
      <c r="D16" s="856" t="s">
        <v>152</v>
      </c>
      <c r="E16" s="1506">
        <v>69445250.989999995</v>
      </c>
      <c r="F16" s="1506">
        <v>0</v>
      </c>
      <c r="G16" s="124">
        <v>26557047.010000002</v>
      </c>
      <c r="H16" s="124">
        <v>0</v>
      </c>
    </row>
    <row r="17" spans="1:9">
      <c r="A17" s="856"/>
      <c r="B17" s="856"/>
      <c r="C17" s="856"/>
      <c r="D17" s="856" t="s">
        <v>175</v>
      </c>
      <c r="E17" s="1506">
        <v>33965000</v>
      </c>
      <c r="F17" s="1506">
        <v>0</v>
      </c>
      <c r="G17" s="124">
        <v>33965000</v>
      </c>
      <c r="H17" s="124">
        <v>0</v>
      </c>
    </row>
    <row r="18" spans="1:9">
      <c r="A18" s="856"/>
      <c r="B18" s="856"/>
      <c r="C18" s="856"/>
      <c r="D18" s="856" t="s">
        <v>176</v>
      </c>
      <c r="E18" s="1506">
        <v>1982848.03</v>
      </c>
      <c r="F18" s="1506">
        <v>0</v>
      </c>
      <c r="G18" s="124">
        <v>1884828.03</v>
      </c>
      <c r="H18" s="124">
        <v>0</v>
      </c>
    </row>
    <row r="19" spans="1:9">
      <c r="A19" s="856"/>
      <c r="B19" s="856"/>
      <c r="C19" s="856"/>
      <c r="D19" s="856" t="s">
        <v>249</v>
      </c>
      <c r="E19" s="1506">
        <v>1208365.8799999999</v>
      </c>
      <c r="F19" s="1506">
        <v>0</v>
      </c>
      <c r="G19" s="124">
        <v>1123742.8799999999</v>
      </c>
      <c r="H19" s="124">
        <v>0</v>
      </c>
    </row>
    <row r="20" spans="1:9">
      <c r="A20" s="856"/>
      <c r="B20" s="856"/>
      <c r="C20" s="856"/>
      <c r="D20" s="856" t="s">
        <v>270</v>
      </c>
      <c r="E20" s="1506">
        <v>348624149.81</v>
      </c>
      <c r="F20" s="1506">
        <v>0</v>
      </c>
      <c r="G20" s="124">
        <v>222167592.13999999</v>
      </c>
      <c r="H20" s="124">
        <v>0</v>
      </c>
    </row>
    <row r="21" spans="1:9">
      <c r="A21" s="856"/>
      <c r="B21" s="856"/>
      <c r="C21" s="856"/>
      <c r="D21" s="856" t="s">
        <v>438</v>
      </c>
      <c r="E21" s="1506">
        <v>2991111</v>
      </c>
      <c r="F21" s="1506">
        <v>0</v>
      </c>
      <c r="G21" s="124">
        <v>2991111</v>
      </c>
      <c r="H21" s="124">
        <v>0</v>
      </c>
    </row>
    <row r="22" spans="1:9">
      <c r="A22" s="856"/>
      <c r="B22" s="856"/>
      <c r="C22" s="856" t="s">
        <v>626</v>
      </c>
      <c r="D22" s="856"/>
      <c r="E22" s="1747">
        <v>533597031.81999999</v>
      </c>
      <c r="F22" s="1747">
        <v>0</v>
      </c>
      <c r="G22" s="1625">
        <v>353704467.38</v>
      </c>
      <c r="H22" s="1625">
        <v>0</v>
      </c>
    </row>
    <row r="23" spans="1:9">
      <c r="A23" s="856"/>
      <c r="B23" s="856"/>
      <c r="C23" s="856" t="s">
        <v>283</v>
      </c>
      <c r="D23" s="856" t="s">
        <v>282</v>
      </c>
      <c r="E23" s="1506">
        <v>0</v>
      </c>
      <c r="F23" s="1506">
        <v>10989233.91</v>
      </c>
      <c r="G23" s="124">
        <v>0</v>
      </c>
      <c r="H23" s="124">
        <v>8886648</v>
      </c>
    </row>
    <row r="24" spans="1:9">
      <c r="A24" s="856"/>
      <c r="B24" s="856"/>
      <c r="C24" s="856"/>
      <c r="D24" s="856" t="s">
        <v>531</v>
      </c>
      <c r="E24" s="1506">
        <v>0</v>
      </c>
      <c r="F24" s="1506">
        <v>869014.41</v>
      </c>
      <c r="G24" s="124">
        <v>0</v>
      </c>
      <c r="H24" s="124">
        <v>771454</v>
      </c>
    </row>
    <row r="25" spans="1:9">
      <c r="A25" s="856"/>
      <c r="B25" s="856"/>
      <c r="C25" s="856"/>
      <c r="D25" s="856" t="s">
        <v>532</v>
      </c>
      <c r="E25" s="1506">
        <v>0</v>
      </c>
      <c r="F25" s="1506">
        <v>17269944.850000001</v>
      </c>
      <c r="G25" s="124">
        <v>0</v>
      </c>
      <c r="H25" s="124">
        <v>19886895</v>
      </c>
    </row>
    <row r="26" spans="1:9">
      <c r="A26" s="856"/>
      <c r="B26" s="856"/>
      <c r="C26" s="856"/>
      <c r="D26" s="856" t="s">
        <v>284</v>
      </c>
      <c r="E26" s="1506">
        <v>0</v>
      </c>
      <c r="F26" s="1506">
        <v>379192</v>
      </c>
      <c r="G26" s="124">
        <v>0</v>
      </c>
      <c r="H26" s="124">
        <v>379192</v>
      </c>
    </row>
    <row r="27" spans="1:9">
      <c r="A27" s="856"/>
      <c r="B27" s="856"/>
      <c r="C27" s="856"/>
      <c r="D27" s="856" t="s">
        <v>533</v>
      </c>
      <c r="E27" s="1506">
        <v>0</v>
      </c>
      <c r="F27" s="1506">
        <v>1218124.6399999999</v>
      </c>
      <c r="G27" s="124">
        <v>0</v>
      </c>
      <c r="H27" s="124">
        <v>1114747</v>
      </c>
    </row>
    <row r="28" spans="1:9">
      <c r="A28" s="856"/>
      <c r="B28" s="856"/>
      <c r="C28" s="856"/>
      <c r="D28" s="856" t="s">
        <v>534</v>
      </c>
      <c r="E28" s="1506">
        <v>0</v>
      </c>
      <c r="F28" s="1506">
        <v>926478.12</v>
      </c>
      <c r="G28" s="124">
        <v>0</v>
      </c>
      <c r="H28" s="124">
        <v>817411</v>
      </c>
    </row>
    <row r="29" spans="1:9">
      <c r="A29" s="856"/>
      <c r="B29" s="856"/>
      <c r="C29" s="856"/>
      <c r="D29" s="856" t="s">
        <v>535</v>
      </c>
      <c r="E29" s="1506">
        <v>0</v>
      </c>
      <c r="F29" s="1506">
        <v>130154367.81999999</v>
      </c>
      <c r="G29" s="124">
        <v>0</v>
      </c>
      <c r="H29" s="124">
        <v>127155757</v>
      </c>
    </row>
    <row r="30" spans="1:9">
      <c r="A30" s="856"/>
      <c r="B30" s="856"/>
      <c r="C30" s="856"/>
      <c r="D30" s="856" t="s">
        <v>536</v>
      </c>
      <c r="E30" s="1506">
        <v>0</v>
      </c>
      <c r="F30" s="1506">
        <v>1611557.77</v>
      </c>
      <c r="G30" s="124">
        <v>0</v>
      </c>
      <c r="H30" s="124">
        <v>1264103</v>
      </c>
    </row>
    <row r="31" spans="1:9">
      <c r="A31" s="856"/>
      <c r="B31" s="856"/>
      <c r="C31" s="856" t="s">
        <v>627</v>
      </c>
      <c r="D31" s="856"/>
      <c r="E31" s="1506">
        <v>0</v>
      </c>
      <c r="F31" s="1506">
        <v>163417913.52000001</v>
      </c>
      <c r="G31" s="124">
        <v>0</v>
      </c>
      <c r="H31" s="124">
        <v>160276207</v>
      </c>
    </row>
    <row r="32" spans="1:9">
      <c r="A32" s="856"/>
      <c r="B32" s="856" t="s">
        <v>597</v>
      </c>
      <c r="C32" s="856"/>
      <c r="D32" s="856"/>
      <c r="E32" s="1506">
        <v>533597031.81999999</v>
      </c>
      <c r="F32" s="1506">
        <v>163417913.52000001</v>
      </c>
      <c r="G32" s="124">
        <v>500151699.98999995</v>
      </c>
      <c r="H32" s="124">
        <v>160276207</v>
      </c>
      <c r="I32">
        <f>+GETPIVOTDATA("Sum of Dr. Final 23-24",$A$1,"Note",2,"BS Main Head","Property, Plant and Equipment")-GETPIVOTDATA("Sum of Cr. Final 23-24",$A$1,"Note",2,"BS Main Head","Property, Plant and Equipment")</f>
        <v>370179118.29999995</v>
      </c>
    </row>
    <row r="33" spans="1:8">
      <c r="A33" s="856" t="s">
        <v>3026</v>
      </c>
      <c r="B33" s="856"/>
      <c r="C33" s="856"/>
      <c r="D33" s="856"/>
      <c r="E33" s="1506">
        <v>533597031.81999999</v>
      </c>
      <c r="F33" s="1506">
        <v>163417913.52000001</v>
      </c>
      <c r="G33" s="124">
        <v>500151699.98999995</v>
      </c>
      <c r="H33" s="124">
        <v>160276207</v>
      </c>
    </row>
    <row r="34" spans="1:8">
      <c r="A34" s="856">
        <v>3</v>
      </c>
      <c r="B34" s="856" t="s">
        <v>120</v>
      </c>
      <c r="C34" s="856" t="s">
        <v>121</v>
      </c>
      <c r="D34" s="856" t="s">
        <v>487</v>
      </c>
      <c r="E34" s="1506">
        <v>900000</v>
      </c>
      <c r="F34" s="1506">
        <v>0</v>
      </c>
      <c r="G34" s="124">
        <v>900000</v>
      </c>
      <c r="H34" s="124">
        <v>0</v>
      </c>
    </row>
    <row r="35" spans="1:8">
      <c r="A35" s="856"/>
      <c r="B35" s="856"/>
      <c r="C35" s="856"/>
      <c r="D35" s="856" t="s">
        <v>122</v>
      </c>
      <c r="E35" s="1506">
        <v>239987</v>
      </c>
      <c r="F35" s="1506">
        <v>0</v>
      </c>
      <c r="G35" s="124">
        <v>225820</v>
      </c>
      <c r="H35" s="124">
        <v>0</v>
      </c>
    </row>
    <row r="36" spans="1:8">
      <c r="A36" s="856"/>
      <c r="B36" s="856"/>
      <c r="C36" s="856"/>
      <c r="D36" s="856" t="s">
        <v>2959</v>
      </c>
      <c r="E36" s="1506">
        <v>150294</v>
      </c>
      <c r="F36" s="1506">
        <v>0</v>
      </c>
      <c r="G36" s="124">
        <v>0</v>
      </c>
      <c r="H36" s="124">
        <v>0</v>
      </c>
    </row>
    <row r="37" spans="1:8">
      <c r="A37" s="856"/>
      <c r="B37" s="856"/>
      <c r="C37" s="856"/>
      <c r="D37" s="856" t="s">
        <v>125</v>
      </c>
      <c r="E37" s="1506">
        <v>0</v>
      </c>
      <c r="F37" s="1506">
        <v>0</v>
      </c>
      <c r="G37" s="124">
        <v>150294</v>
      </c>
      <c r="H37" s="124">
        <v>0</v>
      </c>
    </row>
    <row r="38" spans="1:8">
      <c r="A38" s="856"/>
      <c r="B38" s="856"/>
      <c r="C38" s="856"/>
      <c r="D38" s="856" t="s">
        <v>378</v>
      </c>
      <c r="E38" s="1506">
        <v>273693</v>
      </c>
      <c r="F38" s="1506">
        <v>0</v>
      </c>
      <c r="G38" s="124">
        <v>261462</v>
      </c>
      <c r="H38" s="124">
        <v>0</v>
      </c>
    </row>
    <row r="39" spans="1:8">
      <c r="A39" s="856"/>
      <c r="B39" s="856"/>
      <c r="C39" s="856"/>
      <c r="D39" s="856" t="s">
        <v>171</v>
      </c>
      <c r="E39" s="1506">
        <v>1893357</v>
      </c>
      <c r="F39" s="1506">
        <v>0</v>
      </c>
      <c r="G39" s="124">
        <v>1767870</v>
      </c>
      <c r="H39" s="124">
        <v>0</v>
      </c>
    </row>
    <row r="40" spans="1:8">
      <c r="A40" s="856"/>
      <c r="B40" s="856"/>
      <c r="C40" s="856"/>
      <c r="D40" s="856" t="s">
        <v>274</v>
      </c>
      <c r="E40" s="1506">
        <v>0</v>
      </c>
      <c r="F40" s="1506">
        <v>0</v>
      </c>
      <c r="G40" s="124">
        <v>164180</v>
      </c>
      <c r="H40" s="124">
        <v>0</v>
      </c>
    </row>
    <row r="41" spans="1:8">
      <c r="A41" s="856"/>
      <c r="B41" s="856"/>
      <c r="C41" s="856" t="s">
        <v>628</v>
      </c>
      <c r="D41" s="856"/>
      <c r="E41" s="1506">
        <v>3457331</v>
      </c>
      <c r="F41" s="1506">
        <v>0</v>
      </c>
      <c r="G41" s="124">
        <v>3469626</v>
      </c>
      <c r="H41" s="124">
        <v>0</v>
      </c>
    </row>
    <row r="42" spans="1:8">
      <c r="A42" s="856"/>
      <c r="B42" s="856" t="s">
        <v>598</v>
      </c>
      <c r="C42" s="856"/>
      <c r="D42" s="856"/>
      <c r="E42" s="1747">
        <v>3457331</v>
      </c>
      <c r="F42" s="1747">
        <v>0</v>
      </c>
      <c r="G42" s="1625">
        <v>3469626</v>
      </c>
      <c r="H42" s="1625">
        <v>0</v>
      </c>
    </row>
    <row r="43" spans="1:8">
      <c r="A43" s="856" t="s">
        <v>3027</v>
      </c>
      <c r="B43" s="856"/>
      <c r="C43" s="856"/>
      <c r="D43" s="856"/>
      <c r="E43" s="1506">
        <v>3457331</v>
      </c>
      <c r="F43" s="1506">
        <v>0</v>
      </c>
      <c r="G43" s="124">
        <v>3469626</v>
      </c>
      <c r="H43" s="124">
        <v>0</v>
      </c>
    </row>
    <row r="44" spans="1:8">
      <c r="A44" s="856">
        <v>4</v>
      </c>
      <c r="B44" s="856" t="s">
        <v>22</v>
      </c>
      <c r="C44" s="856" t="s">
        <v>23</v>
      </c>
      <c r="D44" s="856" t="s">
        <v>1113</v>
      </c>
      <c r="E44" s="1506">
        <v>0</v>
      </c>
      <c r="F44" s="1506">
        <v>0</v>
      </c>
      <c r="G44" s="124">
        <v>0</v>
      </c>
      <c r="H44" s="124">
        <v>0</v>
      </c>
    </row>
    <row r="45" spans="1:8">
      <c r="A45" s="856"/>
      <c r="B45" s="856"/>
      <c r="C45" s="856"/>
      <c r="D45" s="856" t="s">
        <v>1114</v>
      </c>
      <c r="E45" s="1506">
        <v>0</v>
      </c>
      <c r="F45" s="1506">
        <v>0</v>
      </c>
      <c r="G45" s="124">
        <v>0</v>
      </c>
      <c r="H45" s="124">
        <v>0</v>
      </c>
    </row>
    <row r="46" spans="1:8">
      <c r="A46" s="856"/>
      <c r="B46" s="856"/>
      <c r="C46" s="856"/>
      <c r="D46" s="856" t="s">
        <v>149</v>
      </c>
      <c r="E46" s="1506">
        <v>0</v>
      </c>
      <c r="F46" s="1506">
        <v>0</v>
      </c>
      <c r="G46" s="124">
        <v>18000</v>
      </c>
      <c r="H46" s="124">
        <v>0</v>
      </c>
    </row>
    <row r="47" spans="1:8">
      <c r="A47" s="856"/>
      <c r="B47" s="856"/>
      <c r="C47" s="856"/>
      <c r="D47" s="856" t="s">
        <v>1115</v>
      </c>
      <c r="E47" s="1506">
        <v>0</v>
      </c>
      <c r="F47" s="1506">
        <v>0</v>
      </c>
      <c r="G47" s="124">
        <v>0</v>
      </c>
      <c r="H47" s="124">
        <v>0</v>
      </c>
    </row>
    <row r="48" spans="1:8">
      <c r="A48" s="856"/>
      <c r="B48" s="856"/>
      <c r="C48" s="856"/>
      <c r="D48" s="856" t="s">
        <v>382</v>
      </c>
      <c r="E48" s="1506">
        <v>0</v>
      </c>
      <c r="F48" s="1506">
        <v>0</v>
      </c>
      <c r="G48" s="124">
        <v>0</v>
      </c>
      <c r="H48" s="124">
        <v>0</v>
      </c>
    </row>
    <row r="49" spans="1:8">
      <c r="A49" s="856"/>
      <c r="B49" s="856"/>
      <c r="C49" s="856"/>
      <c r="D49" s="856" t="s">
        <v>1116</v>
      </c>
      <c r="E49" s="1506">
        <v>0</v>
      </c>
      <c r="F49" s="1506">
        <v>0</v>
      </c>
      <c r="G49" s="124">
        <v>0</v>
      </c>
      <c r="H49" s="124">
        <v>0</v>
      </c>
    </row>
    <row r="50" spans="1:8">
      <c r="A50" s="856"/>
      <c r="B50" s="856"/>
      <c r="C50" s="856"/>
      <c r="D50" s="856" t="s">
        <v>387</v>
      </c>
      <c r="E50" s="1506">
        <v>0</v>
      </c>
      <c r="F50" s="1506">
        <v>0</v>
      </c>
      <c r="G50" s="124">
        <v>0</v>
      </c>
      <c r="H50" s="124">
        <v>0</v>
      </c>
    </row>
    <row r="51" spans="1:8">
      <c r="A51" s="856"/>
      <c r="B51" s="856"/>
      <c r="C51" s="856"/>
      <c r="D51" s="856" t="s">
        <v>1117</v>
      </c>
      <c r="E51" s="1506">
        <v>0</v>
      </c>
      <c r="F51" s="1506">
        <v>0</v>
      </c>
      <c r="G51" s="124">
        <v>0</v>
      </c>
      <c r="H51" s="124">
        <v>0</v>
      </c>
    </row>
    <row r="52" spans="1:8">
      <c r="A52" s="856"/>
      <c r="B52" s="856"/>
      <c r="C52" s="856"/>
      <c r="D52" s="856" t="s">
        <v>415</v>
      </c>
      <c r="E52" s="1506">
        <v>0</v>
      </c>
      <c r="F52" s="1506">
        <v>0</v>
      </c>
      <c r="G52" s="124">
        <v>0</v>
      </c>
      <c r="H52" s="124">
        <v>0</v>
      </c>
    </row>
    <row r="53" spans="1:8">
      <c r="A53" s="856"/>
      <c r="B53" s="856"/>
      <c r="C53" s="856"/>
      <c r="D53" s="856" t="s">
        <v>219</v>
      </c>
      <c r="E53" s="1506">
        <v>0</v>
      </c>
      <c r="F53" s="1506">
        <v>0</v>
      </c>
      <c r="G53" s="124">
        <v>0</v>
      </c>
      <c r="H53" s="124">
        <v>0</v>
      </c>
    </row>
    <row r="54" spans="1:8">
      <c r="A54" s="856"/>
      <c r="B54" s="856"/>
      <c r="C54" s="856"/>
      <c r="D54" s="856" t="s">
        <v>580</v>
      </c>
      <c r="E54" s="1506">
        <v>0</v>
      </c>
      <c r="F54" s="1506">
        <v>0</v>
      </c>
      <c r="G54" s="124">
        <v>204000</v>
      </c>
      <c r="H54" s="124">
        <v>0</v>
      </c>
    </row>
    <row r="55" spans="1:8">
      <c r="A55" s="856"/>
      <c r="B55" s="856"/>
      <c r="C55" s="856" t="s">
        <v>629</v>
      </c>
      <c r="D55" s="856"/>
      <c r="E55" s="1747">
        <v>0</v>
      </c>
      <c r="F55" s="1747">
        <v>0</v>
      </c>
      <c r="G55" s="1625">
        <v>222000</v>
      </c>
      <c r="H55" s="1625">
        <v>0</v>
      </c>
    </row>
    <row r="56" spans="1:8">
      <c r="A56" s="856"/>
      <c r="B56" s="856"/>
      <c r="C56" s="856" t="s">
        <v>119</v>
      </c>
      <c r="D56" s="856" t="s">
        <v>117</v>
      </c>
      <c r="E56" s="1506">
        <v>1296000</v>
      </c>
      <c r="F56" s="1506">
        <v>0</v>
      </c>
      <c r="G56" s="124">
        <v>1153920</v>
      </c>
      <c r="H56" s="124">
        <v>0</v>
      </c>
    </row>
    <row r="57" spans="1:8">
      <c r="A57" s="856"/>
      <c r="B57" s="856"/>
      <c r="C57" s="856"/>
      <c r="D57" s="856" t="s">
        <v>118</v>
      </c>
      <c r="E57" s="1506">
        <v>6800</v>
      </c>
      <c r="F57" s="1506">
        <v>0</v>
      </c>
      <c r="G57" s="124">
        <v>6800</v>
      </c>
      <c r="H57" s="124">
        <v>0</v>
      </c>
    </row>
    <row r="58" spans="1:8">
      <c r="A58" s="856"/>
      <c r="B58" s="856"/>
      <c r="C58" s="856"/>
      <c r="D58" s="856" t="s">
        <v>123</v>
      </c>
      <c r="E58" s="1506">
        <v>330000</v>
      </c>
      <c r="F58" s="1506">
        <v>0</v>
      </c>
      <c r="G58" s="124">
        <v>250000</v>
      </c>
      <c r="H58" s="124">
        <v>0</v>
      </c>
    </row>
    <row r="59" spans="1:8">
      <c r="A59" s="856"/>
      <c r="B59" s="856"/>
      <c r="C59" s="856"/>
      <c r="D59" s="856" t="s">
        <v>124</v>
      </c>
      <c r="E59" s="1506">
        <v>6248400</v>
      </c>
      <c r="F59" s="1506">
        <v>0</v>
      </c>
      <c r="G59" s="124">
        <v>3522100</v>
      </c>
      <c r="H59" s="124">
        <v>0</v>
      </c>
    </row>
    <row r="60" spans="1:8">
      <c r="A60" s="856"/>
      <c r="B60" s="856"/>
      <c r="C60" s="856"/>
      <c r="D60" s="856" t="s">
        <v>485</v>
      </c>
      <c r="E60" s="1506">
        <v>200000</v>
      </c>
      <c r="F60" s="1506">
        <v>0</v>
      </c>
      <c r="G60" s="124">
        <v>200000</v>
      </c>
      <c r="H60" s="124">
        <v>0</v>
      </c>
    </row>
    <row r="61" spans="1:8">
      <c r="A61" s="856"/>
      <c r="B61" s="856"/>
      <c r="C61" s="856"/>
      <c r="D61" s="856" t="s">
        <v>486</v>
      </c>
      <c r="E61" s="1506">
        <v>10777</v>
      </c>
      <c r="F61" s="1506">
        <v>0</v>
      </c>
      <c r="G61" s="124">
        <v>10777</v>
      </c>
      <c r="H61" s="124">
        <v>0</v>
      </c>
    </row>
    <row r="62" spans="1:8">
      <c r="A62" s="856"/>
      <c r="B62" s="856"/>
      <c r="C62" s="856" t="s">
        <v>631</v>
      </c>
      <c r="D62" s="856"/>
      <c r="E62" s="1747">
        <v>8091977</v>
      </c>
      <c r="F62" s="1747">
        <v>0</v>
      </c>
      <c r="G62" s="1625">
        <v>5143597</v>
      </c>
      <c r="H62" s="1625">
        <v>0</v>
      </c>
    </row>
    <row r="63" spans="1:8">
      <c r="A63" s="856"/>
      <c r="B63" s="856" t="s">
        <v>599</v>
      </c>
      <c r="C63" s="856"/>
      <c r="D63" s="856"/>
      <c r="E63" s="1506">
        <v>8091977</v>
      </c>
      <c r="F63" s="1506">
        <v>0</v>
      </c>
      <c r="G63" s="124">
        <v>5365597</v>
      </c>
      <c r="H63" s="124">
        <v>0</v>
      </c>
    </row>
    <row r="64" spans="1:8">
      <c r="A64" s="856" t="s">
        <v>3028</v>
      </c>
      <c r="B64" s="856"/>
      <c r="C64" s="856"/>
      <c r="D64" s="856"/>
      <c r="E64" s="1506">
        <v>8091977</v>
      </c>
      <c r="F64" s="1506">
        <v>0</v>
      </c>
      <c r="G64" s="124">
        <v>5365597</v>
      </c>
      <c r="H64" s="124">
        <v>0</v>
      </c>
    </row>
    <row r="65" spans="1:8">
      <c r="A65" s="856">
        <v>6</v>
      </c>
      <c r="B65" s="856" t="s">
        <v>13</v>
      </c>
      <c r="C65" s="856" t="s">
        <v>14</v>
      </c>
      <c r="D65" s="856" t="s">
        <v>30</v>
      </c>
      <c r="E65" s="1506">
        <v>0</v>
      </c>
      <c r="F65" s="1506">
        <v>0</v>
      </c>
      <c r="G65" s="124">
        <v>0</v>
      </c>
      <c r="H65" s="124">
        <v>33034</v>
      </c>
    </row>
    <row r="66" spans="1:8">
      <c r="A66" s="856"/>
      <c r="B66" s="856"/>
      <c r="C66" s="856"/>
      <c r="D66" s="856" t="s">
        <v>29</v>
      </c>
      <c r="E66" s="1506">
        <v>0</v>
      </c>
      <c r="F66" s="1506">
        <v>0</v>
      </c>
      <c r="G66" s="124">
        <v>509902</v>
      </c>
      <c r="H66" s="124">
        <v>0</v>
      </c>
    </row>
    <row r="67" spans="1:8">
      <c r="A67" s="856"/>
      <c r="B67" s="856"/>
      <c r="C67" s="856"/>
      <c r="D67" s="856" t="s">
        <v>31</v>
      </c>
      <c r="E67" s="1506">
        <v>0</v>
      </c>
      <c r="F67" s="1506">
        <v>0</v>
      </c>
      <c r="G67" s="124">
        <v>0</v>
      </c>
      <c r="H67" s="124">
        <v>0</v>
      </c>
    </row>
    <row r="68" spans="1:8">
      <c r="A68" s="856"/>
      <c r="B68" s="856"/>
      <c r="C68" s="856"/>
      <c r="D68" s="856" t="s">
        <v>15</v>
      </c>
      <c r="E68" s="1506">
        <v>0</v>
      </c>
      <c r="F68" s="1506">
        <v>0</v>
      </c>
      <c r="G68" s="124">
        <v>13460226</v>
      </c>
      <c r="H68" s="124">
        <v>0</v>
      </c>
    </row>
    <row r="69" spans="1:8">
      <c r="A69" s="856"/>
      <c r="B69" s="856"/>
      <c r="C69" s="856"/>
      <c r="D69" s="856" t="s">
        <v>70</v>
      </c>
      <c r="E69" s="1506">
        <v>2734455</v>
      </c>
      <c r="F69" s="1506">
        <v>0</v>
      </c>
      <c r="G69" s="124">
        <v>0</v>
      </c>
      <c r="H69" s="124">
        <v>0</v>
      </c>
    </row>
    <row r="70" spans="1:8">
      <c r="A70" s="856"/>
      <c r="B70" s="856"/>
      <c r="C70" s="856"/>
      <c r="D70" s="856" t="s">
        <v>470</v>
      </c>
      <c r="E70" s="1506">
        <v>0</v>
      </c>
      <c r="F70" s="1506">
        <v>0</v>
      </c>
      <c r="G70" s="124">
        <v>1442225</v>
      </c>
      <c r="H70" s="124">
        <v>0</v>
      </c>
    </row>
    <row r="71" spans="1:8">
      <c r="A71" s="856"/>
      <c r="B71" s="856"/>
      <c r="C71" s="856"/>
      <c r="D71" s="856" t="s">
        <v>363</v>
      </c>
      <c r="E71" s="1506">
        <v>0</v>
      </c>
      <c r="F71" s="1506">
        <v>0</v>
      </c>
      <c r="G71" s="124">
        <v>0</v>
      </c>
      <c r="H71" s="124">
        <v>0</v>
      </c>
    </row>
    <row r="72" spans="1:8">
      <c r="A72" s="856"/>
      <c r="B72" s="856"/>
      <c r="C72" s="856"/>
      <c r="D72" s="856" t="s">
        <v>2945</v>
      </c>
      <c r="E72" s="1506">
        <v>244640</v>
      </c>
      <c r="F72" s="1506">
        <v>0</v>
      </c>
      <c r="G72" s="124">
        <v>0</v>
      </c>
      <c r="H72" s="124">
        <v>0</v>
      </c>
    </row>
    <row r="73" spans="1:8">
      <c r="A73" s="856"/>
      <c r="B73" s="856"/>
      <c r="C73" s="856"/>
      <c r="D73" s="856" t="s">
        <v>472</v>
      </c>
      <c r="E73" s="1506">
        <v>1489956</v>
      </c>
      <c r="F73" s="1506">
        <v>0</v>
      </c>
      <c r="G73" s="124">
        <v>2282129</v>
      </c>
      <c r="H73" s="124">
        <v>0</v>
      </c>
    </row>
    <row r="74" spans="1:8">
      <c r="A74" s="856"/>
      <c r="B74" s="856"/>
      <c r="C74" s="856"/>
      <c r="D74" s="856" t="s">
        <v>2951</v>
      </c>
      <c r="E74" s="1506">
        <v>50118</v>
      </c>
      <c r="F74" s="1506">
        <v>0</v>
      </c>
      <c r="G74" s="124">
        <v>0</v>
      </c>
      <c r="H74" s="124">
        <v>0</v>
      </c>
    </row>
    <row r="75" spans="1:8">
      <c r="A75" s="856"/>
      <c r="B75" s="856"/>
      <c r="C75" s="856"/>
      <c r="D75" s="856" t="s">
        <v>93</v>
      </c>
      <c r="E75" s="1506">
        <v>0</v>
      </c>
      <c r="F75" s="1506">
        <v>0</v>
      </c>
      <c r="G75" s="124">
        <v>10899010</v>
      </c>
      <c r="H75" s="124">
        <v>0</v>
      </c>
    </row>
    <row r="76" spans="1:8">
      <c r="A76" s="856"/>
      <c r="B76" s="856"/>
      <c r="C76" s="856"/>
      <c r="D76" s="856" t="s">
        <v>94</v>
      </c>
      <c r="E76" s="1506">
        <v>0</v>
      </c>
      <c r="F76" s="1506">
        <v>0</v>
      </c>
      <c r="G76" s="124">
        <v>305863</v>
      </c>
      <c r="H76" s="124">
        <v>0</v>
      </c>
    </row>
    <row r="77" spans="1:8">
      <c r="A77" s="856"/>
      <c r="B77" s="856"/>
      <c r="C77" s="856"/>
      <c r="D77" s="856" t="s">
        <v>481</v>
      </c>
      <c r="E77" s="1506">
        <v>233302.6</v>
      </c>
      <c r="F77" s="1506">
        <v>0</v>
      </c>
      <c r="G77" s="124">
        <v>456870</v>
      </c>
      <c r="H77" s="124">
        <v>0</v>
      </c>
    </row>
    <row r="78" spans="1:8">
      <c r="A78" s="856"/>
      <c r="B78" s="856"/>
      <c r="C78" s="856"/>
      <c r="D78" s="856" t="s">
        <v>110</v>
      </c>
      <c r="E78" s="1506">
        <v>0</v>
      </c>
      <c r="F78" s="1506">
        <v>0</v>
      </c>
      <c r="G78" s="124">
        <v>0</v>
      </c>
      <c r="H78" s="124">
        <v>0</v>
      </c>
    </row>
    <row r="79" spans="1:8">
      <c r="A79" s="856"/>
      <c r="B79" s="856"/>
      <c r="C79" s="856"/>
      <c r="D79" s="856" t="s">
        <v>2964</v>
      </c>
      <c r="E79" s="1506">
        <v>152598</v>
      </c>
      <c r="F79" s="1506">
        <v>0</v>
      </c>
      <c r="G79" s="124">
        <v>0</v>
      </c>
      <c r="H79" s="124">
        <v>0</v>
      </c>
    </row>
    <row r="80" spans="1:8">
      <c r="A80" s="856"/>
      <c r="B80" s="856"/>
      <c r="C80" s="856"/>
      <c r="D80" s="856" t="s">
        <v>218</v>
      </c>
      <c r="E80" s="1506">
        <v>231314</v>
      </c>
      <c r="F80" s="1506">
        <v>0</v>
      </c>
      <c r="G80" s="124">
        <v>231314</v>
      </c>
      <c r="H80" s="124"/>
    </row>
    <row r="81" spans="1:8">
      <c r="A81" s="856"/>
      <c r="B81" s="856"/>
      <c r="C81" s="856"/>
      <c r="D81" s="856" t="s">
        <v>433</v>
      </c>
      <c r="E81" s="1506">
        <v>250430</v>
      </c>
      <c r="F81" s="1506">
        <v>0</v>
      </c>
      <c r="G81" s="124">
        <v>563126</v>
      </c>
      <c r="H81" s="124">
        <v>0</v>
      </c>
    </row>
    <row r="82" spans="1:8">
      <c r="A82" s="856"/>
      <c r="B82" s="856"/>
      <c r="C82" s="856"/>
      <c r="D82" s="856" t="s">
        <v>221</v>
      </c>
      <c r="E82" s="1506">
        <v>0</v>
      </c>
      <c r="F82" s="1506">
        <v>0</v>
      </c>
      <c r="G82" s="124">
        <v>0</v>
      </c>
      <c r="H82" s="124">
        <v>0</v>
      </c>
    </row>
    <row r="83" spans="1:8">
      <c r="A83" s="856"/>
      <c r="B83" s="856"/>
      <c r="C83" s="856"/>
      <c r="D83" s="856" t="s">
        <v>230</v>
      </c>
      <c r="E83" s="1506">
        <v>19977798</v>
      </c>
      <c r="F83" s="1506">
        <v>0</v>
      </c>
      <c r="G83" s="124">
        <v>23215022</v>
      </c>
      <c r="H83" s="124">
        <v>0</v>
      </c>
    </row>
    <row r="84" spans="1:8">
      <c r="A84" s="856"/>
      <c r="B84" s="856"/>
      <c r="C84" s="856"/>
      <c r="D84" s="856" t="s">
        <v>2972</v>
      </c>
      <c r="E84" s="1506">
        <v>781839</v>
      </c>
      <c r="F84" s="1506">
        <v>0</v>
      </c>
      <c r="G84" s="124">
        <v>0</v>
      </c>
      <c r="H84" s="124">
        <v>0</v>
      </c>
    </row>
    <row r="85" spans="1:8">
      <c r="A85" s="856"/>
      <c r="B85" s="856"/>
      <c r="C85" s="856"/>
      <c r="D85" s="856" t="s">
        <v>2613</v>
      </c>
      <c r="E85" s="1506">
        <v>0</v>
      </c>
      <c r="F85" s="1506">
        <v>0</v>
      </c>
      <c r="G85" s="124">
        <v>0</v>
      </c>
      <c r="H85" s="124">
        <v>7528</v>
      </c>
    </row>
    <row r="86" spans="1:8">
      <c r="A86" s="856"/>
      <c r="B86" s="856"/>
      <c r="C86" s="856"/>
      <c r="D86" s="856" t="s">
        <v>253</v>
      </c>
      <c r="E86" s="1506">
        <v>131217.84</v>
      </c>
      <c r="F86" s="1506">
        <v>0</v>
      </c>
      <c r="G86" s="124">
        <v>311747</v>
      </c>
      <c r="H86" s="124">
        <v>0</v>
      </c>
    </row>
    <row r="87" spans="1:8">
      <c r="A87" s="856"/>
      <c r="B87" s="856"/>
      <c r="C87" s="856"/>
      <c r="D87" s="856" t="s">
        <v>2980</v>
      </c>
      <c r="E87" s="1506">
        <v>515309</v>
      </c>
      <c r="F87" s="1506">
        <v>0</v>
      </c>
      <c r="G87" s="124">
        <v>0</v>
      </c>
      <c r="H87" s="124">
        <v>0</v>
      </c>
    </row>
    <row r="88" spans="1:8">
      <c r="A88" s="856"/>
      <c r="B88" s="856"/>
      <c r="C88" s="856"/>
      <c r="D88" s="856" t="s">
        <v>262</v>
      </c>
      <c r="E88" s="1506">
        <v>490236</v>
      </c>
      <c r="F88" s="1506">
        <v>0</v>
      </c>
      <c r="G88" s="124">
        <v>0</v>
      </c>
      <c r="H88" s="124">
        <v>0</v>
      </c>
    </row>
    <row r="89" spans="1:8">
      <c r="A89" s="856"/>
      <c r="B89" s="856"/>
      <c r="C89" s="856"/>
      <c r="D89" s="856" t="s">
        <v>272</v>
      </c>
      <c r="E89" s="1506">
        <v>0</v>
      </c>
      <c r="F89" s="1506">
        <v>0</v>
      </c>
      <c r="G89" s="124">
        <v>2898184</v>
      </c>
      <c r="H89" s="124">
        <v>0</v>
      </c>
    </row>
    <row r="90" spans="1:8">
      <c r="A90" s="856"/>
      <c r="B90" s="856"/>
      <c r="C90" s="856"/>
      <c r="D90" s="856" t="s">
        <v>299</v>
      </c>
      <c r="E90" s="1506">
        <v>1924603.5</v>
      </c>
      <c r="F90" s="1506">
        <v>0</v>
      </c>
      <c r="G90" s="124">
        <v>960861.5</v>
      </c>
      <c r="H90" s="124">
        <v>0</v>
      </c>
    </row>
    <row r="91" spans="1:8">
      <c r="A91" s="856"/>
      <c r="B91" s="856"/>
      <c r="C91" s="856"/>
      <c r="D91" s="856" t="s">
        <v>300</v>
      </c>
      <c r="E91" s="1506">
        <v>0</v>
      </c>
      <c r="F91" s="1506">
        <v>0</v>
      </c>
      <c r="G91" s="124">
        <v>0</v>
      </c>
      <c r="H91" s="124">
        <v>0</v>
      </c>
    </row>
    <row r="92" spans="1:8">
      <c r="A92" s="856"/>
      <c r="B92" s="856"/>
      <c r="C92" s="856"/>
      <c r="D92" s="856" t="s">
        <v>407</v>
      </c>
      <c r="E92" s="1506">
        <v>15353091</v>
      </c>
      <c r="F92" s="1506">
        <v>0</v>
      </c>
      <c r="G92" s="124">
        <v>28916252</v>
      </c>
      <c r="H92" s="124">
        <v>0</v>
      </c>
    </row>
    <row r="93" spans="1:8">
      <c r="A93" s="856"/>
      <c r="B93" s="856"/>
      <c r="C93" s="856"/>
      <c r="D93" s="856" t="s">
        <v>2982</v>
      </c>
      <c r="E93" s="1506">
        <v>11449790</v>
      </c>
      <c r="F93" s="1506">
        <v>0</v>
      </c>
      <c r="G93" s="124">
        <v>0</v>
      </c>
      <c r="H93" s="124">
        <v>0</v>
      </c>
    </row>
    <row r="94" spans="1:8">
      <c r="A94" s="856"/>
      <c r="B94" s="856"/>
      <c r="C94" s="856"/>
      <c r="D94" s="856" t="s">
        <v>2985</v>
      </c>
      <c r="E94" s="1506">
        <v>51534</v>
      </c>
      <c r="F94" s="1506">
        <v>0</v>
      </c>
      <c r="G94" s="124">
        <v>0</v>
      </c>
      <c r="H94" s="124">
        <v>0</v>
      </c>
    </row>
    <row r="95" spans="1:8">
      <c r="A95" s="856"/>
      <c r="B95" s="856"/>
      <c r="C95" s="856"/>
      <c r="D95" s="856" t="s">
        <v>561</v>
      </c>
      <c r="E95" s="1506">
        <v>0</v>
      </c>
      <c r="F95" s="1506">
        <v>0</v>
      </c>
      <c r="G95" s="124">
        <v>196757</v>
      </c>
      <c r="H95" s="124">
        <v>0</v>
      </c>
    </row>
    <row r="96" spans="1:8">
      <c r="A96" s="856"/>
      <c r="B96" s="856"/>
      <c r="C96" s="856"/>
      <c r="D96" s="856" t="s">
        <v>550</v>
      </c>
      <c r="E96" s="1506">
        <v>231709</v>
      </c>
      <c r="F96" s="1506">
        <v>0</v>
      </c>
      <c r="G96" s="124">
        <v>515492</v>
      </c>
      <c r="H96" s="124">
        <v>0</v>
      </c>
    </row>
    <row r="97" spans="1:8">
      <c r="A97" s="856"/>
      <c r="B97" s="856"/>
      <c r="C97" s="856"/>
      <c r="D97" s="856" t="s">
        <v>42</v>
      </c>
      <c r="E97" s="1506">
        <v>8712571</v>
      </c>
      <c r="F97" s="1506">
        <v>0</v>
      </c>
      <c r="G97" s="124">
        <v>5613955</v>
      </c>
      <c r="H97" s="124">
        <v>0</v>
      </c>
    </row>
    <row r="98" spans="1:8">
      <c r="A98" s="856"/>
      <c r="B98" s="856"/>
      <c r="C98" s="856"/>
      <c r="D98" s="856" t="s">
        <v>330</v>
      </c>
      <c r="E98" s="1506">
        <v>0</v>
      </c>
      <c r="F98" s="1506">
        <v>0</v>
      </c>
      <c r="G98" s="124">
        <v>0</v>
      </c>
      <c r="H98" s="124">
        <v>0</v>
      </c>
    </row>
    <row r="99" spans="1:8">
      <c r="A99" s="856"/>
      <c r="B99" s="856"/>
      <c r="C99" s="856"/>
      <c r="D99" s="856" t="s">
        <v>331</v>
      </c>
      <c r="E99" s="1506">
        <v>0</v>
      </c>
      <c r="F99" s="1506">
        <v>0</v>
      </c>
      <c r="G99" s="124">
        <v>0</v>
      </c>
      <c r="H99" s="124">
        <v>0</v>
      </c>
    </row>
    <row r="100" spans="1:8">
      <c r="A100" s="856"/>
      <c r="B100" s="856"/>
      <c r="C100" s="856"/>
      <c r="D100" s="856" t="s">
        <v>332</v>
      </c>
      <c r="E100" s="1506">
        <v>719897</v>
      </c>
      <c r="F100" s="1506">
        <v>0</v>
      </c>
      <c r="G100" s="124">
        <v>886344</v>
      </c>
      <c r="H100" s="124">
        <v>0</v>
      </c>
    </row>
    <row r="101" spans="1:8">
      <c r="A101" s="856"/>
      <c r="B101" s="856"/>
      <c r="C101" s="856"/>
      <c r="D101" s="856" t="s">
        <v>2994</v>
      </c>
      <c r="E101" s="1506">
        <v>1651.44</v>
      </c>
      <c r="F101" s="1506">
        <v>0</v>
      </c>
      <c r="G101" s="124">
        <v>0</v>
      </c>
      <c r="H101" s="124">
        <v>0</v>
      </c>
    </row>
    <row r="102" spans="1:8">
      <c r="A102" s="856"/>
      <c r="B102" s="856"/>
      <c r="C102" s="856"/>
      <c r="D102" s="856" t="s">
        <v>414</v>
      </c>
      <c r="E102" s="1506">
        <v>221637</v>
      </c>
      <c r="F102" s="1506">
        <v>0</v>
      </c>
      <c r="G102" s="124">
        <v>0</v>
      </c>
      <c r="H102" s="124">
        <v>0</v>
      </c>
    </row>
    <row r="103" spans="1:8">
      <c r="A103" s="856"/>
      <c r="B103" s="856"/>
      <c r="C103" s="856"/>
      <c r="D103" s="856" t="s">
        <v>12</v>
      </c>
      <c r="E103" s="1506">
        <v>0</v>
      </c>
      <c r="F103" s="1506">
        <v>0</v>
      </c>
      <c r="G103" s="124">
        <v>152951</v>
      </c>
      <c r="H103" s="124">
        <v>0</v>
      </c>
    </row>
    <row r="104" spans="1:8">
      <c r="A104" s="856"/>
      <c r="B104" s="856"/>
      <c r="C104" s="856"/>
      <c r="D104" s="856" t="s">
        <v>361</v>
      </c>
      <c r="E104" s="1506">
        <v>0</v>
      </c>
      <c r="F104" s="1506">
        <v>0</v>
      </c>
      <c r="G104" s="124">
        <v>0</v>
      </c>
      <c r="H104" s="124">
        <v>0</v>
      </c>
    </row>
    <row r="105" spans="1:8">
      <c r="A105" s="856"/>
      <c r="B105" s="856"/>
      <c r="C105" s="856"/>
      <c r="D105" s="856" t="s">
        <v>3005</v>
      </c>
      <c r="E105" s="1506">
        <v>306572</v>
      </c>
      <c r="F105" s="1506">
        <v>0</v>
      </c>
      <c r="G105" s="124">
        <v>0</v>
      </c>
      <c r="H105" s="124">
        <v>0</v>
      </c>
    </row>
    <row r="106" spans="1:8">
      <c r="A106" s="856"/>
      <c r="B106" s="856"/>
      <c r="C106" s="856"/>
      <c r="D106" s="856" t="s">
        <v>451</v>
      </c>
      <c r="E106" s="1506">
        <v>14904501.640000001</v>
      </c>
      <c r="F106" s="1506">
        <v>0</v>
      </c>
      <c r="G106" s="124">
        <v>22024573.640000001</v>
      </c>
      <c r="H106" s="124">
        <v>0</v>
      </c>
    </row>
    <row r="107" spans="1:8">
      <c r="A107" s="856"/>
      <c r="B107" s="856"/>
      <c r="C107" s="856" t="s">
        <v>632</v>
      </c>
      <c r="D107" s="856"/>
      <c r="E107" s="1747">
        <v>81160771.019999996</v>
      </c>
      <c r="F107" s="1747">
        <v>0</v>
      </c>
      <c r="G107" s="1625">
        <v>115842804.14</v>
      </c>
      <c r="H107" s="1625">
        <v>40562</v>
      </c>
    </row>
    <row r="108" spans="1:8">
      <c r="A108" s="856"/>
      <c r="B108" s="856" t="s">
        <v>600</v>
      </c>
      <c r="C108" s="856"/>
      <c r="D108" s="856"/>
      <c r="E108" s="1506">
        <v>81160771.019999996</v>
      </c>
      <c r="F108" s="1506">
        <v>0</v>
      </c>
      <c r="G108" s="124">
        <v>115842804.14</v>
      </c>
      <c r="H108" s="124">
        <v>40562</v>
      </c>
    </row>
    <row r="109" spans="1:8">
      <c r="A109" s="856" t="s">
        <v>3029</v>
      </c>
      <c r="B109" s="856"/>
      <c r="C109" s="856"/>
      <c r="D109" s="856"/>
      <c r="E109" s="1506">
        <v>81160771.019999996</v>
      </c>
      <c r="F109" s="1506">
        <v>0</v>
      </c>
      <c r="G109" s="124">
        <v>115842804.14</v>
      </c>
      <c r="H109" s="124">
        <v>40562</v>
      </c>
    </row>
    <row r="110" spans="1:8">
      <c r="A110" s="856">
        <v>7</v>
      </c>
      <c r="B110" s="856" t="s">
        <v>88</v>
      </c>
      <c r="C110" s="856" t="s">
        <v>317</v>
      </c>
      <c r="D110" s="856" t="s">
        <v>316</v>
      </c>
      <c r="E110" s="1506">
        <v>8810.64</v>
      </c>
      <c r="F110" s="1506">
        <v>0</v>
      </c>
      <c r="G110" s="124">
        <v>9459.64</v>
      </c>
      <c r="H110" s="124">
        <v>0</v>
      </c>
    </row>
    <row r="111" spans="1:8">
      <c r="A111" s="856"/>
      <c r="B111" s="856"/>
      <c r="C111" s="856" t="s">
        <v>633</v>
      </c>
      <c r="D111" s="856"/>
      <c r="E111" s="1747">
        <v>8810.64</v>
      </c>
      <c r="F111" s="1747">
        <v>0</v>
      </c>
      <c r="G111" s="1625">
        <v>9459.64</v>
      </c>
      <c r="H111" s="1625">
        <v>0</v>
      </c>
    </row>
    <row r="112" spans="1:8">
      <c r="A112" s="856"/>
      <c r="B112" s="856"/>
      <c r="C112" s="856" t="s">
        <v>89</v>
      </c>
      <c r="D112" s="856" t="s">
        <v>478</v>
      </c>
      <c r="E112" s="1506">
        <v>270656</v>
      </c>
      <c r="F112" s="1506">
        <v>0</v>
      </c>
      <c r="G112" s="124">
        <v>230316</v>
      </c>
      <c r="H112" s="124">
        <v>0</v>
      </c>
    </row>
    <row r="113" spans="1:8">
      <c r="A113" s="856"/>
      <c r="B113" s="856"/>
      <c r="C113" s="856" t="s">
        <v>634</v>
      </c>
      <c r="D113" s="856"/>
      <c r="E113" s="1747">
        <v>270656</v>
      </c>
      <c r="F113" s="1747">
        <v>0</v>
      </c>
      <c r="G113" s="1625">
        <v>230316</v>
      </c>
      <c r="H113" s="1625">
        <v>0</v>
      </c>
    </row>
    <row r="114" spans="1:8">
      <c r="A114" s="856"/>
      <c r="B114" s="856" t="s">
        <v>601</v>
      </c>
      <c r="C114" s="856"/>
      <c r="D114" s="856"/>
      <c r="E114" s="1506">
        <v>279466.64</v>
      </c>
      <c r="F114" s="1506">
        <v>0</v>
      </c>
      <c r="G114" s="124">
        <v>239775.64</v>
      </c>
      <c r="H114" s="124">
        <v>0</v>
      </c>
    </row>
    <row r="115" spans="1:8">
      <c r="A115" s="856" t="s">
        <v>3030</v>
      </c>
      <c r="B115" s="856"/>
      <c r="C115" s="856"/>
      <c r="D115" s="856"/>
      <c r="E115" s="1506">
        <v>279466.64</v>
      </c>
      <c r="F115" s="1506">
        <v>0</v>
      </c>
      <c r="G115" s="124">
        <v>239775.64</v>
      </c>
      <c r="H115" s="124">
        <v>0</v>
      </c>
    </row>
    <row r="116" spans="1:8">
      <c r="A116" s="856">
        <v>9</v>
      </c>
      <c r="B116" s="856" t="s">
        <v>35</v>
      </c>
      <c r="C116" t="s">
        <v>112</v>
      </c>
      <c r="D116" t="s">
        <v>2955</v>
      </c>
      <c r="E116" s="1506">
        <v>0</v>
      </c>
      <c r="F116" s="1506">
        <v>0</v>
      </c>
      <c r="G116" s="124">
        <v>0</v>
      </c>
      <c r="H116" s="124">
        <v>0</v>
      </c>
    </row>
    <row r="117" spans="1:8">
      <c r="A117" s="856"/>
      <c r="B117" s="856"/>
      <c r="D117" t="s">
        <v>2963</v>
      </c>
      <c r="E117" s="1506">
        <v>0</v>
      </c>
      <c r="F117" s="1506">
        <v>0</v>
      </c>
      <c r="G117" s="124">
        <v>0</v>
      </c>
      <c r="H117" s="124">
        <v>0</v>
      </c>
    </row>
    <row r="118" spans="1:8">
      <c r="A118" s="856"/>
      <c r="B118" s="856"/>
      <c r="D118" t="s">
        <v>292</v>
      </c>
      <c r="E118" s="1506">
        <v>11114075</v>
      </c>
      <c r="F118" s="1506">
        <v>0</v>
      </c>
      <c r="G118" s="124">
        <v>17722075</v>
      </c>
      <c r="H118" s="124">
        <v>0</v>
      </c>
    </row>
    <row r="119" spans="1:8">
      <c r="A119" s="856"/>
      <c r="B119" s="856"/>
      <c r="C119" t="s">
        <v>630</v>
      </c>
      <c r="E119" s="1506">
        <v>11114075</v>
      </c>
      <c r="F119" s="1506">
        <v>0</v>
      </c>
      <c r="G119" s="124">
        <v>17722075</v>
      </c>
      <c r="H119" s="124">
        <v>0</v>
      </c>
    </row>
    <row r="120" spans="1:8">
      <c r="A120" s="856"/>
      <c r="B120" s="856"/>
      <c r="C120" t="s">
        <v>3013</v>
      </c>
      <c r="D120" t="s">
        <v>2953</v>
      </c>
      <c r="E120" s="1506">
        <v>780000</v>
      </c>
      <c r="F120" s="1506">
        <v>0</v>
      </c>
      <c r="G120" s="124">
        <v>0</v>
      </c>
      <c r="H120" s="124">
        <v>0</v>
      </c>
    </row>
    <row r="121" spans="1:8">
      <c r="A121" s="856"/>
      <c r="B121" s="856"/>
      <c r="D121" t="s">
        <v>2958</v>
      </c>
      <c r="E121" s="1506">
        <v>25000</v>
      </c>
      <c r="F121" s="1506">
        <v>0</v>
      </c>
      <c r="G121" s="124">
        <v>0</v>
      </c>
      <c r="H121" s="124">
        <v>0</v>
      </c>
    </row>
    <row r="122" spans="1:8">
      <c r="A122" s="856"/>
      <c r="B122" s="856"/>
      <c r="C122" t="s">
        <v>3019</v>
      </c>
      <c r="E122" s="1506">
        <v>805000</v>
      </c>
      <c r="F122" s="1506">
        <v>0</v>
      </c>
      <c r="G122" s="124">
        <v>0</v>
      </c>
      <c r="H122" s="124">
        <v>0</v>
      </c>
    </row>
    <row r="123" spans="1:8">
      <c r="A123" s="856"/>
      <c r="B123" s="856"/>
      <c r="C123" t="s">
        <v>3016</v>
      </c>
      <c r="D123" t="s">
        <v>2977</v>
      </c>
      <c r="E123" s="1506">
        <v>2498493</v>
      </c>
      <c r="F123" s="1506">
        <v>0</v>
      </c>
      <c r="G123" s="124">
        <v>0</v>
      </c>
      <c r="H123" s="124">
        <v>0</v>
      </c>
    </row>
    <row r="124" spans="1:8">
      <c r="A124" s="856"/>
      <c r="B124" s="856"/>
      <c r="C124" t="s">
        <v>3020</v>
      </c>
      <c r="E124" s="1506">
        <v>2498493</v>
      </c>
      <c r="F124" s="1506">
        <v>0</v>
      </c>
      <c r="G124" s="124">
        <v>0</v>
      </c>
      <c r="H124" s="124">
        <v>0</v>
      </c>
    </row>
    <row r="125" spans="1:8">
      <c r="A125" s="856"/>
      <c r="B125" s="856"/>
      <c r="C125" s="856" t="s">
        <v>36</v>
      </c>
      <c r="D125" s="856" t="s">
        <v>2944</v>
      </c>
      <c r="E125" s="1506">
        <v>70000</v>
      </c>
      <c r="F125" s="1506">
        <v>0</v>
      </c>
      <c r="G125" s="124">
        <v>0</v>
      </c>
      <c r="H125" s="124">
        <v>0</v>
      </c>
    </row>
    <row r="126" spans="1:8">
      <c r="A126" s="856"/>
      <c r="B126" s="856"/>
      <c r="C126" s="856"/>
      <c r="D126" s="856" t="s">
        <v>71</v>
      </c>
      <c r="E126" s="1506">
        <v>0</v>
      </c>
      <c r="F126" s="1506">
        <v>0</v>
      </c>
      <c r="G126" s="124">
        <v>17500</v>
      </c>
      <c r="H126" s="124">
        <v>0</v>
      </c>
    </row>
    <row r="127" spans="1:8">
      <c r="A127" s="856"/>
      <c r="B127" s="856"/>
      <c r="C127" s="856"/>
      <c r="D127" s="856" t="s">
        <v>136</v>
      </c>
      <c r="E127" s="1506">
        <v>0</v>
      </c>
      <c r="F127" s="1506">
        <v>0</v>
      </c>
      <c r="G127" s="124">
        <v>23000</v>
      </c>
      <c r="H127" s="124">
        <v>0</v>
      </c>
    </row>
    <row r="128" spans="1:8">
      <c r="A128" s="856"/>
      <c r="B128" s="856"/>
      <c r="C128" s="856"/>
      <c r="D128" s="856" t="s">
        <v>138</v>
      </c>
      <c r="E128" s="1506">
        <v>50000</v>
      </c>
      <c r="F128" s="1506">
        <v>0</v>
      </c>
      <c r="G128" s="124">
        <v>34000</v>
      </c>
      <c r="H128" s="124">
        <v>0</v>
      </c>
    </row>
    <row r="129" spans="1:8">
      <c r="A129" s="856"/>
      <c r="B129" s="856"/>
      <c r="C129" s="856"/>
      <c r="D129" s="856" t="s">
        <v>500</v>
      </c>
      <c r="E129" s="1506">
        <v>21000</v>
      </c>
      <c r="F129" s="1506">
        <v>0</v>
      </c>
      <c r="G129" s="124">
        <v>34000</v>
      </c>
      <c r="H129" s="124">
        <v>0</v>
      </c>
    </row>
    <row r="130" spans="1:8">
      <c r="A130" s="856"/>
      <c r="B130" s="856"/>
      <c r="C130" s="856"/>
      <c r="D130" s="856" t="s">
        <v>510</v>
      </c>
      <c r="E130" s="1506">
        <v>0</v>
      </c>
      <c r="F130" s="1506">
        <v>0</v>
      </c>
      <c r="G130" s="124">
        <v>1000</v>
      </c>
      <c r="H130" s="124">
        <v>0</v>
      </c>
    </row>
    <row r="131" spans="1:8">
      <c r="A131" s="856"/>
      <c r="B131" s="856"/>
      <c r="C131" s="856"/>
      <c r="D131" s="856" t="s">
        <v>222</v>
      </c>
      <c r="E131" s="1506">
        <v>0</v>
      </c>
      <c r="F131" s="1506">
        <v>0</v>
      </c>
      <c r="G131" s="124">
        <v>27000</v>
      </c>
      <c r="H131" s="124">
        <v>0</v>
      </c>
    </row>
    <row r="132" spans="1:8">
      <c r="A132" s="856"/>
      <c r="B132" s="856"/>
      <c r="C132" s="856"/>
      <c r="D132" s="856" t="s">
        <v>227</v>
      </c>
      <c r="E132" s="1506">
        <v>0</v>
      </c>
      <c r="F132" s="1506">
        <v>0</v>
      </c>
      <c r="G132" s="124">
        <v>2000</v>
      </c>
      <c r="H132" s="124">
        <v>0</v>
      </c>
    </row>
    <row r="133" spans="1:8">
      <c r="A133" s="856"/>
      <c r="B133" s="856"/>
      <c r="C133" s="856"/>
      <c r="D133" s="856" t="s">
        <v>240</v>
      </c>
      <c r="E133" s="1506">
        <v>0</v>
      </c>
      <c r="F133" s="1506">
        <v>0</v>
      </c>
      <c r="G133" s="124">
        <v>21000</v>
      </c>
      <c r="H133" s="124">
        <v>0</v>
      </c>
    </row>
    <row r="134" spans="1:8">
      <c r="A134" s="856"/>
      <c r="B134" s="856"/>
      <c r="C134" s="856"/>
      <c r="D134" s="856" t="s">
        <v>243</v>
      </c>
      <c r="E134" s="1506">
        <v>0</v>
      </c>
      <c r="F134" s="1506">
        <v>0</v>
      </c>
      <c r="G134" s="124">
        <v>32000</v>
      </c>
      <c r="H134" s="124">
        <v>0</v>
      </c>
    </row>
    <row r="135" spans="1:8">
      <c r="A135" s="856"/>
      <c r="B135" s="856"/>
      <c r="C135" s="856"/>
      <c r="D135" s="856" t="s">
        <v>514</v>
      </c>
      <c r="E135" s="1506">
        <v>0</v>
      </c>
      <c r="F135" s="1506">
        <v>0</v>
      </c>
      <c r="G135" s="124">
        <v>3000</v>
      </c>
      <c r="H135" s="124">
        <v>0</v>
      </c>
    </row>
    <row r="136" spans="1:8">
      <c r="A136" s="856"/>
      <c r="B136" s="856"/>
      <c r="C136" s="856"/>
      <c r="D136" s="856" t="s">
        <v>246</v>
      </c>
      <c r="E136" s="1506">
        <v>0</v>
      </c>
      <c r="F136" s="1506">
        <v>0</v>
      </c>
      <c r="G136" s="124">
        <v>0</v>
      </c>
      <c r="H136" s="124">
        <v>0</v>
      </c>
    </row>
    <row r="137" spans="1:8">
      <c r="A137" s="856"/>
      <c r="B137" s="856"/>
      <c r="C137" s="856"/>
      <c r="D137" s="856" t="s">
        <v>393</v>
      </c>
      <c r="E137" s="1506">
        <v>3000</v>
      </c>
      <c r="F137" s="1506">
        <v>0</v>
      </c>
      <c r="G137" s="124">
        <v>27000</v>
      </c>
      <c r="H137" s="124">
        <v>0</v>
      </c>
    </row>
    <row r="138" spans="1:8">
      <c r="A138" s="856"/>
      <c r="B138" s="856"/>
      <c r="C138" s="856"/>
      <c r="D138" s="856" t="s">
        <v>248</v>
      </c>
      <c r="E138" s="1506">
        <v>6000</v>
      </c>
      <c r="F138" s="1506">
        <v>0</v>
      </c>
      <c r="G138" s="124">
        <v>14000</v>
      </c>
      <c r="H138" s="124">
        <v>0</v>
      </c>
    </row>
    <row r="139" spans="1:8">
      <c r="A139" s="856"/>
      <c r="B139" s="856"/>
      <c r="C139" s="856"/>
      <c r="D139" s="856" t="s">
        <v>38</v>
      </c>
      <c r="E139" s="1506">
        <v>40000</v>
      </c>
      <c r="F139" s="1506">
        <v>0</v>
      </c>
      <c r="G139" s="124">
        <v>7000</v>
      </c>
      <c r="H139" s="124">
        <v>0</v>
      </c>
    </row>
    <row r="140" spans="1:8">
      <c r="A140" s="856"/>
      <c r="B140" s="856"/>
      <c r="C140" s="856"/>
      <c r="D140" s="856" t="s">
        <v>397</v>
      </c>
      <c r="E140" s="1506">
        <v>0</v>
      </c>
      <c r="F140" s="1506">
        <v>0</v>
      </c>
      <c r="G140" s="124">
        <v>0</v>
      </c>
      <c r="H140" s="124">
        <v>0</v>
      </c>
    </row>
    <row r="141" spans="1:8">
      <c r="A141" s="856"/>
      <c r="B141" s="856"/>
      <c r="C141" s="856"/>
      <c r="D141" s="856" t="s">
        <v>541</v>
      </c>
      <c r="E141" s="1506">
        <v>0</v>
      </c>
      <c r="F141" s="1506">
        <v>0</v>
      </c>
      <c r="G141" s="124">
        <v>7500</v>
      </c>
      <c r="H141" s="124">
        <v>0</v>
      </c>
    </row>
    <row r="142" spans="1:8">
      <c r="A142" s="856"/>
      <c r="B142" s="856"/>
      <c r="C142" s="856"/>
      <c r="D142" s="856" t="s">
        <v>2565</v>
      </c>
      <c r="E142" s="1506">
        <v>15000</v>
      </c>
      <c r="F142" s="1506">
        <v>0</v>
      </c>
      <c r="G142" s="124">
        <v>0</v>
      </c>
      <c r="H142" s="124">
        <v>0</v>
      </c>
    </row>
    <row r="143" spans="1:8">
      <c r="A143" s="856"/>
      <c r="B143" s="856"/>
      <c r="C143" s="856"/>
      <c r="D143" s="856" t="s">
        <v>404</v>
      </c>
      <c r="E143" s="1506">
        <v>0</v>
      </c>
      <c r="F143" s="1506">
        <v>0</v>
      </c>
      <c r="G143" s="124">
        <v>0</v>
      </c>
      <c r="H143" s="124">
        <v>0</v>
      </c>
    </row>
    <row r="144" spans="1:8">
      <c r="A144" s="856"/>
      <c r="B144" s="856"/>
      <c r="C144" s="856"/>
      <c r="D144" s="856" t="s">
        <v>319</v>
      </c>
      <c r="E144" s="1506">
        <v>0</v>
      </c>
      <c r="F144" s="1506">
        <v>0</v>
      </c>
      <c r="G144" s="124">
        <v>0</v>
      </c>
      <c r="H144" s="124">
        <v>0</v>
      </c>
    </row>
    <row r="145" spans="1:8">
      <c r="A145" s="856"/>
      <c r="B145" s="856"/>
      <c r="C145" s="856"/>
      <c r="D145" s="856" t="s">
        <v>408</v>
      </c>
      <c r="E145" s="1506">
        <v>0</v>
      </c>
      <c r="F145" s="1506">
        <v>0</v>
      </c>
      <c r="G145" s="124">
        <v>0</v>
      </c>
      <c r="H145" s="124">
        <v>0</v>
      </c>
    </row>
    <row r="146" spans="1:8">
      <c r="A146" s="856"/>
      <c r="B146" s="856"/>
      <c r="C146" s="856"/>
      <c r="D146" s="856" t="s">
        <v>417</v>
      </c>
      <c r="E146" s="1506">
        <v>0</v>
      </c>
      <c r="F146" s="1506">
        <v>0</v>
      </c>
      <c r="G146" s="124">
        <v>0</v>
      </c>
      <c r="H146" s="124">
        <v>0</v>
      </c>
    </row>
    <row r="147" spans="1:8">
      <c r="A147" s="856"/>
      <c r="B147" s="856"/>
      <c r="C147" s="856"/>
      <c r="D147" s="856" t="s">
        <v>37</v>
      </c>
      <c r="E147" s="1506">
        <v>0</v>
      </c>
      <c r="F147" s="1506">
        <v>0</v>
      </c>
      <c r="G147" s="124">
        <v>0</v>
      </c>
      <c r="H147" s="124">
        <v>0</v>
      </c>
    </row>
    <row r="148" spans="1:8">
      <c r="A148" s="856"/>
      <c r="B148" s="856"/>
      <c r="C148" s="856"/>
      <c r="D148" s="856" t="s">
        <v>346</v>
      </c>
      <c r="E148" s="1506">
        <v>0</v>
      </c>
      <c r="F148" s="1506">
        <v>0</v>
      </c>
      <c r="G148" s="124">
        <v>27000</v>
      </c>
      <c r="H148" s="124">
        <v>0</v>
      </c>
    </row>
    <row r="149" spans="1:8">
      <c r="A149" s="856"/>
      <c r="B149" s="856"/>
      <c r="C149" s="856"/>
      <c r="D149" s="856" t="s">
        <v>418</v>
      </c>
      <c r="E149" s="1506">
        <v>0</v>
      </c>
      <c r="F149" s="1506">
        <v>0</v>
      </c>
      <c r="G149" s="124">
        <v>0</v>
      </c>
      <c r="H149" s="124">
        <v>0</v>
      </c>
    </row>
    <row r="150" spans="1:8">
      <c r="A150" s="856"/>
      <c r="B150" s="856"/>
      <c r="C150" s="856"/>
      <c r="D150" s="856" t="s">
        <v>348</v>
      </c>
      <c r="E150" s="1506">
        <v>0</v>
      </c>
      <c r="F150" s="1506">
        <v>0</v>
      </c>
      <c r="G150" s="124">
        <v>0</v>
      </c>
      <c r="H150" s="124">
        <v>0</v>
      </c>
    </row>
    <row r="151" spans="1:8">
      <c r="A151" s="856"/>
      <c r="B151" s="856"/>
      <c r="C151" s="856"/>
      <c r="D151" s="856" t="s">
        <v>349</v>
      </c>
      <c r="E151" s="1506">
        <v>30000</v>
      </c>
      <c r="F151" s="1506">
        <v>0</v>
      </c>
      <c r="G151" s="124">
        <v>67000</v>
      </c>
      <c r="H151" s="124">
        <v>0</v>
      </c>
    </row>
    <row r="152" spans="1:8">
      <c r="A152" s="856"/>
      <c r="B152" s="856"/>
      <c r="C152" s="856" t="s">
        <v>635</v>
      </c>
      <c r="D152" s="856"/>
      <c r="E152" s="1747">
        <v>235000</v>
      </c>
      <c r="F152" s="1747">
        <v>0</v>
      </c>
      <c r="G152" s="1625">
        <v>344000</v>
      </c>
      <c r="H152" s="1625">
        <v>0</v>
      </c>
    </row>
    <row r="153" spans="1:8">
      <c r="A153" s="856"/>
      <c r="B153" s="856"/>
      <c r="C153" s="856" t="s">
        <v>202</v>
      </c>
      <c r="D153" s="856" t="s">
        <v>202</v>
      </c>
      <c r="E153" s="1506">
        <v>319057</v>
      </c>
      <c r="F153" s="1506">
        <v>0</v>
      </c>
      <c r="G153" s="124"/>
      <c r="H153" s="124"/>
    </row>
    <row r="154" spans="1:8">
      <c r="A154" s="856"/>
      <c r="B154" s="856"/>
      <c r="C154" s="856" t="s">
        <v>3067</v>
      </c>
      <c r="D154" s="856"/>
      <c r="E154" s="1506">
        <v>319057</v>
      </c>
      <c r="F154" s="1506">
        <v>0</v>
      </c>
      <c r="G154" s="124"/>
      <c r="H154" s="124"/>
    </row>
    <row r="155" spans="1:8">
      <c r="A155" s="856"/>
      <c r="B155" s="856" t="s">
        <v>602</v>
      </c>
      <c r="C155" s="856"/>
      <c r="D155" s="856"/>
      <c r="E155" s="1506">
        <v>14971625</v>
      </c>
      <c r="F155" s="1506">
        <v>0</v>
      </c>
      <c r="G155" s="124">
        <v>18066075</v>
      </c>
      <c r="H155" s="124">
        <v>0</v>
      </c>
    </row>
    <row r="156" spans="1:8">
      <c r="A156" s="856" t="s">
        <v>3031</v>
      </c>
      <c r="B156" s="856"/>
      <c r="C156" s="856"/>
      <c r="D156" s="856"/>
      <c r="E156" s="1506">
        <v>14971625</v>
      </c>
      <c r="F156" s="1506">
        <v>0</v>
      </c>
      <c r="G156" s="124">
        <v>18066075</v>
      </c>
      <c r="H156" s="124">
        <v>0</v>
      </c>
    </row>
    <row r="157" spans="1:8">
      <c r="A157" s="856">
        <v>10</v>
      </c>
      <c r="B157" s="856" t="s">
        <v>32</v>
      </c>
      <c r="C157" s="856" t="s">
        <v>33</v>
      </c>
      <c r="D157" s="856" t="s">
        <v>34</v>
      </c>
      <c r="E157" s="1506">
        <v>0</v>
      </c>
      <c r="F157" s="1506">
        <v>0</v>
      </c>
      <c r="G157" s="124">
        <v>0</v>
      </c>
      <c r="H157" s="124">
        <v>0</v>
      </c>
    </row>
    <row r="158" spans="1:8">
      <c r="A158" s="856"/>
      <c r="B158" s="856"/>
      <c r="C158" s="856"/>
      <c r="D158" s="856" t="s">
        <v>467</v>
      </c>
      <c r="E158" s="1506">
        <v>0</v>
      </c>
      <c r="F158" s="1506">
        <v>0</v>
      </c>
      <c r="G158" s="124">
        <v>0</v>
      </c>
      <c r="H158" s="124">
        <v>0</v>
      </c>
    </row>
    <row r="159" spans="1:8">
      <c r="A159" s="856"/>
      <c r="B159" s="856"/>
      <c r="C159" s="856"/>
      <c r="D159" s="856" t="s">
        <v>105</v>
      </c>
      <c r="E159" s="1506">
        <v>73085</v>
      </c>
      <c r="F159" s="1506">
        <v>0</v>
      </c>
      <c r="G159" s="124">
        <v>302862</v>
      </c>
      <c r="H159" s="124">
        <v>0</v>
      </c>
    </row>
    <row r="160" spans="1:8">
      <c r="A160" s="856"/>
      <c r="B160" s="856"/>
      <c r="C160" s="856"/>
      <c r="D160" s="856" t="s">
        <v>239</v>
      </c>
      <c r="E160" s="1506">
        <v>2465865</v>
      </c>
      <c r="F160" s="1506">
        <v>0</v>
      </c>
      <c r="G160" s="124">
        <v>7944212</v>
      </c>
      <c r="H160" s="124">
        <v>0</v>
      </c>
    </row>
    <row r="161" spans="1:8">
      <c r="A161" s="856"/>
      <c r="B161" s="856"/>
      <c r="C161" s="856"/>
      <c r="D161" s="856" t="s">
        <v>250</v>
      </c>
      <c r="E161" s="1506">
        <v>0</v>
      </c>
      <c r="F161" s="1506">
        <v>0</v>
      </c>
      <c r="G161" s="124">
        <v>0</v>
      </c>
      <c r="H161" s="124">
        <v>0</v>
      </c>
    </row>
    <row r="162" spans="1:8">
      <c r="A162" s="856"/>
      <c r="B162" s="856"/>
      <c r="C162" s="856"/>
      <c r="D162" s="856" t="s">
        <v>585</v>
      </c>
      <c r="E162" s="1506">
        <v>0</v>
      </c>
      <c r="F162" s="1506">
        <v>0</v>
      </c>
      <c r="G162" s="124">
        <v>175000</v>
      </c>
      <c r="H162" s="124">
        <v>0</v>
      </c>
    </row>
    <row r="163" spans="1:8">
      <c r="A163" s="856"/>
      <c r="B163" s="856"/>
      <c r="C163" s="856"/>
      <c r="D163" s="856" t="s">
        <v>448</v>
      </c>
      <c r="E163" s="1506">
        <v>2933800.43</v>
      </c>
      <c r="F163" s="1506">
        <v>0</v>
      </c>
      <c r="G163" s="124">
        <v>0</v>
      </c>
      <c r="H163" s="124">
        <v>0</v>
      </c>
    </row>
    <row r="164" spans="1:8">
      <c r="A164" s="856"/>
      <c r="B164" s="856"/>
      <c r="C164" s="856" t="s">
        <v>636</v>
      </c>
      <c r="D164" s="856"/>
      <c r="E164" s="1506">
        <v>5472750.4299999997</v>
      </c>
      <c r="F164" s="1506">
        <v>0</v>
      </c>
      <c r="G164" s="124">
        <v>8422074</v>
      </c>
      <c r="H164" s="124">
        <v>0</v>
      </c>
    </row>
    <row r="165" spans="1:8">
      <c r="A165" s="856"/>
      <c r="B165" s="856"/>
      <c r="C165" s="856" t="s">
        <v>406</v>
      </c>
      <c r="D165" s="856" t="s">
        <v>2956</v>
      </c>
      <c r="E165" s="1506">
        <v>245381</v>
      </c>
      <c r="F165" s="1506">
        <v>0</v>
      </c>
      <c r="G165" s="124">
        <v>0</v>
      </c>
      <c r="H165" s="124">
        <v>0</v>
      </c>
    </row>
    <row r="166" spans="1:8">
      <c r="A166" s="856"/>
      <c r="B166" s="856"/>
      <c r="C166" s="856"/>
      <c r="D166" s="856" t="s">
        <v>405</v>
      </c>
      <c r="E166" s="1506">
        <v>221984</v>
      </c>
      <c r="F166" s="1506">
        <v>0</v>
      </c>
      <c r="G166" s="124">
        <v>221984</v>
      </c>
      <c r="H166" s="124">
        <v>0</v>
      </c>
    </row>
    <row r="167" spans="1:8">
      <c r="A167" s="856"/>
      <c r="B167" s="856"/>
      <c r="C167" s="856" t="s">
        <v>637</v>
      </c>
      <c r="D167" s="856"/>
      <c r="E167" s="1506">
        <v>467365</v>
      </c>
      <c r="F167" s="1506">
        <v>0</v>
      </c>
      <c r="G167" s="124">
        <v>221984</v>
      </c>
      <c r="H167" s="124">
        <v>0</v>
      </c>
    </row>
    <row r="168" spans="1:8">
      <c r="A168" s="856"/>
      <c r="B168" s="856"/>
      <c r="C168" s="856" t="s">
        <v>199</v>
      </c>
      <c r="D168" s="856" t="s">
        <v>389</v>
      </c>
      <c r="E168" s="1506">
        <v>24320</v>
      </c>
      <c r="F168" s="1506">
        <v>0</v>
      </c>
      <c r="G168" s="124"/>
      <c r="H168" s="124"/>
    </row>
    <row r="169" spans="1:8">
      <c r="A169" s="856"/>
      <c r="B169" s="856"/>
      <c r="C169" s="856"/>
      <c r="D169" s="856" t="s">
        <v>198</v>
      </c>
      <c r="E169" s="1506">
        <v>170888</v>
      </c>
      <c r="F169" s="1506">
        <v>0</v>
      </c>
      <c r="G169" s="124">
        <v>176191</v>
      </c>
      <c r="H169" s="124">
        <v>0</v>
      </c>
    </row>
    <row r="170" spans="1:8">
      <c r="A170" s="856"/>
      <c r="B170" s="856"/>
      <c r="C170" s="856" t="s">
        <v>638</v>
      </c>
      <c r="D170" s="856"/>
      <c r="E170" s="1747">
        <v>195208</v>
      </c>
      <c r="F170" s="1747">
        <v>0</v>
      </c>
      <c r="G170" s="1625">
        <v>176191</v>
      </c>
      <c r="H170" s="1625">
        <v>0</v>
      </c>
    </row>
    <row r="171" spans="1:8">
      <c r="A171" s="856"/>
      <c r="B171" s="856"/>
      <c r="C171" s="856" t="s">
        <v>201</v>
      </c>
      <c r="D171" s="856" t="s">
        <v>200</v>
      </c>
      <c r="E171" s="1506">
        <v>486928</v>
      </c>
      <c r="F171" s="1506">
        <v>0</v>
      </c>
      <c r="G171" s="124">
        <v>458043</v>
      </c>
      <c r="H171" s="124">
        <v>0</v>
      </c>
    </row>
    <row r="172" spans="1:8">
      <c r="A172" s="856"/>
      <c r="B172" s="856"/>
      <c r="C172" s="856"/>
      <c r="D172" s="856" t="s">
        <v>273</v>
      </c>
      <c r="E172" s="1506">
        <v>990425</v>
      </c>
      <c r="F172" s="1506">
        <v>0</v>
      </c>
      <c r="G172" s="124">
        <v>758892</v>
      </c>
      <c r="H172" s="124">
        <v>0</v>
      </c>
    </row>
    <row r="173" spans="1:8">
      <c r="A173" s="856"/>
      <c r="B173" s="856"/>
      <c r="C173" s="856" t="s">
        <v>639</v>
      </c>
      <c r="D173" s="856"/>
      <c r="E173" s="1747">
        <v>1477353</v>
      </c>
      <c r="F173" s="1747">
        <v>0</v>
      </c>
      <c r="G173" s="1625">
        <v>1216935</v>
      </c>
      <c r="H173" s="1625">
        <v>0</v>
      </c>
    </row>
    <row r="174" spans="1:8">
      <c r="A174" s="856"/>
      <c r="B174" s="856" t="s">
        <v>603</v>
      </c>
      <c r="C174" s="856"/>
      <c r="D174" s="856"/>
      <c r="E174" s="1506">
        <v>7612676.4299999997</v>
      </c>
      <c r="F174" s="1506">
        <v>0</v>
      </c>
      <c r="G174" s="124">
        <v>10037184</v>
      </c>
      <c r="H174" s="124">
        <v>0</v>
      </c>
    </row>
    <row r="175" spans="1:8">
      <c r="A175" s="856" t="s">
        <v>3032</v>
      </c>
      <c r="B175" s="856"/>
      <c r="C175" s="856"/>
      <c r="D175" s="856"/>
      <c r="E175" s="1506">
        <v>7612676.4299999997</v>
      </c>
      <c r="F175" s="1506">
        <v>0</v>
      </c>
      <c r="G175" s="124">
        <v>10037184</v>
      </c>
      <c r="H175" s="124">
        <v>0</v>
      </c>
    </row>
    <row r="176" spans="1:8">
      <c r="A176" s="856">
        <v>11</v>
      </c>
      <c r="B176" s="856" t="s">
        <v>25</v>
      </c>
      <c r="C176" s="856" t="s">
        <v>26</v>
      </c>
      <c r="D176" s="856" t="s">
        <v>286</v>
      </c>
      <c r="E176" s="1506">
        <v>0</v>
      </c>
      <c r="F176" s="1506">
        <v>0</v>
      </c>
      <c r="G176" s="124">
        <v>0</v>
      </c>
      <c r="H176" s="124">
        <v>0</v>
      </c>
    </row>
    <row r="177" spans="1:8">
      <c r="A177" s="856"/>
      <c r="B177" s="856"/>
      <c r="C177" s="856"/>
      <c r="D177" s="856" t="s">
        <v>287</v>
      </c>
      <c r="E177" s="1506">
        <v>17190</v>
      </c>
      <c r="F177" s="1506">
        <v>0</v>
      </c>
      <c r="G177" s="124">
        <v>17190</v>
      </c>
      <c r="H177" s="124">
        <v>0</v>
      </c>
    </row>
    <row r="178" spans="1:8">
      <c r="A178" s="856"/>
      <c r="B178" s="856"/>
      <c r="C178" s="856"/>
      <c r="D178" s="856" t="s">
        <v>503</v>
      </c>
      <c r="E178" s="1506">
        <v>1891381</v>
      </c>
      <c r="F178" s="1506">
        <v>0</v>
      </c>
      <c r="G178" s="124">
        <v>1891381</v>
      </c>
      <c r="H178" s="124">
        <v>0</v>
      </c>
    </row>
    <row r="179" spans="1:8">
      <c r="A179" s="856"/>
      <c r="B179" s="856"/>
      <c r="C179" s="856"/>
      <c r="D179" s="856" t="s">
        <v>289</v>
      </c>
      <c r="E179" s="1506">
        <v>88213</v>
      </c>
      <c r="F179" s="1506">
        <v>0</v>
      </c>
      <c r="G179" s="124">
        <v>88213</v>
      </c>
      <c r="H179" s="124">
        <v>0</v>
      </c>
    </row>
    <row r="180" spans="1:8">
      <c r="A180" s="856"/>
      <c r="B180" s="856"/>
      <c r="C180" s="856"/>
      <c r="D180" s="856" t="s">
        <v>285</v>
      </c>
      <c r="E180" s="1506">
        <v>34285</v>
      </c>
      <c r="F180" s="1506">
        <v>0</v>
      </c>
      <c r="G180" s="124">
        <v>34285</v>
      </c>
      <c r="H180" s="124">
        <v>0</v>
      </c>
    </row>
    <row r="181" spans="1:8">
      <c r="A181" s="856"/>
      <c r="B181" s="856"/>
      <c r="C181" s="856"/>
      <c r="D181" s="856" t="s">
        <v>288</v>
      </c>
      <c r="E181" s="1506">
        <v>122153</v>
      </c>
      <c r="F181" s="1506">
        <v>0</v>
      </c>
      <c r="G181" s="124">
        <v>122153</v>
      </c>
      <c r="H181" s="124">
        <v>0</v>
      </c>
    </row>
    <row r="182" spans="1:8">
      <c r="A182" s="856"/>
      <c r="B182" s="856"/>
      <c r="C182" s="856"/>
      <c r="D182" s="856" t="s">
        <v>290</v>
      </c>
      <c r="E182" s="1506">
        <v>139678</v>
      </c>
      <c r="F182" s="1506">
        <v>0</v>
      </c>
      <c r="G182" s="124">
        <v>139678</v>
      </c>
      <c r="H182" s="124">
        <v>0</v>
      </c>
    </row>
    <row r="183" spans="1:8">
      <c r="A183" s="856"/>
      <c r="B183" s="856"/>
      <c r="C183" s="856"/>
      <c r="D183" s="856" t="s">
        <v>291</v>
      </c>
      <c r="E183" s="1506">
        <v>271788</v>
      </c>
      <c r="F183" s="1506">
        <v>0</v>
      </c>
      <c r="G183" s="124">
        <v>271788</v>
      </c>
      <c r="H183" s="124">
        <v>0</v>
      </c>
    </row>
    <row r="184" spans="1:8">
      <c r="A184" s="856"/>
      <c r="B184" s="856"/>
      <c r="C184" s="856"/>
      <c r="D184" s="856" t="s">
        <v>568</v>
      </c>
      <c r="E184" s="1506">
        <v>11611</v>
      </c>
      <c r="F184" s="1506">
        <v>0</v>
      </c>
      <c r="G184" s="124">
        <v>11611</v>
      </c>
      <c r="H184" s="124">
        <v>0</v>
      </c>
    </row>
    <row r="185" spans="1:8">
      <c r="A185" s="856"/>
      <c r="B185" s="856"/>
      <c r="C185" s="856"/>
      <c r="D185" s="856" t="s">
        <v>3000</v>
      </c>
      <c r="E185" s="1506">
        <v>52979.92</v>
      </c>
      <c r="F185" s="1506">
        <v>0</v>
      </c>
      <c r="G185" s="124">
        <v>0</v>
      </c>
      <c r="H185" s="124">
        <v>0</v>
      </c>
    </row>
    <row r="186" spans="1:8">
      <c r="A186" s="856"/>
      <c r="B186" s="856"/>
      <c r="C186" s="856"/>
      <c r="D186" s="856" t="s">
        <v>419</v>
      </c>
      <c r="E186" s="1506">
        <v>0</v>
      </c>
      <c r="F186" s="1506">
        <v>0</v>
      </c>
      <c r="G186" s="124">
        <v>0</v>
      </c>
      <c r="H186" s="124">
        <v>0</v>
      </c>
    </row>
    <row r="187" spans="1:8">
      <c r="A187" s="856"/>
      <c r="B187" s="856"/>
      <c r="C187" s="856"/>
      <c r="D187" s="856" t="s">
        <v>567</v>
      </c>
      <c r="E187" s="1506">
        <v>0</v>
      </c>
      <c r="F187" s="1506">
        <v>0</v>
      </c>
      <c r="G187" s="124">
        <v>0</v>
      </c>
      <c r="H187" s="124">
        <v>0</v>
      </c>
    </row>
    <row r="188" spans="1:8">
      <c r="A188" s="856"/>
      <c r="B188" s="856"/>
      <c r="C188" s="856"/>
      <c r="D188" s="856" t="s">
        <v>420</v>
      </c>
      <c r="E188" s="1506">
        <v>24886</v>
      </c>
      <c r="F188" s="1506">
        <v>0</v>
      </c>
      <c r="G188" s="124">
        <v>24886</v>
      </c>
      <c r="H188" s="124">
        <v>0</v>
      </c>
    </row>
    <row r="189" spans="1:8">
      <c r="A189" s="856"/>
      <c r="B189" s="856"/>
      <c r="C189" s="856"/>
      <c r="D189" s="856" t="s">
        <v>569</v>
      </c>
      <c r="E189" s="1506">
        <v>15998</v>
      </c>
      <c r="F189" s="1506">
        <v>0</v>
      </c>
      <c r="G189" s="124">
        <v>15998</v>
      </c>
      <c r="H189" s="124">
        <v>0</v>
      </c>
    </row>
    <row r="190" spans="1:8">
      <c r="A190" s="856"/>
      <c r="B190" s="856"/>
      <c r="C190" s="856"/>
      <c r="D190" s="856" t="s">
        <v>3001</v>
      </c>
      <c r="E190" s="1506">
        <v>435758</v>
      </c>
      <c r="F190" s="1506">
        <v>0</v>
      </c>
      <c r="G190" s="124">
        <v>0</v>
      </c>
      <c r="H190" s="124">
        <v>0</v>
      </c>
    </row>
    <row r="191" spans="1:8">
      <c r="A191" s="856"/>
      <c r="B191" s="856"/>
      <c r="C191" s="856"/>
      <c r="D191" s="856" t="s">
        <v>570</v>
      </c>
      <c r="E191" s="1506">
        <v>0</v>
      </c>
      <c r="F191" s="1506">
        <v>0</v>
      </c>
      <c r="G191" s="124">
        <v>0</v>
      </c>
      <c r="H191" s="124">
        <v>0</v>
      </c>
    </row>
    <row r="192" spans="1:8">
      <c r="A192" s="856"/>
      <c r="B192" s="856"/>
      <c r="C192" s="856"/>
      <c r="D192" s="856" t="s">
        <v>422</v>
      </c>
      <c r="E192" s="1506">
        <v>0</v>
      </c>
      <c r="F192" s="1506">
        <v>0</v>
      </c>
      <c r="G192" s="124">
        <v>0</v>
      </c>
      <c r="H192" s="124">
        <v>0</v>
      </c>
    </row>
    <row r="193" spans="1:8">
      <c r="A193" s="856"/>
      <c r="B193" s="856"/>
      <c r="C193" s="856"/>
      <c r="D193" s="856" t="s">
        <v>576</v>
      </c>
      <c r="E193" s="1506">
        <v>933217.36</v>
      </c>
      <c r="F193" s="1506">
        <v>0</v>
      </c>
      <c r="G193" s="124">
        <v>933217.36</v>
      </c>
      <c r="H193" s="124">
        <v>0</v>
      </c>
    </row>
    <row r="194" spans="1:8">
      <c r="A194" s="856"/>
      <c r="B194" s="856"/>
      <c r="C194" s="856" t="s">
        <v>640</v>
      </c>
      <c r="D194" s="856"/>
      <c r="E194" s="1747">
        <v>4039138.28</v>
      </c>
      <c r="F194" s="1747">
        <v>0</v>
      </c>
      <c r="G194" s="1625">
        <v>3550400.36</v>
      </c>
      <c r="H194" s="1625">
        <v>0</v>
      </c>
    </row>
    <row r="195" spans="1:8">
      <c r="A195" s="856"/>
      <c r="B195" s="856" t="s">
        <v>604</v>
      </c>
      <c r="C195" s="856"/>
      <c r="D195" s="856"/>
      <c r="E195" s="1506">
        <v>4039138.28</v>
      </c>
      <c r="F195" s="1506">
        <v>0</v>
      </c>
      <c r="G195" s="124">
        <v>3550400.36</v>
      </c>
      <c r="H195" s="124">
        <v>0</v>
      </c>
    </row>
    <row r="196" spans="1:8">
      <c r="A196" s="856" t="s">
        <v>3033</v>
      </c>
      <c r="B196" s="856"/>
      <c r="C196" s="856"/>
      <c r="D196" s="856"/>
      <c r="E196" s="1506">
        <v>4039138.28</v>
      </c>
      <c r="F196" s="1506">
        <v>0</v>
      </c>
      <c r="G196" s="124">
        <v>3550400.36</v>
      </c>
      <c r="H196" s="124">
        <v>0</v>
      </c>
    </row>
    <row r="197" spans="1:8">
      <c r="A197" s="856">
        <v>12</v>
      </c>
      <c r="B197" s="856" t="s">
        <v>80</v>
      </c>
      <c r="C197" s="856" t="s">
        <v>81</v>
      </c>
      <c r="D197" s="856" t="s">
        <v>79</v>
      </c>
      <c r="E197" s="1506">
        <v>0</v>
      </c>
      <c r="F197" s="1506">
        <v>20413989</v>
      </c>
      <c r="G197" s="124">
        <v>0</v>
      </c>
      <c r="H197" s="124">
        <v>20413989</v>
      </c>
    </row>
    <row r="198" spans="1:8">
      <c r="A198" s="856"/>
      <c r="B198" s="856"/>
      <c r="C198" s="856"/>
      <c r="D198" s="856" t="s">
        <v>312</v>
      </c>
      <c r="E198" s="1506">
        <v>0</v>
      </c>
      <c r="F198" s="1506">
        <v>50905004</v>
      </c>
      <c r="G198" s="124">
        <v>0</v>
      </c>
      <c r="H198" s="124">
        <v>50905004</v>
      </c>
    </row>
    <row r="199" spans="1:8">
      <c r="A199" s="856"/>
      <c r="B199" s="856"/>
      <c r="C199" s="856" t="s">
        <v>641</v>
      </c>
      <c r="D199" s="856"/>
      <c r="E199" s="1506">
        <v>0</v>
      </c>
      <c r="F199" s="1506">
        <v>71318993</v>
      </c>
      <c r="G199" s="124">
        <v>0</v>
      </c>
      <c r="H199" s="124">
        <v>71318993</v>
      </c>
    </row>
    <row r="200" spans="1:8">
      <c r="A200" s="856"/>
      <c r="B200" s="856" t="s">
        <v>605</v>
      </c>
      <c r="C200" s="856"/>
      <c r="D200" s="856"/>
      <c r="E200" s="1506">
        <v>0</v>
      </c>
      <c r="F200" s="1506">
        <v>71318993</v>
      </c>
      <c r="G200" s="124">
        <v>0</v>
      </c>
      <c r="H200" s="124">
        <v>71318993</v>
      </c>
    </row>
    <row r="201" spans="1:8">
      <c r="A201" s="856"/>
      <c r="B201" s="856" t="s">
        <v>154</v>
      </c>
      <c r="C201" s="856" t="s">
        <v>155</v>
      </c>
      <c r="D201" s="856" t="s">
        <v>153</v>
      </c>
      <c r="E201" s="1506">
        <v>0</v>
      </c>
      <c r="F201" s="1506">
        <v>26922650</v>
      </c>
      <c r="G201" s="124">
        <v>0</v>
      </c>
      <c r="H201" s="124">
        <v>26922650</v>
      </c>
    </row>
    <row r="202" spans="1:8">
      <c r="A202" s="856"/>
      <c r="B202" s="856"/>
      <c r="C202" s="856" t="s">
        <v>642</v>
      </c>
      <c r="D202" s="856"/>
      <c r="E202" s="1506">
        <v>0</v>
      </c>
      <c r="F202" s="1506">
        <v>26922650</v>
      </c>
      <c r="G202" s="124">
        <v>0</v>
      </c>
      <c r="H202" s="124">
        <v>26922650</v>
      </c>
    </row>
    <row r="203" spans="1:8">
      <c r="A203" s="856"/>
      <c r="B203" s="856" t="s">
        <v>606</v>
      </c>
      <c r="C203" s="856"/>
      <c r="D203" s="856"/>
      <c r="E203" s="1506">
        <v>0</v>
      </c>
      <c r="F203" s="1506">
        <v>26922650</v>
      </c>
      <c r="G203" s="124">
        <v>0</v>
      </c>
      <c r="H203" s="124">
        <v>26922650</v>
      </c>
    </row>
    <row r="204" spans="1:8">
      <c r="A204" s="856" t="s">
        <v>3034</v>
      </c>
      <c r="B204" s="856"/>
      <c r="C204" s="856"/>
      <c r="D204" s="856"/>
      <c r="E204" s="1506">
        <v>0</v>
      </c>
      <c r="F204" s="1506">
        <v>98241643</v>
      </c>
      <c r="G204" s="124">
        <v>0</v>
      </c>
      <c r="H204" s="124">
        <v>98241643</v>
      </c>
    </row>
    <row r="205" spans="1:8">
      <c r="A205" s="856">
        <v>13</v>
      </c>
      <c r="B205" s="856" t="s">
        <v>44</v>
      </c>
      <c r="C205" s="856" t="s">
        <v>318</v>
      </c>
      <c r="D205" s="856" t="s">
        <v>410</v>
      </c>
      <c r="E205" s="1506">
        <v>0</v>
      </c>
      <c r="F205" s="1506">
        <v>46199076</v>
      </c>
      <c r="G205" s="124">
        <v>0</v>
      </c>
      <c r="H205" s="124">
        <v>62630931</v>
      </c>
    </row>
    <row r="206" spans="1:8">
      <c r="A206" s="856"/>
      <c r="B206" s="856"/>
      <c r="C206" s="856"/>
      <c r="D206" s="856" t="s">
        <v>409</v>
      </c>
      <c r="E206" s="1506">
        <v>0</v>
      </c>
      <c r="F206" s="1506">
        <v>6263137</v>
      </c>
      <c r="G206" s="124">
        <v>0</v>
      </c>
      <c r="H206" s="124">
        <v>7221052.2300000004</v>
      </c>
    </row>
    <row r="207" spans="1:8">
      <c r="A207" s="856"/>
      <c r="B207" s="856"/>
      <c r="C207" s="856"/>
      <c r="D207" s="856" t="s">
        <v>437</v>
      </c>
      <c r="E207" s="1506">
        <v>0</v>
      </c>
      <c r="F207" s="1506">
        <v>68723.86</v>
      </c>
      <c r="G207" s="124">
        <v>0</v>
      </c>
      <c r="H207" s="124">
        <v>4745540.8600000003</v>
      </c>
    </row>
    <row r="208" spans="1:8">
      <c r="A208" s="856"/>
      <c r="B208" s="856"/>
      <c r="C208" s="856"/>
      <c r="D208" s="856" t="s">
        <v>558</v>
      </c>
      <c r="E208" s="1506">
        <v>0</v>
      </c>
      <c r="F208" s="1506">
        <v>11159826</v>
      </c>
      <c r="G208" s="124">
        <v>0</v>
      </c>
      <c r="H208" s="124">
        <v>10184018</v>
      </c>
    </row>
    <row r="209" spans="1:8">
      <c r="A209" s="856"/>
      <c r="B209" s="856"/>
      <c r="C209" s="856"/>
      <c r="D209" s="856" t="s">
        <v>2991</v>
      </c>
      <c r="E209" s="1506">
        <v>0</v>
      </c>
      <c r="F209" s="1506">
        <v>28972386</v>
      </c>
      <c r="G209" s="124">
        <v>0</v>
      </c>
      <c r="H209" s="124">
        <v>0</v>
      </c>
    </row>
    <row r="210" spans="1:8">
      <c r="A210" s="856"/>
      <c r="B210" s="856"/>
      <c r="C210" s="856" t="s">
        <v>643</v>
      </c>
      <c r="D210" s="856"/>
      <c r="E210" s="1747">
        <v>0</v>
      </c>
      <c r="F210" s="1747">
        <v>92663148.859999999</v>
      </c>
      <c r="G210" s="1625">
        <v>0</v>
      </c>
      <c r="H210" s="1625">
        <v>84781542.090000004</v>
      </c>
    </row>
    <row r="211" spans="1:8">
      <c r="A211" s="856"/>
      <c r="B211" s="856"/>
      <c r="C211" s="856" t="s">
        <v>592</v>
      </c>
      <c r="D211" s="856" t="s">
        <v>471</v>
      </c>
      <c r="E211" s="1506">
        <v>0</v>
      </c>
      <c r="F211" s="1506">
        <v>0</v>
      </c>
      <c r="G211" s="124">
        <v>0</v>
      </c>
      <c r="H211" s="124">
        <v>7500000</v>
      </c>
    </row>
    <row r="212" spans="1:8">
      <c r="A212" s="856"/>
      <c r="B212" s="856"/>
      <c r="C212" s="856"/>
      <c r="D212" s="856" t="s">
        <v>587</v>
      </c>
      <c r="E212" s="1506">
        <v>0</v>
      </c>
      <c r="F212" s="1506">
        <v>7622054</v>
      </c>
      <c r="G212" s="124">
        <v>0</v>
      </c>
      <c r="H212" s="124">
        <v>7500000</v>
      </c>
    </row>
    <row r="213" spans="1:8">
      <c r="A213" s="856"/>
      <c r="B213" s="856"/>
      <c r="C213" s="856" t="s">
        <v>644</v>
      </c>
      <c r="D213" s="856"/>
      <c r="E213" s="1747">
        <v>0</v>
      </c>
      <c r="F213" s="1747">
        <v>7622054</v>
      </c>
      <c r="G213" s="1625">
        <v>0</v>
      </c>
      <c r="H213" s="1625">
        <v>15000000</v>
      </c>
    </row>
    <row r="214" spans="1:8">
      <c r="A214" s="856"/>
      <c r="B214" s="856"/>
      <c r="C214" s="856" t="s">
        <v>45</v>
      </c>
      <c r="D214" s="856" t="s">
        <v>469</v>
      </c>
      <c r="E214" s="1506">
        <v>0</v>
      </c>
      <c r="F214" s="1506">
        <v>4465191</v>
      </c>
      <c r="G214" s="124">
        <v>0</v>
      </c>
      <c r="H214" s="124">
        <v>2723419</v>
      </c>
    </row>
    <row r="215" spans="1:8">
      <c r="A215" s="856"/>
      <c r="B215" s="856"/>
      <c r="C215" s="856"/>
      <c r="D215" s="856" t="s">
        <v>46</v>
      </c>
      <c r="E215" s="1506">
        <v>0</v>
      </c>
      <c r="F215" s="1506">
        <v>0</v>
      </c>
      <c r="G215" s="124">
        <v>0</v>
      </c>
      <c r="H215" s="124">
        <v>1085610</v>
      </c>
    </row>
    <row r="216" spans="1:8">
      <c r="A216" s="856"/>
      <c r="B216" s="856"/>
      <c r="C216" s="856"/>
      <c r="D216" s="856" t="s">
        <v>61</v>
      </c>
      <c r="E216" s="1506">
        <v>0</v>
      </c>
      <c r="F216" s="1506">
        <v>383005</v>
      </c>
      <c r="G216" s="124">
        <v>0</v>
      </c>
      <c r="H216" s="124">
        <v>853856</v>
      </c>
    </row>
    <row r="217" spans="1:8">
      <c r="A217" s="856"/>
      <c r="B217" s="856"/>
      <c r="C217" s="856"/>
      <c r="D217" s="856" t="s">
        <v>496</v>
      </c>
      <c r="E217" s="1506">
        <v>0</v>
      </c>
      <c r="F217" s="1506">
        <v>0</v>
      </c>
      <c r="G217" s="124">
        <v>0</v>
      </c>
      <c r="H217" s="124">
        <v>2529925</v>
      </c>
    </row>
    <row r="218" spans="1:8">
      <c r="A218" s="856"/>
      <c r="B218" s="856"/>
      <c r="C218" s="856"/>
      <c r="D218" s="856" t="s">
        <v>380</v>
      </c>
      <c r="E218" s="1506">
        <v>0</v>
      </c>
      <c r="F218" s="1506">
        <v>1562798</v>
      </c>
      <c r="G218" s="124">
        <v>0</v>
      </c>
      <c r="H218" s="124">
        <v>1896290</v>
      </c>
    </row>
    <row r="219" spans="1:8">
      <c r="A219" s="856"/>
      <c r="B219" s="856"/>
      <c r="C219" s="856"/>
      <c r="D219" s="856" t="s">
        <v>186</v>
      </c>
      <c r="E219" s="1506">
        <v>0</v>
      </c>
      <c r="F219" s="1506">
        <v>1524277</v>
      </c>
      <c r="G219" s="124">
        <v>0</v>
      </c>
      <c r="H219" s="124">
        <v>1418464</v>
      </c>
    </row>
    <row r="220" spans="1:8">
      <c r="A220" s="856"/>
      <c r="B220" s="856"/>
      <c r="C220" s="856"/>
      <c r="D220" s="856" t="s">
        <v>220</v>
      </c>
      <c r="E220" s="1506">
        <v>0</v>
      </c>
      <c r="F220" s="1506">
        <v>7756259</v>
      </c>
      <c r="G220" s="124">
        <v>0</v>
      </c>
      <c r="H220" s="124">
        <v>6623037</v>
      </c>
    </row>
    <row r="221" spans="1:8">
      <c r="A221" s="856"/>
      <c r="B221" s="856"/>
      <c r="C221" s="856"/>
      <c r="D221" s="856" t="s">
        <v>224</v>
      </c>
      <c r="E221" s="1506">
        <v>0</v>
      </c>
      <c r="F221" s="1506">
        <v>4374722</v>
      </c>
      <c r="G221" s="124">
        <v>0</v>
      </c>
      <c r="H221" s="124">
        <v>4071040</v>
      </c>
    </row>
    <row r="222" spans="1:8">
      <c r="A222" s="856"/>
      <c r="B222" s="856"/>
      <c r="C222" s="856"/>
      <c r="D222" s="856" t="s">
        <v>512</v>
      </c>
      <c r="E222" s="1506">
        <v>0</v>
      </c>
      <c r="F222" s="1506">
        <v>7299688</v>
      </c>
      <c r="G222" s="124">
        <v>0</v>
      </c>
      <c r="H222" s="124">
        <v>6248304</v>
      </c>
    </row>
    <row r="223" spans="1:8">
      <c r="A223" s="856"/>
      <c r="B223" s="856"/>
      <c r="C223" s="856"/>
      <c r="D223" s="856" t="s">
        <v>522</v>
      </c>
      <c r="E223" s="1506">
        <v>0</v>
      </c>
      <c r="F223" s="1506">
        <v>5700468</v>
      </c>
      <c r="G223" s="124">
        <v>0</v>
      </c>
      <c r="H223" s="124">
        <v>4760124</v>
      </c>
    </row>
    <row r="224" spans="1:8">
      <c r="A224" s="856"/>
      <c r="B224" s="856"/>
      <c r="C224" s="856"/>
      <c r="D224" s="856" t="s">
        <v>325</v>
      </c>
      <c r="E224" s="1506">
        <v>0</v>
      </c>
      <c r="F224" s="1506">
        <v>1406203</v>
      </c>
      <c r="G224" s="124">
        <v>0</v>
      </c>
      <c r="H224" s="124">
        <v>1308589</v>
      </c>
    </row>
    <row r="225" spans="1:8">
      <c r="A225" s="856"/>
      <c r="B225" s="856"/>
      <c r="C225" s="856"/>
      <c r="D225" s="856" t="s">
        <v>557</v>
      </c>
      <c r="E225" s="1506">
        <v>0</v>
      </c>
      <c r="F225" s="1506">
        <v>2187364</v>
      </c>
      <c r="G225" s="124">
        <v>0</v>
      </c>
      <c r="H225" s="124">
        <v>2035521</v>
      </c>
    </row>
    <row r="226" spans="1:8">
      <c r="A226" s="856"/>
      <c r="B226" s="856"/>
      <c r="C226" s="856"/>
      <c r="D226" s="856" t="s">
        <v>337</v>
      </c>
      <c r="E226" s="1506">
        <v>0</v>
      </c>
      <c r="F226" s="1506">
        <v>559911</v>
      </c>
      <c r="G226" s="124">
        <v>0</v>
      </c>
      <c r="H226" s="124">
        <v>2253400</v>
      </c>
    </row>
    <row r="227" spans="1:8">
      <c r="A227" s="856"/>
      <c r="B227" s="856"/>
      <c r="C227" s="856" t="s">
        <v>645</v>
      </c>
      <c r="D227" s="856"/>
      <c r="E227" s="1506">
        <v>0</v>
      </c>
      <c r="F227" s="1506">
        <v>37219886</v>
      </c>
      <c r="G227" s="124">
        <v>0</v>
      </c>
      <c r="H227" s="124">
        <v>37807579</v>
      </c>
    </row>
    <row r="228" spans="1:8">
      <c r="A228" s="856"/>
      <c r="B228" s="856" t="s">
        <v>607</v>
      </c>
      <c r="C228" s="856"/>
      <c r="D228" s="856"/>
      <c r="E228" s="1506">
        <v>0</v>
      </c>
      <c r="F228" s="1506">
        <v>137505088.86000001</v>
      </c>
      <c r="G228" s="124">
        <v>0</v>
      </c>
      <c r="H228" s="124">
        <v>137589121.09</v>
      </c>
    </row>
    <row r="229" spans="1:8">
      <c r="A229" s="856" t="s">
        <v>3035</v>
      </c>
      <c r="B229" s="856"/>
      <c r="C229" s="856"/>
      <c r="D229" s="856"/>
      <c r="E229" s="1506">
        <v>0</v>
      </c>
      <c r="F229" s="1506">
        <v>137505088.86000001</v>
      </c>
      <c r="G229" s="124">
        <v>0</v>
      </c>
      <c r="H229" s="124">
        <v>137589121.09</v>
      </c>
    </row>
    <row r="230" spans="1:8">
      <c r="A230" s="856">
        <v>14</v>
      </c>
      <c r="B230" s="856" t="s">
        <v>126</v>
      </c>
      <c r="C230" s="856" t="s">
        <v>127</v>
      </c>
      <c r="D230" s="856" t="s">
        <v>128</v>
      </c>
      <c r="E230" s="1506">
        <v>619250</v>
      </c>
      <c r="F230" s="1506">
        <v>0</v>
      </c>
      <c r="G230" s="124">
        <v>453851</v>
      </c>
      <c r="H230" s="124">
        <v>0</v>
      </c>
    </row>
    <row r="231" spans="1:8">
      <c r="A231" s="856"/>
      <c r="B231" s="856"/>
      <c r="C231" s="856"/>
      <c r="D231" s="856" t="s">
        <v>129</v>
      </c>
      <c r="E231" s="1506">
        <v>5042406</v>
      </c>
      <c r="F231" s="1506">
        <v>0</v>
      </c>
      <c r="G231" s="124">
        <v>5073205</v>
      </c>
      <c r="H231" s="124">
        <v>0</v>
      </c>
    </row>
    <row r="232" spans="1:8">
      <c r="A232" s="856"/>
      <c r="B232" s="856"/>
      <c r="C232" s="856"/>
      <c r="D232" s="856" t="s">
        <v>281</v>
      </c>
      <c r="E232" s="1506">
        <v>0</v>
      </c>
      <c r="F232" s="1506">
        <v>5916298</v>
      </c>
      <c r="G232" s="124">
        <v>0</v>
      </c>
      <c r="H232" s="124">
        <v>5028548</v>
      </c>
    </row>
    <row r="233" spans="1:8">
      <c r="A233" s="856"/>
      <c r="B233" s="856"/>
      <c r="C233" s="856"/>
      <c r="D233" s="856" t="s">
        <v>537</v>
      </c>
      <c r="E233" s="1506">
        <v>0</v>
      </c>
      <c r="F233" s="1506">
        <v>3020979.7</v>
      </c>
      <c r="G233" s="124">
        <v>0</v>
      </c>
      <c r="H233" s="124">
        <v>3113797.7</v>
      </c>
    </row>
    <row r="234" spans="1:8">
      <c r="A234" s="856"/>
      <c r="B234" s="856"/>
      <c r="C234" s="856" t="s">
        <v>646</v>
      </c>
      <c r="D234" s="856"/>
      <c r="E234" s="1747">
        <v>5661656</v>
      </c>
      <c r="F234" s="1747">
        <v>8937277.6999999993</v>
      </c>
      <c r="G234" s="1625">
        <v>5527056</v>
      </c>
      <c r="H234" s="1625">
        <v>8142345.7000000002</v>
      </c>
    </row>
    <row r="235" spans="1:8">
      <c r="A235" s="856"/>
      <c r="B235" s="856" t="s">
        <v>608</v>
      </c>
      <c r="C235" s="856"/>
      <c r="D235" s="856"/>
      <c r="E235" s="1506">
        <v>5661656</v>
      </c>
      <c r="F235" s="1506">
        <v>8937277.6999999993</v>
      </c>
      <c r="G235" s="124">
        <v>5527056</v>
      </c>
      <c r="H235" s="124">
        <v>8142345.7000000002</v>
      </c>
    </row>
    <row r="236" spans="1:8">
      <c r="A236" s="856" t="s">
        <v>3036</v>
      </c>
      <c r="B236" s="856"/>
      <c r="C236" s="856"/>
      <c r="D236" s="856"/>
      <c r="E236" s="1506">
        <v>5661656</v>
      </c>
      <c r="F236" s="1506">
        <v>8937277.6999999993</v>
      </c>
      <c r="G236" s="124">
        <v>5527056</v>
      </c>
      <c r="H236" s="124">
        <v>8142345.7000000002</v>
      </c>
    </row>
    <row r="237" spans="1:8">
      <c r="A237" s="856">
        <v>15</v>
      </c>
      <c r="B237" s="856" t="s">
        <v>115</v>
      </c>
      <c r="C237" s="856" t="s">
        <v>116</v>
      </c>
      <c r="D237" s="856" t="s">
        <v>114</v>
      </c>
      <c r="E237" s="1506">
        <v>0</v>
      </c>
      <c r="F237" s="1506">
        <v>4105758</v>
      </c>
      <c r="G237" s="124">
        <v>0</v>
      </c>
      <c r="H237" s="124">
        <v>16151130</v>
      </c>
    </row>
    <row r="238" spans="1:8">
      <c r="A238" s="856"/>
      <c r="B238" s="856"/>
      <c r="C238" s="856" t="s">
        <v>647</v>
      </c>
      <c r="D238" s="856"/>
      <c r="E238" s="1506">
        <v>0</v>
      </c>
      <c r="F238" s="1506">
        <v>4105758</v>
      </c>
      <c r="G238" s="124">
        <v>0</v>
      </c>
      <c r="H238" s="124">
        <v>16151130</v>
      </c>
    </row>
    <row r="239" spans="1:8">
      <c r="A239" s="856"/>
      <c r="B239" s="856" t="s">
        <v>609</v>
      </c>
      <c r="C239" s="856"/>
      <c r="D239" s="856"/>
      <c r="E239" s="1747">
        <v>0</v>
      </c>
      <c r="F239" s="1747">
        <v>4105758</v>
      </c>
      <c r="G239" s="1625">
        <v>0</v>
      </c>
      <c r="H239" s="1625">
        <v>16151130</v>
      </c>
    </row>
    <row r="240" spans="1:8">
      <c r="A240" s="856" t="s">
        <v>3037</v>
      </c>
      <c r="B240" s="856"/>
      <c r="C240" s="856"/>
      <c r="D240" s="856"/>
      <c r="E240" s="1506">
        <v>0</v>
      </c>
      <c r="F240" s="1506">
        <v>4105758</v>
      </c>
      <c r="G240" s="124">
        <v>0</v>
      </c>
      <c r="H240" s="124">
        <v>16151130</v>
      </c>
    </row>
    <row r="241" spans="1:8">
      <c r="A241" s="856">
        <v>16</v>
      </c>
      <c r="B241" s="856" t="s">
        <v>339</v>
      </c>
      <c r="C241" s="856" t="s">
        <v>340</v>
      </c>
      <c r="D241" s="856" t="s">
        <v>562</v>
      </c>
      <c r="E241" s="1506">
        <v>0</v>
      </c>
      <c r="F241" s="1506">
        <v>89643931.159999996</v>
      </c>
      <c r="G241" s="124">
        <v>0</v>
      </c>
      <c r="H241" s="124">
        <v>78274677.280000001</v>
      </c>
    </row>
    <row r="242" spans="1:8">
      <c r="A242" s="856"/>
      <c r="B242" s="856"/>
      <c r="C242" s="856" t="s">
        <v>648</v>
      </c>
      <c r="D242" s="856"/>
      <c r="E242" s="1506">
        <v>0</v>
      </c>
      <c r="F242" s="1506">
        <v>89643931.159999996</v>
      </c>
      <c r="G242" s="124">
        <v>0</v>
      </c>
      <c r="H242" s="124">
        <v>78274677.280000001</v>
      </c>
    </row>
    <row r="243" spans="1:8">
      <c r="A243" s="856"/>
      <c r="B243" s="856" t="s">
        <v>610</v>
      </c>
      <c r="C243" s="856"/>
      <c r="D243" s="856"/>
      <c r="E243" s="1747">
        <v>0</v>
      </c>
      <c r="F243" s="1747">
        <v>89643931.159999996</v>
      </c>
      <c r="G243" s="1625">
        <v>0</v>
      </c>
      <c r="H243" s="1625">
        <v>78274677.280000001</v>
      </c>
    </row>
    <row r="244" spans="1:8">
      <c r="A244" s="856" t="s">
        <v>3038</v>
      </c>
      <c r="B244" s="856"/>
      <c r="C244" s="856"/>
      <c r="D244" s="856"/>
      <c r="E244" s="1506">
        <v>0</v>
      </c>
      <c r="F244" s="1506">
        <v>89643931.159999996</v>
      </c>
      <c r="G244" s="124">
        <v>0</v>
      </c>
      <c r="H244" s="124">
        <v>78274677.280000001</v>
      </c>
    </row>
    <row r="245" spans="1:8">
      <c r="A245" s="856">
        <v>17</v>
      </c>
      <c r="B245" s="856" t="s">
        <v>8</v>
      </c>
      <c r="C245" s="856" t="s">
        <v>8</v>
      </c>
      <c r="D245" s="856" t="s">
        <v>468</v>
      </c>
      <c r="E245" s="1506">
        <v>0</v>
      </c>
      <c r="F245" s="1506">
        <v>0</v>
      </c>
      <c r="G245" s="124">
        <v>0</v>
      </c>
      <c r="H245" s="124">
        <v>1997155.3829699999</v>
      </c>
    </row>
    <row r="246" spans="1:8">
      <c r="A246" s="856"/>
      <c r="B246" s="856"/>
      <c r="C246" s="856"/>
      <c r="D246" s="856" t="s">
        <v>41</v>
      </c>
      <c r="E246" s="1506">
        <v>0</v>
      </c>
      <c r="F246" s="1506">
        <v>0</v>
      </c>
      <c r="G246" s="124">
        <v>0</v>
      </c>
      <c r="H246" s="124">
        <v>0</v>
      </c>
    </row>
    <row r="247" spans="1:8">
      <c r="A247" s="856"/>
      <c r="B247" s="856"/>
      <c r="C247" s="856"/>
      <c r="D247" s="856" t="s">
        <v>18</v>
      </c>
      <c r="E247" s="1506">
        <v>0</v>
      </c>
      <c r="F247" s="1506">
        <v>0</v>
      </c>
      <c r="G247" s="124">
        <v>0</v>
      </c>
      <c r="H247" s="124">
        <v>146832</v>
      </c>
    </row>
    <row r="248" spans="1:8">
      <c r="A248" s="856"/>
      <c r="B248" s="856"/>
      <c r="C248" s="856"/>
      <c r="D248" s="856" t="s">
        <v>473</v>
      </c>
      <c r="E248" s="1506">
        <v>0</v>
      </c>
      <c r="F248" s="1506">
        <v>641767.5</v>
      </c>
      <c r="G248" s="124">
        <v>0</v>
      </c>
      <c r="H248" s="124">
        <v>556517</v>
      </c>
    </row>
    <row r="249" spans="1:8">
      <c r="A249" s="856"/>
      <c r="B249" s="856"/>
      <c r="C249" s="856"/>
      <c r="D249" s="856" t="s">
        <v>60</v>
      </c>
      <c r="E249" s="1506">
        <v>0</v>
      </c>
      <c r="F249" s="1506">
        <v>233402</v>
      </c>
      <c r="G249" s="124">
        <v>0</v>
      </c>
      <c r="H249" s="124">
        <v>156616</v>
      </c>
    </row>
    <row r="250" spans="1:8">
      <c r="A250" s="856"/>
      <c r="B250" s="856"/>
      <c r="C250" s="856"/>
      <c r="D250" s="856" t="s">
        <v>69</v>
      </c>
      <c r="E250" s="1506">
        <v>0</v>
      </c>
      <c r="F250" s="1506">
        <v>757002</v>
      </c>
      <c r="G250" s="124">
        <v>0</v>
      </c>
      <c r="H250" s="124">
        <v>54681</v>
      </c>
    </row>
    <row r="251" spans="1:8">
      <c r="A251" s="856"/>
      <c r="B251" s="856"/>
      <c r="C251" s="856"/>
      <c r="D251" s="856" t="s">
        <v>2949</v>
      </c>
      <c r="E251" s="1506">
        <v>0</v>
      </c>
      <c r="F251" s="1506">
        <v>1762334</v>
      </c>
      <c r="G251" s="124">
        <v>0</v>
      </c>
      <c r="H251" s="124">
        <v>0</v>
      </c>
    </row>
    <row r="252" spans="1:8">
      <c r="A252" s="856"/>
      <c r="B252" s="856"/>
      <c r="C252" s="856"/>
      <c r="D252" s="856" t="s">
        <v>474</v>
      </c>
      <c r="E252" s="1506">
        <v>0</v>
      </c>
      <c r="F252" s="1506">
        <v>0</v>
      </c>
      <c r="G252" s="124">
        <v>0</v>
      </c>
      <c r="H252" s="124">
        <v>0</v>
      </c>
    </row>
    <row r="253" spans="1:8">
      <c r="A253" s="856"/>
      <c r="B253" s="856"/>
      <c r="C253" s="856"/>
      <c r="D253" s="856" t="s">
        <v>39</v>
      </c>
      <c r="E253" s="1506">
        <v>0</v>
      </c>
      <c r="F253" s="1506">
        <v>0</v>
      </c>
      <c r="G253" s="124">
        <v>0</v>
      </c>
      <c r="H253" s="124">
        <v>1074019.0967559998</v>
      </c>
    </row>
    <row r="254" spans="1:8">
      <c r="A254" s="856"/>
      <c r="B254" s="856"/>
      <c r="C254" s="856"/>
      <c r="D254" s="856" t="s">
        <v>40</v>
      </c>
      <c r="E254" s="1506">
        <v>0</v>
      </c>
      <c r="F254" s="1506">
        <v>0</v>
      </c>
      <c r="G254" s="124">
        <v>0</v>
      </c>
      <c r="H254" s="124">
        <v>3812089.3396249996</v>
      </c>
    </row>
    <row r="255" spans="1:8">
      <c r="A255" s="856"/>
      <c r="B255" s="856"/>
      <c r="C255" s="856"/>
      <c r="D255" s="856" t="s">
        <v>369</v>
      </c>
      <c r="E255" s="1506">
        <v>0</v>
      </c>
      <c r="F255" s="1506">
        <v>0</v>
      </c>
      <c r="G255" s="124">
        <v>0</v>
      </c>
      <c r="H255" s="124">
        <v>0</v>
      </c>
    </row>
    <row r="256" spans="1:8">
      <c r="A256" s="856"/>
      <c r="B256" s="856"/>
      <c r="C256" s="856"/>
      <c r="D256" s="856" t="s">
        <v>98</v>
      </c>
      <c r="E256" s="1506">
        <v>0</v>
      </c>
      <c r="F256" s="1506">
        <v>0</v>
      </c>
      <c r="G256" s="124">
        <v>0</v>
      </c>
      <c r="H256" s="124">
        <v>0</v>
      </c>
    </row>
    <row r="257" spans="1:8">
      <c r="A257" s="856"/>
      <c r="B257" s="856"/>
      <c r="C257" s="856"/>
      <c r="D257" s="856" t="s">
        <v>113</v>
      </c>
      <c r="E257" s="1506">
        <v>0</v>
      </c>
      <c r="F257" s="1506">
        <v>25061810.07</v>
      </c>
      <c r="G257" s="124">
        <v>0</v>
      </c>
      <c r="H257" s="124">
        <v>7452127</v>
      </c>
    </row>
    <row r="258" spans="1:8">
      <c r="A258" s="856"/>
      <c r="B258" s="856"/>
      <c r="C258" s="856"/>
      <c r="D258" s="856" t="s">
        <v>137</v>
      </c>
      <c r="E258" s="1506">
        <v>0</v>
      </c>
      <c r="F258" s="1506">
        <v>0</v>
      </c>
      <c r="G258" s="124">
        <v>0</v>
      </c>
      <c r="H258" s="124">
        <v>29160</v>
      </c>
    </row>
    <row r="259" spans="1:8">
      <c r="A259" s="856"/>
      <c r="B259" s="856"/>
      <c r="C259" s="856"/>
      <c r="D259" s="856" t="s">
        <v>150</v>
      </c>
      <c r="E259" s="1506">
        <v>0</v>
      </c>
      <c r="F259" s="1506">
        <v>66909</v>
      </c>
      <c r="G259" s="124">
        <v>0</v>
      </c>
      <c r="H259" s="124">
        <v>89916</v>
      </c>
    </row>
    <row r="260" spans="1:8">
      <c r="A260" s="856"/>
      <c r="B260" s="856"/>
      <c r="C260" s="856"/>
      <c r="D260" s="856" t="s">
        <v>151</v>
      </c>
      <c r="E260" s="1506">
        <v>0</v>
      </c>
      <c r="F260" s="1506">
        <v>1502067</v>
      </c>
      <c r="G260" s="124">
        <v>0</v>
      </c>
      <c r="H260" s="124">
        <v>4164978</v>
      </c>
    </row>
    <row r="261" spans="1:8">
      <c r="A261" s="856"/>
      <c r="B261" s="856"/>
      <c r="C261" s="856"/>
      <c r="D261" s="856" t="s">
        <v>177</v>
      </c>
      <c r="E261" s="1506">
        <v>0</v>
      </c>
      <c r="F261" s="1506">
        <v>156751</v>
      </c>
      <c r="G261" s="124">
        <v>0</v>
      </c>
      <c r="H261" s="124">
        <v>65007</v>
      </c>
    </row>
    <row r="262" spans="1:8">
      <c r="A262" s="856"/>
      <c r="B262" s="856"/>
      <c r="C262" s="856"/>
      <c r="D262" s="856" t="s">
        <v>180</v>
      </c>
      <c r="E262" s="1506">
        <v>0</v>
      </c>
      <c r="F262" s="1506">
        <v>111510</v>
      </c>
      <c r="G262" s="124">
        <v>0</v>
      </c>
      <c r="H262" s="124">
        <v>242667</v>
      </c>
    </row>
    <row r="263" spans="1:8">
      <c r="A263" s="856"/>
      <c r="B263" s="856"/>
      <c r="C263" s="856"/>
      <c r="D263" s="856" t="s">
        <v>188</v>
      </c>
      <c r="E263" s="1506">
        <v>0</v>
      </c>
      <c r="F263" s="1506">
        <v>514599</v>
      </c>
      <c r="G263" s="124">
        <v>0</v>
      </c>
      <c r="H263" s="124">
        <v>238416</v>
      </c>
    </row>
    <row r="264" spans="1:8">
      <c r="A264" s="856"/>
      <c r="B264" s="856"/>
      <c r="C264" s="856"/>
      <c r="D264" s="856" t="s">
        <v>195</v>
      </c>
      <c r="E264" s="1506">
        <v>0</v>
      </c>
      <c r="F264" s="1506">
        <v>400020</v>
      </c>
      <c r="G264" s="124">
        <v>0</v>
      </c>
      <c r="H264" s="124">
        <v>0</v>
      </c>
    </row>
    <row r="265" spans="1:8">
      <c r="A265" s="856"/>
      <c r="B265" s="856"/>
      <c r="C265" s="856"/>
      <c r="D265" s="856" t="s">
        <v>388</v>
      </c>
      <c r="E265" s="1506">
        <v>0</v>
      </c>
      <c r="F265" s="1506">
        <v>0</v>
      </c>
      <c r="G265" s="124">
        <v>0</v>
      </c>
      <c r="H265" s="124">
        <v>193615</v>
      </c>
    </row>
    <row r="266" spans="1:8">
      <c r="A266" s="856"/>
      <c r="B266" s="856"/>
      <c r="C266" s="856"/>
      <c r="D266" s="856" t="s">
        <v>511</v>
      </c>
      <c r="E266" s="1506">
        <v>0</v>
      </c>
      <c r="F266" s="1506">
        <v>5453561</v>
      </c>
      <c r="G266" s="124">
        <v>0</v>
      </c>
      <c r="H266" s="124">
        <v>1780152</v>
      </c>
    </row>
    <row r="267" spans="1:8">
      <c r="A267" s="856"/>
      <c r="B267" s="856"/>
      <c r="C267" s="856"/>
      <c r="D267" s="856" t="s">
        <v>432</v>
      </c>
      <c r="E267" s="1506">
        <v>0</v>
      </c>
      <c r="F267" s="1506">
        <v>68027</v>
      </c>
      <c r="G267" s="124">
        <v>0</v>
      </c>
      <c r="H267" s="124">
        <v>143488</v>
      </c>
    </row>
    <row r="268" spans="1:8">
      <c r="A268" s="856"/>
      <c r="B268" s="856"/>
      <c r="C268" s="856"/>
      <c r="D268" s="856" t="s">
        <v>225</v>
      </c>
      <c r="E268" s="1506">
        <v>0</v>
      </c>
      <c r="F268" s="1506">
        <v>0</v>
      </c>
      <c r="G268" s="124">
        <v>0</v>
      </c>
      <c r="H268" s="124">
        <v>12525978.300000001</v>
      </c>
    </row>
    <row r="269" spans="1:8">
      <c r="A269" s="856"/>
      <c r="B269" s="856"/>
      <c r="C269" s="856"/>
      <c r="D269" s="856" t="s">
        <v>226</v>
      </c>
      <c r="E269" s="1506">
        <v>0</v>
      </c>
      <c r="F269" s="1506">
        <v>0</v>
      </c>
      <c r="G269" s="124">
        <v>0</v>
      </c>
      <c r="H269" s="124">
        <v>0</v>
      </c>
    </row>
    <row r="270" spans="1:8">
      <c r="A270" s="856"/>
      <c r="B270" s="856"/>
      <c r="C270" s="856"/>
      <c r="D270" s="856" t="s">
        <v>392</v>
      </c>
      <c r="E270" s="1506">
        <v>0</v>
      </c>
      <c r="F270" s="1506">
        <v>10547882</v>
      </c>
      <c r="G270" s="124">
        <v>0</v>
      </c>
      <c r="H270" s="124">
        <v>11543115</v>
      </c>
    </row>
    <row r="271" spans="1:8">
      <c r="A271" s="856"/>
      <c r="B271" s="856"/>
      <c r="C271" s="856"/>
      <c r="D271" s="856" t="s">
        <v>235</v>
      </c>
      <c r="E271" s="1506">
        <v>0</v>
      </c>
      <c r="F271" s="1506">
        <v>0</v>
      </c>
      <c r="G271" s="124">
        <v>0</v>
      </c>
      <c r="H271" s="124">
        <v>2296047.5</v>
      </c>
    </row>
    <row r="272" spans="1:8">
      <c r="A272" s="856"/>
      <c r="B272" s="856"/>
      <c r="C272" s="856"/>
      <c r="D272" s="856" t="s">
        <v>2615</v>
      </c>
      <c r="E272" s="1506">
        <v>0</v>
      </c>
      <c r="F272" s="1506">
        <v>0</v>
      </c>
      <c r="G272" s="124">
        <v>0</v>
      </c>
      <c r="H272" s="124">
        <v>533042</v>
      </c>
    </row>
    <row r="273" spans="1:8">
      <c r="A273" s="856"/>
      <c r="B273" s="856"/>
      <c r="C273" s="856"/>
      <c r="D273" s="856" t="s">
        <v>19</v>
      </c>
      <c r="E273" s="1506">
        <v>0</v>
      </c>
      <c r="F273" s="1506">
        <v>5463715</v>
      </c>
      <c r="G273" s="124">
        <v>0</v>
      </c>
      <c r="H273" s="124">
        <v>3597683</v>
      </c>
    </row>
    <row r="274" spans="1:8">
      <c r="A274" s="856"/>
      <c r="B274" s="856"/>
      <c r="C274" s="856"/>
      <c r="D274" s="856" t="s">
        <v>2616</v>
      </c>
      <c r="E274" s="1506">
        <v>0</v>
      </c>
      <c r="F274" s="1506">
        <v>0</v>
      </c>
      <c r="G274" s="124">
        <v>0</v>
      </c>
      <c r="H274" s="124">
        <v>996630</v>
      </c>
    </row>
    <row r="275" spans="1:8">
      <c r="A275" s="856"/>
      <c r="B275" s="856"/>
      <c r="C275" s="856"/>
      <c r="D275" s="856" t="s">
        <v>394</v>
      </c>
      <c r="E275" s="1506">
        <v>0</v>
      </c>
      <c r="F275" s="1506">
        <v>313012</v>
      </c>
      <c r="G275" s="124">
        <v>0</v>
      </c>
      <c r="H275" s="124">
        <v>313013</v>
      </c>
    </row>
    <row r="276" spans="1:8">
      <c r="A276" s="856"/>
      <c r="B276" s="856"/>
      <c r="C276" s="856"/>
      <c r="D276" s="856" t="s">
        <v>2975</v>
      </c>
      <c r="E276" s="1506">
        <v>0</v>
      </c>
      <c r="F276" s="1506">
        <v>0</v>
      </c>
      <c r="G276" s="124">
        <v>0</v>
      </c>
      <c r="H276" s="124">
        <v>0</v>
      </c>
    </row>
    <row r="277" spans="1:8">
      <c r="A277" s="856"/>
      <c r="B277" s="856"/>
      <c r="C277" s="856"/>
      <c r="D277" s="856" t="s">
        <v>395</v>
      </c>
      <c r="E277" s="1506">
        <v>0</v>
      </c>
      <c r="F277" s="1506">
        <v>0</v>
      </c>
      <c r="G277" s="124">
        <v>0</v>
      </c>
      <c r="H277" s="124">
        <v>0</v>
      </c>
    </row>
    <row r="278" spans="1:8">
      <c r="A278" s="856"/>
      <c r="B278" s="856"/>
      <c r="C278" s="856"/>
      <c r="D278" s="856" t="s">
        <v>263</v>
      </c>
      <c r="E278" s="1506">
        <v>0</v>
      </c>
      <c r="F278" s="1506">
        <v>16497</v>
      </c>
      <c r="G278" s="124">
        <v>0</v>
      </c>
      <c r="H278" s="124">
        <v>56976</v>
      </c>
    </row>
    <row r="279" spans="1:8">
      <c r="A279" s="856"/>
      <c r="B279" s="856"/>
      <c r="C279" s="856"/>
      <c r="D279" s="856" t="s">
        <v>17</v>
      </c>
      <c r="E279" s="1506">
        <v>0</v>
      </c>
      <c r="F279" s="1506">
        <v>0</v>
      </c>
      <c r="G279" s="124">
        <v>0</v>
      </c>
      <c r="H279" s="124">
        <v>0</v>
      </c>
    </row>
    <row r="280" spans="1:8">
      <c r="A280" s="856"/>
      <c r="B280" s="856"/>
      <c r="C280" s="856"/>
      <c r="D280" s="856" t="s">
        <v>538</v>
      </c>
      <c r="E280" s="1506">
        <v>0</v>
      </c>
      <c r="F280" s="1506">
        <v>570460</v>
      </c>
      <c r="G280" s="124">
        <v>0</v>
      </c>
      <c r="H280" s="124">
        <v>251180</v>
      </c>
    </row>
    <row r="281" spans="1:8">
      <c r="A281" s="856"/>
      <c r="B281" s="856"/>
      <c r="C281" s="856"/>
      <c r="D281" s="856" t="s">
        <v>2983</v>
      </c>
      <c r="E281" s="1506">
        <v>0</v>
      </c>
      <c r="F281" s="1506">
        <v>328373</v>
      </c>
      <c r="G281" s="124">
        <v>0</v>
      </c>
      <c r="H281" s="124">
        <v>0</v>
      </c>
    </row>
    <row r="282" spans="1:8">
      <c r="A282" s="856"/>
      <c r="B282" s="856"/>
      <c r="C282" s="856"/>
      <c r="D282" s="856" t="s">
        <v>301</v>
      </c>
      <c r="E282" s="1506">
        <v>0</v>
      </c>
      <c r="F282" s="1506">
        <v>3493498</v>
      </c>
      <c r="G282" s="124">
        <v>0</v>
      </c>
      <c r="H282" s="124">
        <v>1212197</v>
      </c>
    </row>
    <row r="283" spans="1:8">
      <c r="A283" s="856"/>
      <c r="B283" s="856"/>
      <c r="C283" s="856"/>
      <c r="D283" s="856" t="s">
        <v>302</v>
      </c>
      <c r="E283" s="1506">
        <v>0</v>
      </c>
      <c r="F283" s="1506">
        <v>0</v>
      </c>
      <c r="G283" s="124">
        <v>0</v>
      </c>
      <c r="H283" s="124">
        <v>3418</v>
      </c>
    </row>
    <row r="284" spans="1:8">
      <c r="A284" s="856"/>
      <c r="B284" s="856"/>
      <c r="C284" s="856"/>
      <c r="D284" s="856" t="s">
        <v>543</v>
      </c>
      <c r="E284" s="1506">
        <v>0</v>
      </c>
      <c r="F284" s="1506">
        <v>0</v>
      </c>
      <c r="G284" s="124">
        <v>0</v>
      </c>
      <c r="H284" s="124">
        <v>1296380</v>
      </c>
    </row>
    <row r="285" spans="1:8">
      <c r="A285" s="856"/>
      <c r="B285" s="856"/>
      <c r="C285" s="856"/>
      <c r="D285" s="856" t="s">
        <v>544</v>
      </c>
      <c r="E285" s="1506">
        <v>0</v>
      </c>
      <c r="F285" s="1506">
        <v>0</v>
      </c>
      <c r="G285" s="124">
        <v>0</v>
      </c>
      <c r="H285" s="124">
        <v>3727056.5107999998</v>
      </c>
    </row>
    <row r="286" spans="1:8">
      <c r="A286" s="856"/>
      <c r="B286" s="856"/>
      <c r="C286" s="856"/>
      <c r="D286" s="856" t="s">
        <v>547</v>
      </c>
      <c r="E286" s="1506">
        <v>0</v>
      </c>
      <c r="F286" s="1506">
        <v>0</v>
      </c>
      <c r="G286" s="124">
        <v>0</v>
      </c>
      <c r="H286" s="124">
        <v>1115100</v>
      </c>
    </row>
    <row r="287" spans="1:8">
      <c r="A287" s="856"/>
      <c r="B287" s="856"/>
      <c r="C287" s="856"/>
      <c r="D287" s="856" t="s">
        <v>314</v>
      </c>
      <c r="E287" s="1506">
        <v>0</v>
      </c>
      <c r="F287" s="1506">
        <v>3110810</v>
      </c>
      <c r="G287" s="124">
        <v>0</v>
      </c>
      <c r="H287" s="124">
        <v>3597964</v>
      </c>
    </row>
    <row r="288" spans="1:8">
      <c r="A288" s="856"/>
      <c r="B288" s="856"/>
      <c r="C288" s="856"/>
      <c r="D288" s="856" t="s">
        <v>436</v>
      </c>
      <c r="E288" s="1506">
        <v>0</v>
      </c>
      <c r="F288" s="1506">
        <v>0</v>
      </c>
      <c r="G288" s="124">
        <v>0</v>
      </c>
      <c r="H288" s="124">
        <v>0</v>
      </c>
    </row>
    <row r="289" spans="1:8">
      <c r="A289" s="856"/>
      <c r="B289" s="856"/>
      <c r="C289" s="856"/>
      <c r="D289" s="856" t="s">
        <v>320</v>
      </c>
      <c r="E289" s="1506">
        <v>0</v>
      </c>
      <c r="F289" s="1506">
        <v>2400131</v>
      </c>
      <c r="G289" s="124">
        <v>0</v>
      </c>
      <c r="H289" s="124">
        <v>1561707</v>
      </c>
    </row>
    <row r="290" spans="1:8">
      <c r="A290" s="856"/>
      <c r="B290" s="856"/>
      <c r="C290" s="856"/>
      <c r="D290" s="856" t="s">
        <v>411</v>
      </c>
      <c r="E290" s="1506">
        <v>0</v>
      </c>
      <c r="F290" s="1506">
        <v>1397710</v>
      </c>
      <c r="G290" s="124">
        <v>0</v>
      </c>
      <c r="H290" s="124">
        <v>632079</v>
      </c>
    </row>
    <row r="291" spans="1:8">
      <c r="A291" s="856"/>
      <c r="B291" s="856"/>
      <c r="C291" s="856"/>
      <c r="D291" s="856" t="s">
        <v>16</v>
      </c>
      <c r="E291" s="1506">
        <v>0</v>
      </c>
      <c r="F291" s="1506">
        <v>210890</v>
      </c>
      <c r="G291" s="124">
        <v>0</v>
      </c>
      <c r="H291" s="124">
        <v>0</v>
      </c>
    </row>
    <row r="292" spans="1:8">
      <c r="A292" s="856"/>
      <c r="B292" s="856"/>
      <c r="C292" s="856"/>
      <c r="D292" s="856" t="s">
        <v>217</v>
      </c>
      <c r="E292" s="1506">
        <v>0</v>
      </c>
      <c r="F292" s="1506">
        <v>474189</v>
      </c>
      <c r="G292" s="124">
        <v>0</v>
      </c>
      <c r="H292" s="124">
        <v>2129493</v>
      </c>
    </row>
    <row r="293" spans="1:8">
      <c r="A293" s="856"/>
      <c r="B293" s="856"/>
      <c r="C293" s="856"/>
      <c r="D293" s="856" t="s">
        <v>333</v>
      </c>
      <c r="E293" s="1506">
        <v>0</v>
      </c>
      <c r="F293" s="1506">
        <v>1449699.7</v>
      </c>
      <c r="G293" s="124">
        <v>0</v>
      </c>
      <c r="H293" s="124">
        <v>1668161.7</v>
      </c>
    </row>
    <row r="294" spans="1:8">
      <c r="A294" s="856"/>
      <c r="B294" s="856"/>
      <c r="C294" s="856"/>
      <c r="D294" s="856" t="s">
        <v>413</v>
      </c>
      <c r="E294" s="1506">
        <v>0</v>
      </c>
      <c r="F294" s="1506">
        <v>0</v>
      </c>
      <c r="G294" s="124">
        <v>0</v>
      </c>
      <c r="H294" s="124">
        <v>0</v>
      </c>
    </row>
    <row r="295" spans="1:8">
      <c r="A295" s="856"/>
      <c r="B295" s="856"/>
      <c r="C295" s="856"/>
      <c r="D295" s="856" t="s">
        <v>334</v>
      </c>
      <c r="E295" s="1506">
        <v>0</v>
      </c>
      <c r="F295" s="1506">
        <v>0</v>
      </c>
      <c r="G295" s="124">
        <v>0</v>
      </c>
      <c r="H295" s="124">
        <v>182880</v>
      </c>
    </row>
    <row r="296" spans="1:8">
      <c r="A296" s="856"/>
      <c r="B296" s="856"/>
      <c r="C296" s="856"/>
      <c r="D296" s="856" t="s">
        <v>347</v>
      </c>
      <c r="E296" s="1506">
        <v>0</v>
      </c>
      <c r="F296" s="1506">
        <v>0</v>
      </c>
      <c r="G296" s="124">
        <v>0</v>
      </c>
      <c r="H296" s="124">
        <v>0</v>
      </c>
    </row>
    <row r="297" spans="1:8">
      <c r="A297" s="856"/>
      <c r="B297" s="856"/>
      <c r="C297" s="856"/>
      <c r="D297" s="856" t="s">
        <v>564</v>
      </c>
      <c r="E297" s="1506">
        <v>0</v>
      </c>
      <c r="F297" s="1506">
        <v>548430</v>
      </c>
      <c r="G297" s="124">
        <v>0</v>
      </c>
      <c r="H297" s="124">
        <v>101563</v>
      </c>
    </row>
    <row r="298" spans="1:8">
      <c r="A298" s="856"/>
      <c r="B298" s="856"/>
      <c r="C298" s="856"/>
      <c r="D298" s="856" t="s">
        <v>2997</v>
      </c>
      <c r="E298" s="1506">
        <v>0</v>
      </c>
      <c r="F298" s="1506">
        <v>122997</v>
      </c>
      <c r="G298" s="124">
        <v>0</v>
      </c>
      <c r="H298" s="124">
        <v>0</v>
      </c>
    </row>
    <row r="299" spans="1:8">
      <c r="A299" s="856"/>
      <c r="B299" s="856"/>
      <c r="C299" s="856"/>
      <c r="D299" s="856" t="s">
        <v>2998</v>
      </c>
      <c r="E299" s="1506">
        <v>0</v>
      </c>
      <c r="F299" s="1506">
        <v>423547</v>
      </c>
      <c r="G299" s="124">
        <v>0</v>
      </c>
      <c r="H299" s="124">
        <v>0</v>
      </c>
    </row>
    <row r="300" spans="1:8">
      <c r="A300" s="856"/>
      <c r="B300" s="856"/>
      <c r="C300" s="856"/>
      <c r="D300" s="856" t="s">
        <v>350</v>
      </c>
      <c r="E300" s="1506">
        <v>0</v>
      </c>
      <c r="F300" s="1506">
        <v>1046424</v>
      </c>
      <c r="G300" s="124">
        <v>0</v>
      </c>
      <c r="H300" s="124">
        <v>830720</v>
      </c>
    </row>
    <row r="301" spans="1:8">
      <c r="A301" s="856"/>
      <c r="B301" s="856"/>
      <c r="C301" s="856"/>
      <c r="D301" s="856" t="s">
        <v>2999</v>
      </c>
      <c r="E301" s="1506">
        <v>0</v>
      </c>
      <c r="F301" s="1506">
        <v>103673</v>
      </c>
      <c r="G301" s="124">
        <v>0</v>
      </c>
      <c r="H301" s="124">
        <v>0</v>
      </c>
    </row>
    <row r="302" spans="1:8">
      <c r="A302" s="856"/>
      <c r="B302" s="856"/>
      <c r="C302" s="856"/>
      <c r="D302" s="856" t="s">
        <v>360</v>
      </c>
      <c r="E302" s="1506">
        <v>0</v>
      </c>
      <c r="F302" s="1506">
        <v>0</v>
      </c>
      <c r="G302" s="124">
        <v>0</v>
      </c>
      <c r="H302" s="124">
        <v>80955</v>
      </c>
    </row>
    <row r="303" spans="1:8">
      <c r="A303" s="856"/>
      <c r="B303" s="856"/>
      <c r="C303" s="856"/>
      <c r="D303" s="856" t="s">
        <v>10</v>
      </c>
      <c r="E303" s="1506">
        <v>0</v>
      </c>
      <c r="F303" s="1506">
        <v>1018930</v>
      </c>
      <c r="G303" s="124">
        <v>0</v>
      </c>
      <c r="H303" s="124">
        <v>0</v>
      </c>
    </row>
    <row r="304" spans="1:8">
      <c r="A304" s="856"/>
      <c r="B304" s="856"/>
      <c r="C304" s="856"/>
      <c r="D304" s="856" t="s">
        <v>428</v>
      </c>
      <c r="E304" s="1506">
        <v>0</v>
      </c>
      <c r="F304" s="1506">
        <v>0</v>
      </c>
      <c r="G304" s="124">
        <v>0</v>
      </c>
      <c r="H304" s="124">
        <v>90199</v>
      </c>
    </row>
    <row r="305" spans="1:8">
      <c r="A305" s="856"/>
      <c r="B305" s="856"/>
      <c r="C305" s="856"/>
      <c r="D305" s="856" t="s">
        <v>3003</v>
      </c>
      <c r="E305" s="1506">
        <v>0</v>
      </c>
      <c r="F305" s="1506">
        <v>18125083</v>
      </c>
      <c r="G305" s="124">
        <v>0</v>
      </c>
      <c r="H305" s="124">
        <v>0</v>
      </c>
    </row>
    <row r="306" spans="1:8">
      <c r="A306" s="856"/>
      <c r="B306" s="856"/>
      <c r="C306" s="856"/>
      <c r="D306" s="856" t="s">
        <v>441</v>
      </c>
      <c r="E306" s="1506">
        <v>0</v>
      </c>
      <c r="F306" s="1506">
        <v>9434468</v>
      </c>
      <c r="G306" s="124">
        <v>0</v>
      </c>
      <c r="H306" s="124">
        <v>3500894</v>
      </c>
    </row>
    <row r="307" spans="1:8">
      <c r="A307" s="856"/>
      <c r="B307" s="856"/>
      <c r="C307" s="856"/>
      <c r="D307" s="856" t="s">
        <v>423</v>
      </c>
      <c r="E307" s="1506">
        <v>0</v>
      </c>
      <c r="F307" s="1506">
        <v>0</v>
      </c>
      <c r="G307" s="124">
        <v>0</v>
      </c>
      <c r="H307" s="124">
        <v>163013</v>
      </c>
    </row>
    <row r="308" spans="1:8">
      <c r="A308" s="856"/>
      <c r="B308" s="856"/>
      <c r="C308" s="856"/>
      <c r="D308" s="856" t="s">
        <v>442</v>
      </c>
      <c r="E308" s="1506">
        <v>0</v>
      </c>
      <c r="F308" s="1506">
        <v>560256</v>
      </c>
      <c r="G308" s="124">
        <v>0</v>
      </c>
      <c r="H308" s="124">
        <v>750593</v>
      </c>
    </row>
    <row r="309" spans="1:8">
      <c r="A309" s="856"/>
      <c r="B309" s="856"/>
      <c r="C309" s="856"/>
      <c r="D309" s="856" t="s">
        <v>588</v>
      </c>
      <c r="E309" s="1506">
        <v>0</v>
      </c>
      <c r="F309" s="1506">
        <v>0</v>
      </c>
      <c r="G309" s="124">
        <v>0</v>
      </c>
      <c r="H309" s="124">
        <v>0</v>
      </c>
    </row>
    <row r="310" spans="1:8">
      <c r="A310" s="856"/>
      <c r="B310" s="856"/>
      <c r="C310" s="856"/>
      <c r="D310" s="856" t="s">
        <v>586</v>
      </c>
      <c r="E310" s="1506">
        <v>0</v>
      </c>
      <c r="F310" s="1506">
        <v>0</v>
      </c>
      <c r="G310" s="124">
        <v>0</v>
      </c>
      <c r="H310" s="124">
        <v>295397</v>
      </c>
    </row>
    <row r="311" spans="1:8">
      <c r="A311" s="856"/>
      <c r="B311" s="856"/>
      <c r="C311" s="856"/>
      <c r="D311" s="856" t="s">
        <v>443</v>
      </c>
      <c r="E311" s="1506">
        <v>0</v>
      </c>
      <c r="F311" s="1506">
        <v>0</v>
      </c>
      <c r="G311" s="124">
        <v>0</v>
      </c>
      <c r="H311" s="124">
        <v>226800</v>
      </c>
    </row>
    <row r="312" spans="1:8">
      <c r="A312" s="856"/>
      <c r="B312" s="856"/>
      <c r="C312" s="856"/>
      <c r="D312" s="856" t="s">
        <v>3063</v>
      </c>
      <c r="E312" s="1506">
        <v>0</v>
      </c>
      <c r="F312" s="1506">
        <v>19514</v>
      </c>
      <c r="G312" s="124"/>
      <c r="H312" s="124"/>
    </row>
    <row r="313" spans="1:8">
      <c r="A313" s="856"/>
      <c r="B313" s="856"/>
      <c r="C313" s="856" t="s">
        <v>611</v>
      </c>
      <c r="D313" s="856"/>
      <c r="E313" s="1506">
        <v>0</v>
      </c>
      <c r="F313" s="1506">
        <v>97909948.270000011</v>
      </c>
      <c r="G313" s="124">
        <v>0</v>
      </c>
      <c r="H313" s="124">
        <v>77477670.830151007</v>
      </c>
    </row>
    <row r="314" spans="1:8">
      <c r="A314" s="856"/>
      <c r="B314" s="856"/>
      <c r="C314" s="856" t="s">
        <v>9</v>
      </c>
      <c r="D314" s="856" t="s">
        <v>7</v>
      </c>
      <c r="E314" s="1506">
        <v>0</v>
      </c>
      <c r="F314" s="1506">
        <v>208440</v>
      </c>
      <c r="G314" s="124">
        <v>0</v>
      </c>
      <c r="H314" s="124">
        <v>73440</v>
      </c>
    </row>
    <row r="315" spans="1:8">
      <c r="A315" s="856"/>
      <c r="B315" s="856"/>
      <c r="C315" s="856"/>
      <c r="D315" s="856" t="s">
        <v>20</v>
      </c>
      <c r="E315" s="1506">
        <v>0</v>
      </c>
      <c r="F315" s="1506">
        <v>2485320</v>
      </c>
      <c r="G315" s="124">
        <v>0</v>
      </c>
      <c r="H315" s="124">
        <v>380240</v>
      </c>
    </row>
    <row r="316" spans="1:8">
      <c r="A316" s="856"/>
      <c r="B316" s="856"/>
      <c r="C316" s="856"/>
      <c r="D316" s="856" t="s">
        <v>2942</v>
      </c>
      <c r="E316" s="1506">
        <v>0</v>
      </c>
      <c r="F316" s="1506">
        <v>115749</v>
      </c>
      <c r="G316" s="124">
        <v>0</v>
      </c>
      <c r="H316" s="124">
        <v>0</v>
      </c>
    </row>
    <row r="317" spans="1:8">
      <c r="A317" s="856"/>
      <c r="B317" s="856"/>
      <c r="C317" s="856"/>
      <c r="D317" s="856" t="s">
        <v>298</v>
      </c>
      <c r="E317" s="1506">
        <v>0</v>
      </c>
      <c r="F317" s="1506">
        <v>169429</v>
      </c>
      <c r="G317" s="124">
        <v>0</v>
      </c>
      <c r="H317" s="124">
        <v>39816</v>
      </c>
    </row>
    <row r="318" spans="1:8">
      <c r="A318" s="856"/>
      <c r="B318" s="856"/>
      <c r="C318" s="856"/>
      <c r="D318" s="856" t="s">
        <v>362</v>
      </c>
      <c r="E318" s="1506">
        <v>0</v>
      </c>
      <c r="F318" s="1506">
        <v>0</v>
      </c>
      <c r="G318" s="124">
        <v>0</v>
      </c>
      <c r="H318" s="124">
        <v>0</v>
      </c>
    </row>
    <row r="319" spans="1:8">
      <c r="A319" s="856"/>
      <c r="B319" s="856"/>
      <c r="C319" s="856"/>
      <c r="D319" s="856" t="s">
        <v>58</v>
      </c>
      <c r="E319" s="1506">
        <v>0</v>
      </c>
      <c r="F319" s="1506">
        <v>247500</v>
      </c>
      <c r="G319" s="124">
        <v>0</v>
      </c>
      <c r="H319" s="124">
        <v>247500</v>
      </c>
    </row>
    <row r="320" spans="1:8">
      <c r="A320" s="856"/>
      <c r="B320" s="856"/>
      <c r="C320" s="856"/>
      <c r="D320" s="856" t="s">
        <v>364</v>
      </c>
      <c r="E320" s="1506">
        <v>0</v>
      </c>
      <c r="F320" s="1506">
        <v>0</v>
      </c>
      <c r="G320" s="124">
        <v>0</v>
      </c>
      <c r="H320" s="124">
        <v>21491</v>
      </c>
    </row>
    <row r="321" spans="1:8">
      <c r="A321" s="856"/>
      <c r="B321" s="856"/>
      <c r="C321" s="856"/>
      <c r="D321" s="856" t="s">
        <v>2948</v>
      </c>
      <c r="E321" s="1506">
        <v>0</v>
      </c>
      <c r="F321" s="1506">
        <v>430509</v>
      </c>
      <c r="G321" s="124">
        <v>0</v>
      </c>
      <c r="H321" s="124">
        <v>0</v>
      </c>
    </row>
    <row r="322" spans="1:8">
      <c r="A322" s="856"/>
      <c r="B322" s="856"/>
      <c r="C322" s="856"/>
      <c r="D322" s="856" t="s">
        <v>2950</v>
      </c>
      <c r="E322" s="1506">
        <v>0</v>
      </c>
      <c r="F322" s="1506">
        <v>38700</v>
      </c>
      <c r="G322" s="124">
        <v>0</v>
      </c>
      <c r="H322" s="124">
        <v>0</v>
      </c>
    </row>
    <row r="323" spans="1:8">
      <c r="A323" s="856"/>
      <c r="B323" s="856"/>
      <c r="C323" s="856"/>
      <c r="D323" s="856" t="s">
        <v>2952</v>
      </c>
      <c r="E323" s="1506">
        <v>0</v>
      </c>
      <c r="F323" s="1506">
        <v>0</v>
      </c>
      <c r="G323" s="124">
        <v>0</v>
      </c>
      <c r="H323" s="124">
        <v>0</v>
      </c>
    </row>
    <row r="324" spans="1:8">
      <c r="A324" s="856"/>
      <c r="B324" s="856"/>
      <c r="C324" s="856"/>
      <c r="D324" s="856" t="s">
        <v>24</v>
      </c>
      <c r="E324" s="1506">
        <v>0</v>
      </c>
      <c r="F324" s="1506">
        <v>0</v>
      </c>
      <c r="G324" s="124">
        <v>0</v>
      </c>
      <c r="H324" s="124">
        <v>6490</v>
      </c>
    </row>
    <row r="325" spans="1:8">
      <c r="A325" s="856"/>
      <c r="B325" s="856"/>
      <c r="C325" s="856"/>
      <c r="D325" s="856" t="s">
        <v>371</v>
      </c>
      <c r="E325" s="1506">
        <v>0</v>
      </c>
      <c r="F325" s="1506">
        <v>0</v>
      </c>
      <c r="G325" s="124">
        <v>0</v>
      </c>
      <c r="H325" s="124">
        <v>0</v>
      </c>
    </row>
    <row r="326" spans="1:8">
      <c r="A326" s="856"/>
      <c r="B326" s="856"/>
      <c r="C326" s="856"/>
      <c r="D326" s="856" t="s">
        <v>429</v>
      </c>
      <c r="E326" s="1506">
        <v>0</v>
      </c>
      <c r="F326" s="1506">
        <v>30858</v>
      </c>
      <c r="G326" s="124">
        <v>0</v>
      </c>
      <c r="H326" s="124">
        <v>24831</v>
      </c>
    </row>
    <row r="327" spans="1:8">
      <c r="A327" s="856"/>
      <c r="B327" s="856"/>
      <c r="C327" s="856"/>
      <c r="D327" s="856" t="s">
        <v>146</v>
      </c>
      <c r="E327" s="1506">
        <v>168203.84</v>
      </c>
      <c r="F327" s="1506">
        <v>0</v>
      </c>
      <c r="G327" s="124">
        <v>0</v>
      </c>
      <c r="H327" s="124">
        <v>112909.16</v>
      </c>
    </row>
    <row r="328" spans="1:8">
      <c r="A328" s="856"/>
      <c r="B328" s="856"/>
      <c r="C328" s="856"/>
      <c r="D328" s="856" t="s">
        <v>375</v>
      </c>
      <c r="E328" s="1506">
        <v>0</v>
      </c>
      <c r="F328" s="1506">
        <v>0</v>
      </c>
      <c r="G328" s="124">
        <v>0</v>
      </c>
      <c r="H328" s="124">
        <v>0</v>
      </c>
    </row>
    <row r="329" spans="1:8">
      <c r="A329" s="856"/>
      <c r="B329" s="856"/>
      <c r="C329" s="856"/>
      <c r="D329" s="856" t="s">
        <v>43</v>
      </c>
      <c r="E329" s="1506">
        <v>0</v>
      </c>
      <c r="F329" s="1506">
        <v>0</v>
      </c>
      <c r="G329" s="124">
        <v>0</v>
      </c>
      <c r="H329" s="124">
        <v>0</v>
      </c>
    </row>
    <row r="330" spans="1:8">
      <c r="A330" s="856"/>
      <c r="B330" s="856"/>
      <c r="C330" s="856"/>
      <c r="D330" s="856" t="s">
        <v>491</v>
      </c>
      <c r="E330" s="1506">
        <v>0</v>
      </c>
      <c r="F330" s="1506">
        <v>0</v>
      </c>
      <c r="G330" s="124">
        <v>0</v>
      </c>
      <c r="H330" s="124">
        <v>62499</v>
      </c>
    </row>
    <row r="331" spans="1:8">
      <c r="A331" s="856"/>
      <c r="B331" s="856"/>
      <c r="C331" s="856"/>
      <c r="D331" s="856" t="s">
        <v>377</v>
      </c>
      <c r="E331" s="1506">
        <v>0</v>
      </c>
      <c r="F331" s="1506">
        <v>93574</v>
      </c>
      <c r="G331" s="124">
        <v>0</v>
      </c>
      <c r="H331" s="124">
        <v>0</v>
      </c>
    </row>
    <row r="332" spans="1:8">
      <c r="A332" s="856"/>
      <c r="B332" s="856"/>
      <c r="C332" s="856"/>
      <c r="D332" s="856" t="s">
        <v>494</v>
      </c>
      <c r="E332" s="1506">
        <v>0</v>
      </c>
      <c r="F332" s="1506">
        <v>387602</v>
      </c>
      <c r="G332" s="124">
        <v>0</v>
      </c>
      <c r="H332" s="124">
        <v>370401</v>
      </c>
    </row>
    <row r="333" spans="1:8">
      <c r="A333" s="856"/>
      <c r="B333" s="856"/>
      <c r="C333" s="856"/>
      <c r="D333" s="856" t="s">
        <v>2961</v>
      </c>
      <c r="E333" s="1506">
        <v>0</v>
      </c>
      <c r="F333" s="1506">
        <v>23600</v>
      </c>
      <c r="G333" s="124">
        <v>0</v>
      </c>
      <c r="H333" s="124">
        <v>0</v>
      </c>
    </row>
    <row r="334" spans="1:8">
      <c r="A334" s="856"/>
      <c r="B334" s="856"/>
      <c r="C334" s="856"/>
      <c r="D334" s="856" t="s">
        <v>430</v>
      </c>
      <c r="E334" s="1506">
        <v>0</v>
      </c>
      <c r="F334" s="1506">
        <v>13500</v>
      </c>
      <c r="G334" s="124">
        <v>0</v>
      </c>
      <c r="H334" s="124">
        <v>0</v>
      </c>
    </row>
    <row r="335" spans="1:8">
      <c r="A335" s="856"/>
      <c r="B335" s="856"/>
      <c r="C335" s="856"/>
      <c r="D335" s="856" t="s">
        <v>181</v>
      </c>
      <c r="E335" s="1506">
        <v>0</v>
      </c>
      <c r="F335" s="1506">
        <v>0</v>
      </c>
      <c r="G335" s="124">
        <v>0</v>
      </c>
      <c r="H335" s="124">
        <v>74340</v>
      </c>
    </row>
    <row r="336" spans="1:8">
      <c r="A336" s="856"/>
      <c r="B336" s="856"/>
      <c r="C336" s="856"/>
      <c r="D336" s="856" t="s">
        <v>2254</v>
      </c>
      <c r="E336" s="1506">
        <v>0</v>
      </c>
      <c r="F336" s="1506">
        <v>0</v>
      </c>
      <c r="G336" s="124">
        <v>0</v>
      </c>
      <c r="H336" s="124">
        <v>0</v>
      </c>
    </row>
    <row r="337" spans="1:8">
      <c r="A337" s="856"/>
      <c r="B337" s="856"/>
      <c r="C337" s="856"/>
      <c r="D337" s="856" t="s">
        <v>2611</v>
      </c>
      <c r="E337" s="1506">
        <v>0</v>
      </c>
      <c r="F337" s="1506">
        <v>0</v>
      </c>
      <c r="G337" s="124">
        <v>0</v>
      </c>
      <c r="H337" s="124">
        <v>27000</v>
      </c>
    </row>
    <row r="338" spans="1:8">
      <c r="A338" s="856"/>
      <c r="B338" s="856"/>
      <c r="C338" s="856"/>
      <c r="D338" s="856" t="s">
        <v>185</v>
      </c>
      <c r="E338" s="1506">
        <v>0</v>
      </c>
      <c r="F338" s="1506">
        <v>0</v>
      </c>
      <c r="G338" s="124">
        <v>0</v>
      </c>
      <c r="H338" s="124">
        <v>75205</v>
      </c>
    </row>
    <row r="339" spans="1:8">
      <c r="A339" s="856"/>
      <c r="B339" s="856"/>
      <c r="C339" s="856"/>
      <c r="D339" s="856" t="s">
        <v>499</v>
      </c>
      <c r="E339" s="1506">
        <v>0</v>
      </c>
      <c r="F339" s="1506">
        <v>183581</v>
      </c>
      <c r="G339" s="124">
        <v>0</v>
      </c>
      <c r="H339" s="124">
        <v>192781</v>
      </c>
    </row>
    <row r="340" spans="1:8">
      <c r="A340" s="856"/>
      <c r="B340" s="856"/>
      <c r="C340" s="856"/>
      <c r="D340" s="856" t="s">
        <v>2965</v>
      </c>
      <c r="E340" s="1506">
        <v>0</v>
      </c>
      <c r="F340" s="1506">
        <v>0</v>
      </c>
      <c r="G340" s="124">
        <v>0</v>
      </c>
      <c r="H340" s="124">
        <v>0</v>
      </c>
    </row>
    <row r="341" spans="1:8">
      <c r="A341" s="856"/>
      <c r="B341" s="856"/>
      <c r="C341" s="856"/>
      <c r="D341" s="856" t="s">
        <v>223</v>
      </c>
      <c r="E341" s="1506">
        <v>0</v>
      </c>
      <c r="F341" s="1506">
        <v>3154</v>
      </c>
      <c r="G341" s="124">
        <v>0</v>
      </c>
      <c r="H341" s="124">
        <v>6711</v>
      </c>
    </row>
    <row r="342" spans="1:8">
      <c r="A342" s="856"/>
      <c r="B342" s="856"/>
      <c r="C342" s="856"/>
      <c r="D342" s="856" t="s">
        <v>2971</v>
      </c>
      <c r="E342" s="1506">
        <v>0</v>
      </c>
      <c r="F342" s="1506">
        <v>135000</v>
      </c>
      <c r="G342" s="124">
        <v>0</v>
      </c>
      <c r="H342" s="124">
        <v>0</v>
      </c>
    </row>
    <row r="343" spans="1:8">
      <c r="A343" s="856"/>
      <c r="B343" s="856"/>
      <c r="C343" s="856"/>
      <c r="D343" s="856" t="s">
        <v>228</v>
      </c>
      <c r="E343" s="1506">
        <v>0</v>
      </c>
      <c r="F343" s="1506">
        <v>40147</v>
      </c>
      <c r="G343" s="124">
        <v>0</v>
      </c>
      <c r="H343" s="124">
        <v>42465</v>
      </c>
    </row>
    <row r="344" spans="1:8">
      <c r="A344" s="856"/>
      <c r="B344" s="856"/>
      <c r="C344" s="856"/>
      <c r="D344" s="856" t="s">
        <v>434</v>
      </c>
      <c r="E344" s="1506">
        <v>0</v>
      </c>
      <c r="F344" s="1506">
        <v>754370</v>
      </c>
      <c r="G344" s="124">
        <v>0</v>
      </c>
      <c r="H344" s="124">
        <v>588420</v>
      </c>
    </row>
    <row r="345" spans="1:8">
      <c r="A345" s="856"/>
      <c r="B345" s="856"/>
      <c r="C345" s="856"/>
      <c r="D345" s="856" t="s">
        <v>241</v>
      </c>
      <c r="E345" s="1506">
        <v>0</v>
      </c>
      <c r="F345" s="1506">
        <v>0</v>
      </c>
      <c r="G345" s="124">
        <v>0</v>
      </c>
      <c r="H345" s="124">
        <v>218293</v>
      </c>
    </row>
    <row r="346" spans="1:8">
      <c r="A346" s="856"/>
      <c r="B346" s="856"/>
      <c r="C346" s="856"/>
      <c r="D346" s="856" t="s">
        <v>242</v>
      </c>
      <c r="E346" s="1506">
        <v>0</v>
      </c>
      <c r="F346" s="1506">
        <v>0</v>
      </c>
      <c r="G346" s="124">
        <v>0</v>
      </c>
      <c r="H346" s="124">
        <v>27100</v>
      </c>
    </row>
    <row r="347" spans="1:8">
      <c r="A347" s="856"/>
      <c r="B347" s="856"/>
      <c r="C347" s="856"/>
      <c r="D347" s="856" t="s">
        <v>2250</v>
      </c>
      <c r="E347" s="1506">
        <v>0</v>
      </c>
      <c r="F347" s="1506">
        <v>0</v>
      </c>
      <c r="G347" s="124">
        <v>9980</v>
      </c>
      <c r="H347" s="124">
        <v>0</v>
      </c>
    </row>
    <row r="348" spans="1:8">
      <c r="A348" s="856"/>
      <c r="B348" s="856"/>
      <c r="C348" s="856"/>
      <c r="D348" s="856" t="s">
        <v>11</v>
      </c>
      <c r="E348" s="1506">
        <v>0</v>
      </c>
      <c r="F348" s="1506">
        <v>0</v>
      </c>
      <c r="G348" s="124">
        <v>0</v>
      </c>
      <c r="H348" s="124">
        <v>0</v>
      </c>
    </row>
    <row r="349" spans="1:8">
      <c r="A349" s="856"/>
      <c r="B349" s="856"/>
      <c r="C349" s="856"/>
      <c r="D349" s="856" t="s">
        <v>435</v>
      </c>
      <c r="E349" s="1506">
        <v>0</v>
      </c>
      <c r="F349" s="1506">
        <v>35044</v>
      </c>
      <c r="G349" s="124">
        <v>0</v>
      </c>
      <c r="H349" s="124">
        <v>32397</v>
      </c>
    </row>
    <row r="350" spans="1:8">
      <c r="A350" s="856"/>
      <c r="B350" s="856"/>
      <c r="C350" s="856"/>
      <c r="D350" s="856" t="s">
        <v>516</v>
      </c>
      <c r="E350" s="1506">
        <v>0</v>
      </c>
      <c r="F350" s="1506">
        <v>218551</v>
      </c>
      <c r="G350" s="124">
        <v>0</v>
      </c>
      <c r="H350" s="124">
        <v>81650</v>
      </c>
    </row>
    <row r="351" spans="1:8">
      <c r="A351" s="856"/>
      <c r="B351" s="856"/>
      <c r="C351" s="856"/>
      <c r="D351" s="856" t="s">
        <v>247</v>
      </c>
      <c r="E351" s="1506">
        <v>0</v>
      </c>
      <c r="F351" s="1506">
        <v>0</v>
      </c>
      <c r="G351" s="124">
        <v>0</v>
      </c>
      <c r="H351" s="124">
        <v>0</v>
      </c>
    </row>
    <row r="352" spans="1:8">
      <c r="A352" s="856"/>
      <c r="B352" s="856"/>
      <c r="C352" s="856"/>
      <c r="D352" s="856" t="s">
        <v>2973</v>
      </c>
      <c r="E352" s="1506">
        <v>0</v>
      </c>
      <c r="F352" s="1506">
        <v>21830</v>
      </c>
      <c r="G352" s="124">
        <v>0</v>
      </c>
      <c r="H352" s="124">
        <v>0</v>
      </c>
    </row>
    <row r="353" spans="1:8">
      <c r="A353" s="856"/>
      <c r="B353" s="856"/>
      <c r="C353" s="856"/>
      <c r="D353" s="856" t="s">
        <v>526</v>
      </c>
      <c r="E353" s="1506">
        <v>0</v>
      </c>
      <c r="F353" s="1506">
        <v>333000</v>
      </c>
      <c r="G353" s="124">
        <v>0</v>
      </c>
      <c r="H353" s="124">
        <v>374208</v>
      </c>
    </row>
    <row r="354" spans="1:8">
      <c r="A354" s="856"/>
      <c r="B354" s="856"/>
      <c r="C354" s="856"/>
      <c r="D354" s="856" t="s">
        <v>523</v>
      </c>
      <c r="E354" s="1506">
        <v>0</v>
      </c>
      <c r="F354" s="1506">
        <v>0</v>
      </c>
      <c r="G354" s="124">
        <v>0</v>
      </c>
      <c r="H354" s="124">
        <v>84960</v>
      </c>
    </row>
    <row r="355" spans="1:8">
      <c r="A355" s="856"/>
      <c r="B355" s="856"/>
      <c r="C355" s="856"/>
      <c r="D355" s="856" t="s">
        <v>264</v>
      </c>
      <c r="E355" s="1506">
        <v>0</v>
      </c>
      <c r="F355" s="1506">
        <v>430942</v>
      </c>
      <c r="G355" s="124">
        <v>0</v>
      </c>
      <c r="H355" s="124">
        <v>356852</v>
      </c>
    </row>
    <row r="356" spans="1:8">
      <c r="A356" s="856"/>
      <c r="B356" s="856"/>
      <c r="C356" s="856"/>
      <c r="D356" s="856" t="s">
        <v>183</v>
      </c>
      <c r="E356" s="1506">
        <v>0</v>
      </c>
      <c r="F356" s="1506">
        <v>0</v>
      </c>
      <c r="G356" s="124">
        <v>0</v>
      </c>
      <c r="H356" s="124">
        <v>0</v>
      </c>
    </row>
    <row r="357" spans="1:8">
      <c r="A357" s="856"/>
      <c r="B357" s="856"/>
      <c r="C357" s="856"/>
      <c r="D357" s="856" t="s">
        <v>524</v>
      </c>
      <c r="E357" s="1506">
        <v>0</v>
      </c>
      <c r="F357" s="1506">
        <v>0</v>
      </c>
      <c r="G357" s="124">
        <v>0</v>
      </c>
      <c r="H357" s="124">
        <v>21000</v>
      </c>
    </row>
    <row r="358" spans="1:8">
      <c r="A358" s="856"/>
      <c r="B358" s="856"/>
      <c r="C358" s="856"/>
      <c r="D358" s="856" t="s">
        <v>525</v>
      </c>
      <c r="E358" s="1506">
        <v>0</v>
      </c>
      <c r="F358" s="1506">
        <v>437513</v>
      </c>
      <c r="G358" s="124">
        <v>0</v>
      </c>
      <c r="H358" s="124">
        <v>465751</v>
      </c>
    </row>
    <row r="359" spans="1:8">
      <c r="A359" s="856"/>
      <c r="B359" s="856"/>
      <c r="C359" s="856"/>
      <c r="D359" s="856" t="s">
        <v>265</v>
      </c>
      <c r="E359" s="1506">
        <v>0</v>
      </c>
      <c r="F359" s="1506">
        <v>544625</v>
      </c>
      <c r="G359" s="124">
        <v>0</v>
      </c>
      <c r="H359" s="124">
        <v>509568</v>
      </c>
    </row>
    <row r="360" spans="1:8">
      <c r="A360" s="856"/>
      <c r="B360" s="856"/>
      <c r="C360" s="856"/>
      <c r="D360" s="856" t="s">
        <v>396</v>
      </c>
      <c r="E360" s="1506">
        <v>0</v>
      </c>
      <c r="F360" s="1506">
        <v>0</v>
      </c>
      <c r="G360" s="124">
        <v>0</v>
      </c>
      <c r="H360" s="124">
        <v>0</v>
      </c>
    </row>
    <row r="361" spans="1:8">
      <c r="A361" s="856"/>
      <c r="B361" s="856"/>
      <c r="C361" s="856"/>
      <c r="D361" s="856" t="s">
        <v>271</v>
      </c>
      <c r="E361" s="1506">
        <v>0</v>
      </c>
      <c r="F361" s="1506">
        <v>1103470</v>
      </c>
      <c r="G361" s="124">
        <v>0</v>
      </c>
      <c r="H361" s="124">
        <v>7145017</v>
      </c>
    </row>
    <row r="362" spans="1:8">
      <c r="A362" s="856"/>
      <c r="B362" s="856"/>
      <c r="C362" s="856"/>
      <c r="D362" s="856" t="s">
        <v>2978</v>
      </c>
      <c r="E362" s="1506">
        <v>0</v>
      </c>
      <c r="F362" s="1506">
        <v>40020</v>
      </c>
      <c r="G362" s="124">
        <v>0</v>
      </c>
      <c r="H362" s="124">
        <v>0</v>
      </c>
    </row>
    <row r="363" spans="1:8">
      <c r="A363" s="856"/>
      <c r="B363" s="856"/>
      <c r="C363" s="856"/>
      <c r="D363" s="856" t="s">
        <v>2979</v>
      </c>
      <c r="E363" s="1506">
        <v>0</v>
      </c>
      <c r="F363" s="1506">
        <v>93400</v>
      </c>
      <c r="G363" s="124">
        <v>0</v>
      </c>
      <c r="H363" s="124">
        <v>0</v>
      </c>
    </row>
    <row r="364" spans="1:8">
      <c r="A364" s="856"/>
      <c r="B364" s="856"/>
      <c r="C364" s="856"/>
      <c r="D364" s="856" t="s">
        <v>2981</v>
      </c>
      <c r="E364" s="1506">
        <v>0</v>
      </c>
      <c r="F364" s="1506">
        <v>39629</v>
      </c>
      <c r="G364" s="124">
        <v>0</v>
      </c>
      <c r="H364" s="124">
        <v>0</v>
      </c>
    </row>
    <row r="365" spans="1:8">
      <c r="A365" s="856"/>
      <c r="B365" s="856"/>
      <c r="C365" s="856"/>
      <c r="D365" s="856" t="s">
        <v>2984</v>
      </c>
      <c r="E365" s="1506">
        <v>846</v>
      </c>
      <c r="F365" s="1506">
        <v>0</v>
      </c>
      <c r="G365" s="124">
        <v>0</v>
      </c>
      <c r="H365" s="124">
        <v>0</v>
      </c>
    </row>
    <row r="366" spans="1:8">
      <c r="A366" s="856"/>
      <c r="B366" s="856"/>
      <c r="C366" s="856"/>
      <c r="D366" s="856" t="s">
        <v>542</v>
      </c>
      <c r="E366" s="1506">
        <v>0</v>
      </c>
      <c r="F366" s="1506">
        <v>0</v>
      </c>
      <c r="G366" s="124">
        <v>0</v>
      </c>
      <c r="H366" s="124">
        <v>192958</v>
      </c>
    </row>
    <row r="367" spans="1:8">
      <c r="A367" s="856"/>
      <c r="B367" s="856"/>
      <c r="C367" s="856"/>
      <c r="D367" s="856" t="s">
        <v>2986</v>
      </c>
      <c r="E367" s="1506">
        <v>58000</v>
      </c>
      <c r="F367" s="1506">
        <v>0</v>
      </c>
      <c r="G367" s="124">
        <v>0</v>
      </c>
      <c r="H367" s="124">
        <v>0</v>
      </c>
    </row>
    <row r="368" spans="1:8">
      <c r="A368" s="856"/>
      <c r="B368" s="856"/>
      <c r="C368" s="856"/>
      <c r="D368" s="856" t="s">
        <v>2995</v>
      </c>
      <c r="E368" s="1506">
        <v>0</v>
      </c>
      <c r="F368" s="1506">
        <v>258302</v>
      </c>
      <c r="G368" s="124">
        <v>0</v>
      </c>
      <c r="H368" s="124">
        <v>0</v>
      </c>
    </row>
    <row r="369" spans="1:9">
      <c r="A369" s="856"/>
      <c r="B369" s="856"/>
      <c r="C369" s="856"/>
      <c r="D369" s="856" t="s">
        <v>551</v>
      </c>
      <c r="E369" s="1506">
        <v>0</v>
      </c>
      <c r="F369" s="1506">
        <v>0</v>
      </c>
      <c r="G369" s="124">
        <v>0</v>
      </c>
      <c r="H369" s="124">
        <v>25438</v>
      </c>
    </row>
    <row r="370" spans="1:9">
      <c r="A370" s="856"/>
      <c r="B370" s="856"/>
      <c r="C370" s="856"/>
      <c r="D370" s="856" t="s">
        <v>2987</v>
      </c>
      <c r="E370" s="1506">
        <v>0</v>
      </c>
      <c r="F370" s="1506">
        <v>1300144</v>
      </c>
      <c r="G370" s="124">
        <v>0</v>
      </c>
      <c r="H370" s="124">
        <v>0</v>
      </c>
    </row>
    <row r="371" spans="1:9">
      <c r="A371" s="856"/>
      <c r="B371" s="856"/>
      <c r="C371" s="856"/>
      <c r="D371" s="856" t="s">
        <v>2989</v>
      </c>
      <c r="E371" s="1506">
        <v>0</v>
      </c>
      <c r="F371" s="1506">
        <v>5290</v>
      </c>
      <c r="G371" s="124">
        <v>0</v>
      </c>
      <c r="H371" s="124">
        <v>0</v>
      </c>
    </row>
    <row r="372" spans="1:9">
      <c r="A372" s="856"/>
      <c r="B372" s="856"/>
      <c r="C372" s="856"/>
      <c r="D372" s="856" t="s">
        <v>2990</v>
      </c>
      <c r="E372" s="1506">
        <v>1094</v>
      </c>
      <c r="F372" s="1506">
        <v>0</v>
      </c>
      <c r="G372" s="124">
        <v>0</v>
      </c>
      <c r="H372" s="124">
        <v>0</v>
      </c>
    </row>
    <row r="373" spans="1:9">
      <c r="A373" s="856"/>
      <c r="B373" s="856"/>
      <c r="C373" s="856"/>
      <c r="D373" s="856" t="s">
        <v>2996</v>
      </c>
      <c r="E373" s="1506">
        <v>0</v>
      </c>
      <c r="F373" s="1506">
        <v>114628</v>
      </c>
      <c r="G373" s="124">
        <v>0</v>
      </c>
      <c r="H373" s="124">
        <v>0</v>
      </c>
    </row>
    <row r="374" spans="1:9">
      <c r="A374" s="856"/>
      <c r="B374" s="856"/>
      <c r="C374" s="856"/>
      <c r="D374" s="856" t="s">
        <v>566</v>
      </c>
      <c r="E374" s="1506">
        <v>0</v>
      </c>
      <c r="F374" s="1506">
        <v>0</v>
      </c>
      <c r="G374" s="124">
        <v>4200</v>
      </c>
      <c r="H374" s="124">
        <v>0</v>
      </c>
    </row>
    <row r="375" spans="1:9">
      <c r="A375" s="856"/>
      <c r="B375" s="856"/>
      <c r="C375" s="856"/>
      <c r="D375" s="856" t="s">
        <v>357</v>
      </c>
      <c r="E375" s="1506">
        <v>0</v>
      </c>
      <c r="F375" s="1506">
        <v>0</v>
      </c>
      <c r="G375" s="124">
        <v>0</v>
      </c>
      <c r="H375" s="124">
        <v>0</v>
      </c>
    </row>
    <row r="376" spans="1:9">
      <c r="A376" s="856"/>
      <c r="B376" s="856"/>
      <c r="C376" s="856"/>
      <c r="D376" s="856" t="s">
        <v>3002</v>
      </c>
      <c r="E376" s="1506">
        <v>0</v>
      </c>
      <c r="F376" s="1506">
        <v>197478</v>
      </c>
      <c r="G376" s="124">
        <v>0</v>
      </c>
      <c r="H376" s="124">
        <v>0</v>
      </c>
    </row>
    <row r="377" spans="1:9">
      <c r="A377" s="856"/>
      <c r="B377" s="856"/>
      <c r="C377" s="856"/>
      <c r="D377" s="856" t="s">
        <v>427</v>
      </c>
      <c r="E377" s="1506">
        <v>0</v>
      </c>
      <c r="F377" s="1506">
        <v>27540</v>
      </c>
      <c r="G377" s="124">
        <v>0</v>
      </c>
      <c r="H377" s="124">
        <v>55080</v>
      </c>
    </row>
    <row r="378" spans="1:9">
      <c r="A378" s="856"/>
      <c r="B378" s="856"/>
      <c r="C378" s="856"/>
      <c r="D378" s="856" t="s">
        <v>3004</v>
      </c>
      <c r="E378" s="1506">
        <v>0</v>
      </c>
      <c r="F378" s="1506">
        <v>162657.20000000001</v>
      </c>
      <c r="G378" s="124">
        <v>0</v>
      </c>
      <c r="H378" s="124">
        <v>0</v>
      </c>
    </row>
    <row r="379" spans="1:9">
      <c r="A379" s="856"/>
      <c r="B379" s="856"/>
      <c r="C379" s="856"/>
      <c r="D379" s="856" t="s">
        <v>424</v>
      </c>
      <c r="E379" s="1506">
        <v>0</v>
      </c>
      <c r="F379" s="1506">
        <v>0</v>
      </c>
      <c r="G379" s="124">
        <v>0</v>
      </c>
      <c r="H379" s="124">
        <v>0</v>
      </c>
    </row>
    <row r="380" spans="1:9">
      <c r="A380" s="856"/>
      <c r="B380" s="856"/>
      <c r="C380" s="856"/>
      <c r="D380" s="856" t="s">
        <v>3009</v>
      </c>
      <c r="E380" s="1506">
        <v>0</v>
      </c>
      <c r="F380" s="1506">
        <v>714051</v>
      </c>
      <c r="G380" s="124">
        <v>0</v>
      </c>
      <c r="H380" s="124">
        <v>0</v>
      </c>
    </row>
    <row r="381" spans="1:9">
      <c r="A381" s="856"/>
      <c r="B381" s="856"/>
      <c r="C381" s="856"/>
      <c r="D381" s="856" t="s">
        <v>3010</v>
      </c>
      <c r="E381" s="1506">
        <v>0</v>
      </c>
      <c r="F381" s="1506">
        <v>351471</v>
      </c>
      <c r="G381" s="124">
        <v>0</v>
      </c>
      <c r="H381" s="124">
        <v>0</v>
      </c>
    </row>
    <row r="382" spans="1:9">
      <c r="A382" s="856"/>
      <c r="B382" s="856"/>
      <c r="C382" s="856"/>
      <c r="D382" s="856" t="s">
        <v>3065</v>
      </c>
      <c r="E382" s="1506">
        <v>0</v>
      </c>
      <c r="F382" s="1506">
        <v>22492</v>
      </c>
      <c r="G382" s="124"/>
      <c r="H382" s="124"/>
    </row>
    <row r="383" spans="1:9">
      <c r="A383" s="856"/>
      <c r="B383" s="856"/>
      <c r="C383" s="856" t="s">
        <v>649</v>
      </c>
      <c r="D383" s="856"/>
      <c r="E383" s="1506">
        <v>228143.84</v>
      </c>
      <c r="F383" s="1506">
        <v>11813110.199999999</v>
      </c>
      <c r="G383" s="124">
        <v>14180</v>
      </c>
      <c r="H383" s="124">
        <v>11936811.16</v>
      </c>
      <c r="I383">
        <f>+GETPIVOTDATA("Sum of Cr. Final 23-24",$A$1,"Note",17,"BS Main Head","Trade Payables")-GETPIVOTDATA("Sum of Dr. Final 23-24",$A$1,"Note",17,"BS Main Head","Trade Payables")</f>
        <v>109494914.63000001</v>
      </c>
    </row>
    <row r="384" spans="1:9">
      <c r="A384" s="856"/>
      <c r="B384" s="856" t="s">
        <v>611</v>
      </c>
      <c r="C384" s="856"/>
      <c r="D384" s="856"/>
      <c r="E384" s="1747">
        <v>228143.84</v>
      </c>
      <c r="F384" s="1747">
        <v>109723058.47000001</v>
      </c>
      <c r="G384" s="1625">
        <v>14180</v>
      </c>
      <c r="H384" s="1625">
        <v>89414481.990151003</v>
      </c>
    </row>
    <row r="385" spans="1:8">
      <c r="A385" s="856" t="s">
        <v>3039</v>
      </c>
      <c r="B385" s="856"/>
      <c r="C385" s="856"/>
      <c r="D385" s="856"/>
      <c r="E385" s="1506">
        <v>228143.84</v>
      </c>
      <c r="F385" s="1506">
        <v>109723058.47000001</v>
      </c>
      <c r="G385" s="124">
        <v>14180</v>
      </c>
      <c r="H385" s="124">
        <v>89414481.990151003</v>
      </c>
    </row>
    <row r="386" spans="1:8">
      <c r="A386" s="856">
        <v>18</v>
      </c>
      <c r="B386" s="856" t="s">
        <v>214</v>
      </c>
      <c r="C386" t="s">
        <v>2622</v>
      </c>
      <c r="D386" t="s">
        <v>2621</v>
      </c>
      <c r="E386" s="1506">
        <v>0</v>
      </c>
      <c r="F386" s="1506">
        <v>0</v>
      </c>
      <c r="G386" s="124">
        <v>0</v>
      </c>
      <c r="H386" s="124">
        <v>0</v>
      </c>
    </row>
    <row r="387" spans="1:8">
      <c r="A387" s="856"/>
      <c r="B387" s="856"/>
      <c r="C387" t="s">
        <v>2623</v>
      </c>
      <c r="E387" s="1506">
        <v>0</v>
      </c>
      <c r="F387" s="1506">
        <v>0</v>
      </c>
      <c r="G387" s="124">
        <v>0</v>
      </c>
      <c r="H387" s="124">
        <v>0</v>
      </c>
    </row>
    <row r="388" spans="1:8">
      <c r="A388" s="856"/>
      <c r="B388" s="856"/>
      <c r="C388" s="856" t="s">
        <v>322</v>
      </c>
      <c r="D388" s="856" t="s">
        <v>2943</v>
      </c>
      <c r="E388" s="1506">
        <v>0</v>
      </c>
      <c r="F388" s="1506">
        <v>0</v>
      </c>
      <c r="G388" s="124">
        <v>0</v>
      </c>
      <c r="H388" s="124">
        <v>0</v>
      </c>
    </row>
    <row r="389" spans="1:8">
      <c r="A389" s="856"/>
      <c r="B389" s="856"/>
      <c r="C389" s="856"/>
      <c r="D389" s="856" t="s">
        <v>2969</v>
      </c>
      <c r="E389" s="1506">
        <v>0</v>
      </c>
      <c r="F389" s="1506">
        <v>0</v>
      </c>
      <c r="G389" s="124">
        <v>0</v>
      </c>
      <c r="H389" s="124">
        <v>0</v>
      </c>
    </row>
    <row r="390" spans="1:8">
      <c r="A390" s="856"/>
      <c r="B390" s="856"/>
      <c r="C390" s="856"/>
      <c r="D390" s="856" t="s">
        <v>2970</v>
      </c>
      <c r="E390" s="1506">
        <v>0</v>
      </c>
      <c r="F390" s="1506">
        <v>0</v>
      </c>
      <c r="G390" s="124">
        <v>0</v>
      </c>
      <c r="H390" s="124">
        <v>0</v>
      </c>
    </row>
    <row r="391" spans="1:8">
      <c r="A391" s="856"/>
      <c r="B391" s="856"/>
      <c r="C391" s="856"/>
      <c r="D391" s="856" t="s">
        <v>2251</v>
      </c>
      <c r="E391" s="1506">
        <v>0</v>
      </c>
      <c r="F391" s="1506">
        <v>0</v>
      </c>
      <c r="G391" s="124">
        <v>2380</v>
      </c>
      <c r="H391" s="124">
        <v>0</v>
      </c>
    </row>
    <row r="392" spans="1:8">
      <c r="A392" s="856"/>
      <c r="B392" s="856"/>
      <c r="C392" s="856"/>
      <c r="D392" t="s">
        <v>909</v>
      </c>
      <c r="E392" s="1506">
        <v>0</v>
      </c>
      <c r="F392" s="1506">
        <v>160600</v>
      </c>
      <c r="G392" s="124">
        <v>0</v>
      </c>
      <c r="H392" s="124">
        <v>2200000</v>
      </c>
    </row>
    <row r="393" spans="1:8">
      <c r="A393" s="856"/>
      <c r="B393" s="856"/>
      <c r="C393" s="856"/>
      <c r="D393" s="856" t="s">
        <v>321</v>
      </c>
      <c r="E393" s="1506">
        <v>0</v>
      </c>
      <c r="F393" s="1506">
        <v>1508372</v>
      </c>
      <c r="G393" s="124">
        <v>0</v>
      </c>
      <c r="H393" s="124">
        <v>1087441</v>
      </c>
    </row>
    <row r="394" spans="1:8">
      <c r="A394" s="856"/>
      <c r="B394" s="856"/>
      <c r="C394" s="856" t="s">
        <v>650</v>
      </c>
      <c r="D394" s="856"/>
      <c r="E394" s="1747">
        <v>0</v>
      </c>
      <c r="F394" s="1747">
        <v>1668972</v>
      </c>
      <c r="G394" s="1625">
        <v>2380</v>
      </c>
      <c r="H394" s="1625">
        <v>3287441</v>
      </c>
    </row>
    <row r="395" spans="1:8">
      <c r="A395" s="856"/>
      <c r="B395" s="856"/>
      <c r="C395" t="s">
        <v>90</v>
      </c>
      <c r="D395" t="s">
        <v>91</v>
      </c>
      <c r="E395" s="1506">
        <v>0</v>
      </c>
      <c r="F395" s="1506">
        <v>0</v>
      </c>
      <c r="G395" s="124">
        <v>0</v>
      </c>
      <c r="H395" s="124">
        <v>0</v>
      </c>
    </row>
    <row r="396" spans="1:8">
      <c r="A396" s="856"/>
      <c r="B396" s="856"/>
      <c r="D396" t="s">
        <v>307</v>
      </c>
      <c r="E396" s="1506">
        <v>0</v>
      </c>
      <c r="F396" s="1506">
        <v>0</v>
      </c>
      <c r="G396" s="124">
        <v>116981</v>
      </c>
      <c r="H396" s="124">
        <v>0</v>
      </c>
    </row>
    <row r="397" spans="1:8">
      <c r="A397" s="856"/>
      <c r="B397" s="856"/>
      <c r="D397" t="s">
        <v>2954</v>
      </c>
      <c r="E397" s="1506">
        <v>0</v>
      </c>
      <c r="F397" s="1506">
        <v>633932.4</v>
      </c>
      <c r="G397" s="124">
        <v>0</v>
      </c>
      <c r="H397" s="124">
        <v>0</v>
      </c>
    </row>
    <row r="398" spans="1:8">
      <c r="A398" s="856"/>
      <c r="B398" s="856"/>
      <c r="D398" t="s">
        <v>367</v>
      </c>
      <c r="E398" s="1506">
        <v>0</v>
      </c>
      <c r="F398" s="1506">
        <v>0</v>
      </c>
      <c r="G398" s="124">
        <v>0</v>
      </c>
      <c r="H398" s="124">
        <v>0</v>
      </c>
    </row>
    <row r="399" spans="1:8">
      <c r="A399" s="856"/>
      <c r="B399" s="856"/>
      <c r="D399" t="s">
        <v>479</v>
      </c>
      <c r="E399" s="1506">
        <v>0</v>
      </c>
      <c r="F399" s="1506">
        <v>0</v>
      </c>
      <c r="G399" s="124">
        <v>0</v>
      </c>
      <c r="H399" s="124">
        <v>3388226.94</v>
      </c>
    </row>
    <row r="400" spans="1:8">
      <c r="A400" s="856"/>
      <c r="B400" s="856"/>
      <c r="D400" t="s">
        <v>480</v>
      </c>
      <c r="E400" s="1506">
        <v>0</v>
      </c>
      <c r="F400" s="1506">
        <v>0</v>
      </c>
      <c r="G400" s="124">
        <v>2263811.12</v>
      </c>
      <c r="H400" s="124">
        <v>0</v>
      </c>
    </row>
    <row r="401" spans="1:8">
      <c r="A401" s="856"/>
      <c r="B401" s="856"/>
      <c r="D401" t="s">
        <v>383</v>
      </c>
      <c r="E401" s="1506">
        <v>0</v>
      </c>
      <c r="F401" s="1506">
        <v>0</v>
      </c>
      <c r="G401" s="124">
        <v>0</v>
      </c>
      <c r="H401" s="124">
        <v>0</v>
      </c>
    </row>
    <row r="402" spans="1:8">
      <c r="A402" s="856"/>
      <c r="B402" s="856"/>
      <c r="D402" t="s">
        <v>384</v>
      </c>
      <c r="E402" s="1506">
        <v>0</v>
      </c>
      <c r="F402" s="1506">
        <v>0</v>
      </c>
      <c r="G402" s="124">
        <v>0</v>
      </c>
      <c r="H402" s="124">
        <v>0</v>
      </c>
    </row>
    <row r="403" spans="1:8">
      <c r="A403" s="856"/>
      <c r="B403" s="856"/>
      <c r="D403" t="s">
        <v>2612</v>
      </c>
      <c r="E403" s="1506">
        <v>0</v>
      </c>
      <c r="F403" s="1506">
        <v>0</v>
      </c>
      <c r="G403" s="124">
        <v>807</v>
      </c>
      <c r="H403" s="124">
        <v>0</v>
      </c>
    </row>
    <row r="404" spans="1:8">
      <c r="A404" s="856"/>
      <c r="B404" s="856"/>
      <c r="D404" t="s">
        <v>2962</v>
      </c>
      <c r="E404" s="1506">
        <v>0</v>
      </c>
      <c r="F404" s="1506">
        <v>532764.55000000005</v>
      </c>
      <c r="G404" s="124">
        <v>0</v>
      </c>
      <c r="H404" s="124">
        <v>0</v>
      </c>
    </row>
    <row r="405" spans="1:8">
      <c r="A405" s="856"/>
      <c r="B405" s="856"/>
      <c r="D405" t="s">
        <v>501</v>
      </c>
      <c r="E405" s="1506">
        <v>0</v>
      </c>
      <c r="F405" s="1506">
        <v>0</v>
      </c>
      <c r="G405" s="124">
        <v>0</v>
      </c>
      <c r="H405" s="124">
        <v>1402087</v>
      </c>
    </row>
    <row r="406" spans="1:8">
      <c r="A406" s="856"/>
      <c r="B406" s="856"/>
      <c r="D406" t="s">
        <v>502</v>
      </c>
      <c r="E406" s="1506">
        <v>0</v>
      </c>
      <c r="F406" s="1506">
        <v>0</v>
      </c>
      <c r="G406" s="124">
        <v>1932482.82</v>
      </c>
      <c r="H406" s="124">
        <v>0</v>
      </c>
    </row>
    <row r="407" spans="1:8">
      <c r="A407" s="856"/>
      <c r="B407" s="856"/>
      <c r="D407" t="s">
        <v>304</v>
      </c>
      <c r="E407" s="1506">
        <v>0</v>
      </c>
      <c r="F407" s="1506">
        <v>29783</v>
      </c>
      <c r="G407" s="124">
        <v>0</v>
      </c>
      <c r="H407" s="124">
        <v>40975</v>
      </c>
    </row>
    <row r="408" spans="1:8">
      <c r="A408" s="856"/>
      <c r="B408" s="856"/>
      <c r="D408" t="s">
        <v>305</v>
      </c>
      <c r="E408" s="1506">
        <v>0</v>
      </c>
      <c r="F408" s="1506">
        <v>27120</v>
      </c>
      <c r="G408" s="124">
        <v>0</v>
      </c>
      <c r="H408" s="124">
        <v>84100</v>
      </c>
    </row>
    <row r="409" spans="1:8">
      <c r="A409" s="856"/>
      <c r="B409" s="856"/>
      <c r="D409" t="s">
        <v>306</v>
      </c>
      <c r="E409" s="1506">
        <v>0</v>
      </c>
      <c r="F409" s="1506">
        <v>29783</v>
      </c>
      <c r="G409" s="124">
        <v>0</v>
      </c>
      <c r="H409" s="124">
        <v>40975</v>
      </c>
    </row>
    <row r="410" spans="1:8">
      <c r="A410" s="856"/>
      <c r="B410" s="856"/>
      <c r="D410" t="s">
        <v>92</v>
      </c>
      <c r="E410" s="1506">
        <v>0</v>
      </c>
      <c r="F410" s="1506">
        <v>0</v>
      </c>
      <c r="G410" s="124">
        <v>0</v>
      </c>
      <c r="H410" s="124">
        <v>0</v>
      </c>
    </row>
    <row r="411" spans="1:8">
      <c r="A411" s="856"/>
      <c r="B411" s="856"/>
      <c r="D411" t="s">
        <v>308</v>
      </c>
      <c r="E411" s="1506">
        <v>0</v>
      </c>
      <c r="F411" s="1506">
        <v>0</v>
      </c>
      <c r="G411" s="124">
        <v>116981</v>
      </c>
      <c r="H411" s="124">
        <v>0</v>
      </c>
    </row>
    <row r="412" spans="1:8">
      <c r="A412" s="856"/>
      <c r="B412" s="856"/>
      <c r="D412" t="s">
        <v>2992</v>
      </c>
      <c r="E412" s="1506">
        <v>0</v>
      </c>
      <c r="F412" s="1506">
        <v>633932.32999999996</v>
      </c>
      <c r="G412" s="124">
        <v>0</v>
      </c>
      <c r="H412" s="124">
        <v>0</v>
      </c>
    </row>
    <row r="413" spans="1:8">
      <c r="A413" s="856"/>
      <c r="B413" s="856"/>
      <c r="D413" t="s">
        <v>559</v>
      </c>
      <c r="E413" s="1506">
        <v>0</v>
      </c>
      <c r="F413" s="1506">
        <v>0</v>
      </c>
      <c r="G413" s="124">
        <v>0</v>
      </c>
      <c r="H413" s="124">
        <v>3387430.12</v>
      </c>
    </row>
    <row r="414" spans="1:8">
      <c r="A414" s="856"/>
      <c r="B414" s="856"/>
      <c r="D414" t="s">
        <v>412</v>
      </c>
      <c r="E414" s="1506">
        <v>0</v>
      </c>
      <c r="F414" s="1506">
        <v>0</v>
      </c>
      <c r="G414" s="124">
        <v>0</v>
      </c>
      <c r="H414" s="124">
        <v>0</v>
      </c>
    </row>
    <row r="415" spans="1:8">
      <c r="A415" s="856"/>
      <c r="B415" s="856"/>
      <c r="D415" t="s">
        <v>2993</v>
      </c>
      <c r="E415" s="1506">
        <v>0</v>
      </c>
      <c r="F415" s="1506">
        <v>41335.42</v>
      </c>
      <c r="G415" s="124">
        <v>0</v>
      </c>
      <c r="H415" s="124">
        <v>0</v>
      </c>
    </row>
    <row r="416" spans="1:8">
      <c r="A416" s="856"/>
      <c r="B416" s="856"/>
      <c r="D416" t="s">
        <v>560</v>
      </c>
      <c r="E416" s="1506">
        <v>0</v>
      </c>
      <c r="F416" s="1506">
        <v>0</v>
      </c>
      <c r="G416" s="124">
        <v>2263811.12</v>
      </c>
      <c r="H416" s="124">
        <v>0</v>
      </c>
    </row>
    <row r="417" spans="1:8">
      <c r="A417" s="856"/>
      <c r="B417" s="856"/>
      <c r="D417" t="s">
        <v>3064</v>
      </c>
      <c r="E417" s="1506">
        <v>0</v>
      </c>
      <c r="F417" s="1506">
        <v>77396</v>
      </c>
      <c r="G417" s="124"/>
      <c r="H417" s="124"/>
    </row>
    <row r="418" spans="1:8">
      <c r="A418" s="856"/>
      <c r="B418" s="856"/>
      <c r="C418" t="s">
        <v>651</v>
      </c>
      <c r="E418" s="1506">
        <v>0</v>
      </c>
      <c r="F418" s="1506">
        <v>2006046.7000000002</v>
      </c>
      <c r="G418" s="124">
        <v>6694874.0600000005</v>
      </c>
      <c r="H418" s="124">
        <v>8343794.0599999996</v>
      </c>
    </row>
    <row r="419" spans="1:8">
      <c r="A419" s="856"/>
      <c r="B419" s="856"/>
      <c r="C419" t="s">
        <v>107</v>
      </c>
      <c r="D419" t="s">
        <v>106</v>
      </c>
      <c r="E419" s="1506">
        <v>0</v>
      </c>
      <c r="F419" s="1506">
        <v>49748</v>
      </c>
      <c r="G419" s="124">
        <v>0</v>
      </c>
      <c r="H419" s="124">
        <v>23072</v>
      </c>
    </row>
    <row r="420" spans="1:8">
      <c r="A420" s="856"/>
      <c r="B420" s="856"/>
      <c r="D420" t="s">
        <v>482</v>
      </c>
      <c r="E420" s="1506">
        <v>0</v>
      </c>
      <c r="F420" s="1506">
        <v>254452</v>
      </c>
      <c r="G420" s="124">
        <v>0</v>
      </c>
      <c r="H420" s="124">
        <v>202410</v>
      </c>
    </row>
    <row r="421" spans="1:8">
      <c r="A421" s="856"/>
      <c r="B421" s="856"/>
      <c r="D421" t="s">
        <v>338</v>
      </c>
      <c r="E421" s="1506">
        <v>0</v>
      </c>
      <c r="F421" s="1506">
        <v>14175</v>
      </c>
      <c r="G421" s="124">
        <v>0</v>
      </c>
      <c r="H421" s="124">
        <v>11575</v>
      </c>
    </row>
    <row r="422" spans="1:8">
      <c r="A422" s="856"/>
      <c r="B422" s="856"/>
      <c r="D422" t="s">
        <v>351</v>
      </c>
      <c r="E422" s="1506">
        <v>0</v>
      </c>
      <c r="F422" s="1506">
        <v>14885.01</v>
      </c>
      <c r="G422" s="124">
        <v>0</v>
      </c>
      <c r="H422" s="124">
        <v>9325.82</v>
      </c>
    </row>
    <row r="423" spans="1:8">
      <c r="A423" s="856"/>
      <c r="B423" s="856"/>
      <c r="D423" t="s">
        <v>574</v>
      </c>
      <c r="E423" s="1506">
        <v>0</v>
      </c>
      <c r="F423" s="1506">
        <v>48309</v>
      </c>
      <c r="G423" s="124">
        <v>0</v>
      </c>
      <c r="H423" s="124">
        <v>141960</v>
      </c>
    </row>
    <row r="424" spans="1:8">
      <c r="A424" s="856"/>
      <c r="B424" s="856"/>
      <c r="D424" t="s">
        <v>573</v>
      </c>
      <c r="E424" s="1506">
        <v>0</v>
      </c>
      <c r="F424" s="1506">
        <v>5513</v>
      </c>
      <c r="G424" s="124">
        <v>0</v>
      </c>
      <c r="H424" s="124">
        <v>5250</v>
      </c>
    </row>
    <row r="425" spans="1:8">
      <c r="A425" s="856"/>
      <c r="B425" s="856"/>
      <c r="D425" t="s">
        <v>352</v>
      </c>
      <c r="E425" s="1506">
        <v>0</v>
      </c>
      <c r="F425" s="1506">
        <v>0</v>
      </c>
      <c r="G425" s="124">
        <v>0</v>
      </c>
      <c r="H425" s="124">
        <v>2555</v>
      </c>
    </row>
    <row r="426" spans="1:8">
      <c r="A426" s="856"/>
      <c r="B426" s="856"/>
      <c r="D426" t="s">
        <v>571</v>
      </c>
      <c r="E426" s="1506">
        <v>0</v>
      </c>
      <c r="F426" s="1506">
        <v>18590.04</v>
      </c>
      <c r="G426" s="124">
        <v>0</v>
      </c>
      <c r="H426" s="124">
        <v>61052.04</v>
      </c>
    </row>
    <row r="427" spans="1:8">
      <c r="A427" s="856"/>
      <c r="B427" s="856"/>
      <c r="D427" t="s">
        <v>572</v>
      </c>
      <c r="E427" s="1506">
        <v>0</v>
      </c>
      <c r="F427" s="1506">
        <v>31456</v>
      </c>
      <c r="G427" s="124">
        <v>0</v>
      </c>
      <c r="H427" s="124">
        <v>60934</v>
      </c>
    </row>
    <row r="428" spans="1:8">
      <c r="A428" s="856"/>
      <c r="B428" s="856"/>
      <c r="D428" t="s">
        <v>421</v>
      </c>
      <c r="E428" s="1506">
        <v>0</v>
      </c>
      <c r="F428" s="1506">
        <v>33692</v>
      </c>
      <c r="G428" s="124">
        <v>0</v>
      </c>
      <c r="H428" s="124">
        <v>49527</v>
      </c>
    </row>
    <row r="429" spans="1:8">
      <c r="A429" s="856"/>
      <c r="B429" s="856"/>
      <c r="D429" t="s">
        <v>575</v>
      </c>
      <c r="E429" s="1506">
        <v>0</v>
      </c>
      <c r="F429" s="1506">
        <v>8000</v>
      </c>
      <c r="G429" s="124">
        <v>0</v>
      </c>
      <c r="H429" s="124">
        <v>5000</v>
      </c>
    </row>
    <row r="430" spans="1:8">
      <c r="A430" s="856"/>
      <c r="B430" s="856"/>
      <c r="D430" t="s">
        <v>353</v>
      </c>
      <c r="E430" s="1506">
        <v>0</v>
      </c>
      <c r="F430" s="1506">
        <v>23905</v>
      </c>
      <c r="G430" s="124">
        <v>0</v>
      </c>
      <c r="H430" s="124">
        <v>27071</v>
      </c>
    </row>
    <row r="431" spans="1:8">
      <c r="A431" s="856"/>
      <c r="B431" s="856"/>
      <c r="D431" t="s">
        <v>354</v>
      </c>
      <c r="E431" s="1506">
        <v>0</v>
      </c>
      <c r="F431" s="1506">
        <v>34000</v>
      </c>
      <c r="G431" s="124">
        <v>0</v>
      </c>
      <c r="H431" s="124">
        <v>61380</v>
      </c>
    </row>
    <row r="432" spans="1:8">
      <c r="A432" s="856"/>
      <c r="B432" s="856"/>
      <c r="C432" t="s">
        <v>653</v>
      </c>
      <c r="E432" s="1506">
        <v>0</v>
      </c>
      <c r="F432" s="1506">
        <v>536725.05000000005</v>
      </c>
      <c r="G432" s="124">
        <v>0</v>
      </c>
      <c r="H432" s="124">
        <v>661111.86</v>
      </c>
    </row>
    <row r="433" spans="1:8">
      <c r="A433" s="856"/>
      <c r="B433" s="856"/>
      <c r="C433" t="s">
        <v>2258</v>
      </c>
      <c r="D433" t="s">
        <v>453</v>
      </c>
      <c r="E433" s="1506">
        <v>0</v>
      </c>
      <c r="F433" s="1506">
        <v>0</v>
      </c>
      <c r="G433" s="124">
        <v>0</v>
      </c>
      <c r="H433" s="124">
        <v>150105</v>
      </c>
    </row>
    <row r="434" spans="1:8">
      <c r="A434" s="856"/>
      <c r="B434" s="856"/>
      <c r="D434" t="s">
        <v>368</v>
      </c>
      <c r="E434" s="1506">
        <v>0</v>
      </c>
      <c r="F434" s="1506">
        <v>0</v>
      </c>
      <c r="G434" s="124">
        <v>0</v>
      </c>
      <c r="H434" s="124">
        <v>3104070</v>
      </c>
    </row>
    <row r="435" spans="1:8">
      <c r="A435" s="856"/>
      <c r="B435" s="856"/>
      <c r="D435" t="s">
        <v>492</v>
      </c>
      <c r="E435" s="1506">
        <v>0</v>
      </c>
      <c r="F435" s="1506">
        <v>0</v>
      </c>
      <c r="G435" s="124">
        <v>0</v>
      </c>
      <c r="H435" s="124">
        <v>37052</v>
      </c>
    </row>
    <row r="436" spans="1:8">
      <c r="A436" s="856"/>
      <c r="B436" s="856"/>
      <c r="D436" t="s">
        <v>381</v>
      </c>
      <c r="E436" s="1506">
        <v>0</v>
      </c>
      <c r="F436" s="1506">
        <v>0</v>
      </c>
      <c r="G436" s="124">
        <v>0</v>
      </c>
      <c r="H436" s="124">
        <v>444140</v>
      </c>
    </row>
    <row r="437" spans="1:8">
      <c r="A437" s="856"/>
      <c r="B437" s="856"/>
      <c r="D437" t="s">
        <v>385</v>
      </c>
      <c r="E437" s="1506">
        <v>0</v>
      </c>
      <c r="F437" s="1506">
        <v>0</v>
      </c>
      <c r="G437" s="124">
        <v>0</v>
      </c>
      <c r="H437" s="124">
        <v>100000</v>
      </c>
    </row>
    <row r="438" spans="1:8">
      <c r="A438" s="856"/>
      <c r="B438" s="856"/>
      <c r="D438" t="s">
        <v>452</v>
      </c>
      <c r="E438" s="1506">
        <v>0</v>
      </c>
      <c r="F438" s="1506">
        <v>220853</v>
      </c>
      <c r="G438" s="124">
        <v>0</v>
      </c>
      <c r="H438" s="124">
        <v>481820</v>
      </c>
    </row>
    <row r="439" spans="1:8">
      <c r="A439" s="856"/>
      <c r="B439" s="856"/>
      <c r="D439" t="s">
        <v>21</v>
      </c>
      <c r="E439" s="1506">
        <v>0</v>
      </c>
      <c r="F439" s="1506">
        <v>632914</v>
      </c>
      <c r="G439" s="124">
        <v>5000</v>
      </c>
      <c r="H439" s="124">
        <v>0</v>
      </c>
    </row>
    <row r="440" spans="1:8">
      <c r="A440" s="856"/>
      <c r="B440" s="856"/>
      <c r="D440" t="s">
        <v>549</v>
      </c>
      <c r="E440" s="1506">
        <v>0</v>
      </c>
      <c r="F440" s="1506">
        <v>54000</v>
      </c>
      <c r="G440" s="124">
        <v>0</v>
      </c>
      <c r="H440" s="124">
        <v>243000</v>
      </c>
    </row>
    <row r="441" spans="1:8">
      <c r="A441" s="856"/>
      <c r="B441" s="856"/>
      <c r="D441" t="s">
        <v>579</v>
      </c>
      <c r="E441" s="1506">
        <v>0</v>
      </c>
      <c r="F441" s="1506">
        <v>0</v>
      </c>
      <c r="G441" s="124">
        <v>0</v>
      </c>
      <c r="H441" s="124">
        <v>65000</v>
      </c>
    </row>
    <row r="442" spans="1:8">
      <c r="A442" s="856"/>
      <c r="B442" s="856"/>
      <c r="D442" t="s">
        <v>581</v>
      </c>
      <c r="E442" s="1506">
        <v>0</v>
      </c>
      <c r="F442" s="1506">
        <v>0</v>
      </c>
      <c r="G442" s="124">
        <v>0</v>
      </c>
      <c r="H442" s="124">
        <v>12980</v>
      </c>
    </row>
    <row r="443" spans="1:8">
      <c r="A443" s="856"/>
      <c r="B443" s="856"/>
      <c r="D443" t="s">
        <v>589</v>
      </c>
      <c r="E443" s="1506">
        <v>0</v>
      </c>
      <c r="F443" s="1506">
        <v>0</v>
      </c>
      <c r="G443" s="124">
        <v>0</v>
      </c>
      <c r="H443" s="124">
        <v>672000</v>
      </c>
    </row>
    <row r="444" spans="1:8">
      <c r="A444" s="856"/>
      <c r="B444" s="856"/>
      <c r="C444" t="s">
        <v>3050</v>
      </c>
      <c r="E444" s="1506">
        <v>0</v>
      </c>
      <c r="F444" s="1506">
        <v>907767</v>
      </c>
      <c r="G444" s="124">
        <v>5000</v>
      </c>
      <c r="H444" s="124">
        <v>5310167</v>
      </c>
    </row>
    <row r="445" spans="1:8">
      <c r="A445" s="856"/>
      <c r="B445" s="856" t="s">
        <v>612</v>
      </c>
      <c r="C445" s="856"/>
      <c r="D445" s="856"/>
      <c r="E445" s="1506">
        <v>0</v>
      </c>
      <c r="F445" s="1506">
        <v>5119510.75</v>
      </c>
      <c r="G445" s="124">
        <v>6702254.0600000005</v>
      </c>
      <c r="H445" s="124">
        <v>17602513.919999998</v>
      </c>
    </row>
    <row r="446" spans="1:8">
      <c r="A446" s="856" t="s">
        <v>3040</v>
      </c>
      <c r="B446" s="856"/>
      <c r="C446" s="856"/>
      <c r="D446" s="856"/>
      <c r="E446" s="1506">
        <v>0</v>
      </c>
      <c r="F446" s="1506">
        <v>5119510.75</v>
      </c>
      <c r="G446" s="124">
        <v>6702254.0600000005</v>
      </c>
      <c r="H446" s="124">
        <v>17602513.919999998</v>
      </c>
    </row>
    <row r="447" spans="1:8">
      <c r="A447" s="856">
        <v>19</v>
      </c>
      <c r="B447" s="856" t="s">
        <v>54</v>
      </c>
      <c r="C447" s="856" t="s">
        <v>593</v>
      </c>
      <c r="D447" s="856" t="s">
        <v>528</v>
      </c>
      <c r="E447" s="1506">
        <v>0</v>
      </c>
      <c r="F447" s="1506">
        <v>0</v>
      </c>
      <c r="G447" s="124">
        <v>0</v>
      </c>
      <c r="H447" s="124">
        <v>2500</v>
      </c>
    </row>
    <row r="448" spans="1:8">
      <c r="A448" s="856"/>
      <c r="B448" s="856"/>
      <c r="C448" s="856" t="s">
        <v>652</v>
      </c>
      <c r="D448" s="856"/>
      <c r="E448" s="1506">
        <v>0</v>
      </c>
      <c r="F448" s="1506">
        <v>0</v>
      </c>
      <c r="G448" s="124">
        <v>0</v>
      </c>
      <c r="H448" s="124">
        <v>2500</v>
      </c>
    </row>
    <row r="449" spans="1:8">
      <c r="A449" s="856"/>
      <c r="B449" s="856" t="s">
        <v>613</v>
      </c>
      <c r="C449" s="856"/>
      <c r="D449" s="856"/>
      <c r="E449" s="1506">
        <v>0</v>
      </c>
      <c r="F449" s="1506">
        <v>0</v>
      </c>
      <c r="G449" s="124">
        <v>0</v>
      </c>
      <c r="H449" s="124">
        <v>2500</v>
      </c>
    </row>
    <row r="450" spans="1:8">
      <c r="A450" s="856" t="s">
        <v>3041</v>
      </c>
      <c r="B450" s="856"/>
      <c r="C450" s="856"/>
      <c r="D450" s="856"/>
      <c r="E450" s="1506">
        <v>0</v>
      </c>
      <c r="F450" s="1506">
        <v>0</v>
      </c>
      <c r="G450" s="124">
        <v>0</v>
      </c>
      <c r="H450" s="124">
        <v>2500</v>
      </c>
    </row>
    <row r="451" spans="1:8">
      <c r="A451" s="856">
        <v>20</v>
      </c>
      <c r="B451" s="856" t="s">
        <v>193</v>
      </c>
      <c r="C451" s="856" t="s">
        <v>127</v>
      </c>
      <c r="D451" s="856" t="s">
        <v>192</v>
      </c>
      <c r="E451" s="1506">
        <v>0</v>
      </c>
      <c r="F451" s="1506">
        <v>0</v>
      </c>
      <c r="G451" s="124">
        <v>0</v>
      </c>
      <c r="H451" s="124">
        <v>0</v>
      </c>
    </row>
    <row r="452" spans="1:8">
      <c r="A452" s="856"/>
      <c r="B452" s="856"/>
      <c r="C452" s="856"/>
      <c r="D452" s="856" t="s">
        <v>233</v>
      </c>
      <c r="E452" s="1506">
        <v>0</v>
      </c>
      <c r="F452" s="1506">
        <v>343164</v>
      </c>
      <c r="G452" s="124">
        <v>0</v>
      </c>
      <c r="H452" s="124">
        <v>233275</v>
      </c>
    </row>
    <row r="453" spans="1:8">
      <c r="A453" s="856"/>
      <c r="B453" s="856"/>
      <c r="C453" s="856" t="s">
        <v>646</v>
      </c>
      <c r="D453" s="856"/>
      <c r="E453" s="1747">
        <v>0</v>
      </c>
      <c r="F453" s="1747">
        <v>343164</v>
      </c>
      <c r="G453" s="1625">
        <v>0</v>
      </c>
      <c r="H453" s="1625">
        <v>233275</v>
      </c>
    </row>
    <row r="454" spans="1:8">
      <c r="A454" s="856"/>
      <c r="B454" s="856" t="s">
        <v>614</v>
      </c>
      <c r="C454" s="856"/>
      <c r="D454" s="856"/>
      <c r="E454" s="1506">
        <v>0</v>
      </c>
      <c r="F454" s="1506">
        <v>343164</v>
      </c>
      <c r="G454" s="124">
        <v>0</v>
      </c>
      <c r="H454" s="124">
        <v>233275</v>
      </c>
    </row>
    <row r="455" spans="1:8">
      <c r="A455" s="856" t="s">
        <v>3042</v>
      </c>
      <c r="B455" s="856"/>
      <c r="C455" s="856"/>
      <c r="D455" s="856"/>
      <c r="E455" s="1506">
        <v>0</v>
      </c>
      <c r="F455" s="1506">
        <v>343164</v>
      </c>
      <c r="G455" s="124">
        <v>0</v>
      </c>
      <c r="H455" s="124">
        <v>233275</v>
      </c>
    </row>
    <row r="456" spans="1:8">
      <c r="A456" s="856">
        <v>21</v>
      </c>
      <c r="B456" s="856" t="s">
        <v>143</v>
      </c>
      <c r="C456" s="856" t="s">
        <v>280</v>
      </c>
      <c r="D456" s="856" t="s">
        <v>279</v>
      </c>
      <c r="E456" s="1506">
        <v>0</v>
      </c>
      <c r="F456" s="1506">
        <v>9444000</v>
      </c>
      <c r="G456" s="124">
        <v>0</v>
      </c>
      <c r="H456" s="124">
        <v>9443500</v>
      </c>
    </row>
    <row r="457" spans="1:8">
      <c r="A457" s="856"/>
      <c r="B457" s="856"/>
      <c r="C457" s="856" t="s">
        <v>654</v>
      </c>
      <c r="D457" s="856"/>
      <c r="E457" s="1747">
        <v>0</v>
      </c>
      <c r="F457" s="1747">
        <v>9444000</v>
      </c>
      <c r="G457" s="1625">
        <v>0</v>
      </c>
      <c r="H457" s="1625">
        <v>9443500</v>
      </c>
    </row>
    <row r="458" spans="1:8">
      <c r="A458" s="856"/>
      <c r="B458" s="856"/>
      <c r="C458" s="856" t="s">
        <v>144</v>
      </c>
      <c r="D458" s="856" t="s">
        <v>477</v>
      </c>
      <c r="E458" s="1506">
        <v>0</v>
      </c>
      <c r="F458" s="1506">
        <v>0</v>
      </c>
      <c r="G458" s="124">
        <v>577328.1</v>
      </c>
      <c r="H458" s="124">
        <v>0</v>
      </c>
    </row>
    <row r="459" spans="1:8">
      <c r="A459" s="856"/>
      <c r="B459" s="856"/>
      <c r="C459" s="856"/>
      <c r="D459" s="856" t="s">
        <v>142</v>
      </c>
      <c r="E459" s="1506">
        <v>469</v>
      </c>
      <c r="F459" s="1506">
        <v>0</v>
      </c>
      <c r="G459" s="124">
        <v>0</v>
      </c>
      <c r="H459" s="124">
        <v>0</v>
      </c>
    </row>
    <row r="460" spans="1:8">
      <c r="A460" s="856"/>
      <c r="B460" s="856"/>
      <c r="C460" s="856"/>
      <c r="D460" s="856" t="s">
        <v>374</v>
      </c>
      <c r="E460" s="1506">
        <v>32898534</v>
      </c>
      <c r="F460" s="1506">
        <v>0</v>
      </c>
      <c r="G460" s="124">
        <v>47111095.43</v>
      </c>
      <c r="H460" s="124">
        <v>0</v>
      </c>
    </row>
    <row r="461" spans="1:8">
      <c r="A461" s="856"/>
      <c r="B461" s="856"/>
      <c r="C461" s="856"/>
      <c r="D461" s="856" t="s">
        <v>163</v>
      </c>
      <c r="E461" s="1506">
        <v>0</v>
      </c>
      <c r="F461" s="1506">
        <v>0</v>
      </c>
      <c r="G461" s="124">
        <v>0</v>
      </c>
      <c r="H461" s="124">
        <v>0</v>
      </c>
    </row>
    <row r="462" spans="1:8">
      <c r="A462" s="856"/>
      <c r="B462" s="856"/>
      <c r="C462" s="856"/>
      <c r="D462" s="856" t="s">
        <v>261</v>
      </c>
      <c r="E462" s="1506">
        <v>0</v>
      </c>
      <c r="F462" s="1506">
        <v>354825</v>
      </c>
      <c r="G462" s="124">
        <v>0</v>
      </c>
      <c r="H462" s="124">
        <v>505220</v>
      </c>
    </row>
    <row r="463" spans="1:8">
      <c r="A463" s="856"/>
      <c r="B463" s="856"/>
      <c r="C463" s="856"/>
      <c r="D463" s="856" t="s">
        <v>556</v>
      </c>
      <c r="E463" s="1506">
        <v>0</v>
      </c>
      <c r="F463" s="1506">
        <v>409917</v>
      </c>
      <c r="G463" s="124">
        <v>0</v>
      </c>
      <c r="H463" s="124">
        <v>603566</v>
      </c>
    </row>
    <row r="464" spans="1:8">
      <c r="A464" s="856"/>
      <c r="B464" s="856"/>
      <c r="C464" s="856"/>
      <c r="D464" s="856" t="s">
        <v>324</v>
      </c>
      <c r="E464" s="1506">
        <v>0</v>
      </c>
      <c r="F464" s="1506">
        <v>512311311.10000002</v>
      </c>
      <c r="G464" s="124">
        <v>0</v>
      </c>
      <c r="H464" s="124">
        <v>930626444.45000005</v>
      </c>
    </row>
    <row r="465" spans="1:8">
      <c r="A465" s="856"/>
      <c r="B465" s="856"/>
      <c r="C465" s="856"/>
      <c r="D465" s="856" t="s">
        <v>145</v>
      </c>
      <c r="E465" s="1506">
        <v>0</v>
      </c>
      <c r="F465" s="1506">
        <v>99943120.799999997</v>
      </c>
      <c r="G465" s="124">
        <v>0</v>
      </c>
      <c r="H465" s="124">
        <v>138935526.5</v>
      </c>
    </row>
    <row r="466" spans="1:8">
      <c r="A466" s="856"/>
      <c r="B466" s="856"/>
      <c r="C466" s="856"/>
      <c r="D466" s="856" t="s">
        <v>2988</v>
      </c>
      <c r="E466" s="1506">
        <v>322707</v>
      </c>
      <c r="F466" s="1506">
        <v>0</v>
      </c>
      <c r="G466" s="124">
        <v>0</v>
      </c>
      <c r="H466" s="124">
        <v>0</v>
      </c>
    </row>
    <row r="467" spans="1:8">
      <c r="A467" s="856"/>
      <c r="B467" s="856"/>
      <c r="C467" s="856"/>
      <c r="D467" s="856" t="s">
        <v>329</v>
      </c>
      <c r="E467" s="1506">
        <v>0</v>
      </c>
      <c r="F467" s="1506">
        <v>0</v>
      </c>
      <c r="G467" s="124">
        <v>0</v>
      </c>
      <c r="H467" s="124">
        <v>20016750.5</v>
      </c>
    </row>
    <row r="468" spans="1:8">
      <c r="A468" s="856"/>
      <c r="B468" s="856"/>
      <c r="C468" s="856"/>
      <c r="D468" s="856" t="s">
        <v>336</v>
      </c>
      <c r="E468" s="1506">
        <v>125</v>
      </c>
      <c r="F468" s="1506">
        <v>0</v>
      </c>
      <c r="G468" s="124">
        <v>0</v>
      </c>
      <c r="H468" s="124">
        <v>0</v>
      </c>
    </row>
    <row r="469" spans="1:8">
      <c r="A469" s="856"/>
      <c r="B469" s="856"/>
      <c r="C469" s="856"/>
      <c r="D469" s="856" t="s">
        <v>578</v>
      </c>
      <c r="E469" s="1506">
        <v>59132.5</v>
      </c>
      <c r="F469" s="1506">
        <v>0</v>
      </c>
      <c r="G469" s="124">
        <v>124881.5</v>
      </c>
      <c r="H469" s="124">
        <v>0</v>
      </c>
    </row>
    <row r="470" spans="1:8">
      <c r="A470" s="856"/>
      <c r="B470" s="856"/>
      <c r="C470" s="856" t="s">
        <v>655</v>
      </c>
      <c r="D470" s="856"/>
      <c r="E470" s="1506">
        <v>33280967.5</v>
      </c>
      <c r="F470" s="1506">
        <v>613019173.89999998</v>
      </c>
      <c r="G470" s="124">
        <v>47813305.030000001</v>
      </c>
      <c r="H470" s="124">
        <v>1090687507.45</v>
      </c>
    </row>
    <row r="471" spans="1:8">
      <c r="A471" s="856"/>
      <c r="B471" s="856" t="s">
        <v>615</v>
      </c>
      <c r="C471" s="856"/>
      <c r="D471" s="856"/>
      <c r="E471" s="1506">
        <v>33280967.5</v>
      </c>
      <c r="F471" s="1506">
        <v>622463173.89999998</v>
      </c>
      <c r="G471" s="124">
        <v>47813305.030000001</v>
      </c>
      <c r="H471" s="124">
        <v>1100131007.45</v>
      </c>
    </row>
    <row r="472" spans="1:8">
      <c r="A472" s="856" t="s">
        <v>3043</v>
      </c>
      <c r="B472" s="856"/>
      <c r="C472" s="856"/>
      <c r="D472" s="856"/>
      <c r="E472" s="1506">
        <v>33280967.5</v>
      </c>
      <c r="F472" s="1506">
        <v>622463173.89999998</v>
      </c>
      <c r="G472" s="124">
        <v>47813305.030000001</v>
      </c>
      <c r="H472" s="124">
        <v>1100131007.45</v>
      </c>
    </row>
    <row r="473" spans="1:8">
      <c r="A473" s="856">
        <v>22</v>
      </c>
      <c r="B473" s="856" t="s">
        <v>55</v>
      </c>
      <c r="C473" s="856" t="s">
        <v>173</v>
      </c>
      <c r="D473" s="856" t="s">
        <v>172</v>
      </c>
      <c r="E473" s="1506">
        <v>0</v>
      </c>
      <c r="F473" s="1506">
        <v>729285</v>
      </c>
      <c r="G473" s="124">
        <v>0</v>
      </c>
      <c r="H473" s="124">
        <v>889167.66984900087</v>
      </c>
    </row>
    <row r="474" spans="1:8">
      <c r="A474" s="856"/>
      <c r="B474" s="856"/>
      <c r="C474" s="856" t="s">
        <v>656</v>
      </c>
      <c r="D474" s="856"/>
      <c r="E474" s="1747">
        <v>0</v>
      </c>
      <c r="F474" s="1747">
        <v>729285</v>
      </c>
      <c r="G474" s="1625">
        <v>0</v>
      </c>
      <c r="H474" s="1625">
        <v>889167.66984900087</v>
      </c>
    </row>
    <row r="475" spans="1:8">
      <c r="A475" s="856"/>
      <c r="B475" s="856"/>
      <c r="C475" s="856" t="s">
        <v>204</v>
      </c>
      <c r="D475" s="856" t="s">
        <v>203</v>
      </c>
      <c r="E475" s="1506">
        <v>0</v>
      </c>
      <c r="F475" s="1506">
        <v>172494</v>
      </c>
      <c r="G475" s="124">
        <v>0</v>
      </c>
      <c r="H475" s="124">
        <v>202145.39</v>
      </c>
    </row>
    <row r="476" spans="1:8">
      <c r="A476" s="856"/>
      <c r="B476" s="856"/>
      <c r="C476" s="856" t="s">
        <v>657</v>
      </c>
      <c r="D476" s="856"/>
      <c r="E476" s="1506">
        <v>0</v>
      </c>
      <c r="F476" s="1506">
        <v>172494</v>
      </c>
      <c r="G476" s="124">
        <v>0</v>
      </c>
      <c r="H476" s="124">
        <v>202145.39</v>
      </c>
    </row>
    <row r="477" spans="1:8">
      <c r="A477" s="856"/>
      <c r="B477" s="856"/>
      <c r="C477" s="856" t="s">
        <v>3015</v>
      </c>
      <c r="D477" s="856" t="s">
        <v>2974</v>
      </c>
      <c r="E477" s="1506">
        <v>0</v>
      </c>
      <c r="F477" s="1506">
        <v>0</v>
      </c>
      <c r="G477" s="124">
        <v>0</v>
      </c>
      <c r="H477" s="124">
        <v>0</v>
      </c>
    </row>
    <row r="478" spans="1:8">
      <c r="A478" s="856"/>
      <c r="B478" s="856"/>
      <c r="C478" s="856" t="s">
        <v>3021</v>
      </c>
      <c r="D478" s="856"/>
      <c r="E478" s="1747">
        <v>0</v>
      </c>
      <c r="F478" s="1747">
        <v>0</v>
      </c>
      <c r="G478" s="1625">
        <v>0</v>
      </c>
      <c r="H478" s="1625">
        <v>0</v>
      </c>
    </row>
    <row r="479" spans="1:8">
      <c r="A479" s="856"/>
      <c r="B479" s="856" t="s">
        <v>616</v>
      </c>
      <c r="C479" s="856"/>
      <c r="D479" s="856"/>
      <c r="E479" s="1506">
        <v>0</v>
      </c>
      <c r="F479" s="1506">
        <v>901779</v>
      </c>
      <c r="G479" s="124">
        <v>0</v>
      </c>
      <c r="H479" s="124">
        <v>1091313.059849001</v>
      </c>
    </row>
    <row r="480" spans="1:8">
      <c r="A480" s="856" t="s">
        <v>3044</v>
      </c>
      <c r="B480" s="856"/>
      <c r="C480" s="856"/>
      <c r="D480" s="856"/>
      <c r="E480" s="1506">
        <v>0</v>
      </c>
      <c r="F480" s="1506">
        <v>901779</v>
      </c>
      <c r="G480" s="124">
        <v>0</v>
      </c>
      <c r="H480" s="124">
        <v>1091313.059849001</v>
      </c>
    </row>
    <row r="481" spans="1:8">
      <c r="A481" s="856">
        <v>23</v>
      </c>
      <c r="B481" s="856" t="s">
        <v>96</v>
      </c>
      <c r="C481" s="856" t="s">
        <v>97</v>
      </c>
      <c r="D481" s="856" t="s">
        <v>95</v>
      </c>
      <c r="E481" s="1506">
        <v>39746292.5</v>
      </c>
      <c r="F481" s="1506">
        <v>0</v>
      </c>
      <c r="G481" s="124">
        <v>51776100</v>
      </c>
      <c r="H481" s="124">
        <v>0</v>
      </c>
    </row>
    <row r="482" spans="1:8">
      <c r="A482" s="856"/>
      <c r="B482" s="856"/>
      <c r="C482" s="856"/>
      <c r="D482" s="856" t="s">
        <v>99</v>
      </c>
      <c r="E482" s="1506">
        <v>22889262</v>
      </c>
      <c r="F482" s="1506">
        <v>0</v>
      </c>
      <c r="G482" s="124">
        <v>42501627</v>
      </c>
      <c r="H482" s="124">
        <v>0</v>
      </c>
    </row>
    <row r="483" spans="1:8">
      <c r="A483" s="856"/>
      <c r="B483" s="856"/>
      <c r="C483" s="856"/>
      <c r="D483" s="856" t="s">
        <v>2957</v>
      </c>
      <c r="E483" s="1506">
        <v>3656000</v>
      </c>
      <c r="F483" s="1506">
        <v>0</v>
      </c>
      <c r="G483" s="124">
        <v>0</v>
      </c>
      <c r="H483" s="124">
        <v>0</v>
      </c>
    </row>
    <row r="484" spans="1:8">
      <c r="A484" s="856"/>
      <c r="B484" s="856"/>
      <c r="C484" s="856"/>
      <c r="D484" s="856" t="s">
        <v>2610</v>
      </c>
      <c r="E484" s="1506">
        <v>0</v>
      </c>
      <c r="F484" s="1506">
        <v>0</v>
      </c>
      <c r="G484" s="124">
        <v>2760009</v>
      </c>
      <c r="H484" s="124">
        <v>0</v>
      </c>
    </row>
    <row r="485" spans="1:8">
      <c r="A485" s="856"/>
      <c r="B485" s="856"/>
      <c r="C485" s="856"/>
      <c r="D485" s="856" t="s">
        <v>373</v>
      </c>
      <c r="E485" s="1506">
        <v>2229150</v>
      </c>
      <c r="F485" s="1506">
        <v>0</v>
      </c>
      <c r="G485" s="124">
        <v>5672492</v>
      </c>
      <c r="H485" s="124">
        <v>0</v>
      </c>
    </row>
    <row r="486" spans="1:8">
      <c r="A486" s="856"/>
      <c r="B486" s="856"/>
      <c r="C486" s="856"/>
      <c r="D486" s="856" t="s">
        <v>2767</v>
      </c>
      <c r="E486" s="1506">
        <v>0</v>
      </c>
      <c r="F486" s="1506">
        <v>0</v>
      </c>
      <c r="G486" s="124">
        <v>419631</v>
      </c>
      <c r="H486" s="124">
        <v>0</v>
      </c>
    </row>
    <row r="487" spans="1:8">
      <c r="A487" s="856"/>
      <c r="B487" s="856"/>
      <c r="C487" s="856"/>
      <c r="D487" s="856" t="s">
        <v>160</v>
      </c>
      <c r="E487" s="1506">
        <v>0</v>
      </c>
      <c r="F487" s="1506">
        <v>0</v>
      </c>
      <c r="G487" s="124">
        <v>0</v>
      </c>
      <c r="H487" s="124">
        <v>0</v>
      </c>
    </row>
    <row r="488" spans="1:8">
      <c r="A488" s="856"/>
      <c r="B488" s="856"/>
      <c r="C488" s="856"/>
      <c r="D488" s="856" t="s">
        <v>174</v>
      </c>
      <c r="E488" s="1506">
        <v>0</v>
      </c>
      <c r="F488" s="1506">
        <v>0</v>
      </c>
      <c r="G488" s="124">
        <v>0</v>
      </c>
      <c r="H488" s="124">
        <v>0</v>
      </c>
    </row>
    <row r="489" spans="1:8">
      <c r="A489" s="856"/>
      <c r="B489" s="856"/>
      <c r="C489" s="856"/>
      <c r="D489" s="856" t="s">
        <v>191</v>
      </c>
      <c r="E489" s="1506">
        <v>81135916.489999995</v>
      </c>
      <c r="F489" s="1506">
        <v>0</v>
      </c>
      <c r="G489" s="124">
        <v>205342673</v>
      </c>
      <c r="H489" s="124">
        <v>0</v>
      </c>
    </row>
    <row r="490" spans="1:8">
      <c r="A490" s="856"/>
      <c r="B490" s="856"/>
      <c r="C490" s="856"/>
      <c r="D490" s="856" t="s">
        <v>254</v>
      </c>
      <c r="E490" s="1506">
        <v>56914</v>
      </c>
      <c r="F490" s="1506">
        <v>0</v>
      </c>
      <c r="G490" s="124">
        <v>28831</v>
      </c>
      <c r="H490" s="124">
        <v>0</v>
      </c>
    </row>
    <row r="491" spans="1:8">
      <c r="A491" s="856"/>
      <c r="B491" s="856"/>
      <c r="C491" s="856"/>
      <c r="D491" s="856" t="s">
        <v>255</v>
      </c>
      <c r="E491" s="1506">
        <v>0</v>
      </c>
      <c r="F491" s="1506">
        <v>0</v>
      </c>
      <c r="G491" s="124">
        <v>1200</v>
      </c>
      <c r="H491" s="124">
        <v>0</v>
      </c>
    </row>
    <row r="492" spans="1:8">
      <c r="A492" s="856"/>
      <c r="B492" s="856"/>
      <c r="C492" s="856"/>
      <c r="D492" s="856" t="s">
        <v>260</v>
      </c>
      <c r="E492" s="1506">
        <v>54676</v>
      </c>
      <c r="F492" s="1506">
        <v>0</v>
      </c>
      <c r="G492" s="124">
        <v>216806</v>
      </c>
      <c r="H492" s="124">
        <v>0</v>
      </c>
    </row>
    <row r="493" spans="1:8">
      <c r="A493" s="856"/>
      <c r="B493" s="856"/>
      <c r="C493" s="856"/>
      <c r="D493" s="856" t="s">
        <v>293</v>
      </c>
      <c r="E493" s="1506">
        <v>248584</v>
      </c>
      <c r="F493" s="1506">
        <v>0</v>
      </c>
      <c r="G493" s="124">
        <v>293050</v>
      </c>
      <c r="H493" s="124">
        <v>0</v>
      </c>
    </row>
    <row r="494" spans="1:8">
      <c r="A494" s="856"/>
      <c r="B494" s="856"/>
      <c r="C494" s="856"/>
      <c r="D494" s="856" t="s">
        <v>296</v>
      </c>
      <c r="E494" s="1506">
        <v>0</v>
      </c>
      <c r="F494" s="1506">
        <v>0</v>
      </c>
      <c r="G494" s="124">
        <v>15197750</v>
      </c>
      <c r="H494" s="124">
        <v>0</v>
      </c>
    </row>
    <row r="495" spans="1:8">
      <c r="A495" s="856"/>
      <c r="B495" s="856"/>
      <c r="C495" s="856"/>
      <c r="D495" s="856" t="s">
        <v>583</v>
      </c>
      <c r="E495" s="1506">
        <v>1977842</v>
      </c>
      <c r="F495" s="1506">
        <v>0</v>
      </c>
      <c r="G495" s="124">
        <v>487412</v>
      </c>
      <c r="H495" s="124">
        <v>0</v>
      </c>
    </row>
    <row r="496" spans="1:8">
      <c r="A496" s="856"/>
      <c r="B496" s="856"/>
      <c r="C496" s="856"/>
      <c r="D496" s="856" t="s">
        <v>447</v>
      </c>
      <c r="E496" s="1506">
        <v>239312224.5</v>
      </c>
      <c r="F496" s="1506">
        <v>0</v>
      </c>
      <c r="G496" s="124">
        <v>501477134.5</v>
      </c>
      <c r="H496" s="124">
        <v>0</v>
      </c>
    </row>
    <row r="497" spans="1:8">
      <c r="A497" s="856"/>
      <c r="B497" s="856"/>
      <c r="C497" s="856" t="s">
        <v>658</v>
      </c>
      <c r="D497" s="856"/>
      <c r="E497" s="1747">
        <v>391306861.49000001</v>
      </c>
      <c r="F497" s="1747">
        <v>0</v>
      </c>
      <c r="G497" s="1625">
        <v>826174715.5</v>
      </c>
      <c r="H497" s="1625">
        <v>0</v>
      </c>
    </row>
    <row r="498" spans="1:8">
      <c r="A498" s="856"/>
      <c r="B498" s="856" t="s">
        <v>617</v>
      </c>
      <c r="C498" s="856"/>
      <c r="D498" s="856"/>
      <c r="E498" s="1506">
        <v>391306861.49000001</v>
      </c>
      <c r="F498" s="1506">
        <v>0</v>
      </c>
      <c r="G498" s="124">
        <v>826174715.5</v>
      </c>
      <c r="H498" s="124">
        <v>0</v>
      </c>
    </row>
    <row r="499" spans="1:8">
      <c r="A499" s="856" t="s">
        <v>3045</v>
      </c>
      <c r="B499" s="856"/>
      <c r="C499" s="856"/>
      <c r="D499" s="856"/>
      <c r="E499" s="1506">
        <v>391306861.49000001</v>
      </c>
      <c r="F499" s="1506">
        <v>0</v>
      </c>
      <c r="G499" s="124">
        <v>826174715.5</v>
      </c>
      <c r="H499" s="124">
        <v>0</v>
      </c>
    </row>
    <row r="500" spans="1:8">
      <c r="A500" s="856">
        <v>25</v>
      </c>
      <c r="B500" s="856" t="s">
        <v>140</v>
      </c>
      <c r="C500" s="856" t="s">
        <v>157</v>
      </c>
      <c r="D500" s="856" t="s">
        <v>156</v>
      </c>
      <c r="E500" s="1506">
        <v>267233</v>
      </c>
      <c r="F500" s="1506">
        <v>0</v>
      </c>
      <c r="G500" s="124">
        <v>236264</v>
      </c>
      <c r="H500" s="124">
        <v>0</v>
      </c>
    </row>
    <row r="501" spans="1:8">
      <c r="A501" s="856"/>
      <c r="B501" s="856"/>
      <c r="C501" s="856"/>
      <c r="D501" s="856" t="s">
        <v>497</v>
      </c>
      <c r="E501" s="1506">
        <v>887750</v>
      </c>
      <c r="F501" s="1506">
        <v>0</v>
      </c>
      <c r="G501" s="124">
        <v>871518</v>
      </c>
      <c r="H501" s="124">
        <v>0</v>
      </c>
    </row>
    <row r="502" spans="1:8">
      <c r="A502" s="856"/>
      <c r="B502" s="856"/>
      <c r="C502" s="856"/>
      <c r="D502" s="856" t="s">
        <v>530</v>
      </c>
      <c r="E502" s="1506">
        <v>1547993</v>
      </c>
      <c r="F502" s="1506">
        <v>0</v>
      </c>
      <c r="G502" s="124">
        <v>1309161</v>
      </c>
      <c r="H502" s="124">
        <v>0</v>
      </c>
    </row>
    <row r="503" spans="1:8">
      <c r="A503" s="856"/>
      <c r="B503" s="856"/>
      <c r="C503" s="856" t="s">
        <v>659</v>
      </c>
      <c r="D503" s="856"/>
      <c r="E503" s="1747">
        <v>2702976</v>
      </c>
      <c r="F503" s="1747">
        <v>0</v>
      </c>
      <c r="G503" s="1625">
        <v>2416943</v>
      </c>
      <c r="H503" s="1625">
        <v>0</v>
      </c>
    </row>
    <row r="504" spans="1:8">
      <c r="A504" s="856"/>
      <c r="B504" s="856"/>
      <c r="C504" s="856" t="s">
        <v>141</v>
      </c>
      <c r="D504" s="856" t="s">
        <v>139</v>
      </c>
      <c r="E504" s="1506">
        <v>34500</v>
      </c>
      <c r="F504" s="1506">
        <v>0</v>
      </c>
      <c r="G504" s="124">
        <v>33000</v>
      </c>
      <c r="H504" s="124">
        <v>0</v>
      </c>
    </row>
    <row r="505" spans="1:8">
      <c r="A505" s="856"/>
      <c r="B505" s="856"/>
      <c r="C505" s="856"/>
      <c r="D505" s="856" t="s">
        <v>194</v>
      </c>
      <c r="E505" s="1506">
        <v>400000</v>
      </c>
      <c r="F505" s="1506">
        <v>0</v>
      </c>
      <c r="G505" s="124">
        <v>0</v>
      </c>
      <c r="H505" s="124">
        <v>813182</v>
      </c>
    </row>
    <row r="506" spans="1:8">
      <c r="A506" s="856"/>
      <c r="B506" s="856"/>
      <c r="C506" s="856"/>
      <c r="D506" s="856" t="s">
        <v>159</v>
      </c>
      <c r="E506" s="1506">
        <v>12943</v>
      </c>
      <c r="F506" s="1506">
        <v>0</v>
      </c>
      <c r="G506" s="124">
        <v>10975</v>
      </c>
      <c r="H506" s="124">
        <v>0</v>
      </c>
    </row>
    <row r="507" spans="1:8">
      <c r="A507" s="856"/>
      <c r="B507" s="856"/>
      <c r="C507" s="856"/>
      <c r="D507" s="856" t="s">
        <v>232</v>
      </c>
      <c r="E507" s="1506">
        <v>343164</v>
      </c>
      <c r="F507" s="1506">
        <v>0</v>
      </c>
      <c r="G507" s="124">
        <v>233275</v>
      </c>
      <c r="H507" s="124">
        <v>0</v>
      </c>
    </row>
    <row r="508" spans="1:8">
      <c r="A508" s="856"/>
      <c r="B508" s="856"/>
      <c r="C508" s="856"/>
      <c r="D508" s="856" t="s">
        <v>545</v>
      </c>
      <c r="E508" s="1506">
        <v>1916000</v>
      </c>
      <c r="F508" s="1506">
        <v>0</v>
      </c>
      <c r="G508" s="124">
        <v>3072000</v>
      </c>
      <c r="H508" s="124">
        <v>0</v>
      </c>
    </row>
    <row r="509" spans="1:8">
      <c r="A509" s="856"/>
      <c r="B509" s="856"/>
      <c r="C509" s="856"/>
      <c r="D509" s="856" t="s">
        <v>323</v>
      </c>
      <c r="E509" s="1506">
        <v>252000</v>
      </c>
      <c r="F509" s="1506">
        <v>0</v>
      </c>
      <c r="G509" s="124">
        <v>237000</v>
      </c>
      <c r="H509" s="124">
        <v>0</v>
      </c>
    </row>
    <row r="510" spans="1:8">
      <c r="A510" s="856"/>
      <c r="B510" s="856"/>
      <c r="C510" s="856"/>
      <c r="D510" s="856" t="s">
        <v>552</v>
      </c>
      <c r="E510" s="1506">
        <v>1930419</v>
      </c>
      <c r="F510" s="1506">
        <v>0</v>
      </c>
      <c r="G510" s="124">
        <v>2732000</v>
      </c>
      <c r="H510" s="124">
        <v>0</v>
      </c>
    </row>
    <row r="511" spans="1:8">
      <c r="A511" s="856"/>
      <c r="B511" s="856"/>
      <c r="C511" s="856"/>
      <c r="D511" s="856" t="s">
        <v>553</v>
      </c>
      <c r="E511" s="1506">
        <v>2844200</v>
      </c>
      <c r="F511" s="1506">
        <v>0</v>
      </c>
      <c r="G511" s="124">
        <v>2857400</v>
      </c>
      <c r="H511" s="124">
        <v>0</v>
      </c>
    </row>
    <row r="512" spans="1:8">
      <c r="A512" s="856"/>
      <c r="B512" s="856"/>
      <c r="C512" s="856"/>
      <c r="D512" s="856" t="s">
        <v>554</v>
      </c>
      <c r="E512" s="1506">
        <v>9905920</v>
      </c>
      <c r="F512" s="1506">
        <v>0</v>
      </c>
      <c r="G512" s="124">
        <v>7499801</v>
      </c>
      <c r="H512" s="124">
        <v>0</v>
      </c>
    </row>
    <row r="513" spans="1:8">
      <c r="A513" s="856"/>
      <c r="B513" s="856"/>
      <c r="C513" s="856" t="s">
        <v>660</v>
      </c>
      <c r="D513" s="856"/>
      <c r="E513" s="1506">
        <v>17639146</v>
      </c>
      <c r="F513" s="1506">
        <v>0</v>
      </c>
      <c r="G513" s="124">
        <v>16675451</v>
      </c>
      <c r="H513" s="124">
        <v>813182</v>
      </c>
    </row>
    <row r="514" spans="1:8">
      <c r="A514" s="856"/>
      <c r="B514" s="856"/>
      <c r="C514" s="856" t="s">
        <v>244</v>
      </c>
      <c r="D514" s="856" t="s">
        <v>515</v>
      </c>
      <c r="E514" s="1506">
        <v>255943</v>
      </c>
      <c r="F514" s="1506">
        <v>0</v>
      </c>
      <c r="G514" s="124">
        <v>194520</v>
      </c>
      <c r="H514" s="124">
        <v>0</v>
      </c>
    </row>
    <row r="515" spans="1:8">
      <c r="A515" s="856"/>
      <c r="B515" s="856"/>
      <c r="C515" s="856" t="s">
        <v>661</v>
      </c>
      <c r="D515" s="856"/>
      <c r="E515" s="1506">
        <v>255943</v>
      </c>
      <c r="F515" s="1506">
        <v>0</v>
      </c>
      <c r="G515" s="124">
        <v>194520</v>
      </c>
      <c r="H515" s="124">
        <v>0</v>
      </c>
    </row>
    <row r="516" spans="1:8">
      <c r="A516" s="856"/>
      <c r="B516" s="856" t="s">
        <v>618</v>
      </c>
      <c r="C516" s="856"/>
      <c r="D516" s="856"/>
      <c r="E516" s="1506">
        <v>20598065</v>
      </c>
      <c r="F516" s="1506">
        <v>0</v>
      </c>
      <c r="G516" s="124">
        <v>19286914</v>
      </c>
      <c r="H516" s="124">
        <v>813182</v>
      </c>
    </row>
    <row r="517" spans="1:8">
      <c r="A517" s="856" t="s">
        <v>3046</v>
      </c>
      <c r="B517" s="856"/>
      <c r="C517" s="856"/>
      <c r="D517" s="856"/>
      <c r="E517" s="1506">
        <v>20598065</v>
      </c>
      <c r="F517" s="1506">
        <v>0</v>
      </c>
      <c r="G517" s="124">
        <v>19286914</v>
      </c>
      <c r="H517" s="124">
        <v>813182</v>
      </c>
    </row>
    <row r="518" spans="1:8">
      <c r="A518" s="856">
        <v>26</v>
      </c>
      <c r="B518" s="856" t="s">
        <v>67</v>
      </c>
      <c r="C518" s="856" t="s">
        <v>205</v>
      </c>
      <c r="D518" s="856" t="s">
        <v>206</v>
      </c>
      <c r="E518" s="1506">
        <v>0</v>
      </c>
      <c r="F518" s="1506">
        <v>0</v>
      </c>
      <c r="G518" s="124">
        <v>0</v>
      </c>
      <c r="H518" s="124">
        <v>0</v>
      </c>
    </row>
    <row r="519" spans="1:8">
      <c r="A519" s="856"/>
      <c r="B519" s="856"/>
      <c r="C519" s="856"/>
      <c r="D519" s="856" t="s">
        <v>207</v>
      </c>
      <c r="E519" s="1506">
        <v>0</v>
      </c>
      <c r="F519" s="1506">
        <v>0</v>
      </c>
      <c r="G519" s="124">
        <v>0</v>
      </c>
      <c r="H519" s="124">
        <v>0</v>
      </c>
    </row>
    <row r="520" spans="1:8">
      <c r="A520" s="856"/>
      <c r="B520" s="856"/>
      <c r="C520" s="856"/>
      <c r="D520" s="856" t="s">
        <v>431</v>
      </c>
      <c r="E520" s="1506">
        <v>144126</v>
      </c>
      <c r="F520" s="1506">
        <v>0</v>
      </c>
      <c r="G520" s="124">
        <v>0</v>
      </c>
      <c r="H520" s="124">
        <v>0</v>
      </c>
    </row>
    <row r="521" spans="1:8">
      <c r="A521" s="856"/>
      <c r="B521" s="856"/>
      <c r="C521" s="856"/>
      <c r="D521" s="856" t="s">
        <v>2966</v>
      </c>
      <c r="E521" s="1506">
        <v>290224</v>
      </c>
      <c r="F521" s="1506">
        <v>0</v>
      </c>
      <c r="G521" s="124">
        <v>0</v>
      </c>
      <c r="H521" s="124">
        <v>0</v>
      </c>
    </row>
    <row r="522" spans="1:8">
      <c r="A522" s="856"/>
      <c r="B522" s="856"/>
      <c r="C522" s="856"/>
      <c r="D522" s="856" t="s">
        <v>2967</v>
      </c>
      <c r="E522" s="1506">
        <v>467386</v>
      </c>
      <c r="F522" s="1506">
        <v>0</v>
      </c>
      <c r="G522" s="124">
        <v>0</v>
      </c>
      <c r="H522" s="124">
        <v>0</v>
      </c>
    </row>
    <row r="523" spans="1:8">
      <c r="A523" s="856"/>
      <c r="B523" s="856"/>
      <c r="C523" s="856"/>
      <c r="D523" s="856" t="s">
        <v>2968</v>
      </c>
      <c r="E523" s="1506">
        <v>1199821</v>
      </c>
      <c r="F523" s="1506">
        <v>0</v>
      </c>
      <c r="G523" s="124">
        <v>0</v>
      </c>
      <c r="H523" s="124">
        <v>0</v>
      </c>
    </row>
    <row r="524" spans="1:8">
      <c r="A524" s="856"/>
      <c r="B524" s="856"/>
      <c r="C524" s="856"/>
      <c r="D524" s="856" t="s">
        <v>508</v>
      </c>
      <c r="E524" s="1506">
        <v>8855907</v>
      </c>
      <c r="F524" s="1506">
        <v>0</v>
      </c>
      <c r="G524" s="124">
        <v>6463408</v>
      </c>
      <c r="H524" s="124">
        <v>0</v>
      </c>
    </row>
    <row r="525" spans="1:8">
      <c r="A525" s="856"/>
      <c r="B525" s="856"/>
      <c r="C525" s="856"/>
      <c r="D525" s="856" t="s">
        <v>391</v>
      </c>
      <c r="E525" s="1506">
        <v>488813</v>
      </c>
      <c r="F525" s="1506">
        <v>0</v>
      </c>
      <c r="G525" s="124">
        <v>0</v>
      </c>
      <c r="H525" s="124">
        <v>0</v>
      </c>
    </row>
    <row r="526" spans="1:8">
      <c r="A526" s="856"/>
      <c r="B526" s="856"/>
      <c r="C526" s="856"/>
      <c r="D526" s="856" t="s">
        <v>509</v>
      </c>
      <c r="E526" s="1506">
        <v>2953424</v>
      </c>
      <c r="F526" s="1506">
        <v>0</v>
      </c>
      <c r="G526" s="124">
        <v>1926416</v>
      </c>
      <c r="H526" s="124">
        <v>0</v>
      </c>
    </row>
    <row r="527" spans="1:8">
      <c r="A527" s="856"/>
      <c r="B527" s="856"/>
      <c r="C527" s="856" t="s">
        <v>662</v>
      </c>
      <c r="D527" s="856"/>
      <c r="E527" s="1747">
        <v>14399701</v>
      </c>
      <c r="F527" s="1747">
        <v>0</v>
      </c>
      <c r="G527" s="1625">
        <v>8389824</v>
      </c>
      <c r="H527" s="1625">
        <v>0</v>
      </c>
    </row>
    <row r="528" spans="1:8">
      <c r="A528" s="856"/>
      <c r="B528" s="856"/>
      <c r="C528" s="856" t="s">
        <v>68</v>
      </c>
      <c r="D528" s="856" t="s">
        <v>2946</v>
      </c>
      <c r="E528" s="1506">
        <v>350000</v>
      </c>
      <c r="F528" s="1506">
        <v>0</v>
      </c>
      <c r="G528" s="124">
        <v>0</v>
      </c>
      <c r="H528" s="124">
        <v>0</v>
      </c>
    </row>
    <row r="529" spans="1:8">
      <c r="A529" s="856"/>
      <c r="B529" s="856"/>
      <c r="C529" s="856"/>
      <c r="D529" s="856" t="s">
        <v>66</v>
      </c>
      <c r="E529" s="1506">
        <v>262544</v>
      </c>
      <c r="F529" s="1506">
        <v>0</v>
      </c>
      <c r="G529" s="124">
        <v>175317</v>
      </c>
      <c r="H529" s="124">
        <v>0</v>
      </c>
    </row>
    <row r="530" spans="1:8">
      <c r="A530" s="856"/>
      <c r="B530" s="856"/>
      <c r="C530" s="856"/>
      <c r="D530" s="856" t="s">
        <v>2947</v>
      </c>
      <c r="E530" s="1506">
        <v>586700</v>
      </c>
      <c r="F530" s="1506">
        <v>0</v>
      </c>
      <c r="G530" s="124">
        <v>0</v>
      </c>
      <c r="H530" s="124">
        <v>0</v>
      </c>
    </row>
    <row r="531" spans="1:8">
      <c r="A531" s="856"/>
      <c r="B531" s="856"/>
      <c r="C531" s="856"/>
      <c r="D531" s="856" t="s">
        <v>345</v>
      </c>
      <c r="E531" s="1506">
        <v>46000</v>
      </c>
      <c r="F531" s="1506">
        <v>0</v>
      </c>
      <c r="G531" s="124">
        <v>22500</v>
      </c>
      <c r="H531" s="124">
        <v>0</v>
      </c>
    </row>
    <row r="532" spans="1:8">
      <c r="A532" s="856"/>
      <c r="B532" s="856"/>
      <c r="C532" s="856" t="s">
        <v>663</v>
      </c>
      <c r="D532" s="856"/>
      <c r="E532" s="1506">
        <v>1245244</v>
      </c>
      <c r="F532" s="1506">
        <v>0</v>
      </c>
      <c r="G532" s="124">
        <v>197817</v>
      </c>
      <c r="H532" s="124">
        <v>0</v>
      </c>
    </row>
    <row r="533" spans="1:8">
      <c r="A533" s="856"/>
      <c r="B533" s="856" t="s">
        <v>619</v>
      </c>
      <c r="C533" s="856"/>
      <c r="D533" s="856"/>
      <c r="E533" s="1506">
        <v>15644945</v>
      </c>
      <c r="F533" s="1506">
        <v>0</v>
      </c>
      <c r="G533" s="124">
        <v>8587641</v>
      </c>
      <c r="H533" s="124">
        <v>0</v>
      </c>
    </row>
    <row r="534" spans="1:8">
      <c r="A534" s="856" t="s">
        <v>3047</v>
      </c>
      <c r="B534" s="856"/>
      <c r="C534" s="856"/>
      <c r="D534" s="856"/>
      <c r="E534" s="1506">
        <v>15644945</v>
      </c>
      <c r="F534" s="1506">
        <v>0</v>
      </c>
      <c r="G534" s="124">
        <v>8587641</v>
      </c>
      <c r="H534" s="124">
        <v>0</v>
      </c>
    </row>
    <row r="535" spans="1:8">
      <c r="A535" s="856">
        <v>27</v>
      </c>
      <c r="B535" s="856" t="s">
        <v>48</v>
      </c>
      <c r="C535" s="856" t="s">
        <v>57</v>
      </c>
      <c r="D535" s="856" t="s">
        <v>56</v>
      </c>
      <c r="E535" s="1506">
        <v>7403</v>
      </c>
      <c r="F535" s="1506">
        <v>0</v>
      </c>
      <c r="G535" s="124">
        <v>0</v>
      </c>
      <c r="H535" s="124">
        <v>0</v>
      </c>
    </row>
    <row r="536" spans="1:8">
      <c r="A536" s="856"/>
      <c r="B536" s="856"/>
      <c r="C536" s="856" t="s">
        <v>664</v>
      </c>
      <c r="D536" s="856"/>
      <c r="E536" s="1747">
        <v>7403</v>
      </c>
      <c r="F536" s="1747">
        <v>0</v>
      </c>
      <c r="G536" s="1625">
        <v>0</v>
      </c>
      <c r="H536" s="1625">
        <v>0</v>
      </c>
    </row>
    <row r="537" spans="1:8">
      <c r="A537" s="856"/>
      <c r="B537" s="856"/>
      <c r="C537" s="856" t="s">
        <v>59</v>
      </c>
      <c r="D537" s="856" t="s">
        <v>59</v>
      </c>
      <c r="E537" s="1506">
        <v>0</v>
      </c>
      <c r="F537" s="1506">
        <v>0</v>
      </c>
      <c r="G537" s="124">
        <v>0</v>
      </c>
      <c r="H537" s="124">
        <v>0</v>
      </c>
    </row>
    <row r="538" spans="1:8">
      <c r="A538" s="856"/>
      <c r="B538" s="856"/>
      <c r="C538" s="856" t="s">
        <v>665</v>
      </c>
      <c r="D538" s="856"/>
      <c r="E538" s="1747">
        <v>0</v>
      </c>
      <c r="F538" s="1747">
        <v>0</v>
      </c>
      <c r="G538" s="1625">
        <v>0</v>
      </c>
      <c r="H538" s="1625">
        <v>0</v>
      </c>
    </row>
    <row r="539" spans="1:8">
      <c r="A539" s="856"/>
      <c r="B539" s="856"/>
      <c r="C539" s="856" t="s">
        <v>62</v>
      </c>
      <c r="D539" s="856" t="s">
        <v>62</v>
      </c>
      <c r="E539" s="1506">
        <v>182542.48</v>
      </c>
      <c r="F539" s="1506">
        <v>0</v>
      </c>
      <c r="G539" s="124">
        <v>412603.48</v>
      </c>
      <c r="H539" s="124">
        <v>0</v>
      </c>
    </row>
    <row r="540" spans="1:8">
      <c r="A540" s="856"/>
      <c r="B540" s="856"/>
      <c r="C540" s="856"/>
      <c r="D540" s="856" t="s">
        <v>65</v>
      </c>
      <c r="E540" s="1506">
        <v>0</v>
      </c>
      <c r="F540" s="1506">
        <v>0</v>
      </c>
      <c r="G540" s="124">
        <v>0</v>
      </c>
      <c r="H540" s="124">
        <v>0</v>
      </c>
    </row>
    <row r="541" spans="1:8">
      <c r="A541" s="856"/>
      <c r="B541" s="856"/>
      <c r="C541" s="856" t="s">
        <v>666</v>
      </c>
      <c r="D541" s="856"/>
      <c r="E541" s="1747">
        <v>182542.48</v>
      </c>
      <c r="F541" s="1747">
        <v>0</v>
      </c>
      <c r="G541" s="1625">
        <v>412603.48</v>
      </c>
      <c r="H541" s="1625">
        <v>0</v>
      </c>
    </row>
    <row r="542" spans="1:8">
      <c r="A542" s="856"/>
      <c r="B542" s="856"/>
      <c r="C542" s="856" t="s">
        <v>64</v>
      </c>
      <c r="D542" s="856" t="s">
        <v>63</v>
      </c>
      <c r="E542" s="1506">
        <v>0</v>
      </c>
      <c r="F542" s="1506">
        <v>0</v>
      </c>
      <c r="G542" s="124">
        <v>0</v>
      </c>
      <c r="H542" s="124">
        <v>0</v>
      </c>
    </row>
    <row r="543" spans="1:8">
      <c r="A543" s="856"/>
      <c r="B543" s="856"/>
      <c r="C543" s="856"/>
      <c r="D543" s="856" t="s">
        <v>372</v>
      </c>
      <c r="E543" s="1506">
        <v>0</v>
      </c>
      <c r="F543" s="1506">
        <v>0</v>
      </c>
      <c r="G543" s="124">
        <v>0</v>
      </c>
      <c r="H543" s="124">
        <v>0</v>
      </c>
    </row>
    <row r="544" spans="1:8">
      <c r="A544" s="856"/>
      <c r="B544" s="856"/>
      <c r="C544" s="856" t="s">
        <v>667</v>
      </c>
      <c r="D544" s="856"/>
      <c r="E544" s="1747">
        <v>0</v>
      </c>
      <c r="F544" s="1747">
        <v>0</v>
      </c>
      <c r="G544" s="1625">
        <v>0</v>
      </c>
      <c r="H544" s="1625">
        <v>0</v>
      </c>
    </row>
    <row r="545" spans="1:8">
      <c r="A545" s="856"/>
      <c r="B545" s="856"/>
      <c r="C545" s="856" t="s">
        <v>148</v>
      </c>
      <c r="D545" s="856" t="s">
        <v>147</v>
      </c>
      <c r="E545" s="1506">
        <v>2500</v>
      </c>
      <c r="F545" s="1506">
        <v>0</v>
      </c>
      <c r="G545" s="124">
        <v>37500</v>
      </c>
      <c r="H545" s="124">
        <v>0</v>
      </c>
    </row>
    <row r="546" spans="1:8">
      <c r="A546" s="856"/>
      <c r="B546" s="856"/>
      <c r="C546" s="856" t="s">
        <v>668</v>
      </c>
      <c r="D546" s="856"/>
      <c r="E546" s="1506">
        <v>2500</v>
      </c>
      <c r="F546" s="1506">
        <v>0</v>
      </c>
      <c r="G546" s="124">
        <v>37500</v>
      </c>
      <c r="H546" s="124">
        <v>0</v>
      </c>
    </row>
    <row r="547" spans="1:8">
      <c r="A547" s="856"/>
      <c r="B547" s="856"/>
      <c r="C547" s="856" t="s">
        <v>49</v>
      </c>
      <c r="D547" s="856" t="s">
        <v>50</v>
      </c>
      <c r="E547" s="1506">
        <v>18000</v>
      </c>
      <c r="F547" s="1506">
        <v>0</v>
      </c>
      <c r="G547" s="124">
        <v>18000</v>
      </c>
      <c r="H547" s="124">
        <v>0</v>
      </c>
    </row>
    <row r="548" spans="1:8">
      <c r="A548" s="856"/>
      <c r="B548" s="856"/>
      <c r="C548" s="856"/>
      <c r="D548" s="856" t="s">
        <v>484</v>
      </c>
      <c r="E548" s="1506">
        <v>44110.5</v>
      </c>
      <c r="F548" s="1506">
        <v>0</v>
      </c>
      <c r="G548" s="124">
        <v>64117</v>
      </c>
      <c r="H548" s="124">
        <v>0</v>
      </c>
    </row>
    <row r="549" spans="1:8">
      <c r="A549" s="856"/>
      <c r="B549" s="856"/>
      <c r="C549" s="856"/>
      <c r="D549" s="856" t="s">
        <v>111</v>
      </c>
      <c r="E549" s="1506">
        <v>0</v>
      </c>
      <c r="F549" s="1506">
        <v>0</v>
      </c>
      <c r="G549" s="124">
        <v>0</v>
      </c>
      <c r="H549" s="124">
        <v>0</v>
      </c>
    </row>
    <row r="550" spans="1:8">
      <c r="A550" s="856"/>
      <c r="B550" s="856"/>
      <c r="C550" s="856"/>
      <c r="D550" s="856" t="s">
        <v>47</v>
      </c>
      <c r="E550" s="1506">
        <v>129204</v>
      </c>
      <c r="F550" s="1506">
        <v>0</v>
      </c>
      <c r="G550" s="124">
        <v>145333</v>
      </c>
      <c r="H550" s="124">
        <v>0</v>
      </c>
    </row>
    <row r="551" spans="1:8">
      <c r="A551" s="856"/>
      <c r="B551" s="856"/>
      <c r="C551" s="856"/>
      <c r="D551" s="856" t="s">
        <v>184</v>
      </c>
      <c r="E551" s="1506">
        <v>36000</v>
      </c>
      <c r="F551" s="1506">
        <v>0</v>
      </c>
      <c r="G551" s="124">
        <v>36000</v>
      </c>
      <c r="H551" s="124">
        <v>0</v>
      </c>
    </row>
    <row r="552" spans="1:8">
      <c r="A552" s="856"/>
      <c r="B552" s="856"/>
      <c r="C552" s="856"/>
      <c r="D552" s="856" t="s">
        <v>498</v>
      </c>
      <c r="E552" s="1506">
        <v>0</v>
      </c>
      <c r="F552" s="1506">
        <v>0</v>
      </c>
      <c r="G552" s="124">
        <v>85698</v>
      </c>
      <c r="H552" s="124">
        <v>0</v>
      </c>
    </row>
    <row r="553" spans="1:8">
      <c r="A553" s="856"/>
      <c r="B553" s="856"/>
      <c r="C553" s="856"/>
      <c r="D553" s="856" t="s">
        <v>386</v>
      </c>
      <c r="E553" s="1506">
        <v>192500</v>
      </c>
      <c r="F553" s="1506">
        <v>0</v>
      </c>
      <c r="G553" s="124">
        <v>0</v>
      </c>
      <c r="H553" s="124">
        <v>0</v>
      </c>
    </row>
    <row r="554" spans="1:8">
      <c r="A554" s="856"/>
      <c r="B554" s="856"/>
      <c r="C554" s="856"/>
      <c r="D554" s="856" t="s">
        <v>506</v>
      </c>
      <c r="E554" s="1506">
        <v>0</v>
      </c>
      <c r="F554" s="1506">
        <v>0</v>
      </c>
      <c r="G554" s="124">
        <v>200</v>
      </c>
      <c r="H554" s="124">
        <v>0</v>
      </c>
    </row>
    <row r="555" spans="1:8">
      <c r="A555" s="856"/>
      <c r="B555" s="856"/>
      <c r="C555" s="856"/>
      <c r="D555" s="856" t="s">
        <v>245</v>
      </c>
      <c r="E555" s="1506">
        <v>0</v>
      </c>
      <c r="F555" s="1506">
        <v>0</v>
      </c>
      <c r="G555" s="124">
        <v>0</v>
      </c>
      <c r="H555" s="124">
        <v>0</v>
      </c>
    </row>
    <row r="556" spans="1:8">
      <c r="A556" s="856"/>
      <c r="B556" s="856"/>
      <c r="C556" s="856"/>
      <c r="D556" s="856" t="s">
        <v>527</v>
      </c>
      <c r="E556" s="1506">
        <v>72027</v>
      </c>
      <c r="F556" s="1506">
        <v>0</v>
      </c>
      <c r="G556" s="124">
        <v>84492</v>
      </c>
      <c r="H556" s="124">
        <v>0</v>
      </c>
    </row>
    <row r="557" spans="1:8">
      <c r="A557" s="856"/>
      <c r="B557" s="856"/>
      <c r="C557" s="856"/>
      <c r="D557" s="856" t="s">
        <v>309</v>
      </c>
      <c r="E557" s="1506">
        <v>400168</v>
      </c>
      <c r="F557" s="1506">
        <v>0</v>
      </c>
      <c r="G557" s="124">
        <v>296207.59999999998</v>
      </c>
      <c r="H557" s="124">
        <v>0</v>
      </c>
    </row>
    <row r="558" spans="1:8">
      <c r="A558" s="856"/>
      <c r="B558" s="856"/>
      <c r="C558" s="856"/>
      <c r="D558" s="856" t="s">
        <v>548</v>
      </c>
      <c r="E558" s="1506">
        <v>0</v>
      </c>
      <c r="F558" s="1506">
        <v>0</v>
      </c>
      <c r="G558" s="124">
        <v>217500</v>
      </c>
      <c r="H558" s="124">
        <v>0</v>
      </c>
    </row>
    <row r="559" spans="1:8">
      <c r="A559" s="856"/>
      <c r="B559" s="856"/>
      <c r="C559" s="856"/>
      <c r="D559" s="856" t="s">
        <v>315</v>
      </c>
      <c r="E559" s="1506">
        <v>0</v>
      </c>
      <c r="F559" s="1506">
        <v>245.71</v>
      </c>
      <c r="G559" s="124">
        <v>0</v>
      </c>
      <c r="H559" s="124">
        <v>676.59</v>
      </c>
    </row>
    <row r="560" spans="1:8">
      <c r="A560" s="856"/>
      <c r="B560" s="856"/>
      <c r="C560" s="856"/>
      <c r="D560" s="856" t="s">
        <v>555</v>
      </c>
      <c r="E560" s="1506">
        <v>0</v>
      </c>
      <c r="F560" s="1506">
        <v>0</v>
      </c>
      <c r="G560" s="124">
        <v>1400</v>
      </c>
      <c r="H560" s="124">
        <v>0</v>
      </c>
    </row>
    <row r="561" spans="1:8">
      <c r="A561" s="856"/>
      <c r="B561" s="856"/>
      <c r="C561" s="856"/>
      <c r="D561" s="856" t="s">
        <v>335</v>
      </c>
      <c r="E561" s="1506">
        <v>0</v>
      </c>
      <c r="F561" s="1506">
        <v>0</v>
      </c>
      <c r="G561" s="124">
        <v>0</v>
      </c>
      <c r="H561" s="124">
        <v>0</v>
      </c>
    </row>
    <row r="562" spans="1:8">
      <c r="A562" s="856"/>
      <c r="B562" s="856"/>
      <c r="C562" s="856"/>
      <c r="D562" s="856" t="s">
        <v>565</v>
      </c>
      <c r="E562" s="1506">
        <v>188020.5</v>
      </c>
      <c r="F562" s="1506">
        <v>0</v>
      </c>
      <c r="G562" s="124">
        <v>0</v>
      </c>
      <c r="H562" s="124">
        <v>5.61</v>
      </c>
    </row>
    <row r="563" spans="1:8">
      <c r="A563" s="856"/>
      <c r="B563" s="856"/>
      <c r="C563" s="856"/>
      <c r="D563" s="856" t="s">
        <v>590</v>
      </c>
      <c r="E563" s="1506">
        <v>8923</v>
      </c>
      <c r="F563" s="1506">
        <v>0</v>
      </c>
      <c r="G563" s="124">
        <v>11164</v>
      </c>
      <c r="H563" s="124">
        <v>0</v>
      </c>
    </row>
    <row r="564" spans="1:8">
      <c r="A564" s="856"/>
      <c r="B564" s="856"/>
      <c r="C564" s="856" t="s">
        <v>669</v>
      </c>
      <c r="D564" s="856"/>
      <c r="E564" s="1747">
        <v>1088953</v>
      </c>
      <c r="F564" s="1747">
        <v>245.71</v>
      </c>
      <c r="G564" s="1625">
        <v>960111.6</v>
      </c>
      <c r="H564" s="1625">
        <v>682.2</v>
      </c>
    </row>
    <row r="565" spans="1:8">
      <c r="A565" s="856"/>
      <c r="B565" s="856"/>
      <c r="C565" s="856" t="s">
        <v>197</v>
      </c>
      <c r="D565" s="856" t="s">
        <v>505</v>
      </c>
      <c r="E565" s="1506">
        <v>1196371</v>
      </c>
      <c r="F565" s="1506">
        <v>0</v>
      </c>
      <c r="G565" s="124">
        <v>1422847</v>
      </c>
      <c r="H565" s="124">
        <v>0</v>
      </c>
    </row>
    <row r="566" spans="1:8">
      <c r="A566" s="856"/>
      <c r="B566" s="856"/>
      <c r="C566" s="856" t="s">
        <v>670</v>
      </c>
      <c r="D566" s="856"/>
      <c r="E566" s="1747">
        <v>1196371</v>
      </c>
      <c r="F566" s="1747">
        <v>0</v>
      </c>
      <c r="G566" s="1625">
        <v>1422847</v>
      </c>
      <c r="H566" s="1625">
        <v>0</v>
      </c>
    </row>
    <row r="567" spans="1:8">
      <c r="A567" s="856"/>
      <c r="B567" s="856"/>
      <c r="C567" s="856" t="s">
        <v>216</v>
      </c>
      <c r="D567" s="856" t="s">
        <v>215</v>
      </c>
      <c r="E567" s="1506">
        <v>200000</v>
      </c>
      <c r="F567" s="1506">
        <v>0</v>
      </c>
      <c r="G567" s="124">
        <v>200000</v>
      </c>
      <c r="H567" s="124">
        <v>0</v>
      </c>
    </row>
    <row r="568" spans="1:8">
      <c r="A568" s="856"/>
      <c r="B568" s="856"/>
      <c r="C568" s="856" t="s">
        <v>671</v>
      </c>
      <c r="D568" s="856"/>
      <c r="E568" s="1506">
        <v>200000</v>
      </c>
      <c r="F568" s="1506">
        <v>0</v>
      </c>
      <c r="G568" s="124">
        <v>200000</v>
      </c>
      <c r="H568" s="124">
        <v>0</v>
      </c>
    </row>
    <row r="569" spans="1:8">
      <c r="A569" s="856"/>
      <c r="B569" s="856"/>
      <c r="C569" s="856" t="s">
        <v>104</v>
      </c>
      <c r="D569" s="856" t="s">
        <v>103</v>
      </c>
      <c r="E569" s="1506">
        <v>150000</v>
      </c>
      <c r="F569" s="1506">
        <v>0</v>
      </c>
      <c r="G569" s="124">
        <v>7000</v>
      </c>
      <c r="H569" s="124">
        <v>0</v>
      </c>
    </row>
    <row r="570" spans="1:8">
      <c r="A570" s="856"/>
      <c r="B570" s="856"/>
      <c r="C570" s="856"/>
      <c r="D570" s="856" t="s">
        <v>182</v>
      </c>
      <c r="E570" s="1506">
        <v>0</v>
      </c>
      <c r="F570" s="1506">
        <v>0</v>
      </c>
      <c r="G570" s="124">
        <v>0</v>
      </c>
      <c r="H570" s="124">
        <v>0</v>
      </c>
    </row>
    <row r="571" spans="1:8">
      <c r="A571" s="856"/>
      <c r="B571" s="856"/>
      <c r="C571" s="856"/>
      <c r="D571" s="856" t="s">
        <v>2249</v>
      </c>
      <c r="E571" s="1506">
        <v>0</v>
      </c>
      <c r="F571" s="1506">
        <v>0</v>
      </c>
      <c r="G571" s="124">
        <v>30000</v>
      </c>
      <c r="H571" s="124">
        <v>0</v>
      </c>
    </row>
    <row r="572" spans="1:8">
      <c r="A572" s="856"/>
      <c r="B572" s="856"/>
      <c r="C572" s="856"/>
      <c r="D572" s="856" t="s">
        <v>234</v>
      </c>
      <c r="E572" s="1506">
        <v>112800</v>
      </c>
      <c r="F572" s="1506">
        <v>0</v>
      </c>
      <c r="G572" s="124">
        <v>124144</v>
      </c>
      <c r="H572" s="124">
        <v>0</v>
      </c>
    </row>
    <row r="573" spans="1:8">
      <c r="A573" s="856"/>
      <c r="B573" s="856"/>
      <c r="C573" s="856"/>
      <c r="D573" s="856" t="s">
        <v>275</v>
      </c>
      <c r="E573" s="1506">
        <v>774063</v>
      </c>
      <c r="F573" s="1506">
        <v>0</v>
      </c>
      <c r="G573" s="124">
        <v>671000</v>
      </c>
      <c r="H573" s="124">
        <v>0</v>
      </c>
    </row>
    <row r="574" spans="1:8">
      <c r="A574" s="856"/>
      <c r="B574" s="856"/>
      <c r="C574" s="856"/>
      <c r="D574" s="856" t="s">
        <v>416</v>
      </c>
      <c r="E574" s="1506">
        <v>12900</v>
      </c>
      <c r="F574" s="1506">
        <v>0</v>
      </c>
      <c r="G574" s="124">
        <v>6640</v>
      </c>
      <c r="H574" s="124">
        <v>0</v>
      </c>
    </row>
    <row r="575" spans="1:8">
      <c r="A575" s="856"/>
      <c r="B575" s="856"/>
      <c r="C575" s="856" t="s">
        <v>672</v>
      </c>
      <c r="D575" s="856"/>
      <c r="E575" s="1747">
        <v>1049763</v>
      </c>
      <c r="F575" s="1747">
        <v>0</v>
      </c>
      <c r="G575" s="1625">
        <v>838784</v>
      </c>
      <c r="H575" s="1625">
        <v>0</v>
      </c>
    </row>
    <row r="576" spans="1:8">
      <c r="A576" s="856"/>
      <c r="B576" s="856"/>
      <c r="C576" s="856" t="s">
        <v>52</v>
      </c>
      <c r="D576" s="856" t="s">
        <v>51</v>
      </c>
      <c r="E576" s="1506">
        <v>55000</v>
      </c>
      <c r="F576" s="1506">
        <v>0</v>
      </c>
      <c r="G576" s="124">
        <v>55000</v>
      </c>
      <c r="H576" s="124">
        <v>0</v>
      </c>
    </row>
    <row r="577" spans="1:8">
      <c r="A577" s="856"/>
      <c r="B577" s="856"/>
      <c r="C577" s="856"/>
      <c r="D577" s="856" t="s">
        <v>53</v>
      </c>
      <c r="E577" s="1506">
        <v>0</v>
      </c>
      <c r="F577" s="1506">
        <v>0</v>
      </c>
      <c r="G577" s="124">
        <v>0</v>
      </c>
      <c r="H577" s="124">
        <v>0</v>
      </c>
    </row>
    <row r="578" spans="1:8">
      <c r="A578" s="856"/>
      <c r="B578" s="856"/>
      <c r="C578" s="856" t="s">
        <v>673</v>
      </c>
      <c r="D578" s="856"/>
      <c r="E578" s="1747">
        <v>55000</v>
      </c>
      <c r="F578" s="1747">
        <v>0</v>
      </c>
      <c r="G578" s="1625">
        <v>55000</v>
      </c>
      <c r="H578" s="1625">
        <v>0</v>
      </c>
    </row>
    <row r="579" spans="1:8">
      <c r="A579" s="856"/>
      <c r="B579" s="856"/>
      <c r="C579" s="856" t="s">
        <v>75</v>
      </c>
      <c r="D579" s="856" t="s">
        <v>475</v>
      </c>
      <c r="E579" s="1506">
        <v>3164</v>
      </c>
      <c r="F579" s="1506">
        <v>0</v>
      </c>
      <c r="G579" s="124">
        <v>3329</v>
      </c>
      <c r="H579" s="124">
        <v>0</v>
      </c>
    </row>
    <row r="580" spans="1:8">
      <c r="A580" s="856"/>
      <c r="B580" s="856"/>
      <c r="C580" s="856"/>
      <c r="D580" s="856" t="s">
        <v>517</v>
      </c>
      <c r="E580" s="1506">
        <v>153600</v>
      </c>
      <c r="F580" s="1506">
        <v>0</v>
      </c>
      <c r="G580" s="124">
        <v>145550</v>
      </c>
      <c r="H580" s="124">
        <v>0</v>
      </c>
    </row>
    <row r="581" spans="1:8">
      <c r="A581" s="856"/>
      <c r="B581" s="856"/>
      <c r="C581" s="856"/>
      <c r="D581" s="856" t="s">
        <v>518</v>
      </c>
      <c r="E581" s="1506">
        <v>104700</v>
      </c>
      <c r="F581" s="1506">
        <v>0</v>
      </c>
      <c r="G581" s="124">
        <v>106100</v>
      </c>
      <c r="H581" s="124">
        <v>0</v>
      </c>
    </row>
    <row r="582" spans="1:8">
      <c r="A582" s="856"/>
      <c r="B582" s="856"/>
      <c r="C582" s="856"/>
      <c r="D582" s="856" t="s">
        <v>519</v>
      </c>
      <c r="E582" s="1506">
        <v>54090.28</v>
      </c>
      <c r="F582" s="1506">
        <v>0</v>
      </c>
      <c r="G582" s="124">
        <v>85992.9</v>
      </c>
      <c r="H582" s="124">
        <v>0</v>
      </c>
    </row>
    <row r="583" spans="1:8">
      <c r="A583" s="856"/>
      <c r="B583" s="856"/>
      <c r="C583" s="856"/>
      <c r="D583" s="856" t="s">
        <v>521</v>
      </c>
      <c r="E583" s="1506">
        <v>53221</v>
      </c>
      <c r="F583" s="1506">
        <v>0</v>
      </c>
      <c r="G583" s="124">
        <v>50928</v>
      </c>
      <c r="H583" s="124">
        <v>0</v>
      </c>
    </row>
    <row r="584" spans="1:8">
      <c r="A584" s="856"/>
      <c r="B584" s="856"/>
      <c r="C584" s="856" t="s">
        <v>674</v>
      </c>
      <c r="D584" s="856"/>
      <c r="E584" s="1747">
        <v>368775.28</v>
      </c>
      <c r="F584" s="1747">
        <v>0</v>
      </c>
      <c r="G584" s="1625">
        <v>391899.9</v>
      </c>
      <c r="H584" s="1625">
        <v>0</v>
      </c>
    </row>
    <row r="585" spans="1:8">
      <c r="A585" s="856"/>
      <c r="B585" s="856"/>
      <c r="C585" s="856" t="s">
        <v>342</v>
      </c>
      <c r="D585" s="856" t="s">
        <v>563</v>
      </c>
      <c r="E585" s="1506">
        <v>217506.58</v>
      </c>
      <c r="F585" s="1506">
        <v>0</v>
      </c>
      <c r="G585" s="124">
        <v>269184.78000000003</v>
      </c>
      <c r="H585" s="124">
        <v>0</v>
      </c>
    </row>
    <row r="586" spans="1:8">
      <c r="A586" s="856"/>
      <c r="B586" s="856"/>
      <c r="C586" s="856" t="s">
        <v>675</v>
      </c>
      <c r="D586" s="856"/>
      <c r="E586" s="1747">
        <v>217506.58</v>
      </c>
      <c r="F586" s="1747">
        <v>0</v>
      </c>
      <c r="G586" s="1625">
        <v>269184.78000000003</v>
      </c>
      <c r="H586" s="1625">
        <v>0</v>
      </c>
    </row>
    <row r="587" spans="1:8">
      <c r="A587" s="856"/>
      <c r="B587" s="856"/>
      <c r="C587" s="856" t="s">
        <v>82</v>
      </c>
      <c r="D587" s="856" t="s">
        <v>376</v>
      </c>
      <c r="E587" s="1506">
        <v>0</v>
      </c>
      <c r="F587" s="1506">
        <v>0</v>
      </c>
      <c r="G587" s="124">
        <v>0</v>
      </c>
      <c r="H587" s="124">
        <v>0</v>
      </c>
    </row>
    <row r="588" spans="1:8">
      <c r="A588" s="856"/>
      <c r="B588" s="856"/>
      <c r="C588" s="856"/>
      <c r="D588" s="856" t="s">
        <v>158</v>
      </c>
      <c r="E588" s="1506">
        <v>4167</v>
      </c>
      <c r="F588" s="1506">
        <v>0</v>
      </c>
      <c r="G588" s="124">
        <v>18701</v>
      </c>
      <c r="H588" s="124">
        <v>0</v>
      </c>
    </row>
    <row r="589" spans="1:8">
      <c r="A589" s="856"/>
      <c r="B589" s="856"/>
      <c r="C589" s="856"/>
      <c r="D589" s="856" t="s">
        <v>493</v>
      </c>
      <c r="E589" s="1506">
        <v>25018</v>
      </c>
      <c r="F589" s="1506">
        <v>0</v>
      </c>
      <c r="G589" s="124">
        <v>50000</v>
      </c>
      <c r="H589" s="124">
        <v>0</v>
      </c>
    </row>
    <row r="590" spans="1:8">
      <c r="A590" s="856"/>
      <c r="B590" s="856"/>
      <c r="C590" s="856"/>
      <c r="D590" s="856" t="s">
        <v>208</v>
      </c>
      <c r="E590" s="1506">
        <v>39606</v>
      </c>
      <c r="F590" s="1506">
        <v>0</v>
      </c>
      <c r="G590" s="124">
        <v>29309</v>
      </c>
      <c r="H590" s="124">
        <v>0</v>
      </c>
    </row>
    <row r="591" spans="1:8">
      <c r="A591" s="856"/>
      <c r="B591" s="856"/>
      <c r="C591" s="856"/>
      <c r="D591" s="856" t="s">
        <v>209</v>
      </c>
      <c r="E591" s="1506">
        <v>30516</v>
      </c>
      <c r="F591" s="1506">
        <v>0</v>
      </c>
      <c r="G591" s="124">
        <v>61959</v>
      </c>
      <c r="H591" s="124">
        <v>0</v>
      </c>
    </row>
    <row r="592" spans="1:8">
      <c r="A592" s="856"/>
      <c r="B592" s="856"/>
      <c r="C592" s="856"/>
      <c r="D592" s="856" t="s">
        <v>210</v>
      </c>
      <c r="E592" s="1506">
        <v>7332</v>
      </c>
      <c r="F592" s="1506">
        <v>0</v>
      </c>
      <c r="G592" s="124">
        <v>668</v>
      </c>
      <c r="H592" s="124">
        <v>0</v>
      </c>
    </row>
    <row r="593" spans="1:8">
      <c r="A593" s="856"/>
      <c r="B593" s="856"/>
      <c r="C593" s="856"/>
      <c r="D593" s="856" t="s">
        <v>211</v>
      </c>
      <c r="E593" s="1506">
        <v>0</v>
      </c>
      <c r="F593" s="1506">
        <v>0</v>
      </c>
      <c r="G593" s="124">
        <v>0</v>
      </c>
      <c r="H593" s="124">
        <v>0</v>
      </c>
    </row>
    <row r="594" spans="1:8">
      <c r="A594" s="856"/>
      <c r="B594" s="856"/>
      <c r="C594" s="856"/>
      <c r="D594" s="856" t="s">
        <v>390</v>
      </c>
      <c r="E594" s="1506">
        <v>0</v>
      </c>
      <c r="F594" s="1506">
        <v>0</v>
      </c>
      <c r="G594" s="124">
        <v>0</v>
      </c>
      <c r="H594" s="124">
        <v>0</v>
      </c>
    </row>
    <row r="595" spans="1:8">
      <c r="A595" s="856"/>
      <c r="B595" s="856"/>
      <c r="C595" s="856"/>
      <c r="D595" s="856" t="s">
        <v>212</v>
      </c>
      <c r="E595" s="1506">
        <v>0</v>
      </c>
      <c r="F595" s="1506">
        <v>0</v>
      </c>
      <c r="G595" s="124">
        <v>2700</v>
      </c>
      <c r="H595" s="124">
        <v>0</v>
      </c>
    </row>
    <row r="596" spans="1:8">
      <c r="A596" s="856"/>
      <c r="B596" s="856"/>
      <c r="C596" s="856"/>
      <c r="D596" s="856" t="s">
        <v>213</v>
      </c>
      <c r="E596" s="1506">
        <v>41084</v>
      </c>
      <c r="F596" s="1506">
        <v>0</v>
      </c>
      <c r="G596" s="124">
        <v>35488</v>
      </c>
      <c r="H596" s="124">
        <v>0</v>
      </c>
    </row>
    <row r="597" spans="1:8">
      <c r="A597" s="856"/>
      <c r="B597" s="856"/>
      <c r="C597" s="856"/>
      <c r="D597" s="856" t="s">
        <v>83</v>
      </c>
      <c r="E597" s="1506">
        <v>2611</v>
      </c>
      <c r="F597" s="1506">
        <v>0</v>
      </c>
      <c r="G597" s="124">
        <v>800</v>
      </c>
      <c r="H597" s="124">
        <v>0</v>
      </c>
    </row>
    <row r="598" spans="1:8">
      <c r="A598" s="856"/>
      <c r="B598" s="856"/>
      <c r="C598" s="856"/>
      <c r="D598" s="856" t="s">
        <v>507</v>
      </c>
      <c r="E598" s="1506">
        <v>11646</v>
      </c>
      <c r="F598" s="1506">
        <v>0</v>
      </c>
      <c r="G598" s="124">
        <v>4618</v>
      </c>
      <c r="H598" s="124">
        <v>0</v>
      </c>
    </row>
    <row r="599" spans="1:8">
      <c r="A599" s="856"/>
      <c r="B599" s="856"/>
      <c r="C599" s="856"/>
      <c r="D599" s="856" t="s">
        <v>229</v>
      </c>
      <c r="E599" s="1506">
        <v>14544</v>
      </c>
      <c r="F599" s="1506">
        <v>0</v>
      </c>
      <c r="G599" s="124">
        <v>13776</v>
      </c>
      <c r="H599" s="124">
        <v>0</v>
      </c>
    </row>
    <row r="600" spans="1:8">
      <c r="A600" s="856"/>
      <c r="B600" s="856"/>
      <c r="C600" s="856"/>
      <c r="D600" s="856" t="s">
        <v>231</v>
      </c>
      <c r="E600" s="1506">
        <v>0</v>
      </c>
      <c r="F600" s="1506">
        <v>0</v>
      </c>
      <c r="G600" s="124">
        <v>279</v>
      </c>
      <c r="H600" s="124">
        <v>0</v>
      </c>
    </row>
    <row r="601" spans="1:8">
      <c r="A601" s="856"/>
      <c r="B601" s="856"/>
      <c r="C601" s="856"/>
      <c r="D601" s="856" t="s">
        <v>266</v>
      </c>
      <c r="E601" s="1506">
        <v>450</v>
      </c>
      <c r="F601" s="1506">
        <v>0</v>
      </c>
      <c r="G601" s="124">
        <v>225</v>
      </c>
      <c r="H601" s="124">
        <v>0</v>
      </c>
    </row>
    <row r="602" spans="1:8">
      <c r="A602" s="856"/>
      <c r="B602" s="856"/>
      <c r="C602" s="856"/>
      <c r="D602" s="856" t="s">
        <v>267</v>
      </c>
      <c r="E602" s="1506">
        <v>5000</v>
      </c>
      <c r="F602" s="1506">
        <v>0</v>
      </c>
      <c r="G602" s="124">
        <v>226000</v>
      </c>
      <c r="H602" s="124">
        <v>0</v>
      </c>
    </row>
    <row r="603" spans="1:8">
      <c r="A603" s="856"/>
      <c r="B603" s="856"/>
      <c r="C603" s="856"/>
      <c r="D603" s="856" t="s">
        <v>268</v>
      </c>
      <c r="E603" s="1506">
        <v>450</v>
      </c>
      <c r="F603" s="1506">
        <v>0</v>
      </c>
      <c r="G603" s="124">
        <v>225</v>
      </c>
      <c r="H603" s="124">
        <v>0</v>
      </c>
    </row>
    <row r="604" spans="1:8">
      <c r="A604" s="856"/>
      <c r="B604" s="856"/>
      <c r="C604" s="856"/>
      <c r="D604" s="856" t="s">
        <v>2976</v>
      </c>
      <c r="E604" s="1506">
        <v>217</v>
      </c>
      <c r="F604" s="1506">
        <v>0</v>
      </c>
      <c r="G604" s="124">
        <v>0</v>
      </c>
      <c r="H604" s="124">
        <v>0</v>
      </c>
    </row>
    <row r="605" spans="1:8">
      <c r="A605" s="856"/>
      <c r="B605" s="856"/>
      <c r="C605" s="856"/>
      <c r="D605" s="856" t="s">
        <v>2253</v>
      </c>
      <c r="E605" s="1506">
        <v>0</v>
      </c>
      <c r="F605" s="1506">
        <v>0</v>
      </c>
      <c r="G605" s="124">
        <v>2956</v>
      </c>
      <c r="H605" s="124">
        <v>0</v>
      </c>
    </row>
    <row r="606" spans="1:8">
      <c r="A606" s="856"/>
      <c r="B606" s="856"/>
      <c r="C606" s="856"/>
      <c r="D606" s="856" t="s">
        <v>269</v>
      </c>
      <c r="E606" s="1506">
        <v>0</v>
      </c>
      <c r="F606" s="1506">
        <v>0</v>
      </c>
      <c r="G606" s="124">
        <v>0</v>
      </c>
      <c r="H606" s="124">
        <v>0</v>
      </c>
    </row>
    <row r="607" spans="1:8">
      <c r="A607" s="856"/>
      <c r="B607" s="856"/>
      <c r="C607" s="856"/>
      <c r="D607" s="856" t="s">
        <v>276</v>
      </c>
      <c r="E607" s="1506">
        <v>2500</v>
      </c>
      <c r="F607" s="1506">
        <v>0</v>
      </c>
      <c r="G607" s="124">
        <v>10000</v>
      </c>
      <c r="H607" s="124">
        <v>0</v>
      </c>
    </row>
    <row r="608" spans="1:8">
      <c r="A608" s="856"/>
      <c r="B608" s="856"/>
      <c r="C608" s="856"/>
      <c r="D608" s="856" t="s">
        <v>82</v>
      </c>
      <c r="E608" s="1506">
        <v>248399</v>
      </c>
      <c r="F608" s="1506">
        <v>0</v>
      </c>
      <c r="G608" s="124">
        <v>248701</v>
      </c>
      <c r="H608" s="124">
        <v>0</v>
      </c>
    </row>
    <row r="609" spans="1:8">
      <c r="A609" s="856"/>
      <c r="B609" s="856"/>
      <c r="C609" s="856"/>
      <c r="D609" s="856" t="s">
        <v>313</v>
      </c>
      <c r="E609" s="1506">
        <v>4800</v>
      </c>
      <c r="F609" s="1506">
        <v>0</v>
      </c>
      <c r="G609" s="124">
        <v>7900</v>
      </c>
      <c r="H609" s="124">
        <v>0</v>
      </c>
    </row>
    <row r="610" spans="1:8">
      <c r="A610" s="856"/>
      <c r="B610" s="856"/>
      <c r="C610" s="856" t="s">
        <v>676</v>
      </c>
      <c r="D610" s="856"/>
      <c r="E610" s="1747">
        <v>438340</v>
      </c>
      <c r="F610" s="1747">
        <v>0</v>
      </c>
      <c r="G610" s="1625">
        <v>714305</v>
      </c>
      <c r="H610" s="1625">
        <v>0</v>
      </c>
    </row>
    <row r="611" spans="1:8">
      <c r="A611" s="856"/>
      <c r="B611" s="856"/>
      <c r="C611" s="856" t="s">
        <v>190</v>
      </c>
      <c r="D611" s="856" t="s">
        <v>189</v>
      </c>
      <c r="E611" s="1506">
        <v>0</v>
      </c>
      <c r="F611" s="1506">
        <v>0</v>
      </c>
      <c r="G611" s="124">
        <v>32000</v>
      </c>
      <c r="H611" s="124">
        <v>0</v>
      </c>
    </row>
    <row r="612" spans="1:8">
      <c r="A612" s="856"/>
      <c r="B612" s="856"/>
      <c r="C612" s="856"/>
      <c r="D612" s="856" t="s">
        <v>520</v>
      </c>
      <c r="E612" s="1506">
        <v>643125</v>
      </c>
      <c r="F612" s="1506">
        <v>0</v>
      </c>
      <c r="G612" s="124">
        <v>610000</v>
      </c>
      <c r="H612" s="124">
        <v>0</v>
      </c>
    </row>
    <row r="613" spans="1:8">
      <c r="A613" s="856"/>
      <c r="B613" s="856"/>
      <c r="C613" s="856" t="s">
        <v>677</v>
      </c>
      <c r="D613" s="856"/>
      <c r="E613" s="1506">
        <v>643125</v>
      </c>
      <c r="F613" s="1506">
        <v>0</v>
      </c>
      <c r="G613" s="124">
        <v>642000</v>
      </c>
      <c r="H613" s="124">
        <v>0</v>
      </c>
    </row>
    <row r="614" spans="1:8">
      <c r="A614" s="856"/>
      <c r="B614" s="856"/>
      <c r="C614" s="856" t="s">
        <v>259</v>
      </c>
      <c r="D614" s="856" t="s">
        <v>311</v>
      </c>
      <c r="E614" s="1506">
        <v>357129.36</v>
      </c>
      <c r="F614" s="1506">
        <v>0</v>
      </c>
      <c r="G614" s="124">
        <v>268584</v>
      </c>
      <c r="H614" s="124">
        <v>0</v>
      </c>
    </row>
    <row r="615" spans="1:8">
      <c r="A615" s="856"/>
      <c r="B615" s="856"/>
      <c r="C615" s="856" t="s">
        <v>678</v>
      </c>
      <c r="D615" s="856"/>
      <c r="E615" s="1747">
        <v>357129.36</v>
      </c>
      <c r="F615" s="1747">
        <v>0</v>
      </c>
      <c r="G615" s="1625">
        <v>268584</v>
      </c>
      <c r="H615" s="1625">
        <v>0</v>
      </c>
    </row>
    <row r="616" spans="1:8">
      <c r="A616" s="856"/>
      <c r="B616" s="856"/>
      <c r="C616" s="856" t="s">
        <v>439</v>
      </c>
      <c r="D616" s="856" t="s">
        <v>584</v>
      </c>
      <c r="E616" s="1506">
        <v>765698</v>
      </c>
      <c r="F616" s="1506">
        <v>0</v>
      </c>
      <c r="G616" s="124">
        <v>676300</v>
      </c>
      <c r="H616" s="124">
        <v>0</v>
      </c>
    </row>
    <row r="617" spans="1:8">
      <c r="A617" s="856"/>
      <c r="B617" s="856"/>
      <c r="C617" s="856"/>
      <c r="D617" s="856" t="s">
        <v>440</v>
      </c>
      <c r="E617" s="1747">
        <v>253880</v>
      </c>
      <c r="F617" s="1747">
        <v>0</v>
      </c>
      <c r="G617" s="1625">
        <v>319936.52</v>
      </c>
      <c r="H617" s="1625">
        <v>0</v>
      </c>
    </row>
    <row r="618" spans="1:8">
      <c r="A618" s="856"/>
      <c r="B618" s="856"/>
      <c r="C618" s="856" t="s">
        <v>679</v>
      </c>
      <c r="D618" s="856"/>
      <c r="E618" s="1506">
        <v>1019578</v>
      </c>
      <c r="F618" s="1506">
        <v>0</v>
      </c>
      <c r="G618" s="124">
        <v>996236.52</v>
      </c>
      <c r="H618" s="124">
        <v>0</v>
      </c>
    </row>
    <row r="619" spans="1:8">
      <c r="A619" s="856"/>
      <c r="B619" s="856"/>
      <c r="C619" s="856" t="s">
        <v>344</v>
      </c>
      <c r="D619" s="856" t="s">
        <v>343</v>
      </c>
      <c r="E619" s="1506">
        <v>275000</v>
      </c>
      <c r="F619" s="1506">
        <v>0</v>
      </c>
      <c r="G619" s="124">
        <v>275000</v>
      </c>
      <c r="H619" s="124">
        <v>0</v>
      </c>
    </row>
    <row r="620" spans="1:8">
      <c r="A620" s="856"/>
      <c r="B620" s="856"/>
      <c r="C620" s="856" t="s">
        <v>680</v>
      </c>
      <c r="D620" s="856"/>
      <c r="E620" s="1506">
        <v>275000</v>
      </c>
      <c r="F620" s="1506">
        <v>0</v>
      </c>
      <c r="G620" s="124">
        <v>275000</v>
      </c>
      <c r="H620" s="124">
        <v>0</v>
      </c>
    </row>
    <row r="621" spans="1:8">
      <c r="A621" s="856"/>
      <c r="B621" s="856"/>
      <c r="C621" s="856" t="s">
        <v>356</v>
      </c>
      <c r="D621" s="856" t="s">
        <v>577</v>
      </c>
      <c r="E621" s="1506">
        <v>72945</v>
      </c>
      <c r="F621" s="1506">
        <v>0</v>
      </c>
      <c r="G621" s="124">
        <v>67429</v>
      </c>
      <c r="H621" s="124">
        <v>0</v>
      </c>
    </row>
    <row r="622" spans="1:8">
      <c r="A622" s="856"/>
      <c r="B622" s="856"/>
      <c r="C622" s="856" t="s">
        <v>681</v>
      </c>
      <c r="D622" s="856"/>
      <c r="E622" s="1747">
        <v>72945</v>
      </c>
      <c r="F622" s="1747">
        <v>0</v>
      </c>
      <c r="G622" s="1625">
        <v>67429</v>
      </c>
      <c r="H622" s="1625">
        <v>0</v>
      </c>
    </row>
    <row r="623" spans="1:8">
      <c r="A623" s="856"/>
      <c r="B623" s="856"/>
      <c r="C623" s="856" t="s">
        <v>108</v>
      </c>
      <c r="D623" s="856" t="s">
        <v>483</v>
      </c>
      <c r="E623" s="1506">
        <v>65874</v>
      </c>
      <c r="F623" s="1506">
        <v>0</v>
      </c>
      <c r="G623" s="124">
        <v>59948</v>
      </c>
      <c r="H623" s="124">
        <v>0</v>
      </c>
    </row>
    <row r="624" spans="1:8">
      <c r="A624" s="856"/>
      <c r="B624" s="856"/>
      <c r="C624" s="856"/>
      <c r="D624" s="856" t="s">
        <v>109</v>
      </c>
      <c r="E624" s="1506">
        <v>0</v>
      </c>
      <c r="F624" s="1506">
        <v>0</v>
      </c>
      <c r="G624" s="124">
        <v>32087</v>
      </c>
      <c r="H624" s="124">
        <v>0</v>
      </c>
    </row>
    <row r="625" spans="1:8">
      <c r="A625" s="856"/>
      <c r="B625" s="856"/>
      <c r="C625" s="856"/>
      <c r="D625" s="856" t="s">
        <v>359</v>
      </c>
      <c r="E625" s="1506">
        <v>368810</v>
      </c>
      <c r="F625" s="1506">
        <v>0</v>
      </c>
      <c r="G625" s="124">
        <v>447976</v>
      </c>
      <c r="H625" s="124">
        <v>0</v>
      </c>
    </row>
    <row r="626" spans="1:8">
      <c r="A626" s="856"/>
      <c r="B626" s="856"/>
      <c r="C626" s="856" t="s">
        <v>682</v>
      </c>
      <c r="D626" s="856"/>
      <c r="E626" s="1747">
        <v>434684</v>
      </c>
      <c r="F626" s="1747">
        <v>0</v>
      </c>
      <c r="G626" s="1625">
        <v>540011</v>
      </c>
      <c r="H626" s="1625">
        <v>0</v>
      </c>
    </row>
    <row r="627" spans="1:8">
      <c r="A627" s="856"/>
      <c r="B627" s="856"/>
      <c r="C627" t="s">
        <v>3087</v>
      </c>
      <c r="D627" t="s">
        <v>4717</v>
      </c>
      <c r="E627" s="1506">
        <v>323224</v>
      </c>
      <c r="F627" s="1506"/>
      <c r="G627" s="124"/>
      <c r="H627" s="124"/>
    </row>
    <row r="628" spans="1:8">
      <c r="A628" s="856"/>
      <c r="B628" s="856"/>
      <c r="C628" t="s">
        <v>3088</v>
      </c>
      <c r="E628" s="1506">
        <v>323224</v>
      </c>
      <c r="F628" s="1506"/>
      <c r="G628" s="124"/>
      <c r="H628" s="124"/>
    </row>
    <row r="629" spans="1:8">
      <c r="A629" s="856"/>
      <c r="B629" s="856"/>
      <c r="C629" t="s">
        <v>3089</v>
      </c>
      <c r="D629" t="s">
        <v>3089</v>
      </c>
      <c r="E629" s="1506">
        <v>84364</v>
      </c>
      <c r="F629" s="1506"/>
      <c r="G629" s="124"/>
      <c r="H629" s="124"/>
    </row>
    <row r="630" spans="1:8">
      <c r="A630" s="856"/>
      <c r="B630" s="856"/>
      <c r="C630" t="s">
        <v>3092</v>
      </c>
      <c r="E630" s="1506">
        <v>84364</v>
      </c>
      <c r="F630" s="1506"/>
      <c r="G630" s="124"/>
      <c r="H630" s="124"/>
    </row>
    <row r="631" spans="1:8">
      <c r="A631" s="856"/>
      <c r="B631" s="856" t="s">
        <v>620</v>
      </c>
      <c r="C631" s="856"/>
      <c r="D631" s="856"/>
      <c r="E631" s="1506">
        <v>8017203.7000000002</v>
      </c>
      <c r="F631" s="1506">
        <v>245.71</v>
      </c>
      <c r="G631" s="124">
        <v>8091496.2800000012</v>
      </c>
      <c r="H631" s="124">
        <v>682.2</v>
      </c>
    </row>
    <row r="632" spans="1:8">
      <c r="A632" s="856"/>
      <c r="B632" s="856" t="s">
        <v>73</v>
      </c>
      <c r="C632" s="856" t="s">
        <v>74</v>
      </c>
      <c r="D632" s="856" t="s">
        <v>72</v>
      </c>
      <c r="E632" s="1506">
        <v>3742571.88</v>
      </c>
      <c r="F632" s="1506">
        <v>0</v>
      </c>
      <c r="G632" s="124">
        <v>3043560</v>
      </c>
      <c r="H632" s="124">
        <v>0</v>
      </c>
    </row>
    <row r="633" spans="1:8">
      <c r="A633" s="856"/>
      <c r="B633" s="856"/>
      <c r="C633" s="856"/>
      <c r="D633" s="856" t="s">
        <v>86</v>
      </c>
      <c r="E633" s="1506">
        <v>201977</v>
      </c>
      <c r="F633" s="1506">
        <v>0</v>
      </c>
      <c r="G633" s="124">
        <v>283443</v>
      </c>
      <c r="H633" s="124">
        <v>0</v>
      </c>
    </row>
    <row r="634" spans="1:8">
      <c r="A634" s="856"/>
      <c r="B634" s="856"/>
      <c r="C634" s="856"/>
      <c r="D634" s="856" t="s">
        <v>87</v>
      </c>
      <c r="E634" s="1506">
        <v>276683</v>
      </c>
      <c r="F634" s="1506">
        <v>0</v>
      </c>
      <c r="G634" s="124">
        <v>234338</v>
      </c>
      <c r="H634" s="124">
        <v>0</v>
      </c>
    </row>
    <row r="635" spans="1:8">
      <c r="A635" s="856"/>
      <c r="B635" s="856"/>
      <c r="C635" s="856"/>
      <c r="D635" s="856" t="s">
        <v>164</v>
      </c>
      <c r="E635" s="1506">
        <v>72800</v>
      </c>
      <c r="F635" s="1506">
        <v>0</v>
      </c>
      <c r="G635" s="124">
        <v>75600</v>
      </c>
      <c r="H635" s="124">
        <v>0</v>
      </c>
    </row>
    <row r="636" spans="1:8">
      <c r="A636" s="856"/>
      <c r="B636" s="856"/>
      <c r="C636" s="856"/>
      <c r="D636" s="856" t="s">
        <v>165</v>
      </c>
      <c r="E636" s="1506">
        <v>267589</v>
      </c>
      <c r="F636" s="1506">
        <v>0</v>
      </c>
      <c r="G636" s="124">
        <v>365711.4</v>
      </c>
      <c r="H636" s="124">
        <v>0</v>
      </c>
    </row>
    <row r="637" spans="1:8">
      <c r="A637" s="856"/>
      <c r="B637" s="856"/>
      <c r="C637" s="856"/>
      <c r="D637" s="856" t="s">
        <v>167</v>
      </c>
      <c r="E637" s="1506">
        <v>249410</v>
      </c>
      <c r="F637" s="1506">
        <v>0</v>
      </c>
      <c r="G637" s="124">
        <v>301632</v>
      </c>
      <c r="H637" s="124">
        <v>0</v>
      </c>
    </row>
    <row r="638" spans="1:8">
      <c r="A638" s="856"/>
      <c r="B638" s="856"/>
      <c r="C638" s="856"/>
      <c r="D638" s="856" t="s">
        <v>168</v>
      </c>
      <c r="E638" s="1506">
        <v>0</v>
      </c>
      <c r="F638" s="1506">
        <v>0</v>
      </c>
      <c r="G638" s="124">
        <v>30878.05</v>
      </c>
      <c r="H638" s="124">
        <v>0</v>
      </c>
    </row>
    <row r="639" spans="1:8">
      <c r="A639" s="856"/>
      <c r="B639" s="856"/>
      <c r="C639" s="856"/>
      <c r="D639" s="856" t="s">
        <v>379</v>
      </c>
      <c r="E639" s="1506">
        <v>0</v>
      </c>
      <c r="F639" s="1506">
        <v>0</v>
      </c>
      <c r="G639" s="124">
        <v>0</v>
      </c>
      <c r="H639" s="124">
        <v>0</v>
      </c>
    </row>
    <row r="640" spans="1:8">
      <c r="A640" s="856"/>
      <c r="B640" s="856"/>
      <c r="C640" s="856"/>
      <c r="D640" s="856" t="s">
        <v>495</v>
      </c>
      <c r="E640" s="1506">
        <v>0</v>
      </c>
      <c r="F640" s="1506">
        <v>0</v>
      </c>
      <c r="G640" s="124">
        <v>500</v>
      </c>
      <c r="H640" s="124">
        <v>0</v>
      </c>
    </row>
    <row r="641" spans="1:8">
      <c r="A641" s="856"/>
      <c r="B641" s="856"/>
      <c r="C641" s="856"/>
      <c r="D641" s="856" t="s">
        <v>358</v>
      </c>
      <c r="E641" s="1506">
        <v>99717</v>
      </c>
      <c r="F641" s="1506">
        <v>0</v>
      </c>
      <c r="G641" s="124">
        <v>123242</v>
      </c>
      <c r="H641" s="124">
        <v>0</v>
      </c>
    </row>
    <row r="642" spans="1:8">
      <c r="A642" s="856"/>
      <c r="B642" s="856"/>
      <c r="C642" s="856"/>
      <c r="D642" s="856" t="s">
        <v>444</v>
      </c>
      <c r="E642" s="1506">
        <v>0</v>
      </c>
      <c r="F642" s="1506">
        <v>0</v>
      </c>
      <c r="G642" s="124">
        <v>388251</v>
      </c>
      <c r="H642" s="124">
        <v>0</v>
      </c>
    </row>
    <row r="643" spans="1:8">
      <c r="A643" s="856"/>
      <c r="B643" s="856"/>
      <c r="C643" s="856" t="s">
        <v>683</v>
      </c>
      <c r="D643" s="856"/>
      <c r="E643" s="1747">
        <v>4910747.88</v>
      </c>
      <c r="F643" s="1747">
        <v>0</v>
      </c>
      <c r="G643" s="1625">
        <v>4847155.45</v>
      </c>
      <c r="H643" s="1625">
        <v>0</v>
      </c>
    </row>
    <row r="644" spans="1:8">
      <c r="A644" s="856"/>
      <c r="B644" s="856"/>
      <c r="C644" s="856" t="s">
        <v>170</v>
      </c>
      <c r="D644" s="856" t="s">
        <v>169</v>
      </c>
      <c r="E644" s="1506">
        <v>3611803</v>
      </c>
      <c r="F644" s="1506">
        <v>0</v>
      </c>
      <c r="G644" s="124">
        <v>2829820</v>
      </c>
      <c r="H644" s="124">
        <v>0</v>
      </c>
    </row>
    <row r="645" spans="1:8">
      <c r="A645" s="856"/>
      <c r="B645" s="856"/>
      <c r="C645" s="856" t="s">
        <v>684</v>
      </c>
      <c r="D645" s="856"/>
      <c r="E645" s="1506">
        <v>3611803</v>
      </c>
      <c r="F645" s="1506">
        <v>0</v>
      </c>
      <c r="G645" s="124">
        <v>2829820</v>
      </c>
      <c r="H645" s="124">
        <v>0</v>
      </c>
    </row>
    <row r="646" spans="1:8">
      <c r="A646" s="856"/>
      <c r="B646" s="856"/>
      <c r="C646" s="856" t="s">
        <v>257</v>
      </c>
      <c r="D646" s="856" t="s">
        <v>258</v>
      </c>
      <c r="E646" s="1506">
        <v>12870</v>
      </c>
      <c r="F646" s="1506">
        <v>0</v>
      </c>
      <c r="G646" s="124">
        <v>13970</v>
      </c>
      <c r="H646" s="124">
        <v>0</v>
      </c>
    </row>
    <row r="647" spans="1:8">
      <c r="A647" s="856"/>
      <c r="B647" s="856"/>
      <c r="C647" s="856"/>
      <c r="D647" s="856" t="s">
        <v>257</v>
      </c>
      <c r="E647" s="1506">
        <v>5210528.92</v>
      </c>
      <c r="F647" s="1506">
        <v>0</v>
      </c>
      <c r="G647" s="124">
        <v>10675054.880000001</v>
      </c>
      <c r="H647" s="124">
        <v>0</v>
      </c>
    </row>
    <row r="648" spans="1:8">
      <c r="A648" s="856"/>
      <c r="B648" s="856"/>
      <c r="C648" s="856"/>
      <c r="D648" s="856" t="s">
        <v>295</v>
      </c>
      <c r="E648" s="1506">
        <v>210</v>
      </c>
      <c r="F648" s="1506">
        <v>0</v>
      </c>
      <c r="G648" s="124">
        <v>300</v>
      </c>
      <c r="H648" s="124">
        <v>0</v>
      </c>
    </row>
    <row r="649" spans="1:8">
      <c r="A649" s="856"/>
      <c r="B649" s="856"/>
      <c r="C649" s="856"/>
      <c r="D649" s="856" t="s">
        <v>582</v>
      </c>
      <c r="E649" s="1506">
        <v>313340</v>
      </c>
      <c r="F649" s="1506">
        <v>0</v>
      </c>
      <c r="G649" s="124">
        <v>193000</v>
      </c>
      <c r="H649" s="124">
        <v>0</v>
      </c>
    </row>
    <row r="650" spans="1:8">
      <c r="A650" s="856"/>
      <c r="B650" s="856"/>
      <c r="C650" s="856" t="s">
        <v>685</v>
      </c>
      <c r="D650" s="856"/>
      <c r="E650" s="1747">
        <v>5536948.9199999999</v>
      </c>
      <c r="F650" s="1747">
        <v>0</v>
      </c>
      <c r="G650" s="1625">
        <v>10882324.880000001</v>
      </c>
      <c r="H650" s="1625">
        <v>0</v>
      </c>
    </row>
    <row r="651" spans="1:8">
      <c r="A651" s="856"/>
      <c r="B651" s="856"/>
      <c r="C651" s="856" t="s">
        <v>100</v>
      </c>
      <c r="D651" s="856" t="s">
        <v>101</v>
      </c>
      <c r="E651" s="1506">
        <v>58412480.560000002</v>
      </c>
      <c r="F651" s="1506">
        <v>0</v>
      </c>
      <c r="G651" s="124">
        <v>39341063.259999998</v>
      </c>
      <c r="H651" s="124">
        <v>0</v>
      </c>
    </row>
    <row r="652" spans="1:8">
      <c r="A652" s="856"/>
      <c r="B652" s="856"/>
      <c r="C652" s="856"/>
      <c r="D652" s="856" t="s">
        <v>166</v>
      </c>
      <c r="E652" s="1506">
        <v>53196916.659999996</v>
      </c>
      <c r="F652" s="1506">
        <v>0</v>
      </c>
      <c r="G652" s="124">
        <v>83424461</v>
      </c>
      <c r="H652" s="124">
        <v>0</v>
      </c>
    </row>
    <row r="653" spans="1:8">
      <c r="A653" s="856"/>
      <c r="B653" s="856"/>
      <c r="C653" s="856"/>
      <c r="D653" s="856" t="s">
        <v>256</v>
      </c>
      <c r="E653" s="1506">
        <v>470140.39</v>
      </c>
      <c r="F653" s="1506">
        <v>0</v>
      </c>
      <c r="G653" s="124">
        <v>2569100</v>
      </c>
      <c r="H653" s="124">
        <v>0</v>
      </c>
    </row>
    <row r="654" spans="1:8">
      <c r="A654" s="856"/>
      <c r="B654" s="856"/>
      <c r="C654" s="856"/>
      <c r="D654" s="856" t="s">
        <v>403</v>
      </c>
      <c r="E654" s="1506">
        <v>0</v>
      </c>
      <c r="F654" s="1506">
        <v>0</v>
      </c>
      <c r="G654" s="124">
        <v>52365641</v>
      </c>
      <c r="H654" s="124">
        <v>0</v>
      </c>
    </row>
    <row r="655" spans="1:8">
      <c r="A655" s="856"/>
      <c r="B655" s="856"/>
      <c r="C655" s="856"/>
      <c r="D655" s="856" t="s">
        <v>539</v>
      </c>
      <c r="E655" s="1506">
        <v>0</v>
      </c>
      <c r="F655" s="1506">
        <v>0</v>
      </c>
      <c r="G655" s="124">
        <v>920985</v>
      </c>
      <c r="H655" s="124">
        <v>0</v>
      </c>
    </row>
    <row r="656" spans="1:8">
      <c r="A656" s="856"/>
      <c r="B656" s="856"/>
      <c r="C656" s="856"/>
      <c r="D656" s="856" t="s">
        <v>294</v>
      </c>
      <c r="E656" s="1506">
        <v>8366598</v>
      </c>
      <c r="F656" s="1506">
        <v>0</v>
      </c>
      <c r="G656" s="124">
        <v>3360110.98</v>
      </c>
      <c r="H656" s="124">
        <v>0</v>
      </c>
    </row>
    <row r="657" spans="1:8">
      <c r="A657" s="856"/>
      <c r="B657" s="856"/>
      <c r="C657" s="856"/>
      <c r="D657" s="856" t="s">
        <v>341</v>
      </c>
      <c r="E657" s="1506">
        <v>5149248</v>
      </c>
      <c r="F657" s="1506">
        <v>0</v>
      </c>
      <c r="G657" s="124">
        <v>2485856</v>
      </c>
      <c r="H657" s="124">
        <v>0</v>
      </c>
    </row>
    <row r="658" spans="1:8">
      <c r="A658" s="856"/>
      <c r="B658" s="856"/>
      <c r="C658" s="856" t="s">
        <v>686</v>
      </c>
      <c r="D658" s="856"/>
      <c r="E658" s="1506">
        <v>125595383.61</v>
      </c>
      <c r="F658" s="1506">
        <v>0</v>
      </c>
      <c r="G658" s="124">
        <v>184467217.23999998</v>
      </c>
      <c r="H658" s="124">
        <v>0</v>
      </c>
    </row>
    <row r="659" spans="1:8">
      <c r="A659" s="856"/>
      <c r="B659" s="856"/>
      <c r="C659" s="856" t="s">
        <v>303</v>
      </c>
      <c r="D659" s="856" t="s">
        <v>303</v>
      </c>
      <c r="E659" s="1506">
        <v>3685087.84</v>
      </c>
      <c r="F659" s="1506">
        <v>0</v>
      </c>
      <c r="G659" s="124">
        <v>3368785</v>
      </c>
      <c r="H659" s="124">
        <v>0</v>
      </c>
    </row>
    <row r="660" spans="1:8">
      <c r="A660" s="856"/>
      <c r="B660" s="856"/>
      <c r="C660" s="856" t="s">
        <v>687</v>
      </c>
      <c r="D660" s="856"/>
      <c r="E660" s="1506">
        <v>3685087.84</v>
      </c>
      <c r="F660" s="1506">
        <v>0</v>
      </c>
      <c r="G660" s="124">
        <v>3368785</v>
      </c>
      <c r="H660" s="124">
        <v>0</v>
      </c>
    </row>
    <row r="661" spans="1:8">
      <c r="A661" s="856"/>
      <c r="B661" s="856"/>
      <c r="C661" s="856" t="s">
        <v>310</v>
      </c>
      <c r="D661" s="856" t="s">
        <v>546</v>
      </c>
      <c r="E661" s="1506">
        <v>263090.43</v>
      </c>
      <c r="F661" s="1506">
        <v>0</v>
      </c>
      <c r="G661" s="124">
        <v>93430.13</v>
      </c>
      <c r="H661" s="124">
        <v>0</v>
      </c>
    </row>
    <row r="662" spans="1:8">
      <c r="A662" s="856"/>
      <c r="B662" s="856"/>
      <c r="C662" s="856" t="s">
        <v>688</v>
      </c>
      <c r="D662" s="856"/>
      <c r="E662" s="1747">
        <v>263090.43</v>
      </c>
      <c r="F662" s="1747">
        <v>0</v>
      </c>
      <c r="G662" s="1625">
        <v>93430.13</v>
      </c>
      <c r="H662" s="1625">
        <v>0</v>
      </c>
    </row>
    <row r="663" spans="1:8">
      <c r="A663" s="856"/>
      <c r="B663" s="856"/>
      <c r="C663" s="856" t="s">
        <v>85</v>
      </c>
      <c r="D663" s="856" t="s">
        <v>84</v>
      </c>
      <c r="E663" s="1506">
        <v>369720</v>
      </c>
      <c r="F663" s="1506">
        <v>0</v>
      </c>
      <c r="G663" s="124">
        <v>492951</v>
      </c>
      <c r="H663" s="124">
        <v>0</v>
      </c>
    </row>
    <row r="664" spans="1:8">
      <c r="A664" s="856"/>
      <c r="B664" s="856"/>
      <c r="C664" s="856"/>
      <c r="D664" s="856" t="s">
        <v>236</v>
      </c>
      <c r="E664" s="1506">
        <v>402863.5</v>
      </c>
      <c r="F664" s="1506">
        <v>0</v>
      </c>
      <c r="G664" s="124">
        <v>278137</v>
      </c>
      <c r="H664" s="124">
        <v>0</v>
      </c>
    </row>
    <row r="665" spans="1:8">
      <c r="A665" s="856"/>
      <c r="B665" s="856"/>
      <c r="C665" s="856"/>
      <c r="D665" s="856" t="s">
        <v>237</v>
      </c>
      <c r="E665" s="1506">
        <v>1501316</v>
      </c>
      <c r="F665" s="1506">
        <v>0</v>
      </c>
      <c r="G665" s="124">
        <v>2223912</v>
      </c>
      <c r="H665" s="124">
        <v>0</v>
      </c>
    </row>
    <row r="666" spans="1:8">
      <c r="A666" s="856"/>
      <c r="B666" s="856"/>
      <c r="C666" s="856"/>
      <c r="D666" s="856" t="s">
        <v>513</v>
      </c>
      <c r="E666" s="1506">
        <v>193134.65</v>
      </c>
      <c r="F666" s="1506">
        <v>0</v>
      </c>
      <c r="G666" s="124">
        <v>225741.23</v>
      </c>
      <c r="H666" s="124">
        <v>0</v>
      </c>
    </row>
    <row r="667" spans="1:8">
      <c r="A667" s="856"/>
      <c r="B667" s="856"/>
      <c r="C667" s="856"/>
      <c r="D667" s="856" t="s">
        <v>238</v>
      </c>
      <c r="E667" s="1506">
        <v>4136012.77</v>
      </c>
      <c r="F667" s="1506">
        <v>0</v>
      </c>
      <c r="G667" s="124">
        <v>3638432.81</v>
      </c>
      <c r="H667" s="124">
        <v>0</v>
      </c>
    </row>
    <row r="668" spans="1:8">
      <c r="A668" s="856"/>
      <c r="B668" s="856"/>
      <c r="C668" s="856" t="s">
        <v>689</v>
      </c>
      <c r="D668" s="856"/>
      <c r="E668" s="1506">
        <v>6603046.9199999999</v>
      </c>
      <c r="F668" s="1506">
        <v>0</v>
      </c>
      <c r="G668" s="124">
        <v>6859174.04</v>
      </c>
      <c r="H668" s="124">
        <v>0</v>
      </c>
    </row>
    <row r="669" spans="1:8">
      <c r="A669" s="856"/>
      <c r="B669" s="856"/>
      <c r="C669" s="856" t="s">
        <v>328</v>
      </c>
      <c r="D669" s="856" t="s">
        <v>328</v>
      </c>
      <c r="E669" s="1506">
        <v>827794</v>
      </c>
      <c r="F669" s="1506">
        <v>0</v>
      </c>
      <c r="G669" s="124">
        <v>905691</v>
      </c>
      <c r="H669" s="124">
        <v>0</v>
      </c>
    </row>
    <row r="670" spans="1:8">
      <c r="A670" s="856"/>
      <c r="B670" s="856"/>
      <c r="C670" s="856" t="s">
        <v>690</v>
      </c>
      <c r="D670" s="856"/>
      <c r="E670" s="1747">
        <v>827794</v>
      </c>
      <c r="F670" s="1747">
        <v>0</v>
      </c>
      <c r="G670" s="1625">
        <v>905691</v>
      </c>
      <c r="H670" s="1625">
        <v>0</v>
      </c>
    </row>
    <row r="671" spans="1:8">
      <c r="A671" s="856"/>
      <c r="B671" s="856"/>
      <c r="C671" s="856" t="s">
        <v>297</v>
      </c>
      <c r="D671" s="856" t="s">
        <v>540</v>
      </c>
      <c r="E671" s="1506">
        <v>11174515.4</v>
      </c>
      <c r="F671" s="1506">
        <v>0</v>
      </c>
      <c r="G671" s="124">
        <v>13738207.939999999</v>
      </c>
      <c r="H671" s="124">
        <v>0</v>
      </c>
    </row>
    <row r="672" spans="1:8">
      <c r="A672" s="856"/>
      <c r="B672" s="856"/>
      <c r="C672" s="856" t="s">
        <v>691</v>
      </c>
      <c r="D672" s="856"/>
      <c r="E672" s="1747">
        <v>11174515.4</v>
      </c>
      <c r="F672" s="1747">
        <v>0</v>
      </c>
      <c r="G672" s="1625">
        <v>13738207.939999999</v>
      </c>
      <c r="H672" s="1625">
        <v>0</v>
      </c>
    </row>
    <row r="673" spans="1:8">
      <c r="A673" s="856"/>
      <c r="B673" s="856"/>
      <c r="C673" s="856" t="s">
        <v>3018</v>
      </c>
      <c r="D673" s="856" t="s">
        <v>3006</v>
      </c>
      <c r="E673" s="1506">
        <v>30768</v>
      </c>
      <c r="F673" s="1506">
        <v>0</v>
      </c>
      <c r="G673" s="124">
        <v>0</v>
      </c>
      <c r="H673" s="124">
        <v>0</v>
      </c>
    </row>
    <row r="674" spans="1:8">
      <c r="A674" s="856"/>
      <c r="B674" s="856"/>
      <c r="C674" s="856"/>
      <c r="D674" s="856" t="s">
        <v>3007</v>
      </c>
      <c r="E674" s="1506">
        <v>246345</v>
      </c>
      <c r="F674" s="1506">
        <v>0</v>
      </c>
      <c r="G674" s="124">
        <v>0</v>
      </c>
      <c r="H674" s="124">
        <v>0</v>
      </c>
    </row>
    <row r="675" spans="1:8">
      <c r="A675" s="856"/>
      <c r="B675" s="856"/>
      <c r="C675" s="856"/>
      <c r="D675" s="856" t="s">
        <v>3008</v>
      </c>
      <c r="E675" s="1506">
        <v>42376</v>
      </c>
      <c r="F675" s="1506">
        <v>0</v>
      </c>
      <c r="G675" s="124">
        <v>0</v>
      </c>
      <c r="H675" s="124">
        <v>0</v>
      </c>
    </row>
    <row r="676" spans="1:8">
      <c r="A676" s="856"/>
      <c r="B676" s="856"/>
      <c r="C676" s="856" t="s">
        <v>3022</v>
      </c>
      <c r="D676" s="856"/>
      <c r="E676" s="1747">
        <v>319489</v>
      </c>
      <c r="F676" s="1747">
        <v>0</v>
      </c>
      <c r="G676" s="1625">
        <v>0</v>
      </c>
      <c r="H676" s="1625">
        <v>0</v>
      </c>
    </row>
    <row r="677" spans="1:8">
      <c r="A677" s="856"/>
      <c r="B677" s="856"/>
      <c r="C677" s="856" t="s">
        <v>446</v>
      </c>
      <c r="D677" s="856" t="s">
        <v>445</v>
      </c>
      <c r="E677" s="1506">
        <v>4714336.38</v>
      </c>
      <c r="F677" s="1506">
        <v>0</v>
      </c>
      <c r="G677" s="124">
        <v>4829408</v>
      </c>
      <c r="H677" s="124">
        <v>0</v>
      </c>
    </row>
    <row r="678" spans="1:8">
      <c r="A678" s="856"/>
      <c r="B678" s="856"/>
      <c r="C678" s="856" t="s">
        <v>692</v>
      </c>
      <c r="D678" s="856"/>
      <c r="E678" s="1506">
        <v>4714336.38</v>
      </c>
      <c r="F678" s="1506">
        <v>0</v>
      </c>
      <c r="G678" s="124">
        <v>4829408</v>
      </c>
      <c r="H678" s="124">
        <v>0</v>
      </c>
    </row>
    <row r="679" spans="1:8">
      <c r="A679" s="856"/>
      <c r="B679" s="856" t="s">
        <v>621</v>
      </c>
      <c r="C679" s="856"/>
      <c r="D679" s="856"/>
      <c r="E679" s="1506">
        <v>167242243.38000003</v>
      </c>
      <c r="F679" s="1506">
        <v>0</v>
      </c>
      <c r="G679" s="124">
        <v>232821213.67999998</v>
      </c>
      <c r="H679" s="124">
        <v>0</v>
      </c>
    </row>
    <row r="680" spans="1:8">
      <c r="A680" s="856"/>
      <c r="B680" s="856" t="s">
        <v>28</v>
      </c>
      <c r="C680" s="856" t="s">
        <v>27</v>
      </c>
      <c r="D680" s="856" t="s">
        <v>27</v>
      </c>
      <c r="E680" s="1506">
        <v>156102</v>
      </c>
      <c r="F680" s="1506">
        <v>0</v>
      </c>
      <c r="G680" s="124">
        <v>120274</v>
      </c>
      <c r="H680" s="124">
        <v>0</v>
      </c>
    </row>
    <row r="681" spans="1:8">
      <c r="A681" s="856"/>
      <c r="B681" s="856"/>
      <c r="C681" s="856" t="s">
        <v>693</v>
      </c>
      <c r="D681" s="856"/>
      <c r="E681" s="1747">
        <v>156102</v>
      </c>
      <c r="F681" s="1747">
        <v>0</v>
      </c>
      <c r="G681" s="1625">
        <v>120274</v>
      </c>
      <c r="H681" s="1625">
        <v>0</v>
      </c>
    </row>
    <row r="682" spans="1:8">
      <c r="A682" s="856"/>
      <c r="B682" s="856"/>
      <c r="C682" s="856" t="s">
        <v>162</v>
      </c>
      <c r="D682" s="856" t="s">
        <v>161</v>
      </c>
      <c r="E682" s="1506">
        <v>0</v>
      </c>
      <c r="F682" s="1506">
        <v>0</v>
      </c>
      <c r="G682" s="124">
        <v>0</v>
      </c>
      <c r="H682" s="124">
        <v>0</v>
      </c>
    </row>
    <row r="683" spans="1:8">
      <c r="A683" s="856"/>
      <c r="B683" s="856"/>
      <c r="C683" s="856" t="s">
        <v>694</v>
      </c>
      <c r="D683" s="856"/>
      <c r="E683" s="1506">
        <v>0</v>
      </c>
      <c r="F683" s="1506">
        <v>0</v>
      </c>
      <c r="G683" s="124">
        <v>0</v>
      </c>
      <c r="H683" s="124">
        <v>0</v>
      </c>
    </row>
    <row r="684" spans="1:8">
      <c r="A684" s="856"/>
      <c r="B684" s="856"/>
      <c r="C684" s="856" t="s">
        <v>370</v>
      </c>
      <c r="D684" s="856" t="s">
        <v>370</v>
      </c>
      <c r="E684" s="1506">
        <v>44654</v>
      </c>
      <c r="F684" s="1506">
        <v>0</v>
      </c>
      <c r="G684" s="124">
        <v>1585770</v>
      </c>
      <c r="H684" s="124">
        <v>0</v>
      </c>
    </row>
    <row r="685" spans="1:8">
      <c r="A685" s="856"/>
      <c r="B685" s="856"/>
      <c r="C685" s="856" t="s">
        <v>695</v>
      </c>
      <c r="D685" s="856"/>
      <c r="E685" s="1506">
        <v>44654</v>
      </c>
      <c r="F685" s="1506">
        <v>0</v>
      </c>
      <c r="G685" s="124">
        <v>1585770</v>
      </c>
      <c r="H685" s="124">
        <v>0</v>
      </c>
    </row>
    <row r="686" spans="1:8">
      <c r="A686" s="856"/>
      <c r="B686" s="856"/>
      <c r="C686" s="856" t="s">
        <v>366</v>
      </c>
      <c r="D686" s="856" t="s">
        <v>365</v>
      </c>
      <c r="E686" s="1506">
        <v>0</v>
      </c>
      <c r="F686" s="1506">
        <v>0</v>
      </c>
      <c r="G686" s="124">
        <v>67144</v>
      </c>
      <c r="H686" s="124">
        <v>0</v>
      </c>
    </row>
    <row r="687" spans="1:8">
      <c r="A687" s="856"/>
      <c r="B687" s="856"/>
      <c r="C687" s="856"/>
      <c r="D687" s="856" t="s">
        <v>2960</v>
      </c>
      <c r="E687" s="1506">
        <v>314100</v>
      </c>
      <c r="F687" s="1506">
        <v>0</v>
      </c>
      <c r="G687" s="124">
        <v>0</v>
      </c>
      <c r="H687" s="124">
        <v>0</v>
      </c>
    </row>
    <row r="688" spans="1:8">
      <c r="A688" s="856"/>
      <c r="B688" s="856"/>
      <c r="C688" s="856" t="s">
        <v>696</v>
      </c>
      <c r="D688" s="856"/>
      <c r="E688" s="1506">
        <v>314100</v>
      </c>
      <c r="F688" s="1506">
        <v>0</v>
      </c>
      <c r="G688" s="124">
        <v>67144</v>
      </c>
      <c r="H688" s="124">
        <v>0</v>
      </c>
    </row>
    <row r="689" spans="1:8">
      <c r="A689" s="856"/>
      <c r="B689" s="856"/>
      <c r="C689" s="856" t="s">
        <v>196</v>
      </c>
      <c r="D689" s="856" t="s">
        <v>504</v>
      </c>
      <c r="E689" s="1506">
        <v>170957</v>
      </c>
      <c r="F689" s="1506">
        <v>0</v>
      </c>
      <c r="G689" s="124">
        <v>250506</v>
      </c>
      <c r="H689" s="124">
        <v>0</v>
      </c>
    </row>
    <row r="690" spans="1:8">
      <c r="A690" s="856"/>
      <c r="B690" s="856"/>
      <c r="C690" s="856"/>
      <c r="D690" s="856" t="s">
        <v>3062</v>
      </c>
      <c r="E690" s="1506">
        <v>0</v>
      </c>
      <c r="F690" s="1506">
        <v>13700</v>
      </c>
      <c r="G690" s="124"/>
      <c r="H690" s="124"/>
    </row>
    <row r="691" spans="1:8">
      <c r="A691" s="856"/>
      <c r="B691" s="856"/>
      <c r="C691" s="856" t="s">
        <v>697</v>
      </c>
      <c r="D691" s="856"/>
      <c r="E691" s="1506">
        <v>170957</v>
      </c>
      <c r="F691" s="1506">
        <v>13700</v>
      </c>
      <c r="G691" s="124">
        <v>250506</v>
      </c>
      <c r="H691" s="124">
        <v>0</v>
      </c>
    </row>
    <row r="692" spans="1:8">
      <c r="A692" s="856"/>
      <c r="B692" s="856" t="s">
        <v>622</v>
      </c>
      <c r="C692" s="856"/>
      <c r="D692" s="856"/>
      <c r="E692" s="1506">
        <v>685813</v>
      </c>
      <c r="F692" s="1506">
        <v>13700</v>
      </c>
      <c r="G692" s="124">
        <v>2023694</v>
      </c>
      <c r="H692" s="124">
        <v>0</v>
      </c>
    </row>
    <row r="693" spans="1:8">
      <c r="A693" s="856" t="s">
        <v>3048</v>
      </c>
      <c r="B693" s="856"/>
      <c r="C693" s="856"/>
      <c r="D693" s="856"/>
      <c r="E693" s="1506">
        <v>175945260.08000004</v>
      </c>
      <c r="F693" s="1506">
        <v>13945.71</v>
      </c>
      <c r="G693" s="124">
        <v>242936403.95999998</v>
      </c>
      <c r="H693" s="124">
        <v>682.2</v>
      </c>
    </row>
    <row r="694" spans="1:8">
      <c r="A694" s="856" t="s">
        <v>594</v>
      </c>
      <c r="B694" s="856" t="s">
        <v>131</v>
      </c>
      <c r="C694" s="856" t="s">
        <v>132</v>
      </c>
      <c r="D694" s="856" t="s">
        <v>130</v>
      </c>
      <c r="E694" s="1506">
        <v>2791142</v>
      </c>
      <c r="F694" s="1506">
        <v>0</v>
      </c>
      <c r="G694" s="124">
        <v>1857088</v>
      </c>
      <c r="H694" s="124">
        <v>0</v>
      </c>
    </row>
    <row r="695" spans="1:8">
      <c r="A695" s="856"/>
      <c r="B695" s="856"/>
      <c r="C695" s="856"/>
      <c r="D695" s="856" t="s">
        <v>488</v>
      </c>
      <c r="E695" s="1506">
        <v>2104855</v>
      </c>
      <c r="F695" s="1506">
        <v>0</v>
      </c>
      <c r="G695" s="124">
        <v>1989109</v>
      </c>
      <c r="H695" s="124">
        <v>0</v>
      </c>
    </row>
    <row r="696" spans="1:8">
      <c r="A696" s="856"/>
      <c r="B696" s="856"/>
      <c r="C696" s="856"/>
      <c r="D696" s="856" t="s">
        <v>489</v>
      </c>
      <c r="E696" s="1506">
        <v>97152</v>
      </c>
      <c r="F696" s="1506">
        <v>0</v>
      </c>
      <c r="G696" s="124">
        <v>45170</v>
      </c>
      <c r="H696" s="124">
        <v>0</v>
      </c>
    </row>
    <row r="697" spans="1:8">
      <c r="A697" s="856"/>
      <c r="B697" s="856"/>
      <c r="C697" s="856"/>
      <c r="D697" s="856" t="s">
        <v>133</v>
      </c>
      <c r="E697" s="1506">
        <v>103879</v>
      </c>
      <c r="F697" s="1506">
        <v>0</v>
      </c>
      <c r="G697" s="124">
        <v>56194</v>
      </c>
      <c r="H697" s="124">
        <v>0</v>
      </c>
    </row>
    <row r="698" spans="1:8">
      <c r="A698" s="856"/>
      <c r="B698" s="856"/>
      <c r="C698" s="856"/>
      <c r="D698" s="856" t="s">
        <v>134</v>
      </c>
      <c r="E698" s="1506">
        <v>109389</v>
      </c>
      <c r="F698" s="1506">
        <v>0</v>
      </c>
      <c r="G698" s="124">
        <v>114072</v>
      </c>
      <c r="H698" s="124">
        <v>0</v>
      </c>
    </row>
    <row r="699" spans="1:8">
      <c r="A699" s="856"/>
      <c r="B699" s="856"/>
      <c r="C699" s="856"/>
      <c r="D699" s="856" t="s">
        <v>490</v>
      </c>
      <c r="E699" s="1506">
        <v>14032176</v>
      </c>
      <c r="F699" s="1506">
        <v>0</v>
      </c>
      <c r="G699" s="124">
        <v>13650885</v>
      </c>
      <c r="H699" s="124">
        <v>0</v>
      </c>
    </row>
    <row r="700" spans="1:8">
      <c r="A700" s="856"/>
      <c r="B700" s="856"/>
      <c r="C700" s="856"/>
      <c r="D700" s="856" t="s">
        <v>135</v>
      </c>
      <c r="E700" s="1506">
        <v>345303</v>
      </c>
      <c r="F700" s="1506">
        <v>0</v>
      </c>
      <c r="G700" s="124">
        <v>369149</v>
      </c>
      <c r="H700" s="124">
        <v>0</v>
      </c>
    </row>
    <row r="701" spans="1:8">
      <c r="A701" s="856"/>
      <c r="B701" s="856"/>
      <c r="C701" s="856" t="s">
        <v>698</v>
      </c>
      <c r="D701" s="856"/>
      <c r="E701" s="1506">
        <v>19583896</v>
      </c>
      <c r="F701" s="1506">
        <v>0</v>
      </c>
      <c r="G701" s="124">
        <v>18081667</v>
      </c>
      <c r="H701" s="124">
        <v>0</v>
      </c>
    </row>
    <row r="702" spans="1:8">
      <c r="A702" s="856"/>
      <c r="B702" s="856" t="s">
        <v>623</v>
      </c>
      <c r="C702" s="856"/>
      <c r="D702" s="856"/>
      <c r="E702" s="1506">
        <v>19583896</v>
      </c>
      <c r="F702" s="1506">
        <v>0</v>
      </c>
      <c r="G702" s="124">
        <v>18081667</v>
      </c>
      <c r="H702" s="124">
        <v>0</v>
      </c>
    </row>
    <row r="703" spans="1:8">
      <c r="A703" s="856"/>
      <c r="B703" s="856" t="s">
        <v>252</v>
      </c>
      <c r="C703" s="856" t="s">
        <v>252</v>
      </c>
      <c r="D703" s="856" t="s">
        <v>251</v>
      </c>
      <c r="E703" s="1506">
        <v>62662681</v>
      </c>
      <c r="F703" s="1506">
        <v>0</v>
      </c>
      <c r="G703" s="124">
        <v>51593267</v>
      </c>
      <c r="H703" s="124">
        <v>0</v>
      </c>
    </row>
    <row r="704" spans="1:8">
      <c r="A704" s="856"/>
      <c r="B704" s="856"/>
      <c r="C704" s="856" t="s">
        <v>624</v>
      </c>
      <c r="D704" s="856"/>
      <c r="E704" s="1747">
        <v>62662681</v>
      </c>
      <c r="F704" s="1747">
        <v>0</v>
      </c>
      <c r="G704" s="1625">
        <v>51593267</v>
      </c>
      <c r="H704" s="1625">
        <v>0</v>
      </c>
    </row>
    <row r="705" spans="1:8">
      <c r="A705" s="856"/>
      <c r="B705" s="856" t="s">
        <v>624</v>
      </c>
      <c r="C705" s="856"/>
      <c r="D705" s="856"/>
      <c r="E705" s="1506">
        <v>62662681</v>
      </c>
      <c r="F705" s="1506">
        <v>0</v>
      </c>
      <c r="G705" s="124">
        <v>51593267</v>
      </c>
      <c r="H705" s="124">
        <v>0</v>
      </c>
    </row>
    <row r="706" spans="1:8">
      <c r="A706" s="856"/>
      <c r="B706" s="856" t="s">
        <v>80</v>
      </c>
      <c r="C706" s="856" t="s">
        <v>179</v>
      </c>
      <c r="D706" s="856" t="s">
        <v>178</v>
      </c>
      <c r="E706" s="1506">
        <v>0</v>
      </c>
      <c r="F706" s="1506">
        <v>1800000</v>
      </c>
      <c r="G706" s="124">
        <v>0</v>
      </c>
      <c r="H706" s="124">
        <v>1800000</v>
      </c>
    </row>
    <row r="707" spans="1:8">
      <c r="A707" s="856"/>
      <c r="B707" s="856"/>
      <c r="C707" s="856" t="s">
        <v>699</v>
      </c>
      <c r="D707" s="856"/>
      <c r="E707" s="1506">
        <v>0</v>
      </c>
      <c r="F707" s="1506">
        <v>1800000</v>
      </c>
      <c r="G707" s="124">
        <v>0</v>
      </c>
      <c r="H707" s="124">
        <v>1800000</v>
      </c>
    </row>
    <row r="708" spans="1:8">
      <c r="A708" s="856"/>
      <c r="B708" s="856"/>
      <c r="C708" s="856" t="s">
        <v>327</v>
      </c>
      <c r="D708" s="856" t="s">
        <v>326</v>
      </c>
      <c r="E708" s="1506">
        <v>0</v>
      </c>
      <c r="F708" s="1506">
        <v>8664946</v>
      </c>
      <c r="G708" s="124">
        <v>0</v>
      </c>
      <c r="H708" s="124">
        <v>8664946</v>
      </c>
    </row>
    <row r="709" spans="1:8">
      <c r="A709" s="856"/>
      <c r="B709" s="856"/>
      <c r="C709" s="856" t="s">
        <v>700</v>
      </c>
      <c r="D709" s="856"/>
      <c r="E709" s="1506">
        <v>0</v>
      </c>
      <c r="F709" s="1506">
        <v>8664946</v>
      </c>
      <c r="G709" s="124">
        <v>0</v>
      </c>
      <c r="H709" s="124">
        <v>8664946</v>
      </c>
    </row>
    <row r="710" spans="1:8">
      <c r="A710" s="856"/>
      <c r="B710" s="856"/>
      <c r="C710" s="856" t="s">
        <v>277</v>
      </c>
      <c r="D710" s="856" t="s">
        <v>278</v>
      </c>
      <c r="E710" s="1506">
        <v>0</v>
      </c>
      <c r="F710" s="1506">
        <v>0</v>
      </c>
      <c r="G710" s="124">
        <v>0</v>
      </c>
      <c r="H710" s="124">
        <v>453421</v>
      </c>
    </row>
    <row r="711" spans="1:8">
      <c r="A711" s="856"/>
      <c r="B711" s="856"/>
      <c r="C711" s="856"/>
      <c r="D711" s="856" t="s">
        <v>529</v>
      </c>
      <c r="E711" s="1506">
        <v>0</v>
      </c>
      <c r="F711" s="1506">
        <v>127241303.03</v>
      </c>
      <c r="G711" s="124">
        <v>0</v>
      </c>
      <c r="H711" s="124">
        <v>164517556.99000001</v>
      </c>
    </row>
    <row r="712" spans="1:8">
      <c r="A712" s="856"/>
      <c r="B712" s="856"/>
      <c r="C712" s="856" t="s">
        <v>701</v>
      </c>
      <c r="D712" s="856"/>
      <c r="E712" s="1506">
        <v>0</v>
      </c>
      <c r="F712" s="1506">
        <v>127241303.03</v>
      </c>
      <c r="G712" s="124">
        <v>0</v>
      </c>
      <c r="H712" s="124">
        <v>164970977.99000001</v>
      </c>
    </row>
    <row r="713" spans="1:8">
      <c r="A713" s="856"/>
      <c r="B713" s="856" t="s">
        <v>605</v>
      </c>
      <c r="C713" s="856"/>
      <c r="D713" s="856"/>
      <c r="E713" s="1506">
        <v>0</v>
      </c>
      <c r="F713" s="1506">
        <v>137706249.03</v>
      </c>
      <c r="G713" s="124">
        <v>0</v>
      </c>
      <c r="H713" s="124">
        <v>175435923.99000001</v>
      </c>
    </row>
    <row r="714" spans="1:8">
      <c r="A714" s="856" t="s">
        <v>3049</v>
      </c>
      <c r="B714" s="856"/>
      <c r="C714" s="856"/>
      <c r="D714" s="856"/>
      <c r="E714" s="1506">
        <v>82246577</v>
      </c>
      <c r="F714" s="1506">
        <v>137706249.03</v>
      </c>
      <c r="G714" s="124">
        <v>69674934</v>
      </c>
      <c r="H714" s="124">
        <v>175435923.99000001</v>
      </c>
    </row>
    <row r="715" spans="1:8">
      <c r="A715" s="856" t="s">
        <v>591</v>
      </c>
      <c r="B715" s="856"/>
      <c r="C715" s="856"/>
      <c r="D715" s="856"/>
      <c r="E715" s="1506">
        <v>1378122493.1000004</v>
      </c>
      <c r="F715" s="1506">
        <v>1378122493.0999999</v>
      </c>
      <c r="G715" s="124">
        <v>1883440565.6800003</v>
      </c>
      <c r="H715" s="124">
        <v>1883440565.6800001</v>
      </c>
    </row>
  </sheetData>
  <customSheetViews>
    <customSheetView guid="{ADEA4918-0326-423A-8D00-FB47A486004B}" fitToPage="1" topLeftCell="C1">
      <pane ySplit="2" topLeftCell="A477" activePane="bottomLeft" state="frozen"/>
      <selection pane="bottomLeft" activeCell="G497" sqref="G497"/>
      <pageMargins left="0.70866141732283472" right="0.70866141732283472" top="0.74803149606299213" bottom="0.74803149606299213" header="0.31496062992125984" footer="0.31496062992125984"/>
      <pageSetup paperSize="9" scale="36" fitToHeight="7" orientation="portrait" r:id="rId2"/>
    </customSheetView>
    <customSheetView guid="{2A78E287-3113-4387-BB62-BE98FA5C13C2}" fitToPage="1">
      <pane ySplit="2" topLeftCell="A484" activePane="bottomLeft" state="frozen"/>
      <selection pane="bottomLeft" activeCell="C230" sqref="C230"/>
      <pageMargins left="0.70866141732283472" right="0.70866141732283472" top="0.74803149606299213" bottom="0.74803149606299213" header="0.31496062992125984" footer="0.31496062992125984"/>
      <pageSetup paperSize="9" scale="55" fitToHeight="12" orientation="landscape" horizontalDpi="4294967293" r:id="rId3"/>
    </customSheetView>
    <customSheetView guid="{DC5DA12B-0FA6-4F41-A983-6E433AD4604D}" fitToPage="1">
      <pane ySplit="2" topLeftCell="A217" activePane="bottomLeft" state="frozen"/>
      <selection pane="bottomLeft" activeCell="E231" sqref="E231"/>
      <pageMargins left="0.70866141732283472" right="0.70866141732283472" top="0.74803149606299213" bottom="0.74803149606299213" header="0.31496062992125984" footer="0.31496062992125984"/>
      <pageSetup paperSize="9" scale="55" fitToHeight="12" orientation="landscape" horizontalDpi="4294967293" r:id="rId4"/>
    </customSheetView>
  </customSheetViews>
  <pageMargins left="0.70866141732283472" right="0.70866141732283472" top="0.74803149606299213" bottom="0.74803149606299213" header="0.31496062992125984" footer="0.31496062992125984"/>
  <pageSetup paperSize="9" scale="36" fitToHeight="7"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AT128"/>
  <sheetViews>
    <sheetView tabSelected="1" view="pageBreakPreview" zoomScale="60" zoomScaleNormal="80" workbookViewId="0">
      <selection activeCell="I30" sqref="I30"/>
    </sheetView>
  </sheetViews>
  <sheetFormatPr defaultColWidth="9.109375" defaultRowHeight="14.4"/>
  <cols>
    <col min="2" max="2" width="4.44140625" customWidth="1"/>
    <col min="3" max="3" width="19.44140625" bestFit="1" customWidth="1"/>
    <col min="4" max="4" width="16.33203125" bestFit="1" customWidth="1"/>
    <col min="5" max="5" width="42.6640625" bestFit="1" customWidth="1"/>
    <col min="6" max="6" width="1.44140625" customWidth="1"/>
    <col min="7" max="7" width="14.33203125" customWidth="1"/>
    <col min="8" max="8" width="36.88671875" bestFit="1" customWidth="1"/>
    <col min="9" max="9" width="34.44140625" bestFit="1" customWidth="1"/>
    <col min="10" max="10" width="16.109375" hidden="1" customWidth="1"/>
    <col min="11" max="11" width="21.5546875" hidden="1" customWidth="1"/>
    <col min="12" max="12" width="18.33203125" bestFit="1" customWidth="1"/>
    <col min="13" max="13" width="20.88671875" bestFit="1" customWidth="1"/>
    <col min="14" max="14" width="19.33203125" style="1904" customWidth="1"/>
    <col min="15" max="15" width="46.88671875" style="1904" bestFit="1" customWidth="1"/>
    <col min="16" max="16" width="14.88671875" style="1904" bestFit="1" customWidth="1"/>
    <col min="17" max="17" width="9.109375" style="1904"/>
    <col min="18" max="18" width="28.44140625" style="1904" bestFit="1" customWidth="1"/>
    <col min="19" max="19" width="16.44140625" style="1904" bestFit="1" customWidth="1"/>
    <col min="20" max="20" width="27.5546875" style="1904" bestFit="1" customWidth="1"/>
    <col min="21" max="21" width="19" style="1904" bestFit="1" customWidth="1"/>
    <col min="22" max="22" width="16.44140625" style="1904" bestFit="1" customWidth="1"/>
    <col min="23" max="23" width="17.33203125" style="1904" bestFit="1" customWidth="1"/>
    <col min="24" max="24" width="9.109375" style="1904"/>
    <col min="25" max="25" width="13.6640625" style="1904" bestFit="1" customWidth="1"/>
    <col min="26" max="46" width="9.109375" style="1904"/>
  </cols>
  <sheetData>
    <row r="1" spans="2:14" ht="15" thickBot="1"/>
    <row r="2" spans="2:14" ht="15.6">
      <c r="B2" s="1205" t="s">
        <v>2389</v>
      </c>
      <c r="C2" s="1206"/>
      <c r="D2" s="1206"/>
      <c r="E2" s="1206"/>
      <c r="F2" s="1206"/>
      <c r="G2" s="1207" t="s">
        <v>2390</v>
      </c>
      <c r="H2" s="1208" t="s">
        <v>2078</v>
      </c>
      <c r="I2" s="1208"/>
      <c r="J2" s="1208"/>
      <c r="K2" s="1208"/>
      <c r="L2" s="1209"/>
      <c r="M2" s="1210"/>
      <c r="N2" s="1905"/>
    </row>
    <row r="3" spans="2:14" ht="15.6">
      <c r="B3" s="1211"/>
      <c r="C3" s="662"/>
      <c r="D3" s="662"/>
      <c r="E3" s="662"/>
      <c r="F3" s="662"/>
      <c r="G3" s="663"/>
      <c r="H3" s="1212"/>
      <c r="I3" s="1212"/>
      <c r="J3" s="1212"/>
      <c r="K3" s="1212"/>
      <c r="L3" s="661"/>
      <c r="M3" s="1213"/>
      <c r="N3" s="1905"/>
    </row>
    <row r="4" spans="2:14" ht="15.6">
      <c r="B4" s="1211" t="s">
        <v>2391</v>
      </c>
      <c r="C4" s="662"/>
      <c r="D4" s="662"/>
      <c r="E4" s="662"/>
      <c r="F4" s="662"/>
      <c r="G4" s="1214" t="s">
        <v>2390</v>
      </c>
      <c r="H4" s="1212" t="s">
        <v>2392</v>
      </c>
      <c r="I4" s="1212"/>
      <c r="J4" s="1212"/>
      <c r="K4" s="1212"/>
      <c r="L4" s="661"/>
      <c r="M4" s="1213"/>
      <c r="N4" s="1905"/>
    </row>
    <row r="5" spans="2:14" ht="15.6">
      <c r="B5" s="1211"/>
      <c r="C5" s="662"/>
      <c r="D5" s="662"/>
      <c r="E5" s="662"/>
      <c r="F5" s="662"/>
      <c r="G5" s="663"/>
      <c r="H5" s="1212"/>
      <c r="I5" s="1212"/>
      <c r="J5" s="1212"/>
      <c r="K5" s="1212"/>
      <c r="L5" s="661"/>
      <c r="M5" s="1213"/>
      <c r="N5" s="1905"/>
    </row>
    <row r="6" spans="2:14" ht="15.6">
      <c r="B6" s="1211" t="s">
        <v>2393</v>
      </c>
      <c r="C6" s="662"/>
      <c r="D6" s="662"/>
      <c r="E6" s="662"/>
      <c r="F6" s="662"/>
      <c r="G6" s="1214" t="s">
        <v>2390</v>
      </c>
      <c r="H6" s="1885" t="s">
        <v>2488</v>
      </c>
      <c r="I6" s="1212"/>
      <c r="J6" s="1212"/>
      <c r="K6" s="1212"/>
      <c r="L6" s="661"/>
      <c r="M6" s="1213"/>
      <c r="N6" s="1905"/>
    </row>
    <row r="7" spans="2:14" ht="15.6">
      <c r="B7" s="1211"/>
      <c r="C7" s="662"/>
      <c r="D7" s="662"/>
      <c r="E7" s="662"/>
      <c r="F7" s="662"/>
      <c r="G7" s="663"/>
      <c r="H7" s="1886"/>
      <c r="I7" s="1212"/>
      <c r="J7" s="1212"/>
      <c r="K7" s="1212"/>
      <c r="L7" s="661"/>
      <c r="M7" s="1213"/>
      <c r="N7" s="1905"/>
    </row>
    <row r="8" spans="2:14" ht="15.6">
      <c r="B8" s="1211" t="s">
        <v>2394</v>
      </c>
      <c r="C8" s="662"/>
      <c r="D8" s="662"/>
      <c r="E8" s="662"/>
      <c r="F8" s="662"/>
      <c r="G8" s="1214" t="s">
        <v>2390</v>
      </c>
      <c r="H8" s="1886" t="s">
        <v>4715</v>
      </c>
      <c r="I8" s="1212"/>
      <c r="J8" s="1212"/>
      <c r="K8" s="1212"/>
      <c r="L8" s="661"/>
      <c r="M8" s="1213"/>
      <c r="N8" s="1905"/>
    </row>
    <row r="9" spans="2:14" ht="15.6">
      <c r="B9" s="1211"/>
      <c r="C9" s="662"/>
      <c r="D9" s="662"/>
      <c r="E9" s="662"/>
      <c r="F9" s="662"/>
      <c r="G9" s="663"/>
      <c r="H9" s="1212"/>
      <c r="I9" s="1212"/>
      <c r="J9" s="1212"/>
      <c r="K9" s="1212"/>
      <c r="L9" s="661"/>
      <c r="M9" s="1213"/>
      <c r="N9" s="1905"/>
    </row>
    <row r="10" spans="2:14" ht="15.6">
      <c r="B10" s="1211" t="s">
        <v>2395</v>
      </c>
      <c r="C10" s="662"/>
      <c r="D10" s="662"/>
      <c r="E10" s="662"/>
      <c r="F10" s="662"/>
      <c r="G10" s="1214" t="s">
        <v>2390</v>
      </c>
      <c r="H10" s="1212" t="s">
        <v>2489</v>
      </c>
      <c r="I10" s="1212"/>
      <c r="J10" s="1212"/>
      <c r="K10" s="1212"/>
      <c r="L10" s="661"/>
      <c r="M10" s="1213"/>
      <c r="N10" s="1905"/>
    </row>
    <row r="11" spans="2:14" ht="15.6">
      <c r="B11" s="1215"/>
      <c r="C11" s="663"/>
      <c r="D11" s="663"/>
      <c r="E11" s="663"/>
      <c r="F11" s="663"/>
      <c r="G11" s="663"/>
      <c r="H11" s="663"/>
      <c r="I11" s="668"/>
      <c r="J11" s="668"/>
      <c r="K11" s="668"/>
      <c r="L11" s="665"/>
      <c r="M11" s="1213"/>
      <c r="N11" s="1906"/>
    </row>
    <row r="12" spans="2:14" ht="15.75" customHeight="1">
      <c r="B12" s="2458" t="s">
        <v>2396</v>
      </c>
      <c r="C12" s="2459"/>
      <c r="D12" s="2459"/>
      <c r="E12" s="2459"/>
      <c r="F12" s="2459"/>
      <c r="G12" s="2459"/>
      <c r="H12" s="2459"/>
      <c r="I12" s="2459"/>
      <c r="J12" s="2459"/>
      <c r="K12" s="2459"/>
      <c r="L12" s="2459"/>
      <c r="M12" s="2460"/>
      <c r="N12" s="1907"/>
    </row>
    <row r="13" spans="2:14" ht="15.6">
      <c r="B13" s="1216"/>
      <c r="C13" s="1217"/>
      <c r="D13" s="1217"/>
      <c r="E13" s="1217"/>
      <c r="F13" s="1217"/>
      <c r="G13" s="1217"/>
      <c r="H13" s="1217"/>
      <c r="I13" s="1218"/>
      <c r="J13" s="2461" t="s">
        <v>2397</v>
      </c>
      <c r="K13" s="2461"/>
      <c r="L13" s="2461" t="s">
        <v>2398</v>
      </c>
      <c r="M13" s="2462"/>
      <c r="N13" s="1907"/>
    </row>
    <row r="14" spans="2:14" ht="15.6">
      <c r="B14" s="1215"/>
      <c r="C14" s="663"/>
      <c r="D14" s="663"/>
      <c r="E14" s="663"/>
      <c r="F14" s="663"/>
      <c r="G14" s="663"/>
      <c r="H14" s="663"/>
      <c r="I14" s="666"/>
      <c r="J14" s="2463" t="s">
        <v>4723</v>
      </c>
      <c r="K14" s="2463"/>
      <c r="L14" s="136"/>
      <c r="M14" s="1219"/>
    </row>
    <row r="15" spans="2:14" ht="15.6">
      <c r="B15" s="1220" t="s">
        <v>2399</v>
      </c>
      <c r="C15" s="663"/>
      <c r="D15" s="663"/>
      <c r="E15" s="663"/>
      <c r="F15" s="663"/>
      <c r="G15" s="663"/>
      <c r="H15" s="663"/>
      <c r="I15" s="666"/>
      <c r="J15" s="667"/>
      <c r="K15" s="667">
        <f>+BSPL!G101</f>
        <v>-51111376.259682491</v>
      </c>
      <c r="L15" s="667"/>
      <c r="M15" s="1221">
        <f>+BSPL!G94</f>
        <v>-68720246.726733327</v>
      </c>
      <c r="N15" s="1908"/>
    </row>
    <row r="16" spans="2:14" ht="15.6">
      <c r="B16" s="1220"/>
      <c r="C16" s="663"/>
      <c r="D16" s="663"/>
      <c r="E16" s="663"/>
      <c r="F16" s="663"/>
      <c r="G16" s="663"/>
      <c r="H16" s="1222"/>
      <c r="I16" s="666"/>
      <c r="J16" s="667"/>
      <c r="K16" s="667"/>
      <c r="L16" s="667"/>
      <c r="M16" s="1221"/>
      <c r="N16" s="1908"/>
    </row>
    <row r="17" spans="2:20" ht="15.6">
      <c r="B17" s="1223" t="s">
        <v>2400</v>
      </c>
      <c r="C17" s="663"/>
      <c r="D17" s="663"/>
      <c r="E17" s="663"/>
      <c r="F17" s="663"/>
      <c r="G17" s="663"/>
      <c r="H17" s="1222"/>
      <c r="I17" s="666"/>
      <c r="J17" s="667"/>
      <c r="K17" s="667"/>
      <c r="L17" s="667"/>
      <c r="M17" s="1221"/>
      <c r="N17" s="1908"/>
      <c r="S17" s="1909" t="s">
        <v>2245</v>
      </c>
      <c r="T17" s="1909" t="s">
        <v>2401</v>
      </c>
    </row>
    <row r="18" spans="2:20" ht="15.6">
      <c r="B18" s="1220"/>
      <c r="C18" s="1224" t="s">
        <v>2402</v>
      </c>
      <c r="D18" s="1224"/>
      <c r="E18" s="663"/>
      <c r="F18" s="663"/>
      <c r="G18" s="663"/>
      <c r="H18" s="663"/>
      <c r="I18" s="669"/>
      <c r="J18" s="670">
        <f>+BSPL!G88</f>
        <v>19583896</v>
      </c>
      <c r="K18" s="667"/>
      <c r="L18" s="670">
        <f t="shared" ref="L18" si="0">+J18</f>
        <v>19583896</v>
      </c>
      <c r="M18" s="1221"/>
      <c r="N18" s="1908"/>
      <c r="R18" s="1904" t="s">
        <v>266</v>
      </c>
      <c r="S18" s="1909" t="e">
        <f>+GETPIVOTDATA("Sum of Dr. Final HYR",[74]Pivot!$A$3,"PARTICULARS","PENALTY ON CGST","Note",26,"BS Main Head","Other Expenses","BS Sub Head","Establishment Expenses-Rates &amp; Taxes")</f>
        <v>#REF!</v>
      </c>
      <c r="T18" s="1909">
        <v>75</v>
      </c>
    </row>
    <row r="19" spans="2:20" ht="15.6">
      <c r="B19" s="1220"/>
      <c r="C19" s="1224" t="s">
        <v>2403</v>
      </c>
      <c r="D19" s="1224"/>
      <c r="E19" s="663"/>
      <c r="F19" s="663"/>
      <c r="G19" s="663"/>
      <c r="H19" s="663"/>
      <c r="I19" s="669"/>
      <c r="J19" s="670">
        <f>+GETPIVOTDATA("Sum of Dr. Final 23-24",Pivot!$A$1,"PARTICULARS","Gratuity to Staff","Note",25,"BS Main Head","Employee Benefit Expenses","BS Sub Head","Contribution to Funds")</f>
        <v>887750</v>
      </c>
      <c r="K19" s="667"/>
      <c r="L19" s="670">
        <f>+J19</f>
        <v>887750</v>
      </c>
      <c r="M19" s="1221"/>
      <c r="N19" s="1908"/>
      <c r="R19" s="1904" t="s">
        <v>267</v>
      </c>
      <c r="S19" s="1909"/>
      <c r="T19" s="1909">
        <v>3000</v>
      </c>
    </row>
    <row r="20" spans="2:20" ht="15.6">
      <c r="B20" s="1220"/>
      <c r="C20" s="1224" t="s">
        <v>148</v>
      </c>
      <c r="D20" s="1224"/>
      <c r="E20" s="663"/>
      <c r="F20" s="663"/>
      <c r="G20" s="663"/>
      <c r="H20" s="663"/>
      <c r="I20" s="666"/>
      <c r="J20" s="670">
        <f>+GETPIVOTDATA("Sum of Dr. Final 23-24",Pivot!$A$1,"Note",27,"BS Main Head","Other - Establishment Expenses","BS Sub Head","Donation")</f>
        <v>2500</v>
      </c>
      <c r="K20" s="667"/>
      <c r="L20" s="670">
        <f>+J20</f>
        <v>2500</v>
      </c>
      <c r="M20" s="1221"/>
      <c r="N20" s="1908"/>
      <c r="R20" s="1904" t="s">
        <v>2404</v>
      </c>
      <c r="S20" s="1909"/>
      <c r="T20" s="1909">
        <v>19678</v>
      </c>
    </row>
    <row r="21" spans="2:20" ht="15.6">
      <c r="B21" s="1220"/>
      <c r="C21" s="1224" t="s">
        <v>64</v>
      </c>
      <c r="D21" s="1224"/>
      <c r="E21" s="663"/>
      <c r="F21" s="663"/>
      <c r="G21" s="663"/>
      <c r="H21" s="663"/>
      <c r="I21" s="669"/>
      <c r="J21" s="670">
        <v>0</v>
      </c>
      <c r="K21" s="667"/>
      <c r="L21" s="670">
        <v>0</v>
      </c>
      <c r="M21" s="1221"/>
      <c r="N21" s="1908"/>
      <c r="R21" s="1904" t="s">
        <v>2405</v>
      </c>
      <c r="S21" s="1909"/>
      <c r="T21" s="1909">
        <v>0</v>
      </c>
    </row>
    <row r="22" spans="2:20" ht="15.6">
      <c r="B22" s="1220"/>
      <c r="C22" s="1224" t="s">
        <v>211</v>
      </c>
      <c r="D22" s="1224"/>
      <c r="E22" s="663"/>
      <c r="F22" s="663"/>
      <c r="G22" s="663"/>
      <c r="H22" s="663"/>
      <c r="I22" s="666"/>
      <c r="J22" s="670">
        <v>0</v>
      </c>
      <c r="K22" s="667"/>
      <c r="L22" s="670">
        <v>0</v>
      </c>
      <c r="M22" s="1221"/>
      <c r="N22" s="1908"/>
      <c r="R22" s="1904" t="s">
        <v>2406</v>
      </c>
      <c r="S22" s="1909"/>
      <c r="T22" s="1909">
        <v>0</v>
      </c>
    </row>
    <row r="23" spans="2:20" ht="15.6">
      <c r="B23" s="1220"/>
      <c r="C23" s="1224" t="s">
        <v>2407</v>
      </c>
      <c r="D23" s="1224"/>
      <c r="E23" s="663"/>
      <c r="F23" s="663"/>
      <c r="G23" s="663"/>
      <c r="H23" s="663"/>
      <c r="I23" s="669"/>
      <c r="J23" s="670">
        <v>0</v>
      </c>
      <c r="K23" s="667"/>
      <c r="L23" s="670">
        <v>0</v>
      </c>
      <c r="M23" s="1221"/>
      <c r="N23" s="1908"/>
      <c r="R23" s="1904" t="s">
        <v>268</v>
      </c>
      <c r="S23" s="1909" t="e">
        <f>+GETPIVOTDATA("Sum of Dr. Final HYR",[74]Pivot!$A$3,"PARTICULARS","PENALTY ON SGST","Note",26,"BS Main Head","Other Expenses","BS Sub Head","Establishment Expenses-Rates &amp; Taxes")</f>
        <v>#REF!</v>
      </c>
      <c r="T23" s="1909">
        <v>75</v>
      </c>
    </row>
    <row r="24" spans="2:20" ht="15.6">
      <c r="B24" s="1220"/>
      <c r="C24" s="1224" t="s">
        <v>2408</v>
      </c>
      <c r="D24" s="1224"/>
      <c r="E24" s="663"/>
      <c r="F24" s="663"/>
      <c r="G24" s="663"/>
      <c r="H24" s="663"/>
      <c r="I24" s="669"/>
      <c r="J24" s="670">
        <v>0</v>
      </c>
      <c r="K24" s="667"/>
      <c r="L24" s="670">
        <v>0</v>
      </c>
      <c r="M24" s="1221"/>
      <c r="N24" s="1908"/>
      <c r="O24" s="2045">
        <f>+M38*0.25</f>
        <v>-18053236.294120833</v>
      </c>
      <c r="P24" s="1910">
        <f>+J19+[75]BSPL!F106</f>
        <v>701499</v>
      </c>
      <c r="R24" s="1904" t="s">
        <v>269</v>
      </c>
      <c r="S24" s="1909">
        <v>0</v>
      </c>
      <c r="T24" s="1909">
        <v>33000</v>
      </c>
    </row>
    <row r="25" spans="2:20" ht="15.6">
      <c r="B25" s="1220"/>
      <c r="C25" s="1224" t="s">
        <v>2409</v>
      </c>
      <c r="D25" s="1224"/>
      <c r="E25" s="663"/>
      <c r="F25" s="663"/>
      <c r="G25" s="663"/>
      <c r="H25" s="663"/>
      <c r="I25" s="669"/>
      <c r="J25" s="670">
        <f>+BSPL!G550+BSPL!G551</f>
        <v>407588</v>
      </c>
      <c r="K25" s="667"/>
      <c r="L25" s="670">
        <f>+J25</f>
        <v>407588</v>
      </c>
      <c r="M25" s="1221"/>
      <c r="N25" s="1908"/>
      <c r="S25" s="1909"/>
      <c r="T25" s="1909"/>
    </row>
    <row r="26" spans="2:20" ht="15.6">
      <c r="B26" s="1220"/>
      <c r="C26" s="1224" t="s">
        <v>212</v>
      </c>
      <c r="D26" s="663"/>
      <c r="E26" s="663"/>
      <c r="F26" s="663"/>
      <c r="G26" s="663"/>
      <c r="H26" s="663"/>
      <c r="I26" s="671"/>
      <c r="J26" s="672">
        <v>0</v>
      </c>
      <c r="K26" s="673">
        <f>SUM(J18:J26)</f>
        <v>20881734</v>
      </c>
      <c r="L26" s="672">
        <f>+J26</f>
        <v>0</v>
      </c>
      <c r="M26" s="1225">
        <f>SUM(L18:L26)</f>
        <v>20881734</v>
      </c>
      <c r="N26" s="1911"/>
      <c r="O26" s="1912">
        <f>+J19-J35</f>
        <v>765680</v>
      </c>
    </row>
    <row r="27" spans="2:20" ht="15.6">
      <c r="B27" s="1220"/>
      <c r="C27" s="1224"/>
      <c r="D27" s="663"/>
      <c r="E27" s="663"/>
      <c r="F27" s="663"/>
      <c r="G27" s="663"/>
      <c r="H27" s="1222"/>
      <c r="I27" s="671"/>
      <c r="J27" s="667"/>
      <c r="K27" s="674">
        <f>K15+K26</f>
        <v>-30229642.259682491</v>
      </c>
      <c r="L27" s="667"/>
      <c r="M27" s="1226">
        <f>M15+M26</f>
        <v>-47838512.726733327</v>
      </c>
      <c r="N27" s="1905"/>
    </row>
    <row r="28" spans="2:20" ht="15.6">
      <c r="B28" s="1215"/>
      <c r="C28" s="663"/>
      <c r="D28" s="663"/>
      <c r="E28" s="663"/>
      <c r="F28" s="663"/>
      <c r="G28" s="663"/>
      <c r="H28" s="1222"/>
      <c r="I28" s="675"/>
      <c r="J28" s="676"/>
      <c r="K28" s="676"/>
      <c r="L28" s="676"/>
      <c r="M28" s="1227"/>
      <c r="N28" s="1911"/>
    </row>
    <row r="29" spans="2:20" ht="15.6">
      <c r="B29" s="1223" t="s">
        <v>2410</v>
      </c>
      <c r="C29" s="663"/>
      <c r="D29" s="663"/>
      <c r="E29" s="663"/>
      <c r="F29" s="663"/>
      <c r="G29" s="663"/>
      <c r="H29" s="1228"/>
      <c r="I29" s="666"/>
      <c r="J29" s="667"/>
      <c r="K29" s="667"/>
      <c r="L29" s="667"/>
      <c r="M29" s="1221"/>
      <c r="N29" s="1913"/>
      <c r="O29" s="1914" t="s">
        <v>2411</v>
      </c>
      <c r="P29" s="1915" t="s">
        <v>2036</v>
      </c>
    </row>
    <row r="30" spans="2:20" ht="15.6">
      <c r="B30" s="1220"/>
      <c r="C30" s="663" t="s">
        <v>2412</v>
      </c>
      <c r="D30" s="663"/>
      <c r="E30" s="1229"/>
      <c r="F30" s="1230"/>
      <c r="G30" s="1230"/>
      <c r="H30" s="1228"/>
      <c r="I30" s="666"/>
      <c r="J30" s="667">
        <f>+'IT Dep'!O61</f>
        <v>24252362.449749999</v>
      </c>
      <c r="K30" s="667"/>
      <c r="L30" s="667">
        <f>+'IT Dep'!L61</f>
        <v>24252362.449749999</v>
      </c>
      <c r="M30" s="1221"/>
      <c r="N30" s="1913"/>
      <c r="O30" s="1915" t="s">
        <v>2413</v>
      </c>
      <c r="P30" s="1916">
        <v>909877</v>
      </c>
      <c r="R30" s="1904">
        <f>5500000*0.15</f>
        <v>825000</v>
      </c>
    </row>
    <row r="31" spans="2:20" ht="15.6">
      <c r="B31" s="1220" t="s">
        <v>2414</v>
      </c>
      <c r="C31" s="1231"/>
      <c r="D31" s="1231"/>
      <c r="E31" s="663"/>
      <c r="F31" s="663"/>
      <c r="G31" s="663"/>
      <c r="H31" s="663"/>
      <c r="I31" s="666"/>
      <c r="J31" s="667"/>
      <c r="K31" s="667"/>
      <c r="L31" s="667">
        <v>0</v>
      </c>
      <c r="M31" s="1221"/>
      <c r="N31" s="1913"/>
      <c r="O31" s="1915" t="s">
        <v>2415</v>
      </c>
      <c r="P31" s="1916">
        <v>1385050</v>
      </c>
    </row>
    <row r="32" spans="2:20" ht="15.6">
      <c r="B32" s="1211"/>
      <c r="C32" s="663"/>
      <c r="D32" s="663"/>
      <c r="E32" s="663"/>
      <c r="F32" s="663"/>
      <c r="G32" s="663"/>
      <c r="H32" s="663"/>
      <c r="I32" s="666"/>
      <c r="J32" s="667"/>
      <c r="K32" s="667"/>
      <c r="L32" s="667"/>
      <c r="M32" s="1221"/>
      <c r="N32" s="1913"/>
      <c r="O32" s="1915" t="s">
        <v>148</v>
      </c>
      <c r="P32" s="1916">
        <v>56000</v>
      </c>
    </row>
    <row r="33" spans="2:25" ht="15.6">
      <c r="B33" s="1220" t="s">
        <v>2416</v>
      </c>
      <c r="C33" s="1231"/>
      <c r="D33" s="1231"/>
      <c r="E33" s="663"/>
      <c r="F33" s="663"/>
      <c r="G33" s="663"/>
      <c r="H33" s="663"/>
      <c r="I33" s="666"/>
      <c r="J33" s="667">
        <v>0</v>
      </c>
      <c r="K33" s="667"/>
      <c r="L33" s="667">
        <v>0</v>
      </c>
      <c r="M33" s="1221"/>
      <c r="N33" s="1913"/>
      <c r="O33" s="1914" t="s">
        <v>2417</v>
      </c>
      <c r="P33" s="1916"/>
    </row>
    <row r="34" spans="2:25" ht="15.6">
      <c r="B34" s="1232"/>
      <c r="C34" s="663"/>
      <c r="D34" s="663"/>
      <c r="E34" s="663"/>
      <c r="F34" s="663"/>
      <c r="G34" s="663"/>
      <c r="H34" s="663"/>
      <c r="I34" s="666"/>
      <c r="J34" s="667"/>
      <c r="K34" s="667"/>
      <c r="L34" s="667"/>
      <c r="M34" s="1221"/>
      <c r="N34" s="1913"/>
      <c r="O34" s="1915" t="s">
        <v>211</v>
      </c>
      <c r="P34" s="1916">
        <v>19982</v>
      </c>
    </row>
    <row r="35" spans="2:25" ht="15.6">
      <c r="B35" s="1232"/>
      <c r="C35" s="663" t="s">
        <v>2418</v>
      </c>
      <c r="D35" s="663"/>
      <c r="E35" s="663"/>
      <c r="F35" s="663"/>
      <c r="G35" s="663"/>
      <c r="H35" s="663"/>
      <c r="I35" s="666"/>
      <c r="J35" s="667">
        <v>122070</v>
      </c>
      <c r="K35" s="667"/>
      <c r="L35" s="670">
        <f>+J35</f>
        <v>122070</v>
      </c>
      <c r="M35" s="1221"/>
      <c r="N35" s="1913"/>
      <c r="O35" s="1914" t="s">
        <v>2419</v>
      </c>
      <c r="P35" s="1916"/>
    </row>
    <row r="36" spans="2:25" ht="15.6">
      <c r="B36" s="1232"/>
      <c r="C36" s="663" t="s">
        <v>2420</v>
      </c>
      <c r="D36" s="663"/>
      <c r="E36" s="663"/>
      <c r="F36" s="663"/>
      <c r="G36" s="663"/>
      <c r="H36" s="663"/>
      <c r="I36" s="666"/>
      <c r="J36" s="667"/>
      <c r="K36" s="667"/>
      <c r="L36" s="667">
        <v>0</v>
      </c>
      <c r="M36" s="1221"/>
      <c r="N36" s="1913"/>
      <c r="O36" s="1915" t="s">
        <v>2421</v>
      </c>
      <c r="P36" s="1916">
        <v>795803</v>
      </c>
    </row>
    <row r="37" spans="2:25" ht="15.6">
      <c r="B37" s="1232"/>
      <c r="C37" s="1224" t="s">
        <v>2422</v>
      </c>
      <c r="D37" s="663"/>
      <c r="E37" s="663"/>
      <c r="F37" s="663"/>
      <c r="G37" s="663"/>
      <c r="H37" s="663"/>
      <c r="I37" s="666"/>
      <c r="J37" s="677">
        <v>0</v>
      </c>
      <c r="K37" s="667">
        <f>SUM(J30:J37)</f>
        <v>24374432.449749999</v>
      </c>
      <c r="L37" s="670">
        <v>0</v>
      </c>
      <c r="M37" s="1221">
        <f>SUM(L30:L37)</f>
        <v>24374432.449749999</v>
      </c>
      <c r="N37" s="1913"/>
      <c r="O37" s="1915" t="s">
        <v>2423</v>
      </c>
      <c r="P37" s="1916">
        <v>1301094</v>
      </c>
    </row>
    <row r="38" spans="2:25" ht="15.6">
      <c r="B38" s="1215"/>
      <c r="C38" s="1231"/>
      <c r="D38" s="1231"/>
      <c r="E38" s="663"/>
      <c r="F38" s="663"/>
      <c r="G38" s="663"/>
      <c r="H38" s="662" t="s">
        <v>2424</v>
      </c>
      <c r="I38" s="678" t="s">
        <v>2425</v>
      </c>
      <c r="J38" s="667"/>
      <c r="K38" s="1233">
        <f>K27-K37</f>
        <v>-54604074.70943249</v>
      </c>
      <c r="L38" s="667"/>
      <c r="M38" s="1234">
        <f>M27-M37</f>
        <v>-72212945.176483333</v>
      </c>
      <c r="N38" s="1917"/>
      <c r="O38" s="1914" t="s">
        <v>2426</v>
      </c>
      <c r="P38" s="1916"/>
    </row>
    <row r="39" spans="2:25" ht="15.6">
      <c r="B39" s="1215" t="s">
        <v>2427</v>
      </c>
      <c r="C39" s="1231"/>
      <c r="D39" s="1231"/>
      <c r="E39" s="663"/>
      <c r="F39" s="663"/>
      <c r="G39" s="663"/>
      <c r="H39" s="663"/>
      <c r="I39" s="678"/>
      <c r="J39" s="667">
        <v>0</v>
      </c>
      <c r="K39" s="667"/>
      <c r="L39" s="667">
        <v>0</v>
      </c>
      <c r="M39" s="1221"/>
      <c r="N39" s="1913"/>
      <c r="O39" s="1915" t="s">
        <v>2428</v>
      </c>
      <c r="P39" s="1916">
        <v>-438120</v>
      </c>
    </row>
    <row r="40" spans="2:25" ht="15.6">
      <c r="B40" s="1215" t="s">
        <v>2429</v>
      </c>
      <c r="C40" s="1231"/>
      <c r="D40" s="1231"/>
      <c r="E40" s="663"/>
      <c r="F40" s="663"/>
      <c r="G40" s="663"/>
      <c r="H40" s="663"/>
      <c r="I40" s="666"/>
      <c r="J40" s="667">
        <f>J39</f>
        <v>0</v>
      </c>
      <c r="K40" s="667"/>
      <c r="L40" s="667">
        <f>L39</f>
        <v>0</v>
      </c>
      <c r="M40" s="1221"/>
      <c r="N40" s="1913"/>
      <c r="O40" s="1915" t="s">
        <v>2430</v>
      </c>
      <c r="P40" s="1916">
        <v>-1259230</v>
      </c>
    </row>
    <row r="41" spans="2:25" ht="15.6">
      <c r="B41" s="1215"/>
      <c r="C41" s="663"/>
      <c r="D41" s="663"/>
      <c r="E41" s="663"/>
      <c r="F41" s="663"/>
      <c r="G41" s="663"/>
      <c r="H41" s="663"/>
      <c r="I41" s="678"/>
      <c r="J41" s="679"/>
      <c r="K41" s="679"/>
      <c r="L41" s="679"/>
      <c r="M41" s="1235"/>
      <c r="N41" s="1918"/>
      <c r="O41" s="1919" t="s">
        <v>2431</v>
      </c>
      <c r="P41" s="1920">
        <f>+SUM(P30:P40)</f>
        <v>2770456</v>
      </c>
    </row>
    <row r="42" spans="2:25" ht="16.2" thickBot="1">
      <c r="B42" s="1215"/>
      <c r="C42" s="663"/>
      <c r="D42" s="663"/>
      <c r="E42" s="663"/>
      <c r="F42" s="663"/>
      <c r="G42" s="663"/>
      <c r="H42" s="662"/>
      <c r="I42" s="678"/>
      <c r="J42" s="679"/>
      <c r="K42" s="680">
        <f>SUM(K38:K40)</f>
        <v>-54604074.70943249</v>
      </c>
      <c r="L42" s="679"/>
      <c r="M42" s="1236">
        <f>SUM(M38:M40)</f>
        <v>-72212945.176483333</v>
      </c>
      <c r="N42" s="1921"/>
    </row>
    <row r="43" spans="2:25" ht="16.2" thickTop="1">
      <c r="B43" s="1215"/>
      <c r="C43" s="663"/>
      <c r="D43" s="663"/>
      <c r="E43" s="663"/>
      <c r="F43" s="663"/>
      <c r="G43" s="663"/>
      <c r="H43" s="663"/>
      <c r="I43" s="678"/>
      <c r="J43" s="679"/>
      <c r="K43" s="679"/>
      <c r="L43" s="679"/>
      <c r="M43" s="1235"/>
      <c r="N43" s="1918"/>
      <c r="O43" s="1922">
        <f>+M44-K44</f>
        <v>0</v>
      </c>
    </row>
    <row r="44" spans="2:25" ht="15.6">
      <c r="B44" s="1215"/>
      <c r="C44" s="663"/>
      <c r="D44" s="663"/>
      <c r="E44" s="663"/>
      <c r="F44" s="663"/>
      <c r="G44" s="663" t="s">
        <v>2432</v>
      </c>
      <c r="H44" s="663"/>
      <c r="I44" s="678"/>
      <c r="J44" s="679"/>
      <c r="K44" s="679">
        <v>0</v>
      </c>
      <c r="L44" s="679"/>
      <c r="M44" s="1237">
        <v>0</v>
      </c>
      <c r="N44" s="1923"/>
      <c r="O44" s="1924">
        <f>+M76</f>
        <v>-813908</v>
      </c>
    </row>
    <row r="45" spans="2:25" ht="15.6">
      <c r="B45" s="1215"/>
      <c r="C45" s="663"/>
      <c r="D45" s="663"/>
      <c r="E45" s="663"/>
      <c r="F45" s="663"/>
      <c r="G45" s="663"/>
      <c r="H45" s="663"/>
      <c r="I45" s="678"/>
      <c r="J45" s="679"/>
      <c r="K45" s="679"/>
      <c r="L45" s="679"/>
      <c r="M45" s="1235"/>
      <c r="N45" s="1918"/>
    </row>
    <row r="46" spans="2:25" ht="16.2" thickBot="1">
      <c r="B46" s="1215"/>
      <c r="C46" s="663"/>
      <c r="D46" s="663"/>
      <c r="E46" s="663"/>
      <c r="F46" s="663"/>
      <c r="G46" s="663"/>
      <c r="H46" s="662" t="s">
        <v>2424</v>
      </c>
      <c r="I46" s="678"/>
      <c r="J46" s="679"/>
      <c r="K46" s="681">
        <f>K42-K44</f>
        <v>-54604074.70943249</v>
      </c>
      <c r="L46" s="679"/>
      <c r="M46" s="1238">
        <f>M42-M44</f>
        <v>-72212945.176483333</v>
      </c>
      <c r="N46" s="1925"/>
      <c r="Q46" s="1926" t="s">
        <v>2433</v>
      </c>
    </row>
    <row r="47" spans="2:25" ht="60.6" thickTop="1" thickBot="1">
      <c r="B47" s="1215"/>
      <c r="C47" s="663"/>
      <c r="D47" s="663"/>
      <c r="E47" s="663"/>
      <c r="F47" s="663"/>
      <c r="G47" s="663"/>
      <c r="H47" s="663"/>
      <c r="I47" s="678"/>
      <c r="J47" s="679"/>
      <c r="K47" s="679"/>
      <c r="L47" s="679"/>
      <c r="M47" s="1235"/>
      <c r="N47" s="1918"/>
      <c r="Q47" s="1927" t="s">
        <v>2434</v>
      </c>
      <c r="R47" s="1928" t="s">
        <v>2435</v>
      </c>
      <c r="S47" s="1928" t="s">
        <v>2436</v>
      </c>
      <c r="T47" s="1928" t="s">
        <v>2437</v>
      </c>
      <c r="U47" s="1928" t="s">
        <v>2438</v>
      </c>
      <c r="V47" s="1928" t="s">
        <v>2439</v>
      </c>
      <c r="W47" s="1928" t="s">
        <v>2440</v>
      </c>
      <c r="X47" s="1928" t="s">
        <v>2441</v>
      </c>
      <c r="Y47" s="1928" t="s">
        <v>903</v>
      </c>
    </row>
    <row r="48" spans="2:25" ht="19.8">
      <c r="B48" s="1215"/>
      <c r="C48" s="663"/>
      <c r="D48" s="663"/>
      <c r="E48" s="663"/>
      <c r="F48" s="663"/>
      <c r="G48" s="663"/>
      <c r="H48" s="663"/>
      <c r="I48" s="678"/>
      <c r="J48" s="679"/>
      <c r="K48" s="679"/>
      <c r="L48" s="679"/>
      <c r="M48" s="1235"/>
      <c r="N48" s="1918"/>
      <c r="R48" s="1929" t="s">
        <v>2442</v>
      </c>
      <c r="S48" s="1930">
        <f>+K66-J69</f>
        <v>-813908</v>
      </c>
      <c r="T48" s="1931">
        <v>15</v>
      </c>
      <c r="U48" s="1930">
        <f>+S48*T48/100</f>
        <v>-122086.2</v>
      </c>
      <c r="V48" s="1930">
        <v>0</v>
      </c>
      <c r="W48" s="1930">
        <f>+U48-V48</f>
        <v>-122086.2</v>
      </c>
      <c r="X48" s="1930">
        <v>3</v>
      </c>
      <c r="Y48" s="1930">
        <f>+W48*X48/100</f>
        <v>-3662.5859999999998</v>
      </c>
    </row>
    <row r="49" spans="2:25" ht="19.8">
      <c r="B49" s="1215"/>
      <c r="C49" s="663"/>
      <c r="D49" s="663"/>
      <c r="E49" s="663"/>
      <c r="F49" s="663"/>
      <c r="G49" s="663"/>
      <c r="H49" s="1231"/>
      <c r="I49" s="678" t="s">
        <v>2443</v>
      </c>
      <c r="J49" s="679"/>
      <c r="K49" s="664">
        <f>IF(K46&gt;0,K46*0.25,0)</f>
        <v>0</v>
      </c>
      <c r="L49" s="679"/>
      <c r="M49" s="1213">
        <f>IF(M46&gt;0,M46*0.22,0)</f>
        <v>0</v>
      </c>
      <c r="N49" s="1905"/>
      <c r="R49" s="1929" t="s">
        <v>2444</v>
      </c>
      <c r="S49" s="1930">
        <f>+S48</f>
        <v>-813908</v>
      </c>
      <c r="T49" s="1931">
        <v>45</v>
      </c>
      <c r="U49" s="1930">
        <f t="shared" ref="U49:U51" si="1">+S49*T49/100</f>
        <v>-366258.6</v>
      </c>
      <c r="V49" s="1930">
        <v>2000000</v>
      </c>
      <c r="W49" s="1930">
        <f t="shared" ref="W49:W51" si="2">+U49-V49</f>
        <v>-2366258.6</v>
      </c>
      <c r="X49" s="1930">
        <v>3</v>
      </c>
      <c r="Y49" s="1930">
        <f t="shared" ref="Y49:Y51" si="3">+W49*X49/100</f>
        <v>-70987.758000000002</v>
      </c>
    </row>
    <row r="50" spans="2:25" ht="19.8">
      <c r="B50" s="1215"/>
      <c r="C50" s="663"/>
      <c r="D50" s="663"/>
      <c r="E50" s="663"/>
      <c r="F50" s="663"/>
      <c r="G50" s="663"/>
      <c r="H50" s="1231"/>
      <c r="I50" s="666"/>
      <c r="J50" s="667"/>
      <c r="K50" s="667"/>
      <c r="L50" s="667"/>
      <c r="M50" s="1221"/>
      <c r="N50" s="1908"/>
      <c r="R50" s="1929" t="s">
        <v>2445</v>
      </c>
      <c r="S50" s="1930">
        <f>+S49</f>
        <v>-813908</v>
      </c>
      <c r="T50" s="1931">
        <v>75</v>
      </c>
      <c r="U50" s="1930">
        <f t="shared" si="1"/>
        <v>-610431</v>
      </c>
      <c r="V50" s="1930">
        <v>7000000</v>
      </c>
      <c r="W50" s="1930">
        <f t="shared" si="2"/>
        <v>-7610431</v>
      </c>
      <c r="X50" s="1930">
        <v>3</v>
      </c>
      <c r="Y50" s="1930">
        <f t="shared" si="3"/>
        <v>-228312.93</v>
      </c>
    </row>
    <row r="51" spans="2:25" ht="19.8">
      <c r="B51" s="1215"/>
      <c r="C51" s="663"/>
      <c r="D51" s="663"/>
      <c r="E51" s="663"/>
      <c r="F51" s="663"/>
      <c r="G51" s="663"/>
      <c r="H51" s="663"/>
      <c r="I51" s="666"/>
      <c r="J51" s="667"/>
      <c r="K51" s="667"/>
      <c r="L51" s="667"/>
      <c r="M51" s="1221"/>
      <c r="N51" s="1908"/>
      <c r="R51" s="1929" t="s">
        <v>2446</v>
      </c>
      <c r="S51" s="1930">
        <f>+S50</f>
        <v>-813908</v>
      </c>
      <c r="T51" s="1931">
        <v>100</v>
      </c>
      <c r="U51" s="1930">
        <f t="shared" si="1"/>
        <v>-813908</v>
      </c>
      <c r="V51" s="1930">
        <v>13000000</v>
      </c>
      <c r="W51" s="1930">
        <f t="shared" si="2"/>
        <v>-13813908</v>
      </c>
      <c r="X51" s="1930">
        <v>1</v>
      </c>
      <c r="Y51" s="1930">
        <f t="shared" si="3"/>
        <v>-138139.07999999999</v>
      </c>
    </row>
    <row r="52" spans="2:25" ht="19.8">
      <c r="B52" s="2464"/>
      <c r="C52" s="2465"/>
      <c r="D52" s="2465"/>
      <c r="E52" s="2465"/>
      <c r="F52" s="2465"/>
      <c r="G52" s="2465"/>
      <c r="H52" s="2465"/>
      <c r="I52" s="2466"/>
      <c r="J52" s="682"/>
      <c r="K52" s="683"/>
      <c r="L52" s="682"/>
      <c r="M52" s="1239"/>
      <c r="N52" s="1932"/>
      <c r="R52" s="1933" t="s">
        <v>824</v>
      </c>
      <c r="S52" s="1934"/>
      <c r="T52" s="1935"/>
      <c r="U52" s="1930"/>
      <c r="V52" s="1930"/>
      <c r="W52" s="1930"/>
      <c r="X52" s="1930"/>
      <c r="Y52" s="1936">
        <f>+SUM(Y48:Y51)</f>
        <v>-441102.35399999993</v>
      </c>
    </row>
    <row r="53" spans="2:25" ht="20.399999999999999" thickBot="1">
      <c r="B53" s="1220"/>
      <c r="C53" s="663"/>
      <c r="D53" s="663"/>
      <c r="E53" s="663"/>
      <c r="F53" s="663"/>
      <c r="G53" s="663"/>
      <c r="H53" s="663"/>
      <c r="I53" s="666"/>
      <c r="J53" s="667"/>
      <c r="K53" s="667"/>
      <c r="L53" s="667"/>
      <c r="M53" s="1221"/>
      <c r="N53" s="1908"/>
      <c r="R53" s="1935"/>
      <c r="S53" s="1935"/>
      <c r="T53" s="1935"/>
    </row>
    <row r="54" spans="2:25" ht="60" thickBot="1">
      <c r="B54" s="1220"/>
      <c r="C54" s="663"/>
      <c r="D54" s="663"/>
      <c r="E54" s="663"/>
      <c r="F54" s="663"/>
      <c r="G54" s="663"/>
      <c r="H54" s="663"/>
      <c r="I54" s="666"/>
      <c r="J54" s="667"/>
      <c r="K54" s="667"/>
      <c r="L54" s="667"/>
      <c r="M54" s="1221"/>
      <c r="N54" s="1908"/>
      <c r="Q54" s="1927" t="s">
        <v>2434</v>
      </c>
      <c r="R54" s="1928" t="s">
        <v>2435</v>
      </c>
      <c r="S54" s="1928" t="s">
        <v>2436</v>
      </c>
      <c r="T54" s="1928" t="s">
        <v>2437</v>
      </c>
      <c r="U54" s="1928" t="s">
        <v>2438</v>
      </c>
      <c r="V54" s="1928" t="s">
        <v>2439</v>
      </c>
      <c r="W54" s="1928" t="s">
        <v>2440</v>
      </c>
      <c r="X54" s="1928" t="s">
        <v>2441</v>
      </c>
      <c r="Y54" s="1928" t="s">
        <v>903</v>
      </c>
    </row>
    <row r="55" spans="2:25" ht="19.8">
      <c r="B55" s="1220"/>
      <c r="C55" s="663"/>
      <c r="D55" s="1240"/>
      <c r="E55" s="663"/>
      <c r="F55" s="1240" t="str">
        <f>B15</f>
        <v>Profit as per Profit and Loss Statement after extraordinary item</v>
      </c>
      <c r="G55" s="663"/>
      <c r="H55" s="663"/>
      <c r="I55" s="666"/>
      <c r="J55" s="667"/>
      <c r="K55" s="684">
        <f>+K15</f>
        <v>-51111376.259682491</v>
      </c>
      <c r="L55" s="667"/>
      <c r="M55" s="1241"/>
      <c r="N55" s="1937"/>
      <c r="R55" s="1929" t="s">
        <v>2442</v>
      </c>
      <c r="S55" s="1938">
        <f>+M66-L69</f>
        <v>-813908</v>
      </c>
      <c r="T55" s="1931">
        <v>15</v>
      </c>
      <c r="U55" s="1938">
        <f>+S55*T55/100</f>
        <v>-122086.2</v>
      </c>
      <c r="V55" s="1938">
        <v>0</v>
      </c>
      <c r="W55" s="1938">
        <f>+U55-V55</f>
        <v>-122086.2</v>
      </c>
      <c r="X55" s="1938">
        <v>3</v>
      </c>
      <c r="Y55" s="1938">
        <f>+W55*X55/100</f>
        <v>-3662.5859999999998</v>
      </c>
    </row>
    <row r="56" spans="2:25" ht="19.8">
      <c r="B56" s="1220"/>
      <c r="C56" s="663"/>
      <c r="D56" s="1240"/>
      <c r="E56" s="663"/>
      <c r="F56" s="1242" t="s">
        <v>2447</v>
      </c>
      <c r="G56" s="663"/>
      <c r="H56" s="663"/>
      <c r="I56" s="666"/>
      <c r="J56" s="667"/>
      <c r="K56" s="677">
        <v>0</v>
      </c>
      <c r="L56" s="667"/>
      <c r="M56" s="1243"/>
      <c r="N56" s="1908"/>
      <c r="R56" s="1929" t="s">
        <v>2444</v>
      </c>
      <c r="S56" s="1930">
        <f>+S55</f>
        <v>-813908</v>
      </c>
      <c r="T56" s="1931">
        <v>45</v>
      </c>
      <c r="U56" s="1938">
        <f t="shared" ref="U56:U58" si="4">+S56*T56/100</f>
        <v>-366258.6</v>
      </c>
      <c r="V56" s="1938">
        <v>2000000</v>
      </c>
      <c r="W56" s="1938">
        <f t="shared" ref="W56:W58" si="5">+U56-V56</f>
        <v>-2366258.6</v>
      </c>
      <c r="X56" s="1938">
        <v>3</v>
      </c>
      <c r="Y56" s="1938">
        <f t="shared" ref="Y56:Y57" si="6">+W56*X56/100</f>
        <v>-70987.758000000002</v>
      </c>
    </row>
    <row r="57" spans="2:25" ht="19.8">
      <c r="B57" s="1220"/>
      <c r="C57" s="663"/>
      <c r="D57" s="663"/>
      <c r="E57" s="663"/>
      <c r="F57" s="1244" t="s">
        <v>2448</v>
      </c>
      <c r="G57" s="663"/>
      <c r="H57" s="1228"/>
      <c r="I57" s="666"/>
      <c r="J57" s="667"/>
      <c r="K57" s="674">
        <f>K55-K56</f>
        <v>-51111376.259682491</v>
      </c>
      <c r="L57" s="667"/>
      <c r="M57" s="1226"/>
      <c r="N57" s="1905"/>
      <c r="R57" s="1929" t="s">
        <v>2445</v>
      </c>
      <c r="S57" s="1930">
        <f>+S56</f>
        <v>-813908</v>
      </c>
      <c r="T57" s="1931">
        <v>75</v>
      </c>
      <c r="U57" s="1938">
        <f t="shared" si="4"/>
        <v>-610431</v>
      </c>
      <c r="V57" s="1938">
        <v>7000000</v>
      </c>
      <c r="W57" s="1938">
        <f t="shared" si="5"/>
        <v>-7610431</v>
      </c>
      <c r="X57" s="1938">
        <v>3</v>
      </c>
      <c r="Y57" s="1938">
        <f t="shared" si="6"/>
        <v>-228312.93</v>
      </c>
    </row>
    <row r="58" spans="2:25" ht="19.8">
      <c r="B58" s="1215"/>
      <c r="C58" s="663"/>
      <c r="D58" s="663"/>
      <c r="E58" s="663"/>
      <c r="F58" s="663"/>
      <c r="G58" s="663"/>
      <c r="H58" s="663"/>
      <c r="I58" s="666"/>
      <c r="J58" s="667"/>
      <c r="K58" s="667"/>
      <c r="L58" s="667"/>
      <c r="M58" s="1221"/>
      <c r="N58" s="1908"/>
      <c r="R58" s="1929" t="s">
        <v>2446</v>
      </c>
      <c r="S58" s="1930">
        <f>+S57</f>
        <v>-813908</v>
      </c>
      <c r="T58" s="1931">
        <v>100</v>
      </c>
      <c r="U58" s="1938">
        <f t="shared" si="4"/>
        <v>-813908</v>
      </c>
      <c r="V58" s="1938">
        <v>13000000</v>
      </c>
      <c r="W58" s="1938">
        <f t="shared" si="5"/>
        <v>-13813908</v>
      </c>
      <c r="X58" s="1938">
        <v>1</v>
      </c>
      <c r="Y58" s="1938">
        <v>0</v>
      </c>
    </row>
    <row r="59" spans="2:25" ht="19.8">
      <c r="B59" s="1215"/>
      <c r="C59" s="663"/>
      <c r="D59" s="663"/>
      <c r="E59" s="663"/>
      <c r="F59" s="663" t="s">
        <v>2449</v>
      </c>
      <c r="G59" s="663"/>
      <c r="H59" s="663"/>
      <c r="I59" s="678" t="s">
        <v>2450</v>
      </c>
      <c r="J59" s="679"/>
      <c r="K59" s="674">
        <f>IF(K57&gt;0,K57*0.15,0)</f>
        <v>0</v>
      </c>
      <c r="L59" s="679"/>
      <c r="M59" s="1226"/>
      <c r="N59" s="1905"/>
      <c r="R59" s="1933" t="s">
        <v>824</v>
      </c>
      <c r="S59" s="1934"/>
      <c r="T59" s="1935"/>
      <c r="U59" s="1938"/>
      <c r="V59" s="1938"/>
      <c r="W59" s="1938"/>
      <c r="X59" s="1938"/>
      <c r="Y59" s="1939">
        <f>+SUM(Y55:Y58)</f>
        <v>-302963.27399999998</v>
      </c>
    </row>
    <row r="60" spans="2:25" ht="15.6">
      <c r="B60" s="1215"/>
      <c r="C60" s="663"/>
      <c r="D60" s="663"/>
      <c r="E60" s="663"/>
      <c r="F60" s="663"/>
      <c r="G60" s="663"/>
      <c r="H60" s="663"/>
      <c r="I60" s="666"/>
      <c r="J60" s="667"/>
      <c r="K60" s="667"/>
      <c r="L60" s="667"/>
      <c r="M60" s="1221"/>
      <c r="N60" s="1908"/>
    </row>
    <row r="61" spans="2:25" ht="15.6">
      <c r="B61" s="1215"/>
      <c r="C61" s="663"/>
      <c r="D61" s="663"/>
      <c r="E61" s="663"/>
      <c r="F61" s="663"/>
      <c r="G61" s="663"/>
      <c r="H61" s="1228" t="s">
        <v>2451</v>
      </c>
      <c r="I61" s="666"/>
      <c r="J61" s="667"/>
      <c r="K61" s="684">
        <f>IF(K59&gt;K49,K59,K49)</f>
        <v>0</v>
      </c>
      <c r="L61" s="667"/>
      <c r="M61" s="1241">
        <f>IF(M59&gt;M49,M59,M49)</f>
        <v>0</v>
      </c>
      <c r="N61" s="1937"/>
    </row>
    <row r="62" spans="2:25" ht="15.6">
      <c r="B62" s="1215"/>
      <c r="C62" s="663"/>
      <c r="D62" s="663"/>
      <c r="E62" s="663"/>
      <c r="F62" s="663"/>
      <c r="G62" s="663"/>
      <c r="H62" s="663"/>
      <c r="I62" s="666"/>
      <c r="J62" s="667"/>
      <c r="K62" s="667"/>
      <c r="L62" s="667"/>
      <c r="M62" s="1221"/>
      <c r="N62" s="1908"/>
      <c r="P62" s="1940">
        <f>+K61-K59</f>
        <v>0</v>
      </c>
    </row>
    <row r="63" spans="2:25" ht="15.6">
      <c r="B63" s="1215"/>
      <c r="C63" s="663"/>
      <c r="D63" s="663"/>
      <c r="E63" s="663"/>
      <c r="F63" s="663" t="s">
        <v>2452</v>
      </c>
      <c r="G63" s="663"/>
      <c r="H63" s="663"/>
      <c r="I63" s="666"/>
      <c r="J63" s="667"/>
      <c r="K63" s="685">
        <f>IF(K57&gt;10000000,K61*0.07,0)</f>
        <v>0</v>
      </c>
      <c r="L63" s="667"/>
      <c r="M63" s="1245">
        <f>+ROUND(M61*10%,0)</f>
        <v>0</v>
      </c>
      <c r="N63" s="1937"/>
    </row>
    <row r="64" spans="2:25" ht="15.6">
      <c r="B64" s="1215"/>
      <c r="C64" s="663"/>
      <c r="D64" s="663"/>
      <c r="E64" s="663"/>
      <c r="F64" s="663"/>
      <c r="G64" s="663"/>
      <c r="H64" s="663"/>
      <c r="I64" s="666"/>
      <c r="J64" s="667"/>
      <c r="K64" s="674">
        <f>+K61+K63</f>
        <v>0</v>
      </c>
      <c r="L64" s="667"/>
      <c r="M64" s="1226">
        <f>+M61+M63</f>
        <v>0</v>
      </c>
      <c r="N64" s="1905"/>
    </row>
    <row r="65" spans="2:46" ht="15.6">
      <c r="B65" s="1215"/>
      <c r="C65" s="663"/>
      <c r="D65" s="663"/>
      <c r="E65" s="663"/>
      <c r="F65" s="663" t="s">
        <v>2453</v>
      </c>
      <c r="G65" s="663"/>
      <c r="H65" s="663"/>
      <c r="I65" s="666"/>
      <c r="J65" s="667"/>
      <c r="K65" s="685">
        <f>+K64*0.04</f>
        <v>0</v>
      </c>
      <c r="L65" s="667"/>
      <c r="M65" s="1245">
        <f>+M64*0.04</f>
        <v>0</v>
      </c>
      <c r="N65" s="1937"/>
    </row>
    <row r="66" spans="2:46" ht="15.6">
      <c r="B66" s="1215"/>
      <c r="C66" s="663"/>
      <c r="D66" s="663"/>
      <c r="E66" s="663"/>
      <c r="F66" s="662" t="s">
        <v>2454</v>
      </c>
      <c r="G66" s="663"/>
      <c r="H66" s="663"/>
      <c r="I66" s="666"/>
      <c r="J66" s="667"/>
      <c r="K66" s="674">
        <f>K64+K65</f>
        <v>0</v>
      </c>
      <c r="L66" s="667"/>
      <c r="M66" s="1226">
        <f>M64+M65</f>
        <v>0</v>
      </c>
      <c r="N66" s="1905"/>
      <c r="P66" s="1904">
        <v>5500000</v>
      </c>
    </row>
    <row r="67" spans="2:46" ht="15.6">
      <c r="B67" s="1215"/>
      <c r="C67" s="663"/>
      <c r="D67" s="663"/>
      <c r="E67" s="663"/>
      <c r="F67" s="663"/>
      <c r="G67" s="663"/>
      <c r="H67" s="663"/>
      <c r="I67" s="666"/>
      <c r="J67" s="667"/>
      <c r="K67" s="667"/>
      <c r="L67" s="667"/>
      <c r="M67" s="1221"/>
      <c r="N67" s="1908"/>
    </row>
    <row r="68" spans="2:46" ht="15.6">
      <c r="B68" s="1215"/>
      <c r="C68" s="663"/>
      <c r="D68" s="663"/>
      <c r="E68" s="663"/>
      <c r="F68" s="663" t="s">
        <v>2455</v>
      </c>
      <c r="G68" s="663"/>
      <c r="H68" s="663"/>
      <c r="I68" s="666"/>
      <c r="J68" s="667"/>
      <c r="K68" s="667"/>
      <c r="L68" s="667"/>
      <c r="M68" s="1221"/>
      <c r="N68" s="1908"/>
    </row>
    <row r="69" spans="2:46" ht="15.6">
      <c r="B69" s="1215"/>
      <c r="C69" s="663"/>
      <c r="D69" s="663"/>
      <c r="E69" s="663"/>
      <c r="F69" s="663" t="s">
        <v>2456</v>
      </c>
      <c r="G69" s="663"/>
      <c r="H69" s="663"/>
      <c r="I69" s="686"/>
      <c r="J69" s="676">
        <f>80354+40640+1568+6489+8237+38195+10368+560+3081+101050+15643+209+68053+158547+243242+19899+6162+11611</f>
        <v>813908</v>
      </c>
      <c r="K69" s="676"/>
      <c r="L69" s="676">
        <f>80354+40640+1568+6489+8237+38195+10368+560+3081+101050+15643+209+68053+158547+243242+19899+6162+11611</f>
        <v>813908</v>
      </c>
      <c r="M69" s="1227"/>
      <c r="N69" s="1911"/>
    </row>
    <row r="70" spans="2:46" ht="15.6">
      <c r="B70" s="1215"/>
      <c r="C70" s="663"/>
      <c r="D70" s="663"/>
      <c r="E70" s="663"/>
      <c r="F70" s="663" t="s">
        <v>2457</v>
      </c>
      <c r="G70" s="663"/>
      <c r="H70" s="663"/>
      <c r="I70" s="675"/>
      <c r="J70" s="676">
        <v>0</v>
      </c>
      <c r="K70" s="676"/>
      <c r="L70" s="676">
        <v>0</v>
      </c>
      <c r="M70" s="1227"/>
      <c r="N70" s="1911"/>
    </row>
    <row r="71" spans="2:46" ht="15.6">
      <c r="B71" s="1215"/>
      <c r="C71" s="663"/>
      <c r="D71" s="663"/>
      <c r="E71" s="663"/>
      <c r="F71" s="663" t="s">
        <v>2458</v>
      </c>
      <c r="G71" s="663"/>
      <c r="H71" s="663"/>
      <c r="I71" s="675"/>
      <c r="J71" s="673">
        <v>0</v>
      </c>
      <c r="K71" s="687">
        <f>SUM(J69:J71)</f>
        <v>813908</v>
      </c>
      <c r="L71" s="676">
        <v>0</v>
      </c>
      <c r="M71" s="1246">
        <f>SUM(L69:L71)</f>
        <v>813908</v>
      </c>
      <c r="N71" s="1941"/>
    </row>
    <row r="72" spans="2:46" ht="15.6">
      <c r="B72" s="1215"/>
      <c r="C72" s="663"/>
      <c r="D72" s="663"/>
      <c r="E72" s="663"/>
      <c r="F72" s="662"/>
      <c r="G72" s="663"/>
      <c r="H72" s="1247"/>
      <c r="I72" s="666"/>
      <c r="J72" s="667"/>
      <c r="K72" s="1233">
        <f>K66-K71</f>
        <v>-813908</v>
      </c>
      <c r="L72" s="667"/>
      <c r="M72" s="1234">
        <f>M66-M71</f>
        <v>-813908</v>
      </c>
      <c r="N72" s="1905"/>
    </row>
    <row r="73" spans="2:46" ht="15.6">
      <c r="B73" s="1215"/>
      <c r="C73" s="663"/>
      <c r="D73" s="663"/>
      <c r="E73" s="663"/>
      <c r="F73" s="663" t="s">
        <v>2459</v>
      </c>
      <c r="G73" s="663"/>
      <c r="H73" s="663"/>
      <c r="I73" s="666"/>
      <c r="J73" s="667"/>
      <c r="K73" s="667">
        <v>0</v>
      </c>
      <c r="L73" s="667"/>
      <c r="M73" s="1221">
        <v>0</v>
      </c>
      <c r="N73" s="1908"/>
    </row>
    <row r="74" spans="2:46" ht="15.6">
      <c r="B74" s="1215"/>
      <c r="C74" s="663"/>
      <c r="D74" s="663"/>
      <c r="E74" s="663"/>
      <c r="F74" s="663"/>
      <c r="G74" s="663"/>
      <c r="H74" s="663"/>
      <c r="I74" s="666"/>
      <c r="J74" s="667"/>
      <c r="K74" s="674">
        <f>K72+K73</f>
        <v>-813908</v>
      </c>
      <c r="L74" s="667"/>
      <c r="M74" s="1226">
        <f>M72+M73</f>
        <v>-813908</v>
      </c>
      <c r="N74" s="1905"/>
    </row>
    <row r="75" spans="2:46" ht="15.6">
      <c r="B75" s="1215"/>
      <c r="C75" s="663"/>
      <c r="D75" s="663"/>
      <c r="E75" s="663"/>
      <c r="F75" s="663" t="s">
        <v>2460</v>
      </c>
      <c r="G75" s="663"/>
      <c r="H75" s="663"/>
      <c r="I75" s="666"/>
      <c r="J75" s="667"/>
      <c r="K75" s="688">
        <v>0</v>
      </c>
      <c r="L75" s="667"/>
      <c r="M75" s="1248">
        <v>0</v>
      </c>
      <c r="N75" s="1942"/>
    </row>
    <row r="76" spans="2:46" ht="15.6">
      <c r="B76" s="1215"/>
      <c r="C76" s="662"/>
      <c r="D76" s="662"/>
      <c r="E76" s="663"/>
      <c r="F76" s="662" t="s">
        <v>2461</v>
      </c>
      <c r="G76" s="663"/>
      <c r="H76" s="1249"/>
      <c r="I76" s="666"/>
      <c r="J76" s="667"/>
      <c r="K76" s="1250">
        <f>K74-K75</f>
        <v>-813908</v>
      </c>
      <c r="L76" s="667"/>
      <c r="M76" s="1251">
        <f>M74-M75</f>
        <v>-813908</v>
      </c>
      <c r="N76" s="1905"/>
    </row>
    <row r="77" spans="2:46" ht="16.2" thickBot="1">
      <c r="B77" s="1252"/>
      <c r="C77" s="1253"/>
      <c r="D77" s="1253"/>
      <c r="E77" s="1253"/>
      <c r="F77" s="1253"/>
      <c r="G77" s="1253"/>
      <c r="H77" s="1253"/>
      <c r="I77" s="1254"/>
      <c r="J77" s="1255"/>
      <c r="K77" s="1255"/>
      <c r="L77" s="1255"/>
      <c r="M77" s="1256"/>
      <c r="N77" s="1908"/>
    </row>
    <row r="78" spans="2:46" ht="15.6">
      <c r="B78" s="1257"/>
      <c r="C78" s="1257"/>
      <c r="D78" s="1257"/>
      <c r="E78" s="1257"/>
      <c r="F78" s="1257"/>
      <c r="G78" s="1257"/>
      <c r="H78" s="1257"/>
      <c r="I78" s="1258"/>
      <c r="J78" s="1258"/>
      <c r="K78" s="1258"/>
      <c r="L78" s="1258"/>
      <c r="M78" s="1259"/>
      <c r="N78" s="1937"/>
    </row>
    <row r="79" spans="2:46" s="636" customFormat="1" ht="15.6">
      <c r="B79" s="1945"/>
      <c r="L79" s="1946"/>
      <c r="M79" s="1947"/>
      <c r="N79" s="1937"/>
      <c r="O79" s="1904"/>
      <c r="P79" s="1904"/>
      <c r="Q79" s="1904"/>
      <c r="R79" s="1904"/>
      <c r="S79" s="1904"/>
      <c r="T79" s="1904"/>
      <c r="U79" s="1904"/>
      <c r="V79" s="1904"/>
      <c r="W79" s="1904"/>
      <c r="X79" s="1904"/>
      <c r="Y79" s="1904"/>
      <c r="Z79" s="1904"/>
      <c r="AA79" s="1904"/>
      <c r="AB79" s="1904"/>
      <c r="AC79" s="1904"/>
      <c r="AD79" s="1904"/>
      <c r="AE79" s="1904"/>
      <c r="AF79" s="1904"/>
      <c r="AG79" s="1904"/>
      <c r="AH79" s="1904"/>
      <c r="AI79" s="1904"/>
      <c r="AJ79" s="1904"/>
      <c r="AK79" s="1904"/>
      <c r="AL79" s="1904"/>
      <c r="AM79" s="1904"/>
      <c r="AN79" s="1904"/>
      <c r="AO79" s="1904"/>
      <c r="AP79" s="1904"/>
      <c r="AQ79" s="1904"/>
      <c r="AR79" s="1904"/>
      <c r="AS79" s="1904"/>
      <c r="AT79" s="1904"/>
    </row>
    <row r="80" spans="2:46" s="636" customFormat="1" ht="15.6">
      <c r="B80" s="1945"/>
      <c r="C80" s="1948" t="s">
        <v>2462</v>
      </c>
      <c r="D80" s="1948"/>
      <c r="E80" s="1948"/>
      <c r="F80" s="1948"/>
      <c r="G80" s="1948"/>
      <c r="H80" s="1948"/>
      <c r="I80" s="1948"/>
      <c r="L80" s="1945"/>
      <c r="M80" s="1949"/>
      <c r="N80" s="1943"/>
      <c r="O80" s="1904"/>
      <c r="P80" s="1904"/>
      <c r="Q80" s="1904"/>
      <c r="R80" s="1904"/>
      <c r="S80" s="1904"/>
      <c r="T80" s="1904"/>
      <c r="U80" s="1904"/>
      <c r="V80" s="1904"/>
      <c r="W80" s="1904"/>
      <c r="X80" s="1904"/>
      <c r="Y80" s="1904"/>
      <c r="Z80" s="1904"/>
      <c r="AA80" s="1904"/>
      <c r="AB80" s="1904"/>
      <c r="AC80" s="1904"/>
      <c r="AD80" s="1904"/>
      <c r="AE80" s="1904"/>
      <c r="AF80" s="1904"/>
      <c r="AG80" s="1904"/>
      <c r="AH80" s="1904"/>
      <c r="AI80" s="1904"/>
      <c r="AJ80" s="1904"/>
      <c r="AK80" s="1904"/>
      <c r="AL80" s="1904"/>
      <c r="AM80" s="1904"/>
      <c r="AN80" s="1904"/>
      <c r="AO80" s="1904"/>
      <c r="AP80" s="1904"/>
      <c r="AQ80" s="1904"/>
      <c r="AR80" s="1904"/>
      <c r="AS80" s="1904"/>
      <c r="AT80" s="1904"/>
    </row>
    <row r="81" spans="2:46" s="636" customFormat="1" ht="15.6">
      <c r="B81" s="1945"/>
      <c r="C81" s="1948"/>
      <c r="D81" s="1948"/>
      <c r="E81" s="1948"/>
      <c r="F81" s="1948"/>
      <c r="G81" s="1948"/>
      <c r="H81" s="1948"/>
      <c r="I81" s="1948"/>
      <c r="L81" s="1945"/>
      <c r="M81" s="1949"/>
      <c r="N81" s="1943"/>
      <c r="O81" s="1904"/>
      <c r="P81" s="1904"/>
      <c r="Q81" s="1904"/>
      <c r="R81" s="1904"/>
      <c r="S81" s="1904"/>
      <c r="T81" s="1904"/>
      <c r="U81" s="1904"/>
      <c r="V81" s="1904"/>
      <c r="W81" s="1904"/>
      <c r="X81" s="1904"/>
      <c r="Y81" s="1904"/>
      <c r="Z81" s="1904"/>
      <c r="AA81" s="1904"/>
      <c r="AB81" s="1904"/>
      <c r="AC81" s="1904"/>
      <c r="AD81" s="1904"/>
      <c r="AE81" s="1904"/>
      <c r="AF81" s="1904"/>
      <c r="AG81" s="1904"/>
      <c r="AH81" s="1904"/>
      <c r="AI81" s="1904"/>
      <c r="AJ81" s="1904"/>
      <c r="AK81" s="1904"/>
      <c r="AL81" s="1904"/>
      <c r="AM81" s="1904"/>
      <c r="AN81" s="1904"/>
      <c r="AO81" s="1904"/>
      <c r="AP81" s="1904"/>
      <c r="AQ81" s="1904"/>
      <c r="AR81" s="1904"/>
      <c r="AS81" s="1904"/>
      <c r="AT81" s="1904"/>
    </row>
    <row r="82" spans="2:46" s="636" customFormat="1" ht="15.6">
      <c r="B82" s="1945"/>
      <c r="C82" s="2452" t="s">
        <v>463</v>
      </c>
      <c r="D82" s="2453"/>
      <c r="E82" s="2453"/>
      <c r="F82" s="2454"/>
      <c r="G82" s="2448" t="s">
        <v>2463</v>
      </c>
      <c r="H82" s="2442" t="s">
        <v>2464</v>
      </c>
      <c r="I82" s="2444"/>
      <c r="J82" s="2450" t="s">
        <v>824</v>
      </c>
      <c r="K82" s="2450" t="s">
        <v>2227</v>
      </c>
      <c r="L82" s="1945"/>
      <c r="M82" s="1949"/>
      <c r="N82" s="1943"/>
      <c r="O82" s="1904"/>
      <c r="P82" s="1904"/>
      <c r="Q82" s="1904"/>
      <c r="R82" s="1904"/>
      <c r="S82" s="1904"/>
      <c r="T82" s="1904"/>
      <c r="U82" s="1904"/>
      <c r="V82" s="1904"/>
      <c r="W82" s="1904"/>
      <c r="X82" s="1904"/>
      <c r="Y82" s="1904"/>
      <c r="Z82" s="1904"/>
      <c r="AA82" s="1904"/>
      <c r="AB82" s="1904"/>
      <c r="AC82" s="1904"/>
      <c r="AD82" s="1904"/>
      <c r="AE82" s="1904"/>
      <c r="AF82" s="1904"/>
      <c r="AG82" s="1904"/>
      <c r="AH82" s="1904"/>
      <c r="AI82" s="1904"/>
      <c r="AJ82" s="1904"/>
      <c r="AK82" s="1904"/>
      <c r="AL82" s="1904"/>
      <c r="AM82" s="1904"/>
      <c r="AN82" s="1904"/>
      <c r="AO82" s="1904"/>
      <c r="AP82" s="1904"/>
      <c r="AQ82" s="1904"/>
      <c r="AR82" s="1904"/>
      <c r="AS82" s="1904"/>
      <c r="AT82" s="1904"/>
    </row>
    <row r="83" spans="2:46" s="636" customFormat="1" ht="15.6">
      <c r="B83" s="1945"/>
      <c r="C83" s="2455"/>
      <c r="D83" s="2456"/>
      <c r="E83" s="2456"/>
      <c r="F83" s="2457"/>
      <c r="G83" s="2449"/>
      <c r="H83" s="1950" t="s">
        <v>2465</v>
      </c>
      <c r="I83" s="1950" t="s">
        <v>2466</v>
      </c>
      <c r="J83" s="2451"/>
      <c r="K83" s="2451"/>
      <c r="L83" s="1945"/>
      <c r="M83" s="1949"/>
      <c r="N83" s="1943"/>
      <c r="O83" s="1904"/>
      <c r="P83" s="1904"/>
      <c r="Q83" s="1904"/>
      <c r="R83" s="1904"/>
      <c r="S83" s="1904"/>
      <c r="T83" s="1904"/>
      <c r="U83" s="1904"/>
      <c r="V83" s="1904"/>
      <c r="W83" s="1904"/>
      <c r="X83" s="1904"/>
      <c r="Y83" s="1904"/>
      <c r="Z83" s="1904"/>
      <c r="AA83" s="1904"/>
      <c r="AB83" s="1904"/>
      <c r="AC83" s="1904"/>
      <c r="AD83" s="1904"/>
      <c r="AE83" s="1904"/>
      <c r="AF83" s="1904"/>
      <c r="AG83" s="1904"/>
      <c r="AH83" s="1904"/>
      <c r="AI83" s="1904"/>
      <c r="AJ83" s="1904"/>
      <c r="AK83" s="1904"/>
      <c r="AL83" s="1904"/>
      <c r="AM83" s="1904"/>
      <c r="AN83" s="1904"/>
      <c r="AO83" s="1904"/>
      <c r="AP83" s="1904"/>
      <c r="AQ83" s="1904"/>
      <c r="AR83" s="1904"/>
      <c r="AS83" s="1904"/>
      <c r="AT83" s="1904"/>
    </row>
    <row r="84" spans="2:46" s="636" customFormat="1" ht="15.6">
      <c r="B84" s="1945"/>
      <c r="C84" s="2445" t="s">
        <v>2467</v>
      </c>
      <c r="D84" s="2446"/>
      <c r="E84" s="2446"/>
      <c r="F84" s="2447"/>
      <c r="G84" s="1951">
        <v>0</v>
      </c>
      <c r="H84" s="1951">
        <f>+J84-I84</f>
        <v>18395606</v>
      </c>
      <c r="I84" s="1951">
        <v>10039411</v>
      </c>
      <c r="J84" s="1952">
        <v>28435017</v>
      </c>
      <c r="K84" s="1953">
        <f>+J84</f>
        <v>28435017</v>
      </c>
      <c r="L84" s="1945"/>
      <c r="M84" s="1949"/>
      <c r="N84" s="1943"/>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4"/>
      <c r="AK84" s="1904"/>
      <c r="AL84" s="1904"/>
      <c r="AM84" s="1904"/>
      <c r="AN84" s="1904"/>
      <c r="AO84" s="1904"/>
      <c r="AP84" s="1904"/>
      <c r="AQ84" s="1904"/>
      <c r="AR84" s="1904"/>
      <c r="AS84" s="1904"/>
      <c r="AT84" s="1904"/>
    </row>
    <row r="85" spans="2:46" s="636" customFormat="1" ht="15.6">
      <c r="B85" s="1945"/>
      <c r="C85" s="2445" t="s">
        <v>2468</v>
      </c>
      <c r="D85" s="2446"/>
      <c r="E85" s="2446"/>
      <c r="F85" s="2447"/>
      <c r="G85" s="1951">
        <v>0</v>
      </c>
      <c r="H85" s="1954">
        <f>+J85-I85</f>
        <v>-11260589</v>
      </c>
      <c r="I85" s="1951">
        <v>-10039411</v>
      </c>
      <c r="J85" s="1952">
        <v>-21300000</v>
      </c>
      <c r="K85" s="1953">
        <f>+K84+J85</f>
        <v>7135017</v>
      </c>
      <c r="L85" s="1945"/>
      <c r="M85" s="1949"/>
      <c r="N85" s="1943"/>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4"/>
      <c r="AK85" s="1904"/>
      <c r="AL85" s="1904"/>
      <c r="AM85" s="1904"/>
      <c r="AN85" s="1904"/>
      <c r="AO85" s="1904"/>
      <c r="AP85" s="1904"/>
      <c r="AQ85" s="1904"/>
      <c r="AR85" s="1904"/>
      <c r="AS85" s="1904"/>
      <c r="AT85" s="1904"/>
    </row>
    <row r="86" spans="2:46" s="636" customFormat="1" ht="15.6">
      <c r="B86" s="1945"/>
      <c r="C86" s="2442" t="s">
        <v>2227</v>
      </c>
      <c r="D86" s="2443"/>
      <c r="E86" s="2443"/>
      <c r="F86" s="2444"/>
      <c r="G86" s="1955">
        <v>0</v>
      </c>
      <c r="H86" s="1956">
        <f>+SUM(H84:H85)</f>
        <v>7135017</v>
      </c>
      <c r="I86" s="1956">
        <f>+SUM(I84:I85)</f>
        <v>0</v>
      </c>
      <c r="J86" s="1957"/>
      <c r="K86" s="1957"/>
      <c r="L86" s="1945"/>
      <c r="M86" s="1949"/>
      <c r="N86" s="1943"/>
      <c r="O86" s="1904"/>
      <c r="P86" s="1904"/>
      <c r="Q86" s="1904"/>
      <c r="R86" s="1904"/>
      <c r="S86" s="1904"/>
      <c r="T86" s="1904"/>
      <c r="U86" s="1904"/>
      <c r="V86" s="1904"/>
      <c r="W86" s="1904"/>
      <c r="X86" s="1904"/>
      <c r="Y86" s="1904"/>
      <c r="Z86" s="1904"/>
      <c r="AA86" s="1904"/>
      <c r="AB86" s="1904"/>
      <c r="AC86" s="1904"/>
      <c r="AD86" s="1904"/>
      <c r="AE86" s="1904"/>
      <c r="AF86" s="1904"/>
      <c r="AG86" s="1904"/>
      <c r="AH86" s="1904"/>
      <c r="AI86" s="1904"/>
      <c r="AJ86" s="1904"/>
      <c r="AK86" s="1904"/>
      <c r="AL86" s="1904"/>
      <c r="AM86" s="1904"/>
      <c r="AN86" s="1904"/>
      <c r="AO86" s="1904"/>
      <c r="AP86" s="1904"/>
      <c r="AQ86" s="1904"/>
      <c r="AR86" s="1904"/>
      <c r="AS86" s="1904"/>
      <c r="AT86" s="1904"/>
    </row>
    <row r="87" spans="2:46" s="636" customFormat="1" ht="15.6">
      <c r="B87" s="1945"/>
      <c r="C87" s="2445" t="s">
        <v>2469</v>
      </c>
      <c r="D87" s="2446"/>
      <c r="E87" s="2446"/>
      <c r="F87" s="2447"/>
      <c r="G87" s="1951">
        <v>0</v>
      </c>
      <c r="H87" s="1951">
        <v>-1635017</v>
      </c>
      <c r="I87" s="1951">
        <v>0</v>
      </c>
      <c r="J87" s="1952">
        <f>+SUM(H87:I87)</f>
        <v>-1635017</v>
      </c>
      <c r="K87" s="1953">
        <f>+K85+J87</f>
        <v>5500000</v>
      </c>
      <c r="L87" s="1945"/>
      <c r="M87" s="1949"/>
      <c r="N87" s="1943"/>
      <c r="O87" s="1904"/>
      <c r="P87" s="1904"/>
      <c r="Q87" s="1904"/>
      <c r="R87" s="1904"/>
      <c r="S87" s="1904"/>
      <c r="T87" s="1904"/>
      <c r="U87" s="1904"/>
      <c r="V87" s="1904"/>
      <c r="W87" s="1904"/>
      <c r="X87" s="1904"/>
      <c r="Y87" s="1904"/>
      <c r="Z87" s="1904"/>
      <c r="AA87" s="1904"/>
      <c r="AB87" s="1904"/>
      <c r="AC87" s="1904"/>
      <c r="AD87" s="1904"/>
      <c r="AE87" s="1904"/>
      <c r="AF87" s="1904"/>
      <c r="AG87" s="1904"/>
      <c r="AH87" s="1904"/>
      <c r="AI87" s="1904"/>
      <c r="AJ87" s="1904"/>
      <c r="AK87" s="1904"/>
      <c r="AL87" s="1904"/>
      <c r="AM87" s="1904"/>
      <c r="AN87" s="1904"/>
      <c r="AO87" s="1904"/>
      <c r="AP87" s="1904"/>
      <c r="AQ87" s="1904"/>
      <c r="AR87" s="1904"/>
      <c r="AS87" s="1904"/>
      <c r="AT87" s="1904"/>
    </row>
    <row r="88" spans="2:46" s="636" customFormat="1" ht="15.6">
      <c r="B88" s="1945"/>
      <c r="C88" s="2445"/>
      <c r="D88" s="2446"/>
      <c r="E88" s="2446"/>
      <c r="F88" s="2447"/>
      <c r="G88" s="1958"/>
      <c r="H88" s="1958"/>
      <c r="I88" s="1958"/>
      <c r="J88" s="1957"/>
      <c r="K88" s="1957"/>
      <c r="L88" s="1945"/>
      <c r="M88" s="1949"/>
      <c r="N88" s="1943"/>
      <c r="O88" s="1904"/>
      <c r="P88" s="1904"/>
      <c r="Q88" s="1904"/>
      <c r="R88" s="1904"/>
      <c r="S88" s="1904"/>
      <c r="T88" s="1904"/>
      <c r="U88" s="1904"/>
      <c r="V88" s="1904"/>
      <c r="W88" s="1904"/>
      <c r="X88" s="1904"/>
      <c r="Y88" s="1904"/>
      <c r="Z88" s="1904"/>
      <c r="AA88" s="1904"/>
      <c r="AB88" s="1904"/>
      <c r="AC88" s="1904"/>
      <c r="AD88" s="1904"/>
      <c r="AE88" s="1904"/>
      <c r="AF88" s="1904"/>
      <c r="AG88" s="1904"/>
      <c r="AH88" s="1904"/>
      <c r="AI88" s="1904"/>
      <c r="AJ88" s="1904"/>
      <c r="AK88" s="1904"/>
      <c r="AL88" s="1904"/>
      <c r="AM88" s="1904"/>
      <c r="AN88" s="1904"/>
      <c r="AO88" s="1904"/>
      <c r="AP88" s="1904"/>
      <c r="AQ88" s="1904"/>
      <c r="AR88" s="1904"/>
      <c r="AS88" s="1904"/>
      <c r="AT88" s="1904"/>
    </row>
    <row r="89" spans="2:46" s="636" customFormat="1" ht="15.6">
      <c r="B89" s="1945"/>
      <c r="C89" s="1959"/>
      <c r="D89" s="1959"/>
      <c r="E89" s="1959"/>
      <c r="F89" s="1959"/>
      <c r="G89" s="1959"/>
      <c r="H89" s="1959"/>
      <c r="I89" s="1959"/>
      <c r="J89" s="1945"/>
      <c r="K89" s="1945"/>
      <c r="L89" s="1945"/>
      <c r="M89" s="1949"/>
      <c r="N89" s="1943"/>
      <c r="O89" s="1904"/>
      <c r="P89" s="1904"/>
      <c r="Q89" s="1904"/>
      <c r="R89" s="1904"/>
      <c r="S89" s="1904"/>
      <c r="T89" s="1904"/>
      <c r="U89" s="1904"/>
      <c r="V89" s="1904"/>
      <c r="W89" s="1904"/>
      <c r="X89" s="1904"/>
      <c r="Y89" s="1904"/>
      <c r="Z89" s="1904"/>
      <c r="AA89" s="1904"/>
      <c r="AB89" s="1904"/>
      <c r="AC89" s="1904"/>
      <c r="AD89" s="1904"/>
      <c r="AE89" s="1904"/>
      <c r="AF89" s="1904"/>
      <c r="AG89" s="1904"/>
      <c r="AH89" s="1904"/>
      <c r="AI89" s="1904"/>
      <c r="AJ89" s="1904"/>
      <c r="AK89" s="1904"/>
      <c r="AL89" s="1904"/>
      <c r="AM89" s="1904"/>
      <c r="AN89" s="1904"/>
      <c r="AO89" s="1904"/>
      <c r="AP89" s="1904"/>
      <c r="AQ89" s="1904"/>
      <c r="AR89" s="1904"/>
      <c r="AS89" s="1904"/>
      <c r="AT89" s="1904"/>
    </row>
    <row r="90" spans="2:46" s="636" customFormat="1" ht="15.6">
      <c r="B90" s="1945"/>
      <c r="C90" s="1948" t="s">
        <v>2462</v>
      </c>
      <c r="D90" s="1948"/>
      <c r="E90" s="1948"/>
      <c r="F90" s="1948"/>
      <c r="G90" s="1948"/>
      <c r="H90" s="1948"/>
      <c r="I90" s="1948"/>
      <c r="L90" s="1945"/>
      <c r="M90" s="1949"/>
      <c r="N90" s="1943"/>
      <c r="O90" s="1904"/>
      <c r="P90" s="1904"/>
      <c r="Q90" s="1904"/>
      <c r="R90" s="1904"/>
      <c r="S90" s="1904"/>
      <c r="T90" s="1904"/>
      <c r="U90" s="1904"/>
      <c r="V90" s="1904"/>
      <c r="W90" s="1904"/>
      <c r="X90" s="1904"/>
      <c r="Y90" s="1904"/>
      <c r="Z90" s="1904"/>
      <c r="AA90" s="1904"/>
      <c r="AB90" s="1904"/>
      <c r="AC90" s="1904"/>
      <c r="AD90" s="1904"/>
      <c r="AE90" s="1904"/>
      <c r="AF90" s="1904"/>
      <c r="AG90" s="1904"/>
      <c r="AH90" s="1904"/>
      <c r="AI90" s="1904"/>
      <c r="AJ90" s="1904"/>
      <c r="AK90" s="1904"/>
      <c r="AL90" s="1904"/>
      <c r="AM90" s="1904"/>
      <c r="AN90" s="1904"/>
      <c r="AO90" s="1904"/>
      <c r="AP90" s="1904"/>
      <c r="AQ90" s="1904"/>
      <c r="AR90" s="1904"/>
      <c r="AS90" s="1904"/>
      <c r="AT90" s="1904"/>
    </row>
    <row r="91" spans="2:46" s="636" customFormat="1" ht="15.6">
      <c r="B91" s="1945"/>
      <c r="C91" s="1948"/>
      <c r="D91" s="1948"/>
      <c r="E91" s="1948"/>
      <c r="F91" s="1948"/>
      <c r="G91" s="1948"/>
      <c r="H91" s="1948"/>
      <c r="I91" s="1948"/>
      <c r="L91" s="1945"/>
      <c r="M91" s="1949"/>
      <c r="N91" s="1943"/>
      <c r="O91" s="1904"/>
      <c r="P91" s="1904"/>
      <c r="Q91" s="1904"/>
      <c r="R91" s="1904"/>
      <c r="S91" s="1904"/>
      <c r="T91" s="1904"/>
      <c r="U91" s="1904"/>
      <c r="V91" s="1904"/>
      <c r="W91" s="1904"/>
      <c r="X91" s="1904"/>
      <c r="Y91" s="1904"/>
      <c r="Z91" s="1904"/>
      <c r="AA91" s="1904"/>
      <c r="AB91" s="1904"/>
      <c r="AC91" s="1904"/>
      <c r="AD91" s="1904"/>
      <c r="AE91" s="1904"/>
      <c r="AF91" s="1904"/>
      <c r="AG91" s="1904"/>
      <c r="AH91" s="1904"/>
      <c r="AI91" s="1904"/>
      <c r="AJ91" s="1904"/>
      <c r="AK91" s="1904"/>
      <c r="AL91" s="1904"/>
      <c r="AM91" s="1904"/>
      <c r="AN91" s="1904"/>
      <c r="AO91" s="1904"/>
      <c r="AP91" s="1904"/>
      <c r="AQ91" s="1904"/>
      <c r="AR91" s="1904"/>
      <c r="AS91" s="1904"/>
      <c r="AT91" s="1904"/>
    </row>
    <row r="92" spans="2:46" s="636" customFormat="1" ht="15.6">
      <c r="B92" s="1945"/>
      <c r="C92" s="2452" t="s">
        <v>463</v>
      </c>
      <c r="D92" s="2453"/>
      <c r="E92" s="2453"/>
      <c r="F92" s="2454"/>
      <c r="G92" s="2448" t="s">
        <v>2463</v>
      </c>
      <c r="H92" s="2442" t="s">
        <v>2464</v>
      </c>
      <c r="I92" s="2444"/>
      <c r="J92" s="2450" t="s">
        <v>824</v>
      </c>
      <c r="K92" s="2450" t="s">
        <v>2227</v>
      </c>
      <c r="L92" s="1945"/>
      <c r="M92" s="1949"/>
      <c r="N92" s="1943"/>
      <c r="O92" s="1904"/>
      <c r="P92" s="1904"/>
      <c r="Q92" s="1904"/>
      <c r="R92" s="1904"/>
      <c r="S92" s="1904"/>
      <c r="T92" s="1904"/>
      <c r="U92" s="1904"/>
      <c r="V92" s="1904"/>
      <c r="W92" s="1904"/>
      <c r="X92" s="1904"/>
      <c r="Y92" s="1904"/>
      <c r="Z92" s="1904"/>
      <c r="AA92" s="1904"/>
      <c r="AB92" s="1904"/>
      <c r="AC92" s="1904"/>
      <c r="AD92" s="1904"/>
      <c r="AE92" s="1904"/>
      <c r="AF92" s="1904"/>
      <c r="AG92" s="1904"/>
      <c r="AH92" s="1904"/>
      <c r="AI92" s="1904"/>
      <c r="AJ92" s="1904"/>
      <c r="AK92" s="1904"/>
      <c r="AL92" s="1904"/>
      <c r="AM92" s="1904"/>
      <c r="AN92" s="1904"/>
      <c r="AO92" s="1904"/>
      <c r="AP92" s="1904"/>
      <c r="AQ92" s="1904"/>
      <c r="AR92" s="1904"/>
      <c r="AS92" s="1904"/>
      <c r="AT92" s="1904"/>
    </row>
    <row r="93" spans="2:46" s="636" customFormat="1" ht="15.6">
      <c r="B93" s="1945"/>
      <c r="C93" s="2455"/>
      <c r="D93" s="2456"/>
      <c r="E93" s="2456"/>
      <c r="F93" s="2457"/>
      <c r="G93" s="2449"/>
      <c r="H93" s="1950" t="s">
        <v>2465</v>
      </c>
      <c r="I93" s="1950" t="s">
        <v>2466</v>
      </c>
      <c r="J93" s="2451"/>
      <c r="K93" s="2451"/>
      <c r="L93" s="1945"/>
      <c r="M93" s="1949"/>
      <c r="N93" s="1943"/>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4"/>
      <c r="AK93" s="1904"/>
      <c r="AL93" s="1904"/>
      <c r="AM93" s="1904"/>
      <c r="AN93" s="1904"/>
      <c r="AO93" s="1904"/>
      <c r="AP93" s="1904"/>
      <c r="AQ93" s="1904"/>
      <c r="AR93" s="1904"/>
      <c r="AS93" s="1904"/>
      <c r="AT93" s="1904"/>
    </row>
    <row r="94" spans="2:46" s="636" customFormat="1" ht="15.6">
      <c r="B94" s="1945"/>
      <c r="C94" s="2445" t="s">
        <v>2467</v>
      </c>
      <c r="D94" s="2446"/>
      <c r="E94" s="2446"/>
      <c r="F94" s="2447"/>
      <c r="G94" s="1951">
        <v>0</v>
      </c>
      <c r="H94" s="1951">
        <f>+J94-I94</f>
        <v>18395606</v>
      </c>
      <c r="I94" s="1951">
        <v>10039411</v>
      </c>
      <c r="J94" s="1952">
        <v>28435017</v>
      </c>
      <c r="K94" s="1953">
        <f>+J94</f>
        <v>28435017</v>
      </c>
      <c r="L94" s="1945"/>
      <c r="M94" s="1949"/>
      <c r="N94" s="1943"/>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4"/>
      <c r="AK94" s="1904"/>
      <c r="AL94" s="1904"/>
      <c r="AM94" s="1904"/>
      <c r="AN94" s="1904"/>
      <c r="AO94" s="1904"/>
      <c r="AP94" s="1904"/>
      <c r="AQ94" s="1904"/>
      <c r="AR94" s="1904"/>
      <c r="AS94" s="1904"/>
      <c r="AT94" s="1904"/>
    </row>
    <row r="95" spans="2:46" s="636" customFormat="1" ht="15.6">
      <c r="B95" s="1945"/>
      <c r="C95" s="2445" t="s">
        <v>2468</v>
      </c>
      <c r="D95" s="2446"/>
      <c r="E95" s="2446"/>
      <c r="F95" s="2447"/>
      <c r="G95" s="1951">
        <v>0</v>
      </c>
      <c r="H95" s="1954">
        <f>+J95/J94*H94</f>
        <v>-13779714.209420027</v>
      </c>
      <c r="I95" s="1951">
        <f>+J95/J94*I94</f>
        <v>-7520285.7905799747</v>
      </c>
      <c r="J95" s="1952">
        <v>-21300000</v>
      </c>
      <c r="K95" s="1953">
        <f>+K94+J95</f>
        <v>7135017</v>
      </c>
      <c r="L95" s="1945"/>
      <c r="M95" s="1949"/>
      <c r="N95" s="1943"/>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4"/>
      <c r="AK95" s="1904"/>
      <c r="AL95" s="1904"/>
      <c r="AM95" s="1904"/>
      <c r="AN95" s="1904"/>
      <c r="AO95" s="1904"/>
      <c r="AP95" s="1904"/>
      <c r="AQ95" s="1904"/>
      <c r="AR95" s="1904"/>
      <c r="AS95" s="1904"/>
      <c r="AT95" s="1904"/>
    </row>
    <row r="96" spans="2:46" s="636" customFormat="1" ht="15.6">
      <c r="B96" s="1945"/>
      <c r="C96" s="2442" t="s">
        <v>2227</v>
      </c>
      <c r="D96" s="2443"/>
      <c r="E96" s="2443"/>
      <c r="F96" s="2444"/>
      <c r="G96" s="1955">
        <v>0</v>
      </c>
      <c r="H96" s="1956">
        <f>+SUM(H94:H95)</f>
        <v>4615891.7905799728</v>
      </c>
      <c r="I96" s="1956">
        <f>+SUM(I94:I95)</f>
        <v>2519125.2094200253</v>
      </c>
      <c r="J96" s="1957"/>
      <c r="K96" s="1957"/>
      <c r="L96" s="1945"/>
      <c r="M96" s="1949"/>
      <c r="N96" s="1943"/>
      <c r="O96" s="1904"/>
      <c r="P96" s="1904"/>
      <c r="Q96" s="1904"/>
      <c r="R96" s="1904"/>
      <c r="S96" s="1904"/>
      <c r="T96" s="1904"/>
      <c r="U96" s="1904"/>
      <c r="V96" s="1904"/>
      <c r="W96" s="1904"/>
      <c r="X96" s="1904"/>
      <c r="Y96" s="1904"/>
      <c r="Z96" s="1904"/>
      <c r="AA96" s="1904"/>
      <c r="AB96" s="1904"/>
      <c r="AC96" s="1904"/>
      <c r="AD96" s="1904"/>
      <c r="AE96" s="1904"/>
      <c r="AF96" s="1904"/>
      <c r="AG96" s="1904"/>
      <c r="AH96" s="1904"/>
      <c r="AI96" s="1904"/>
      <c r="AJ96" s="1904"/>
      <c r="AK96" s="1904"/>
      <c r="AL96" s="1904"/>
      <c r="AM96" s="1904"/>
      <c r="AN96" s="1904"/>
      <c r="AO96" s="1904"/>
      <c r="AP96" s="1904"/>
      <c r="AQ96" s="1904"/>
      <c r="AR96" s="1904"/>
      <c r="AS96" s="1904"/>
      <c r="AT96" s="1904"/>
    </row>
    <row r="97" spans="2:46" s="636" customFormat="1" ht="15.6">
      <c r="B97" s="1945"/>
      <c r="C97" s="2445" t="s">
        <v>2469</v>
      </c>
      <c r="D97" s="2446"/>
      <c r="E97" s="2446"/>
      <c r="F97" s="2447"/>
      <c r="G97" s="1951">
        <v>0</v>
      </c>
      <c r="H97" s="1951">
        <f>+J97/J94*H94</f>
        <v>-1057749.623828324</v>
      </c>
      <c r="I97" s="1951">
        <f>+J97/J94*I94</f>
        <v>-577267.37617167586</v>
      </c>
      <c r="J97" s="1952">
        <v>-1635017</v>
      </c>
      <c r="K97" s="1953">
        <f>+K95+J97</f>
        <v>5500000</v>
      </c>
      <c r="L97" s="1945"/>
      <c r="M97" s="1949"/>
      <c r="N97" s="1943"/>
      <c r="O97" s="1904"/>
      <c r="P97" s="1904"/>
      <c r="Q97" s="1904"/>
      <c r="R97" s="1904"/>
      <c r="S97" s="1904"/>
      <c r="T97" s="1904"/>
      <c r="U97" s="1904"/>
      <c r="V97" s="1904"/>
      <c r="W97" s="1904"/>
      <c r="X97" s="1904"/>
      <c r="Y97" s="1904"/>
      <c r="Z97" s="1904"/>
      <c r="AA97" s="1904"/>
      <c r="AB97" s="1904"/>
      <c r="AC97" s="1904"/>
      <c r="AD97" s="1904"/>
      <c r="AE97" s="1904"/>
      <c r="AF97" s="1904"/>
      <c r="AG97" s="1904"/>
      <c r="AH97" s="1904"/>
      <c r="AI97" s="1904"/>
      <c r="AJ97" s="1904"/>
      <c r="AK97" s="1904"/>
      <c r="AL97" s="1904"/>
      <c r="AM97" s="1904"/>
      <c r="AN97" s="1904"/>
      <c r="AO97" s="1904"/>
      <c r="AP97" s="1904"/>
      <c r="AQ97" s="1904"/>
      <c r="AR97" s="1904"/>
      <c r="AS97" s="1904"/>
      <c r="AT97" s="1904"/>
    </row>
    <row r="98" spans="2:46" s="636" customFormat="1" ht="15.6">
      <c r="B98" s="1945"/>
      <c r="C98" s="2445"/>
      <c r="D98" s="2446"/>
      <c r="E98" s="2446"/>
      <c r="F98" s="2447"/>
      <c r="G98" s="1958"/>
      <c r="H98" s="1954">
        <f>+H96+H97</f>
        <v>3558142.1667516488</v>
      </c>
      <c r="I98" s="1954">
        <f>+I96+I97</f>
        <v>1941857.8332483494</v>
      </c>
      <c r="J98" s="1957"/>
      <c r="K98" s="1957"/>
      <c r="L98" s="1945"/>
      <c r="M98" s="1949"/>
      <c r="N98" s="1943"/>
      <c r="O98" s="1904"/>
      <c r="P98" s="1904"/>
      <c r="Q98" s="1904"/>
      <c r="R98" s="1904"/>
      <c r="S98" s="1904"/>
      <c r="T98" s="1904"/>
      <c r="U98" s="1904"/>
      <c r="V98" s="1904"/>
      <c r="W98" s="1904"/>
      <c r="X98" s="1904"/>
      <c r="Y98" s="1904"/>
      <c r="Z98" s="1904"/>
      <c r="AA98" s="1904"/>
      <c r="AB98" s="1904"/>
      <c r="AC98" s="1904"/>
      <c r="AD98" s="1904"/>
      <c r="AE98" s="1904"/>
      <c r="AF98" s="1904"/>
      <c r="AG98" s="1904"/>
      <c r="AH98" s="1904"/>
      <c r="AI98" s="1904"/>
      <c r="AJ98" s="1904"/>
      <c r="AK98" s="1904"/>
      <c r="AL98" s="1904"/>
      <c r="AM98" s="1904"/>
      <c r="AN98" s="1904"/>
      <c r="AO98" s="1904"/>
      <c r="AP98" s="1904"/>
      <c r="AQ98" s="1904"/>
      <c r="AR98" s="1904"/>
      <c r="AS98" s="1904"/>
      <c r="AT98" s="1904"/>
    </row>
    <row r="99" spans="2:46" s="636" customFormat="1" ht="15.6">
      <c r="B99" s="1945"/>
      <c r="C99" s="1945"/>
      <c r="D99" s="1945"/>
      <c r="E99" s="1945"/>
      <c r="F99" s="1945"/>
      <c r="G99" s="1945"/>
      <c r="H99" s="1945"/>
      <c r="I99" s="1945"/>
      <c r="J99" s="1945"/>
      <c r="K99" s="1945"/>
      <c r="L99" s="1945"/>
      <c r="M99" s="1949"/>
      <c r="N99" s="1943"/>
      <c r="O99" s="1904"/>
      <c r="P99" s="1904"/>
      <c r="Q99" s="1904"/>
      <c r="R99" s="1904"/>
      <c r="S99" s="1904"/>
      <c r="T99" s="1904"/>
      <c r="U99" s="1904"/>
      <c r="V99" s="1904"/>
      <c r="W99" s="1904"/>
      <c r="X99" s="1904"/>
      <c r="Y99" s="1904"/>
      <c r="Z99" s="1904"/>
      <c r="AA99" s="1904"/>
      <c r="AB99" s="1904"/>
      <c r="AC99" s="1904"/>
      <c r="AD99" s="1904"/>
      <c r="AE99" s="1904"/>
      <c r="AF99" s="1904"/>
      <c r="AG99" s="1904"/>
      <c r="AH99" s="1904"/>
      <c r="AI99" s="1904"/>
      <c r="AJ99" s="1904"/>
      <c r="AK99" s="1904"/>
      <c r="AL99" s="1904"/>
      <c r="AM99" s="1904"/>
      <c r="AN99" s="1904"/>
      <c r="AO99" s="1904"/>
      <c r="AP99" s="1904"/>
      <c r="AQ99" s="1904"/>
      <c r="AR99" s="1904"/>
      <c r="AS99" s="1904"/>
      <c r="AT99" s="1904"/>
    </row>
    <row r="100" spans="2:46" s="636" customFormat="1" ht="15.6">
      <c r="B100" s="1945"/>
      <c r="C100" s="1945"/>
      <c r="D100" s="1945"/>
      <c r="E100" s="1945"/>
      <c r="F100" s="1945"/>
      <c r="G100" s="1945"/>
      <c r="H100" s="1945"/>
      <c r="I100" s="1945"/>
      <c r="J100" s="1945"/>
      <c r="K100" s="1945"/>
      <c r="L100" s="1945"/>
      <c r="M100" s="1949"/>
      <c r="N100" s="1943"/>
      <c r="O100" s="1904"/>
      <c r="P100" s="1904"/>
      <c r="Q100" s="1904"/>
      <c r="R100" s="1904"/>
      <c r="S100" s="1904"/>
      <c r="T100" s="1904"/>
      <c r="U100" s="1904"/>
      <c r="V100" s="1904"/>
      <c r="W100" s="1904"/>
      <c r="X100" s="1904"/>
      <c r="Y100" s="1904"/>
      <c r="Z100" s="1904"/>
      <c r="AA100" s="1904"/>
      <c r="AB100" s="1904"/>
      <c r="AC100" s="1904"/>
      <c r="AD100" s="1904"/>
      <c r="AE100" s="1904"/>
      <c r="AF100" s="1904"/>
      <c r="AG100" s="1904"/>
      <c r="AH100" s="1904"/>
      <c r="AI100" s="1904"/>
      <c r="AJ100" s="1904"/>
      <c r="AK100" s="1904"/>
      <c r="AL100" s="1904"/>
      <c r="AM100" s="1904"/>
      <c r="AN100" s="1904"/>
      <c r="AO100" s="1904"/>
      <c r="AP100" s="1904"/>
      <c r="AQ100" s="1904"/>
      <c r="AR100" s="1904"/>
      <c r="AS100" s="1904"/>
      <c r="AT100" s="1904"/>
    </row>
    <row r="101" spans="2:46" s="636" customFormat="1" ht="15.6">
      <c r="B101" s="1945"/>
      <c r="C101" s="1945"/>
      <c r="D101" s="1945"/>
      <c r="E101" s="1945"/>
      <c r="F101" s="1945"/>
      <c r="G101" s="1945"/>
      <c r="H101" s="1945"/>
      <c r="I101" s="1945"/>
      <c r="J101" s="1945"/>
      <c r="K101" s="1945"/>
      <c r="L101" s="1945"/>
      <c r="M101" s="1949"/>
      <c r="N101" s="1943"/>
      <c r="O101" s="1904"/>
      <c r="P101" s="1904"/>
      <c r="Q101" s="1904"/>
      <c r="R101" s="1904"/>
      <c r="S101" s="1904"/>
      <c r="T101" s="1904"/>
      <c r="U101" s="1904"/>
      <c r="V101" s="1904"/>
      <c r="W101" s="1904"/>
      <c r="X101" s="1904"/>
      <c r="Y101" s="1904"/>
      <c r="Z101" s="1904"/>
      <c r="AA101" s="1904"/>
      <c r="AB101" s="1904"/>
      <c r="AC101" s="1904"/>
      <c r="AD101" s="1904"/>
      <c r="AE101" s="1904"/>
      <c r="AF101" s="1904"/>
      <c r="AG101" s="1904"/>
      <c r="AH101" s="1904"/>
      <c r="AI101" s="1904"/>
      <c r="AJ101" s="1904"/>
      <c r="AK101" s="1904"/>
      <c r="AL101" s="1904"/>
      <c r="AM101" s="1904"/>
      <c r="AN101" s="1904"/>
      <c r="AO101" s="1904"/>
      <c r="AP101" s="1904"/>
      <c r="AQ101" s="1904"/>
      <c r="AR101" s="1904"/>
      <c r="AS101" s="1904"/>
      <c r="AT101" s="1904"/>
    </row>
    <row r="102" spans="2:46" s="636" customFormat="1" ht="15.6">
      <c r="B102" s="1945"/>
      <c r="C102" s="1945"/>
      <c r="D102" s="1945"/>
      <c r="E102" s="1945"/>
      <c r="F102" s="1945"/>
      <c r="G102" s="1945"/>
      <c r="H102" s="1945"/>
      <c r="I102" s="1945"/>
      <c r="J102" s="1945"/>
      <c r="K102" s="1945"/>
      <c r="L102" s="1945"/>
      <c r="M102" s="1949"/>
      <c r="N102" s="1943"/>
      <c r="O102" s="1904"/>
      <c r="P102" s="1904"/>
      <c r="Q102" s="1904"/>
      <c r="R102" s="1904"/>
      <c r="S102" s="1904"/>
      <c r="T102" s="1904"/>
      <c r="U102" s="1904"/>
      <c r="V102" s="1904"/>
      <c r="W102" s="1904"/>
      <c r="X102" s="1904"/>
      <c r="Y102" s="1904"/>
      <c r="Z102" s="1904"/>
      <c r="AA102" s="1904"/>
      <c r="AB102" s="1904"/>
      <c r="AC102" s="1904"/>
      <c r="AD102" s="1904"/>
      <c r="AE102" s="1904"/>
      <c r="AF102" s="1904"/>
      <c r="AG102" s="1904"/>
      <c r="AH102" s="1904"/>
      <c r="AI102" s="1904"/>
      <c r="AJ102" s="1904"/>
      <c r="AK102" s="1904"/>
      <c r="AL102" s="1904"/>
      <c r="AM102" s="1904"/>
      <c r="AN102" s="1904"/>
      <c r="AO102" s="1904"/>
      <c r="AP102" s="1904"/>
      <c r="AQ102" s="1904"/>
      <c r="AR102" s="1904"/>
      <c r="AS102" s="1904"/>
      <c r="AT102" s="1904"/>
    </row>
    <row r="103" spans="2:46" s="636" customFormat="1" ht="15.6">
      <c r="B103" s="1945"/>
      <c r="C103" s="1945"/>
      <c r="D103" s="1945"/>
      <c r="E103" s="1945"/>
      <c r="F103" s="1945"/>
      <c r="G103" s="1945"/>
      <c r="H103" s="1945"/>
      <c r="I103" s="1945"/>
      <c r="J103" s="1945"/>
      <c r="K103" s="1945"/>
      <c r="L103" s="1945"/>
      <c r="M103" s="1949"/>
      <c r="N103" s="1943"/>
      <c r="O103" s="1904"/>
      <c r="P103" s="1904"/>
      <c r="Q103" s="1904"/>
      <c r="R103" s="1904"/>
      <c r="S103" s="1904"/>
      <c r="T103" s="1904"/>
      <c r="U103" s="1904"/>
      <c r="V103" s="1904"/>
      <c r="W103" s="1904"/>
      <c r="X103" s="1904"/>
      <c r="Y103" s="1904"/>
      <c r="Z103" s="1904"/>
      <c r="AA103" s="1904"/>
      <c r="AB103" s="1904"/>
      <c r="AC103" s="1904"/>
      <c r="AD103" s="1904"/>
      <c r="AE103" s="1904"/>
      <c r="AF103" s="1904"/>
      <c r="AG103" s="1904"/>
      <c r="AH103" s="1904"/>
      <c r="AI103" s="1904"/>
      <c r="AJ103" s="1904"/>
      <c r="AK103" s="1904"/>
      <c r="AL103" s="1904"/>
      <c r="AM103" s="1904"/>
      <c r="AN103" s="1904"/>
      <c r="AO103" s="1904"/>
      <c r="AP103" s="1904"/>
      <c r="AQ103" s="1904"/>
      <c r="AR103" s="1904"/>
      <c r="AS103" s="1904"/>
      <c r="AT103" s="1904"/>
    </row>
    <row r="104" spans="2:46" s="636" customFormat="1" ht="15.6">
      <c r="B104" s="1945"/>
      <c r="C104" s="1945"/>
      <c r="D104" s="1945"/>
      <c r="E104" s="1945"/>
      <c r="F104" s="1945"/>
      <c r="G104" s="1945"/>
      <c r="H104" s="1945"/>
      <c r="I104" s="1945"/>
      <c r="J104" s="1945"/>
      <c r="K104" s="1945"/>
      <c r="L104" s="1945"/>
      <c r="M104" s="1949"/>
      <c r="N104" s="1943"/>
      <c r="O104" s="1904"/>
      <c r="P104" s="1904"/>
      <c r="Q104" s="1904"/>
      <c r="R104" s="1904"/>
      <c r="S104" s="1904"/>
      <c r="T104" s="1904"/>
      <c r="U104" s="1904"/>
      <c r="V104" s="1904"/>
      <c r="W104" s="1904"/>
      <c r="X104" s="1904"/>
      <c r="Y104" s="1904"/>
      <c r="Z104" s="1904"/>
      <c r="AA104" s="1904"/>
      <c r="AB104" s="1904"/>
      <c r="AC104" s="1904"/>
      <c r="AD104" s="1904"/>
      <c r="AE104" s="1904"/>
      <c r="AF104" s="1904"/>
      <c r="AG104" s="1904"/>
      <c r="AH104" s="1904"/>
      <c r="AI104" s="1904"/>
      <c r="AJ104" s="1904"/>
      <c r="AK104" s="1904"/>
      <c r="AL104" s="1904"/>
      <c r="AM104" s="1904"/>
      <c r="AN104" s="1904"/>
      <c r="AO104" s="1904"/>
      <c r="AP104" s="1904"/>
      <c r="AQ104" s="1904"/>
      <c r="AR104" s="1904"/>
      <c r="AS104" s="1904"/>
      <c r="AT104" s="1904"/>
    </row>
    <row r="105" spans="2:46" s="636" customFormat="1" ht="15.6">
      <c r="B105" s="1945"/>
      <c r="C105" s="1945"/>
      <c r="D105" s="1945"/>
      <c r="E105" s="1945"/>
      <c r="F105" s="1945"/>
      <c r="G105" s="1945"/>
      <c r="H105" s="1945"/>
      <c r="I105" s="1945"/>
      <c r="J105" s="1945"/>
      <c r="K105" s="1945"/>
      <c r="L105" s="1945"/>
      <c r="M105" s="1949"/>
      <c r="N105" s="1943"/>
      <c r="O105" s="1904"/>
      <c r="P105" s="1904"/>
      <c r="Q105" s="1904"/>
      <c r="R105" s="1904"/>
      <c r="S105" s="1904"/>
      <c r="T105" s="1904"/>
      <c r="U105" s="1904"/>
      <c r="V105" s="1904"/>
      <c r="W105" s="1904"/>
      <c r="X105" s="1904"/>
      <c r="Y105" s="1904"/>
      <c r="Z105" s="1904"/>
      <c r="AA105" s="1904"/>
      <c r="AB105" s="1904"/>
      <c r="AC105" s="1904"/>
      <c r="AD105" s="1904"/>
      <c r="AE105" s="1904"/>
      <c r="AF105" s="1904"/>
      <c r="AG105" s="1904"/>
      <c r="AH105" s="1904"/>
      <c r="AI105" s="1904"/>
      <c r="AJ105" s="1904"/>
      <c r="AK105" s="1904"/>
      <c r="AL105" s="1904"/>
      <c r="AM105" s="1904"/>
      <c r="AN105" s="1904"/>
      <c r="AO105" s="1904"/>
      <c r="AP105" s="1904"/>
      <c r="AQ105" s="1904"/>
      <c r="AR105" s="1904"/>
      <c r="AS105" s="1904"/>
      <c r="AT105" s="1904"/>
    </row>
    <row r="106" spans="2:46" s="636" customFormat="1" ht="15.6">
      <c r="B106" s="1945"/>
      <c r="C106" s="1945"/>
      <c r="D106" s="1945"/>
      <c r="E106" s="1945"/>
      <c r="F106" s="1945"/>
      <c r="G106" s="1945"/>
      <c r="H106" s="1945"/>
      <c r="I106" s="1960"/>
      <c r="J106" s="1960"/>
      <c r="K106" s="1960"/>
      <c r="L106" s="1960"/>
      <c r="M106" s="1961"/>
      <c r="N106" s="1944"/>
      <c r="O106" s="1904"/>
      <c r="P106" s="1904"/>
      <c r="Q106" s="1904"/>
      <c r="R106" s="1904"/>
      <c r="S106" s="1904"/>
      <c r="T106" s="1904"/>
      <c r="U106" s="1904"/>
      <c r="V106" s="1904"/>
      <c r="W106" s="1904"/>
      <c r="X106" s="1904"/>
      <c r="Y106" s="1904"/>
      <c r="Z106" s="1904"/>
      <c r="AA106" s="1904"/>
      <c r="AB106" s="1904"/>
      <c r="AC106" s="1904"/>
      <c r="AD106" s="1904"/>
      <c r="AE106" s="1904"/>
      <c r="AF106" s="1904"/>
      <c r="AG106" s="1904"/>
      <c r="AH106" s="1904"/>
      <c r="AI106" s="1904"/>
      <c r="AJ106" s="1904"/>
      <c r="AK106" s="1904"/>
      <c r="AL106" s="1904"/>
      <c r="AM106" s="1904"/>
      <c r="AN106" s="1904"/>
      <c r="AO106" s="1904"/>
      <c r="AP106" s="1904"/>
      <c r="AQ106" s="1904"/>
      <c r="AR106" s="1904"/>
      <c r="AS106" s="1904"/>
      <c r="AT106" s="1904"/>
    </row>
    <row r="107" spans="2:46" s="636" customFormat="1" ht="15.6">
      <c r="B107" s="1962" t="s">
        <v>2470</v>
      </c>
      <c r="C107" s="1945"/>
      <c r="D107" s="1945"/>
      <c r="E107" s="1945"/>
      <c r="F107" s="1945"/>
      <c r="G107" s="1945"/>
      <c r="H107" s="1945"/>
      <c r="I107" s="1960"/>
      <c r="J107" s="1960"/>
      <c r="K107" s="1960"/>
      <c r="L107" s="1960"/>
      <c r="M107" s="1961"/>
      <c r="N107" s="1944"/>
      <c r="O107" s="1904"/>
      <c r="P107" s="1904"/>
      <c r="Q107" s="1904"/>
      <c r="R107" s="1904"/>
      <c r="S107" s="1904"/>
      <c r="T107" s="1904"/>
      <c r="U107" s="1904"/>
      <c r="V107" s="1904"/>
      <c r="W107" s="1904"/>
      <c r="X107" s="1904"/>
      <c r="Y107" s="1904"/>
      <c r="Z107" s="1904"/>
      <c r="AA107" s="1904"/>
      <c r="AB107" s="1904"/>
      <c r="AC107" s="1904"/>
      <c r="AD107" s="1904"/>
      <c r="AE107" s="1904"/>
      <c r="AF107" s="1904"/>
      <c r="AG107" s="1904"/>
      <c r="AH107" s="1904"/>
      <c r="AI107" s="1904"/>
      <c r="AJ107" s="1904"/>
      <c r="AK107" s="1904"/>
      <c r="AL107" s="1904"/>
      <c r="AM107" s="1904"/>
      <c r="AN107" s="1904"/>
      <c r="AO107" s="1904"/>
      <c r="AP107" s="1904"/>
      <c r="AQ107" s="1904"/>
      <c r="AR107" s="1904"/>
      <c r="AS107" s="1904"/>
      <c r="AT107" s="1904"/>
    </row>
    <row r="108" spans="2:46" s="636" customFormat="1" ht="15.6">
      <c r="B108" s="1945"/>
      <c r="C108" s="1945"/>
      <c r="D108" s="1945"/>
      <c r="E108" s="1945"/>
      <c r="F108" s="1945"/>
      <c r="G108" s="1945"/>
      <c r="H108" s="1945"/>
      <c r="I108" s="1960"/>
      <c r="J108" s="1960"/>
      <c r="K108" s="1960"/>
      <c r="L108" s="1960"/>
      <c r="M108" s="1961"/>
      <c r="N108" s="1944"/>
      <c r="O108" s="1904"/>
      <c r="P108" s="1904"/>
      <c r="Q108" s="1904"/>
      <c r="R108" s="1904"/>
      <c r="S108" s="1904"/>
      <c r="T108" s="1904"/>
      <c r="U108" s="1904"/>
      <c r="V108" s="1904"/>
      <c r="W108" s="1904"/>
      <c r="X108" s="1904"/>
      <c r="Y108" s="1904"/>
      <c r="Z108" s="1904"/>
      <c r="AA108" s="1904"/>
      <c r="AB108" s="1904"/>
      <c r="AC108" s="1904"/>
      <c r="AD108" s="1904"/>
      <c r="AE108" s="1904"/>
      <c r="AF108" s="1904"/>
      <c r="AG108" s="1904"/>
      <c r="AH108" s="1904"/>
      <c r="AI108" s="1904"/>
      <c r="AJ108" s="1904"/>
      <c r="AK108" s="1904"/>
      <c r="AL108" s="1904"/>
      <c r="AM108" s="1904"/>
      <c r="AN108" s="1904"/>
      <c r="AO108" s="1904"/>
      <c r="AP108" s="1904"/>
      <c r="AQ108" s="1904"/>
      <c r="AR108" s="1904"/>
      <c r="AS108" s="1904"/>
      <c r="AT108" s="1904"/>
    </row>
    <row r="109" spans="2:46" s="636" customFormat="1" ht="15.6">
      <c r="B109" s="1963" t="s">
        <v>2471</v>
      </c>
      <c r="C109" s="1964"/>
      <c r="D109" s="1964"/>
      <c r="E109" s="1964"/>
      <c r="F109" s="1945"/>
      <c r="G109" s="1945"/>
      <c r="H109" s="1945"/>
      <c r="I109" s="1965"/>
      <c r="J109" s="1965" t="s">
        <v>2472</v>
      </c>
      <c r="K109" s="1966"/>
      <c r="L109" s="1966"/>
      <c r="M109" s="1961"/>
      <c r="N109" s="1944"/>
      <c r="O109" s="1904"/>
      <c r="P109" s="1904"/>
      <c r="Q109" s="1904"/>
      <c r="R109" s="1904"/>
      <c r="S109" s="1904"/>
      <c r="T109" s="1904"/>
      <c r="U109" s="1904"/>
      <c r="V109" s="1904"/>
      <c r="W109" s="1904"/>
      <c r="X109" s="1904"/>
      <c r="Y109" s="1904"/>
      <c r="Z109" s="1904"/>
      <c r="AA109" s="1904"/>
      <c r="AB109" s="1904"/>
      <c r="AC109" s="1904"/>
      <c r="AD109" s="1904"/>
      <c r="AE109" s="1904"/>
      <c r="AF109" s="1904"/>
      <c r="AG109" s="1904"/>
      <c r="AH109" s="1904"/>
      <c r="AI109" s="1904"/>
      <c r="AJ109" s="1904"/>
      <c r="AK109" s="1904"/>
      <c r="AL109" s="1904"/>
      <c r="AM109" s="1904"/>
      <c r="AN109" s="1904"/>
      <c r="AO109" s="1904"/>
      <c r="AP109" s="1904"/>
      <c r="AQ109" s="1904"/>
      <c r="AR109" s="1904"/>
      <c r="AS109" s="1904"/>
      <c r="AT109" s="1904"/>
    </row>
    <row r="110" spans="2:46" s="636" customFormat="1" ht="15.6">
      <c r="B110" s="1967" t="s">
        <v>2473</v>
      </c>
      <c r="C110" s="1945"/>
      <c r="D110" s="1968"/>
      <c r="E110" s="1945"/>
      <c r="F110" s="1945"/>
      <c r="G110" s="1945"/>
      <c r="H110" s="1945"/>
      <c r="I110" s="1969"/>
      <c r="J110" s="1970" t="s">
        <v>2474</v>
      </c>
      <c r="K110" s="1971" t="s">
        <v>2475</v>
      </c>
      <c r="L110" s="1972"/>
      <c r="M110" s="1961"/>
      <c r="N110" s="194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4"/>
      <c r="AK110" s="1904"/>
      <c r="AL110" s="1904"/>
      <c r="AM110" s="1904"/>
      <c r="AN110" s="1904"/>
      <c r="AO110" s="1904"/>
      <c r="AP110" s="1904"/>
      <c r="AQ110" s="1904"/>
      <c r="AR110" s="1904"/>
      <c r="AS110" s="1904"/>
      <c r="AT110" s="1904"/>
    </row>
    <row r="111" spans="2:46" s="636" customFormat="1" ht="15.6">
      <c r="B111" s="1967"/>
      <c r="C111" s="1945"/>
      <c r="D111" s="1968"/>
      <c r="E111" s="1945"/>
      <c r="F111" s="1945"/>
      <c r="G111" s="1945"/>
      <c r="H111" s="1945"/>
      <c r="I111" s="1969"/>
      <c r="J111" s="1973">
        <f>K49</f>
        <v>0</v>
      </c>
      <c r="K111" s="1974">
        <f>K59</f>
        <v>0</v>
      </c>
      <c r="L111" s="1975"/>
      <c r="M111" s="1961"/>
      <c r="N111" s="194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4"/>
      <c r="AK111" s="1904"/>
      <c r="AL111" s="1904"/>
      <c r="AM111" s="1904"/>
      <c r="AN111" s="1904"/>
      <c r="AO111" s="1904"/>
      <c r="AP111" s="1904"/>
      <c r="AQ111" s="1904"/>
      <c r="AR111" s="1904"/>
      <c r="AS111" s="1904"/>
      <c r="AT111" s="1904"/>
    </row>
    <row r="112" spans="2:46" s="636" customFormat="1" ht="15.6">
      <c r="B112" s="1945" t="s">
        <v>2476</v>
      </c>
      <c r="C112" s="1945"/>
      <c r="D112" s="1968">
        <f>'[76]Balance Sheet'!F28</f>
        <v>0</v>
      </c>
      <c r="E112" s="1945"/>
      <c r="F112" s="1945"/>
      <c r="G112" s="1945"/>
      <c r="H112" s="1945"/>
      <c r="I112" s="1976" t="s">
        <v>2477</v>
      </c>
      <c r="J112" s="1973">
        <f>J111*7%</f>
        <v>0</v>
      </c>
      <c r="K112" s="1974">
        <f>K111*7%</f>
        <v>0</v>
      </c>
      <c r="L112" s="1975"/>
      <c r="M112" s="1961"/>
      <c r="N112" s="194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4"/>
      <c r="AK112" s="1904"/>
      <c r="AL112" s="1904"/>
      <c r="AM112" s="1904"/>
      <c r="AN112" s="1904"/>
      <c r="AO112" s="1904"/>
      <c r="AP112" s="1904"/>
      <c r="AQ112" s="1904"/>
      <c r="AR112" s="1904"/>
      <c r="AS112" s="1904"/>
      <c r="AT112" s="1904"/>
    </row>
    <row r="113" spans="2:46" s="636" customFormat="1" ht="15.6">
      <c r="B113" s="1945" t="s">
        <v>2478</v>
      </c>
      <c r="C113" s="1945"/>
      <c r="D113" s="1968">
        <f>'[76]Balance Sheet'!F29</f>
        <v>26922650</v>
      </c>
      <c r="E113" s="1945"/>
      <c r="F113" s="1945"/>
      <c r="G113" s="1945"/>
      <c r="H113" s="1945"/>
      <c r="I113" s="1976" t="s">
        <v>2479</v>
      </c>
      <c r="J113" s="1977">
        <f>SUM(J111:J112)*3%</f>
        <v>0</v>
      </c>
      <c r="K113" s="1978">
        <f>SUM(K111:K112)*3%</f>
        <v>0</v>
      </c>
      <c r="L113" s="1975"/>
      <c r="M113" s="1961"/>
      <c r="N113" s="194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4"/>
      <c r="AK113" s="1904"/>
      <c r="AL113" s="1904"/>
      <c r="AM113" s="1904"/>
      <c r="AN113" s="1904"/>
      <c r="AO113" s="1904"/>
      <c r="AP113" s="1904"/>
      <c r="AQ113" s="1904"/>
      <c r="AR113" s="1904"/>
      <c r="AS113" s="1904"/>
      <c r="AT113" s="1904"/>
    </row>
    <row r="114" spans="2:46" s="636" customFormat="1" ht="15.6">
      <c r="B114" s="1945" t="s">
        <v>2480</v>
      </c>
      <c r="C114" s="1945"/>
      <c r="D114" s="1968">
        <f>'[76]Balance Sheet'!F33</f>
        <v>26922640</v>
      </c>
      <c r="E114" s="1979">
        <f>D112+D113+D114</f>
        <v>53845290</v>
      </c>
      <c r="F114" s="1945"/>
      <c r="G114" s="1945"/>
      <c r="H114" s="1945"/>
      <c r="I114" s="1969"/>
      <c r="J114" s="1973">
        <f>SUM(J111:J113)</f>
        <v>0</v>
      </c>
      <c r="K114" s="1974">
        <f>SUM(K111:K113)</f>
        <v>0</v>
      </c>
      <c r="L114" s="1980">
        <f>K114-J114</f>
        <v>0</v>
      </c>
      <c r="M114" s="1961"/>
      <c r="N114" s="194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4"/>
      <c r="AK114" s="1904"/>
      <c r="AL114" s="1904"/>
      <c r="AM114" s="1904"/>
      <c r="AN114" s="1904"/>
      <c r="AO114" s="1904"/>
      <c r="AP114" s="1904"/>
      <c r="AQ114" s="1904"/>
      <c r="AR114" s="1904"/>
      <c r="AS114" s="1904"/>
      <c r="AT114" s="1904"/>
    </row>
    <row r="115" spans="2:46" s="636" customFormat="1" ht="15.6">
      <c r="B115" s="1945" t="s">
        <v>2481</v>
      </c>
      <c r="C115" s="1945"/>
      <c r="D115" s="1945"/>
      <c r="E115" s="1945"/>
      <c r="F115" s="1945"/>
      <c r="G115" s="1945"/>
      <c r="H115" s="1945"/>
      <c r="I115" s="1969"/>
      <c r="J115" s="1981"/>
      <c r="K115" s="1982"/>
      <c r="L115" s="1983"/>
      <c r="M115" s="1961"/>
      <c r="N115" s="194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4"/>
      <c r="AK115" s="1904"/>
      <c r="AL115" s="1904"/>
      <c r="AM115" s="1904"/>
      <c r="AN115" s="1904"/>
      <c r="AO115" s="1904"/>
      <c r="AP115" s="1904"/>
      <c r="AQ115" s="1904"/>
      <c r="AR115" s="1904"/>
      <c r="AS115" s="1904"/>
      <c r="AT115" s="1904"/>
    </row>
    <row r="116" spans="2:46" s="636" customFormat="1" ht="15.6">
      <c r="B116" s="1945"/>
      <c r="C116" s="1945"/>
      <c r="D116" s="1945"/>
      <c r="E116" s="1945"/>
      <c r="F116" s="1945"/>
      <c r="G116" s="1945"/>
      <c r="H116" s="1945"/>
      <c r="I116" s="1960"/>
      <c r="J116" s="1960"/>
      <c r="K116" s="1960"/>
      <c r="L116" s="1960"/>
      <c r="M116" s="1961"/>
      <c r="N116" s="194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4"/>
      <c r="AK116" s="1904"/>
      <c r="AL116" s="1904"/>
      <c r="AM116" s="1904"/>
      <c r="AN116" s="1904"/>
      <c r="AO116" s="1904"/>
      <c r="AP116" s="1904"/>
      <c r="AQ116" s="1904"/>
      <c r="AR116" s="1904"/>
      <c r="AS116" s="1904"/>
      <c r="AT116" s="1904"/>
    </row>
    <row r="117" spans="2:46" s="636" customFormat="1" ht="15.6">
      <c r="B117" s="1945"/>
      <c r="C117" s="1945"/>
      <c r="D117" s="1945"/>
      <c r="E117" s="1945"/>
      <c r="F117" s="1945"/>
      <c r="G117" s="1945"/>
      <c r="H117" s="1945"/>
      <c r="I117" s="1960"/>
      <c r="J117" s="1960"/>
      <c r="K117" s="1960"/>
      <c r="L117" s="1960"/>
      <c r="M117" s="1961"/>
      <c r="N117" s="1944"/>
      <c r="O117" s="1904"/>
      <c r="P117" s="1904"/>
      <c r="Q117" s="1904"/>
      <c r="R117" s="1904"/>
      <c r="S117" s="1904"/>
      <c r="T117" s="1904"/>
      <c r="U117" s="1904"/>
      <c r="V117" s="1904"/>
      <c r="W117" s="1904"/>
      <c r="X117" s="1904"/>
      <c r="Y117" s="1904"/>
      <c r="Z117" s="1904"/>
      <c r="AA117" s="1904"/>
      <c r="AB117" s="1904"/>
      <c r="AC117" s="1904"/>
      <c r="AD117" s="1904"/>
      <c r="AE117" s="1904"/>
      <c r="AF117" s="1904"/>
      <c r="AG117" s="1904"/>
      <c r="AH117" s="1904"/>
      <c r="AI117" s="1904"/>
      <c r="AJ117" s="1904"/>
      <c r="AK117" s="1904"/>
      <c r="AL117" s="1904"/>
      <c r="AM117" s="1904"/>
      <c r="AN117" s="1904"/>
      <c r="AO117" s="1904"/>
      <c r="AP117" s="1904"/>
      <c r="AQ117" s="1904"/>
      <c r="AR117" s="1904"/>
      <c r="AS117" s="1904"/>
      <c r="AT117" s="1904"/>
    </row>
    <row r="118" spans="2:46" s="636" customFormat="1" ht="15.6">
      <c r="B118" s="1945" t="s">
        <v>2482</v>
      </c>
      <c r="C118" s="1945"/>
      <c r="D118" s="1945">
        <v>0</v>
      </c>
      <c r="E118" s="1945">
        <f>D118</f>
        <v>0</v>
      </c>
      <c r="F118" s="1945"/>
      <c r="G118" s="1945"/>
      <c r="H118" s="1945"/>
      <c r="I118" s="1960"/>
      <c r="J118" s="1960"/>
      <c r="K118" s="1960"/>
      <c r="L118" s="1960"/>
      <c r="M118" s="1961"/>
      <c r="N118" s="1944"/>
      <c r="O118" s="1904"/>
      <c r="P118" s="1904"/>
      <c r="Q118" s="1904"/>
      <c r="R118" s="1904"/>
      <c r="S118" s="1904"/>
      <c r="T118" s="1904"/>
      <c r="U118" s="1904"/>
      <c r="V118" s="1904"/>
      <c r="W118" s="1904"/>
      <c r="X118" s="1904"/>
      <c r="Y118" s="1904"/>
      <c r="Z118" s="1904"/>
      <c r="AA118" s="1904"/>
      <c r="AB118" s="1904"/>
      <c r="AC118" s="1904"/>
      <c r="AD118" s="1904"/>
      <c r="AE118" s="1904"/>
      <c r="AF118" s="1904"/>
      <c r="AG118" s="1904"/>
      <c r="AH118" s="1904"/>
      <c r="AI118" s="1904"/>
      <c r="AJ118" s="1904"/>
      <c r="AK118" s="1904"/>
      <c r="AL118" s="1904"/>
      <c r="AM118" s="1904"/>
      <c r="AN118" s="1904"/>
      <c r="AO118" s="1904"/>
      <c r="AP118" s="1904"/>
      <c r="AQ118" s="1904"/>
      <c r="AR118" s="1904"/>
      <c r="AS118" s="1904"/>
      <c r="AT118" s="1904"/>
    </row>
    <row r="119" spans="2:46" s="636" customFormat="1" ht="15.6">
      <c r="B119" s="1945"/>
      <c r="C119" s="1945"/>
      <c r="D119" s="1945"/>
      <c r="E119" s="1968">
        <f>E114-E118</f>
        <v>53845290</v>
      </c>
      <c r="F119" s="1945"/>
      <c r="G119" s="1945"/>
      <c r="H119" s="1945"/>
      <c r="I119" s="1960"/>
      <c r="J119" s="1960"/>
      <c r="K119" s="1960"/>
      <c r="L119" s="1960"/>
      <c r="M119" s="1961"/>
      <c r="N119" s="1944"/>
      <c r="O119" s="1904"/>
      <c r="P119" s="1904"/>
      <c r="Q119" s="1904"/>
      <c r="R119" s="1904"/>
      <c r="S119" s="1904"/>
      <c r="T119" s="1904"/>
      <c r="U119" s="1904"/>
      <c r="V119" s="1904"/>
      <c r="W119" s="1904"/>
      <c r="X119" s="1904"/>
      <c r="Y119" s="1904"/>
      <c r="Z119" s="1904"/>
      <c r="AA119" s="1904"/>
      <c r="AB119" s="1904"/>
      <c r="AC119" s="1904"/>
      <c r="AD119" s="1904"/>
      <c r="AE119" s="1904"/>
      <c r="AF119" s="1904"/>
      <c r="AG119" s="1904"/>
      <c r="AH119" s="1904"/>
      <c r="AI119" s="1904"/>
      <c r="AJ119" s="1904"/>
      <c r="AK119" s="1904"/>
      <c r="AL119" s="1904"/>
      <c r="AM119" s="1904"/>
      <c r="AN119" s="1904"/>
      <c r="AO119" s="1904"/>
      <c r="AP119" s="1904"/>
      <c r="AQ119" s="1904"/>
      <c r="AR119" s="1904"/>
      <c r="AS119" s="1904"/>
      <c r="AT119" s="1904"/>
    </row>
    <row r="120" spans="2:46" s="636" customFormat="1" ht="15.6">
      <c r="B120" s="1945"/>
      <c r="C120" s="1945"/>
      <c r="D120" s="1945"/>
      <c r="E120" s="1945"/>
      <c r="F120" s="1945"/>
      <c r="G120" s="1945"/>
      <c r="H120" s="1945"/>
      <c r="I120" s="1960"/>
      <c r="J120" s="1960"/>
      <c r="K120" s="1960"/>
      <c r="L120" s="1960"/>
      <c r="M120" s="1961"/>
      <c r="N120" s="1944"/>
      <c r="O120" s="1904"/>
      <c r="P120" s="1904"/>
      <c r="Q120" s="1904"/>
      <c r="R120" s="1904"/>
      <c r="S120" s="1904"/>
      <c r="T120" s="1904"/>
      <c r="U120" s="1904"/>
      <c r="V120" s="1904"/>
      <c r="W120" s="1904"/>
      <c r="X120" s="1904"/>
      <c r="Y120" s="1904"/>
      <c r="Z120" s="1904"/>
      <c r="AA120" s="1904"/>
      <c r="AB120" s="1904"/>
      <c r="AC120" s="1904"/>
      <c r="AD120" s="1904"/>
      <c r="AE120" s="1904"/>
      <c r="AF120" s="1904"/>
      <c r="AG120" s="1904"/>
      <c r="AH120" s="1904"/>
      <c r="AI120" s="1904"/>
      <c r="AJ120" s="1904"/>
      <c r="AK120" s="1904"/>
      <c r="AL120" s="1904"/>
      <c r="AM120" s="1904"/>
      <c r="AN120" s="1904"/>
      <c r="AO120" s="1904"/>
      <c r="AP120" s="1904"/>
      <c r="AQ120" s="1904"/>
      <c r="AR120" s="1904"/>
      <c r="AS120" s="1904"/>
      <c r="AT120" s="1904"/>
    </row>
    <row r="121" spans="2:46" s="636" customFormat="1" ht="15.6">
      <c r="B121" s="1945" t="s">
        <v>2483</v>
      </c>
      <c r="C121" s="1945"/>
      <c r="D121" s="1945"/>
      <c r="E121" s="1945"/>
      <c r="F121" s="1945"/>
      <c r="G121" s="1945"/>
      <c r="H121" s="1945"/>
      <c r="I121" s="1960"/>
      <c r="J121" s="1960"/>
      <c r="K121" s="1960"/>
      <c r="L121" s="1960"/>
      <c r="M121" s="1961"/>
      <c r="N121" s="1944"/>
      <c r="O121" s="1904"/>
      <c r="P121" s="1904"/>
      <c r="Q121" s="1904"/>
      <c r="R121" s="1904"/>
      <c r="S121" s="1904"/>
      <c r="T121" s="1904"/>
      <c r="U121" s="1904"/>
      <c r="V121" s="1904"/>
      <c r="W121" s="1904"/>
      <c r="X121" s="1904"/>
      <c r="Y121" s="1904"/>
      <c r="Z121" s="1904"/>
      <c r="AA121" s="1904"/>
      <c r="AB121" s="1904"/>
      <c r="AC121" s="1904"/>
      <c r="AD121" s="1904"/>
      <c r="AE121" s="1904"/>
      <c r="AF121" s="1904"/>
      <c r="AG121" s="1904"/>
      <c r="AH121" s="1904"/>
      <c r="AI121" s="1904"/>
      <c r="AJ121" s="1904"/>
      <c r="AK121" s="1904"/>
      <c r="AL121" s="1904"/>
      <c r="AM121" s="1904"/>
      <c r="AN121" s="1904"/>
      <c r="AO121" s="1904"/>
      <c r="AP121" s="1904"/>
      <c r="AQ121" s="1904"/>
      <c r="AR121" s="1904"/>
      <c r="AS121" s="1904"/>
      <c r="AT121" s="1904"/>
    </row>
    <row r="122" spans="2:46" s="636" customFormat="1" ht="15.6">
      <c r="B122" s="1967" t="s">
        <v>2484</v>
      </c>
      <c r="C122" s="1945"/>
      <c r="D122" s="1945"/>
      <c r="E122" s="1984" t="s">
        <v>2485</v>
      </c>
      <c r="F122" s="1985"/>
      <c r="G122" s="1986" t="s">
        <v>2486</v>
      </c>
      <c r="H122" s="1986" t="s">
        <v>2487</v>
      </c>
      <c r="I122" s="1960"/>
      <c r="J122" s="1960"/>
      <c r="K122" s="1960"/>
      <c r="L122" s="1960"/>
      <c r="M122" s="1961"/>
      <c r="N122" s="1944"/>
      <c r="O122" s="1904"/>
      <c r="P122" s="1904"/>
      <c r="Q122" s="1904"/>
      <c r="R122" s="1904"/>
      <c r="S122" s="1904"/>
      <c r="T122" s="1904"/>
      <c r="U122" s="1904"/>
      <c r="V122" s="1904"/>
      <c r="W122" s="1904"/>
      <c r="X122" s="1904"/>
      <c r="Y122" s="1904"/>
      <c r="Z122" s="1904"/>
      <c r="AA122" s="1904"/>
      <c r="AB122" s="1904"/>
      <c r="AC122" s="1904"/>
      <c r="AD122" s="1904"/>
      <c r="AE122" s="1904"/>
      <c r="AF122" s="1904"/>
      <c r="AG122" s="1904"/>
      <c r="AH122" s="1904"/>
      <c r="AI122" s="1904"/>
      <c r="AJ122" s="1904"/>
      <c r="AK122" s="1904"/>
      <c r="AL122" s="1904"/>
      <c r="AM122" s="1904"/>
      <c r="AN122" s="1904"/>
      <c r="AO122" s="1904"/>
      <c r="AP122" s="1904"/>
      <c r="AQ122" s="1904"/>
      <c r="AR122" s="1904"/>
      <c r="AS122" s="1904"/>
      <c r="AT122" s="1904"/>
    </row>
    <row r="123" spans="2:46" s="636" customFormat="1" ht="15.6">
      <c r="B123" s="1987">
        <v>50000000</v>
      </c>
      <c r="C123" s="1968">
        <v>1000000000</v>
      </c>
      <c r="D123" s="1945"/>
      <c r="E123" s="1988"/>
      <c r="F123" s="1989"/>
      <c r="G123" s="1990"/>
      <c r="H123" s="1991"/>
      <c r="I123" s="1960"/>
      <c r="J123" s="1960"/>
      <c r="K123" s="1960"/>
      <c r="L123" s="1960"/>
      <c r="M123" s="1961"/>
      <c r="N123" s="1944"/>
      <c r="O123" s="1904"/>
      <c r="P123" s="1904"/>
      <c r="Q123" s="1904"/>
      <c r="R123" s="1904"/>
      <c r="S123" s="1904"/>
      <c r="T123" s="1904"/>
      <c r="U123" s="1904"/>
      <c r="V123" s="1904"/>
      <c r="W123" s="1904"/>
      <c r="X123" s="1904"/>
      <c r="Y123" s="1904"/>
      <c r="Z123" s="1904"/>
      <c r="AA123" s="1904"/>
      <c r="AB123" s="1904"/>
      <c r="AC123" s="1904"/>
      <c r="AD123" s="1904"/>
      <c r="AE123" s="1904"/>
      <c r="AF123" s="1904"/>
      <c r="AG123" s="1904"/>
      <c r="AH123" s="1904"/>
      <c r="AI123" s="1904"/>
      <c r="AJ123" s="1904"/>
      <c r="AK123" s="1904"/>
      <c r="AL123" s="1904"/>
      <c r="AM123" s="1904"/>
      <c r="AN123" s="1904"/>
      <c r="AO123" s="1904"/>
      <c r="AP123" s="1904"/>
      <c r="AQ123" s="1904"/>
      <c r="AR123" s="1904"/>
      <c r="AS123" s="1904"/>
      <c r="AT123" s="1904"/>
    </row>
    <row r="124" spans="2:46" s="636" customFormat="1" ht="15.6">
      <c r="B124" s="1945"/>
      <c r="C124" s="1968"/>
      <c r="D124" s="1945"/>
      <c r="E124" s="1992">
        <f>4200000</f>
        <v>4200000</v>
      </c>
      <c r="F124" s="1993"/>
      <c r="G124" s="1994">
        <v>2040000</v>
      </c>
      <c r="H124" s="1995">
        <f>E124-G124</f>
        <v>2160000</v>
      </c>
      <c r="I124" s="1960"/>
      <c r="J124" s="1960"/>
      <c r="K124" s="1960"/>
      <c r="L124" s="1960"/>
      <c r="M124" s="1961"/>
      <c r="N124" s="1944"/>
      <c r="O124" s="1904"/>
      <c r="P124" s="1904"/>
      <c r="Q124" s="1904"/>
      <c r="R124" s="1904"/>
      <c r="S124" s="1904"/>
      <c r="T124" s="1904"/>
      <c r="U124" s="1904"/>
      <c r="V124" s="1904"/>
      <c r="W124" s="1904"/>
      <c r="X124" s="1904"/>
      <c r="Y124" s="1904"/>
      <c r="Z124" s="1904"/>
      <c r="AA124" s="1904"/>
      <c r="AB124" s="1904"/>
      <c r="AC124" s="1904"/>
      <c r="AD124" s="1904"/>
      <c r="AE124" s="1904"/>
      <c r="AF124" s="1904"/>
      <c r="AG124" s="1904"/>
      <c r="AH124" s="1904"/>
      <c r="AI124" s="1904"/>
      <c r="AJ124" s="1904"/>
      <c r="AK124" s="1904"/>
      <c r="AL124" s="1904"/>
      <c r="AM124" s="1904"/>
      <c r="AN124" s="1904"/>
      <c r="AO124" s="1904"/>
      <c r="AP124" s="1904"/>
      <c r="AQ124" s="1904"/>
      <c r="AR124" s="1904"/>
      <c r="AS124" s="1904"/>
      <c r="AT124" s="1904"/>
    </row>
    <row r="125" spans="2:46" s="636" customFormat="1">
      <c r="N125" s="1904"/>
      <c r="O125" s="1904"/>
      <c r="P125" s="1904"/>
      <c r="Q125" s="1904"/>
      <c r="R125" s="1904"/>
      <c r="S125" s="1904"/>
      <c r="T125" s="1904"/>
      <c r="U125" s="1904"/>
      <c r="V125" s="1904"/>
      <c r="W125" s="1904"/>
      <c r="X125" s="1904"/>
      <c r="Y125" s="1904"/>
      <c r="Z125" s="1904"/>
      <c r="AA125" s="1904"/>
      <c r="AB125" s="1904"/>
      <c r="AC125" s="1904"/>
      <c r="AD125" s="1904"/>
      <c r="AE125" s="1904"/>
      <c r="AF125" s="1904"/>
      <c r="AG125" s="1904"/>
      <c r="AH125" s="1904"/>
      <c r="AI125" s="1904"/>
      <c r="AJ125" s="1904"/>
      <c r="AK125" s="1904"/>
      <c r="AL125" s="1904"/>
      <c r="AM125" s="1904"/>
      <c r="AN125" s="1904"/>
      <c r="AO125" s="1904"/>
      <c r="AP125" s="1904"/>
      <c r="AQ125" s="1904"/>
      <c r="AR125" s="1904"/>
      <c r="AS125" s="1904"/>
      <c r="AT125" s="1904"/>
    </row>
    <row r="126" spans="2:46" s="636" customFormat="1">
      <c r="N126" s="1904"/>
      <c r="O126" s="1904"/>
      <c r="P126" s="1904"/>
      <c r="Q126" s="1904"/>
      <c r="R126" s="1904"/>
      <c r="S126" s="1904"/>
      <c r="T126" s="1904"/>
      <c r="U126" s="1904"/>
      <c r="V126" s="1904"/>
      <c r="W126" s="1904"/>
      <c r="X126" s="1904"/>
      <c r="Y126" s="1904"/>
      <c r="Z126" s="1904"/>
      <c r="AA126" s="1904"/>
      <c r="AB126" s="1904"/>
      <c r="AC126" s="1904"/>
      <c r="AD126" s="1904"/>
      <c r="AE126" s="1904"/>
      <c r="AF126" s="1904"/>
      <c r="AG126" s="1904"/>
      <c r="AH126" s="1904"/>
      <c r="AI126" s="1904"/>
      <c r="AJ126" s="1904"/>
      <c r="AK126" s="1904"/>
      <c r="AL126" s="1904"/>
      <c r="AM126" s="1904"/>
      <c r="AN126" s="1904"/>
      <c r="AO126" s="1904"/>
      <c r="AP126" s="1904"/>
      <c r="AQ126" s="1904"/>
      <c r="AR126" s="1904"/>
      <c r="AS126" s="1904"/>
      <c r="AT126" s="1904"/>
    </row>
    <row r="127" spans="2:46" s="636" customFormat="1">
      <c r="N127" s="1904"/>
      <c r="O127" s="1904"/>
      <c r="P127" s="1904"/>
      <c r="Q127" s="1904"/>
      <c r="R127" s="1904"/>
      <c r="S127" s="1904"/>
      <c r="T127" s="1904"/>
      <c r="U127" s="1904"/>
      <c r="V127" s="1904"/>
      <c r="W127" s="1904"/>
      <c r="X127" s="1904"/>
      <c r="Y127" s="1904"/>
      <c r="Z127" s="1904"/>
      <c r="AA127" s="1904"/>
      <c r="AB127" s="1904"/>
      <c r="AC127" s="1904"/>
      <c r="AD127" s="1904"/>
      <c r="AE127" s="1904"/>
      <c r="AF127" s="1904"/>
      <c r="AG127" s="1904"/>
      <c r="AH127" s="1904"/>
      <c r="AI127" s="1904"/>
      <c r="AJ127" s="1904"/>
      <c r="AK127" s="1904"/>
      <c r="AL127" s="1904"/>
      <c r="AM127" s="1904"/>
      <c r="AN127" s="1904"/>
      <c r="AO127" s="1904"/>
      <c r="AP127" s="1904"/>
      <c r="AQ127" s="1904"/>
      <c r="AR127" s="1904"/>
      <c r="AS127" s="1904"/>
      <c r="AT127" s="1904"/>
    </row>
    <row r="128" spans="2:46" s="636" customFormat="1">
      <c r="N128" s="1904"/>
      <c r="O128" s="1904"/>
      <c r="P128" s="1904"/>
      <c r="Q128" s="1904"/>
      <c r="R128" s="1904"/>
      <c r="S128" s="1904"/>
      <c r="T128" s="1904"/>
      <c r="U128" s="1904"/>
      <c r="V128" s="1904"/>
      <c r="W128" s="1904"/>
      <c r="X128" s="1904"/>
      <c r="Y128" s="1904"/>
      <c r="Z128" s="1904"/>
      <c r="AA128" s="1904"/>
      <c r="AB128" s="1904"/>
      <c r="AC128" s="1904"/>
      <c r="AD128" s="1904"/>
      <c r="AE128" s="1904"/>
      <c r="AF128" s="1904"/>
      <c r="AG128" s="1904"/>
      <c r="AH128" s="1904"/>
      <c r="AI128" s="1904"/>
      <c r="AJ128" s="1904"/>
      <c r="AK128" s="1904"/>
      <c r="AL128" s="1904"/>
      <c r="AM128" s="1904"/>
      <c r="AN128" s="1904"/>
      <c r="AO128" s="1904"/>
      <c r="AP128" s="1904"/>
      <c r="AQ128" s="1904"/>
      <c r="AR128" s="1904"/>
      <c r="AS128" s="1904"/>
      <c r="AT128" s="1904"/>
    </row>
  </sheetData>
  <customSheetViews>
    <customSheetView guid="{ADEA4918-0326-423A-8D00-FB47A486004B}" scale="60" showPageBreaks="1" fitToPage="1" printArea="1" hiddenColumns="1" view="pageBreakPreview">
      <selection activeCell="L37" sqref="L37"/>
      <pageMargins left="0.70866141732283472" right="0.70866141732283472" top="0.74803149606299213" bottom="0.74803149606299213" header="0.31496062992125984" footer="0.31496062992125984"/>
      <pageSetup scale="43" orientation="portrait" r:id="rId1"/>
    </customSheetView>
    <customSheetView guid="{2A78E287-3113-4387-BB62-BE98FA5C13C2}" scale="60" showPageBreaks="1" fitToPage="1" printArea="1" hiddenRows="1" hiddenColumns="1" view="pageBreakPreview">
      <selection activeCell="M16" sqref="M16"/>
      <pageMargins left="0.70866141732283472" right="0.70866141732283472" top="0.74803149606299213" bottom="0.74803149606299213" header="0.31496062992125984" footer="0.31496062992125984"/>
      <pageSetup scale="43" orientation="portrait" r:id="rId2"/>
    </customSheetView>
    <customSheetView guid="{DC5DA12B-0FA6-4F41-A983-6E433AD4604D}" scale="60" showPageBreaks="1" fitToPage="1" printArea="1" hiddenRows="1" hiddenColumns="1" view="pageBreakPreview">
      <selection activeCell="M16" sqref="M16"/>
      <pageMargins left="0.70866141732283472" right="0.70866141732283472" top="0.74803149606299213" bottom="0.74803149606299213" header="0.31496062992125984" footer="0.31496062992125984"/>
      <pageSetup scale="43" orientation="portrait" r:id="rId3"/>
    </customSheetView>
  </customSheetViews>
  <mergeCells count="25">
    <mergeCell ref="C82:F83"/>
    <mergeCell ref="G82:G83"/>
    <mergeCell ref="H82:I82"/>
    <mergeCell ref="J82:J83"/>
    <mergeCell ref="K82:K83"/>
    <mergeCell ref="B12:M12"/>
    <mergeCell ref="J13:K13"/>
    <mergeCell ref="L13:M13"/>
    <mergeCell ref="J14:K14"/>
    <mergeCell ref="B52:I52"/>
    <mergeCell ref="J92:J93"/>
    <mergeCell ref="K92:K93"/>
    <mergeCell ref="C94:F94"/>
    <mergeCell ref="C95:F95"/>
    <mergeCell ref="C84:F84"/>
    <mergeCell ref="C85:F85"/>
    <mergeCell ref="C86:F86"/>
    <mergeCell ref="C87:F87"/>
    <mergeCell ref="C88:F88"/>
    <mergeCell ref="C92:F93"/>
    <mergeCell ref="C96:F96"/>
    <mergeCell ref="C97:F97"/>
    <mergeCell ref="C98:F98"/>
    <mergeCell ref="G92:G93"/>
    <mergeCell ref="H92:I92"/>
  </mergeCells>
  <pageMargins left="0.70866141732283472" right="0.70866141732283472" top="0.74803149606299213" bottom="0.74803149606299213" header="0.31496062992125984" footer="0.31496062992125984"/>
  <pageSetup scale="43"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C2:L40"/>
  <sheetViews>
    <sheetView topLeftCell="A10" zoomScale="80" zoomScaleNormal="80" workbookViewId="0">
      <selection activeCell="I35" sqref="I35"/>
    </sheetView>
  </sheetViews>
  <sheetFormatPr defaultColWidth="8.88671875" defaultRowHeight="14.4"/>
  <cols>
    <col min="3" max="3" width="59.33203125" bestFit="1" customWidth="1"/>
    <col min="4" max="4" width="5.5546875" bestFit="1" customWidth="1"/>
    <col min="6" max="6" width="42.109375" bestFit="1" customWidth="1"/>
    <col min="9" max="9" width="27.44140625" bestFit="1" customWidth="1"/>
    <col min="10" max="10" width="22.44140625" bestFit="1" customWidth="1"/>
    <col min="12" max="12" width="12" bestFit="1" customWidth="1"/>
  </cols>
  <sheetData>
    <row r="2" spans="3:12" ht="15.6">
      <c r="C2" s="2467" t="s">
        <v>2078</v>
      </c>
      <c r="D2" s="2468"/>
      <c r="E2" s="2468"/>
      <c r="F2" s="2468"/>
      <c r="G2" s="2468"/>
      <c r="H2" s="2468"/>
      <c r="I2" s="2468"/>
      <c r="J2" s="2469"/>
    </row>
    <row r="3" spans="3:12" ht="15.6">
      <c r="C3" s="415"/>
      <c r="D3" s="416"/>
      <c r="E3" s="416"/>
      <c r="F3" s="417"/>
      <c r="G3" s="417"/>
      <c r="H3" s="417"/>
      <c r="I3" s="416"/>
      <c r="J3" s="418"/>
    </row>
    <row r="4" spans="3:12" ht="15.6">
      <c r="C4" s="2470" t="s">
        <v>2188</v>
      </c>
      <c r="D4" s="2471"/>
      <c r="E4" s="2471"/>
      <c r="F4" s="2471"/>
      <c r="G4" s="2471"/>
      <c r="H4" s="2471"/>
      <c r="I4" s="2471"/>
      <c r="J4" s="2472"/>
    </row>
    <row r="5" spans="3:12" ht="15.6">
      <c r="C5" s="415"/>
      <c r="D5" s="416"/>
      <c r="E5" s="416"/>
      <c r="F5" s="417"/>
      <c r="G5" s="417"/>
      <c r="H5" s="417"/>
      <c r="I5" s="416"/>
      <c r="J5" s="418"/>
    </row>
    <row r="6" spans="3:12" ht="15.6">
      <c r="C6" s="2473">
        <v>45382</v>
      </c>
      <c r="D6" s="2474"/>
      <c r="E6" s="2474"/>
      <c r="F6" s="2474"/>
      <c r="G6" s="2474"/>
      <c r="H6" s="2474"/>
      <c r="I6" s="2474"/>
      <c r="J6" s="2475"/>
    </row>
    <row r="7" spans="3:12" ht="15.6">
      <c r="C7" s="419"/>
      <c r="D7" s="420"/>
      <c r="E7" s="420"/>
      <c r="F7" s="421"/>
      <c r="G7" s="421"/>
      <c r="H7" s="421"/>
      <c r="I7" s="420"/>
      <c r="J7" s="422">
        <f>+L11</f>
        <v>0.25168000000000001</v>
      </c>
      <c r="L7" s="423">
        <v>0.22</v>
      </c>
    </row>
    <row r="8" spans="3:12" ht="15.6">
      <c r="C8" s="424" t="s">
        <v>463</v>
      </c>
      <c r="D8" s="425"/>
      <c r="E8" s="425"/>
      <c r="F8" s="426"/>
      <c r="G8" s="426"/>
      <c r="H8" s="426"/>
      <c r="I8" s="427" t="s">
        <v>2173</v>
      </c>
      <c r="J8" s="427" t="s">
        <v>2174</v>
      </c>
      <c r="L8" s="428">
        <f>+L7*0.1</f>
        <v>2.2000000000000002E-2</v>
      </c>
    </row>
    <row r="9" spans="3:12" ht="15.6">
      <c r="C9" s="429"/>
      <c r="D9" s="430"/>
      <c r="E9" s="430"/>
      <c r="F9" s="431"/>
      <c r="G9" s="432"/>
      <c r="H9" s="431"/>
      <c r="I9" s="433"/>
      <c r="J9" s="433"/>
      <c r="L9" s="434">
        <f>+L7+L8</f>
        <v>0.24199999999999999</v>
      </c>
    </row>
    <row r="10" spans="3:12" ht="15.6">
      <c r="C10" s="435" t="s">
        <v>3100</v>
      </c>
      <c r="D10" s="436"/>
      <c r="E10" s="436"/>
      <c r="F10" s="437"/>
      <c r="G10" s="438"/>
      <c r="H10" s="437"/>
      <c r="I10" s="438">
        <f>+BSPL!H37</f>
        <v>4105756.9186484311</v>
      </c>
      <c r="J10" s="439"/>
      <c r="L10" s="434">
        <f>+L9*0.04</f>
        <v>9.6799999999999994E-3</v>
      </c>
    </row>
    <row r="11" spans="3:12" ht="15.6">
      <c r="C11" s="440"/>
      <c r="D11" s="441"/>
      <c r="E11" s="441"/>
      <c r="F11" s="442"/>
      <c r="G11" s="443"/>
      <c r="H11" s="442"/>
      <c r="I11" s="444"/>
      <c r="J11" s="444"/>
      <c r="L11" s="445">
        <f>+L9+L10</f>
        <v>0.25168000000000001</v>
      </c>
    </row>
    <row r="12" spans="3:12" ht="15.6">
      <c r="C12" s="446" t="s">
        <v>2175</v>
      </c>
      <c r="D12" s="441"/>
      <c r="E12" s="441"/>
      <c r="F12" s="442"/>
      <c r="G12" s="443"/>
      <c r="H12" s="442"/>
      <c r="I12" s="444"/>
      <c r="J12" s="444"/>
    </row>
    <row r="13" spans="3:12" ht="15.6">
      <c r="C13" s="440" t="s">
        <v>2176</v>
      </c>
      <c r="D13" s="447"/>
      <c r="E13" s="447"/>
      <c r="F13" s="448"/>
      <c r="G13" s="449"/>
      <c r="H13" s="448"/>
      <c r="I13" s="450">
        <f>+SUM(Depreciation!C25:I25)-14518379</f>
        <v>321695739.01074153</v>
      </c>
      <c r="J13" s="444"/>
      <c r="L13" t="s">
        <v>4750</v>
      </c>
    </row>
    <row r="14" spans="3:12" ht="15.6">
      <c r="C14" s="440" t="s">
        <v>2177</v>
      </c>
      <c r="D14" s="447"/>
      <c r="E14" s="447"/>
      <c r="F14" s="448"/>
      <c r="G14" s="449"/>
      <c r="H14" s="448"/>
      <c r="I14" s="450">
        <f>+'IT Dep'!P61-'IT Dep'!P21</f>
        <v>255760614.47024995</v>
      </c>
      <c r="J14" s="444"/>
    </row>
    <row r="15" spans="3:12" ht="16.2" thickBot="1">
      <c r="C15" s="446"/>
      <c r="D15" s="447"/>
      <c r="E15" s="447"/>
      <c r="F15" s="451" t="s">
        <v>2178</v>
      </c>
      <c r="G15" s="452"/>
      <c r="H15" s="451"/>
      <c r="I15" s="453">
        <f>+I13-I14</f>
        <v>65935124.540491581</v>
      </c>
      <c r="J15" s="454">
        <f>I15*$J$7</f>
        <v>16594552.144350922</v>
      </c>
    </row>
    <row r="16" spans="3:12" ht="16.2" thickTop="1">
      <c r="C16" s="446"/>
      <c r="D16" s="447"/>
      <c r="E16" s="447"/>
      <c r="F16" s="448"/>
      <c r="G16" s="449"/>
      <c r="H16" s="448"/>
      <c r="I16" s="449"/>
      <c r="J16" s="444"/>
    </row>
    <row r="17" spans="3:12" ht="15.6">
      <c r="C17" s="440"/>
      <c r="D17" s="447"/>
      <c r="E17" s="447"/>
      <c r="F17" s="448"/>
      <c r="G17" s="449"/>
      <c r="H17" s="448"/>
      <c r="I17" s="444"/>
      <c r="J17" s="444"/>
    </row>
    <row r="18" spans="3:12" ht="15.6">
      <c r="C18" s="440" t="s">
        <v>2179</v>
      </c>
      <c r="D18" s="447"/>
      <c r="E18" s="447"/>
      <c r="F18" s="448"/>
      <c r="G18" s="449"/>
      <c r="H18" s="448"/>
      <c r="I18" s="455">
        <f>+BSPL!G478</f>
        <v>343164</v>
      </c>
      <c r="J18" s="444"/>
    </row>
    <row r="19" spans="3:12" ht="15.6">
      <c r="C19" s="440" t="s">
        <v>2180</v>
      </c>
      <c r="D19" s="447"/>
      <c r="E19" s="447"/>
      <c r="F19" s="448"/>
      <c r="G19" s="449"/>
      <c r="H19" s="448"/>
      <c r="I19" s="455">
        <f>+BSPL!G398+BSPL!G479</f>
        <v>1824458.6999999993</v>
      </c>
      <c r="J19" s="444"/>
    </row>
    <row r="20" spans="3:12" ht="15.6">
      <c r="C20" s="440" t="s">
        <v>2181</v>
      </c>
      <c r="D20" s="447"/>
      <c r="E20" s="447"/>
      <c r="F20" s="448"/>
      <c r="G20" s="449"/>
      <c r="H20" s="448"/>
      <c r="I20" s="455">
        <v>0</v>
      </c>
      <c r="J20" s="444"/>
    </row>
    <row r="21" spans="3:12" ht="16.2" thickBot="1">
      <c r="C21" s="440"/>
      <c r="D21" s="447"/>
      <c r="E21" s="447"/>
      <c r="F21" s="447"/>
      <c r="G21" s="444"/>
      <c r="H21" s="447"/>
      <c r="I21" s="456">
        <f>SUM(I17:I20)</f>
        <v>2167622.6999999993</v>
      </c>
      <c r="J21" s="454">
        <f>I21*$J$7</f>
        <v>545547.28113599983</v>
      </c>
    </row>
    <row r="22" spans="3:12" ht="16.2" thickTop="1">
      <c r="C22" s="440"/>
      <c r="D22" s="447"/>
      <c r="E22" s="447"/>
      <c r="F22" s="448"/>
      <c r="G22" s="449"/>
      <c r="H22" s="448"/>
      <c r="I22" s="457"/>
      <c r="J22" s="443"/>
    </row>
    <row r="23" spans="3:12" ht="15.6">
      <c r="C23" s="440" t="s">
        <v>4746</v>
      </c>
      <c r="D23" s="447"/>
      <c r="E23" s="447"/>
      <c r="F23" s="448"/>
      <c r="G23" s="449"/>
      <c r="H23" s="448"/>
      <c r="I23" s="457">
        <v>45206470</v>
      </c>
      <c r="J23" s="443"/>
    </row>
    <row r="24" spans="3:12" ht="15.6">
      <c r="C24" s="440" t="s">
        <v>4745</v>
      </c>
      <c r="D24" s="447"/>
      <c r="E24" s="447"/>
      <c r="F24" s="448"/>
      <c r="G24" s="449"/>
      <c r="H24" s="448"/>
      <c r="I24" s="917">
        <f>-COI!M38-I25</f>
        <v>47960582.726733334</v>
      </c>
      <c r="J24" s="444"/>
    </row>
    <row r="25" spans="3:12" ht="16.2" thickBot="1">
      <c r="C25" s="440" t="s">
        <v>132</v>
      </c>
      <c r="D25" s="447"/>
      <c r="E25" s="447"/>
      <c r="F25" s="448"/>
      <c r="G25" s="449"/>
      <c r="H25" s="448"/>
      <c r="I25" s="449">
        <f>+'IT Dep'!L61</f>
        <v>24252362.449749999</v>
      </c>
      <c r="J25" s="454">
        <f>(SUM(I23:I25))*$J$7</f>
        <v>29552118.411617327</v>
      </c>
      <c r="L25" s="501"/>
    </row>
    <row r="26" spans="3:12" ht="16.8" thickTop="1" thickBot="1">
      <c r="C26" s="446"/>
      <c r="D26" s="441"/>
      <c r="E26" s="441"/>
      <c r="F26" s="451" t="s">
        <v>2182</v>
      </c>
      <c r="G26" s="452"/>
      <c r="H26" s="451"/>
      <c r="I26" s="453">
        <f>I21+I25+I24+I23</f>
        <v>119587037.87648334</v>
      </c>
      <c r="J26" s="453">
        <f>SUM(J21:J25)</f>
        <v>30097665.692753326</v>
      </c>
    </row>
    <row r="27" spans="3:12" ht="16.2" thickTop="1">
      <c r="C27" s="440"/>
      <c r="D27" s="447"/>
      <c r="E27" s="447"/>
      <c r="F27" s="458"/>
      <c r="G27" s="459"/>
      <c r="H27" s="458"/>
      <c r="I27" s="449"/>
      <c r="J27" s="460"/>
    </row>
    <row r="28" spans="3:12" ht="15.6">
      <c r="C28" s="440" t="s">
        <v>2183</v>
      </c>
      <c r="D28" s="447"/>
      <c r="E28" s="447"/>
      <c r="F28" s="458"/>
      <c r="G28" s="459"/>
      <c r="H28" s="458"/>
      <c r="I28" s="449"/>
      <c r="J28" s="449">
        <f>+J26</f>
        <v>30097665.692753326</v>
      </c>
    </row>
    <row r="29" spans="3:12" ht="15.6">
      <c r="C29" s="440" t="s">
        <v>2184</v>
      </c>
      <c r="D29" s="447"/>
      <c r="E29" s="447"/>
      <c r="F29" s="458"/>
      <c r="G29" s="459"/>
      <c r="H29" s="458"/>
      <c r="I29" s="449"/>
      <c r="J29" s="449">
        <f>+J15</f>
        <v>16594552.144350922</v>
      </c>
    </row>
    <row r="30" spans="3:12" ht="16.2" thickBot="1">
      <c r="C30" s="446"/>
      <c r="D30" s="441"/>
      <c r="E30" s="441"/>
      <c r="F30" s="451" t="str">
        <f>IF(J28&gt;J29,"Net Deferred Tax Asset","Net Deferred Tax Liability")</f>
        <v>Net Deferred Tax Asset</v>
      </c>
      <c r="G30" s="452"/>
      <c r="H30" s="451"/>
      <c r="I30" s="453">
        <f>IF(I28&gt;I29,(I28-I29),(I29-I28))</f>
        <v>0</v>
      </c>
      <c r="J30" s="453">
        <f>IF(J28&gt;J29,(J28-J29),(J29-J28))</f>
        <v>13503113.548402404</v>
      </c>
    </row>
    <row r="31" spans="3:12" ht="16.2" thickTop="1">
      <c r="C31" s="440"/>
      <c r="D31" s="441"/>
      <c r="E31" s="447"/>
      <c r="F31" s="448"/>
      <c r="G31" s="449"/>
      <c r="H31" s="448"/>
      <c r="I31" s="443"/>
      <c r="J31" s="444"/>
    </row>
    <row r="32" spans="3:12" ht="15.6">
      <c r="C32" s="440" t="str">
        <f>IF(J29&lt;J28,"Closing Balance of Deferred Tax Assets","Closing Balance of Deferred Tax Liability")</f>
        <v>Closing Balance of Deferred Tax Assets</v>
      </c>
      <c r="D32" s="441"/>
      <c r="E32" s="447"/>
      <c r="F32" s="448"/>
      <c r="G32" s="449"/>
      <c r="H32" s="448"/>
      <c r="I32" s="449">
        <f>-IF(J29&lt;J28,(J28-J29),(J29-J28))</f>
        <v>-13503113.548402404</v>
      </c>
      <c r="J32" s="461"/>
    </row>
    <row r="33" spans="3:10" ht="15.6">
      <c r="C33" s="440" t="s">
        <v>2185</v>
      </c>
      <c r="D33" s="441"/>
      <c r="E33" s="447"/>
      <c r="F33" s="448"/>
      <c r="G33" s="449"/>
      <c r="H33" s="448"/>
      <c r="I33" s="449">
        <f>+I10</f>
        <v>4105756.9186484311</v>
      </c>
      <c r="J33" s="444"/>
    </row>
    <row r="34" spans="3:10" ht="15.6">
      <c r="C34" s="440"/>
      <c r="D34" s="441"/>
      <c r="E34" s="447"/>
      <c r="F34" s="448"/>
      <c r="G34" s="449"/>
      <c r="H34" s="448"/>
      <c r="I34" s="449"/>
      <c r="J34" s="444"/>
    </row>
    <row r="35" spans="3:10" ht="16.2" thickBot="1">
      <c r="C35" s="462" t="s">
        <v>3099</v>
      </c>
      <c r="D35" s="441"/>
      <c r="E35" s="447"/>
      <c r="F35" s="448"/>
      <c r="G35" s="449"/>
      <c r="H35" s="448"/>
      <c r="I35" s="453">
        <f>I32-I33</f>
        <v>-17608870.467050835</v>
      </c>
      <c r="J35" s="444"/>
    </row>
    <row r="36" spans="3:10" ht="16.2" thickTop="1">
      <c r="C36" s="463"/>
      <c r="D36" s="464"/>
      <c r="E36" s="465"/>
      <c r="F36" s="466"/>
      <c r="G36" s="467"/>
      <c r="H36" s="466"/>
      <c r="I36" s="468"/>
      <c r="J36" s="469"/>
    </row>
    <row r="37" spans="3:10" ht="15.6">
      <c r="C37" s="446"/>
      <c r="D37" s="441"/>
      <c r="E37" s="447"/>
      <c r="F37" s="448"/>
      <c r="G37" s="449"/>
      <c r="H37" s="448"/>
      <c r="I37" s="443"/>
      <c r="J37" s="444"/>
    </row>
    <row r="38" spans="3:10" ht="15.6">
      <c r="C38" s="446" t="s">
        <v>2186</v>
      </c>
      <c r="D38" s="447"/>
      <c r="E38" s="447"/>
      <c r="F38" s="448"/>
      <c r="G38" s="449"/>
      <c r="H38" s="448"/>
      <c r="I38" s="444"/>
      <c r="J38" s="444"/>
    </row>
    <row r="39" spans="3:10" ht="15.6">
      <c r="C39" s="470" t="s">
        <v>116</v>
      </c>
      <c r="D39" s="471" t="s">
        <v>2187</v>
      </c>
      <c r="E39" s="436"/>
      <c r="F39" s="472"/>
      <c r="G39" s="473"/>
      <c r="H39" s="472"/>
      <c r="I39" s="474">
        <f>ABS(J40)</f>
        <v>17608870.467050835</v>
      </c>
      <c r="J39" s="475"/>
    </row>
    <row r="40" spans="3:10" ht="15.6">
      <c r="C40" s="476" t="s">
        <v>2490</v>
      </c>
      <c r="D40" s="477"/>
      <c r="E40" s="477"/>
      <c r="F40" s="478"/>
      <c r="G40" s="479"/>
      <c r="H40" s="478"/>
      <c r="I40" s="480"/>
      <c r="J40" s="481">
        <f>ABS(I35)</f>
        <v>17608870.467050835</v>
      </c>
    </row>
  </sheetData>
  <customSheetViews>
    <customSheetView guid="{ADEA4918-0326-423A-8D00-FB47A486004B}" scale="80" fitToPage="1" topLeftCell="A7">
      <selection activeCell="I10" sqref="I10"/>
      <pageMargins left="0.70866141732283472" right="0.70866141732283472" top="0.74803149606299213" bottom="0.74803149606299213" header="0.31496062992125984" footer="0.31496062992125984"/>
      <pageSetup scale="41" orientation="portrait" r:id="rId1"/>
    </customSheetView>
    <customSheetView guid="{2A78E287-3113-4387-BB62-BE98FA5C13C2}" scale="80" fitToPage="1">
      <selection activeCell="I32" sqref="I32"/>
      <pageMargins left="0.70866141732283472" right="0.70866141732283472" top="0.74803149606299213" bottom="0.74803149606299213" header="0.31496062992125984" footer="0.31496062992125984"/>
      <pageSetup scale="41" orientation="portrait" r:id="rId2"/>
    </customSheetView>
    <customSheetView guid="{DC5DA12B-0FA6-4F41-A983-6E433AD4604D}" scale="80" fitToPage="1">
      <selection activeCell="I32" sqref="I32"/>
      <pageMargins left="0.70866141732283472" right="0.70866141732283472" top="0.74803149606299213" bottom="0.74803149606299213" header="0.31496062992125984" footer="0.31496062992125984"/>
      <pageSetup scale="41" orientation="portrait" r:id="rId3"/>
    </customSheetView>
  </customSheetViews>
  <mergeCells count="3">
    <mergeCell ref="C2:J2"/>
    <mergeCell ref="C4:J4"/>
    <mergeCell ref="C6:J6"/>
  </mergeCells>
  <pageMargins left="0.70866141732283472" right="0.70866141732283472" top="0.74803149606299213" bottom="0.74803149606299213" header="0.31496062992125984" footer="0.31496062992125984"/>
  <pageSetup scale="40"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86"/>
  <sheetViews>
    <sheetView view="pageBreakPreview" topLeftCell="A18" zoomScale="80" zoomScaleNormal="100" zoomScaleSheetLayoutView="80" workbookViewId="0">
      <selection activeCell="B63" sqref="B63"/>
    </sheetView>
  </sheetViews>
  <sheetFormatPr defaultColWidth="9.109375" defaultRowHeight="15.6"/>
  <cols>
    <col min="1" max="1" width="108.88671875" style="657" customWidth="1"/>
    <col min="2" max="2" width="23.109375" style="658" customWidth="1"/>
    <col min="3" max="3" width="22.33203125" style="658" customWidth="1"/>
    <col min="4" max="4" width="11.88671875" hidden="1" customWidth="1"/>
    <col min="5" max="5" width="25.5546875" hidden="1" customWidth="1"/>
    <col min="6" max="8" width="11.88671875" hidden="1" customWidth="1"/>
    <col min="9" max="9" width="15.44140625" hidden="1" customWidth="1"/>
    <col min="10" max="10" width="14.6640625" hidden="1" customWidth="1"/>
    <col min="11" max="11" width="9.109375" hidden="1" customWidth="1"/>
    <col min="12" max="12" width="14.88671875" style="636" hidden="1" customWidth="1"/>
    <col min="13" max="14" width="9.109375" style="636" hidden="1" customWidth="1"/>
    <col min="15" max="15" width="41.33203125" style="637" hidden="1" customWidth="1"/>
    <col min="16" max="16" width="17.109375" style="637" hidden="1" customWidth="1"/>
    <col min="17" max="17" width="9.44140625" style="637" hidden="1" customWidth="1"/>
    <col min="18" max="19" width="16.33203125" style="637" hidden="1" customWidth="1"/>
    <col min="20" max="20" width="17" style="636" hidden="1" customWidth="1"/>
    <col min="21" max="47" width="9.109375" style="636" hidden="1" customWidth="1"/>
    <col min="49" max="49" width="12.5546875" style="638" bestFit="1" customWidth="1"/>
    <col min="50" max="50" width="31.5546875" style="638" bestFit="1" customWidth="1"/>
    <col min="51" max="51" width="17.33203125" style="638" bestFit="1" customWidth="1"/>
    <col min="52" max="52" width="17.6640625" style="638" bestFit="1" customWidth="1"/>
    <col min="53" max="53" width="9.109375" style="638"/>
    <col min="54" max="54" width="17.109375" style="638" bestFit="1" customWidth="1"/>
    <col min="55" max="55" width="18.44140625" style="638" bestFit="1" customWidth="1"/>
    <col min="56" max="56" width="20.44140625" style="638" bestFit="1" customWidth="1"/>
    <col min="57" max="82" width="9.109375" style="638"/>
  </cols>
  <sheetData>
    <row r="1" spans="1:56" ht="16.2" thickBot="1"/>
    <row r="2" spans="1:56">
      <c r="A2" s="2476" t="s">
        <v>702</v>
      </c>
      <c r="B2" s="2477"/>
      <c r="C2" s="2478"/>
    </row>
    <row r="3" spans="1:56">
      <c r="A3" s="2479" t="s">
        <v>3097</v>
      </c>
      <c r="B3" s="2480"/>
      <c r="C3" s="2481"/>
    </row>
    <row r="4" spans="1:56">
      <c r="A4" s="957" t="s">
        <v>2313</v>
      </c>
      <c r="B4" s="639" t="s">
        <v>3098</v>
      </c>
      <c r="C4" s="976" t="s">
        <v>2387</v>
      </c>
    </row>
    <row r="5" spans="1:56">
      <c r="A5" s="965"/>
      <c r="B5" s="640"/>
      <c r="C5" s="977"/>
    </row>
    <row r="6" spans="1:56">
      <c r="A6" s="960" t="s">
        <v>2314</v>
      </c>
      <c r="B6" s="641"/>
      <c r="C6" s="977"/>
    </row>
    <row r="7" spans="1:56">
      <c r="A7" s="957" t="s">
        <v>2315</v>
      </c>
      <c r="B7" s="642">
        <f>+BSPL!G94</f>
        <v>-68720246.726733327</v>
      </c>
      <c r="C7" s="978">
        <f>+BSPL!H94</f>
        <v>-49775048.144347906</v>
      </c>
      <c r="N7" s="643"/>
    </row>
    <row r="8" spans="1:56">
      <c r="A8" s="965" t="s">
        <v>2316</v>
      </c>
      <c r="B8" s="644"/>
      <c r="C8" s="979"/>
    </row>
    <row r="9" spans="1:56">
      <c r="A9" s="965" t="s">
        <v>2317</v>
      </c>
      <c r="B9" s="644">
        <f>BSPL!G108</f>
        <v>1451163</v>
      </c>
      <c r="C9" s="980">
        <f>+BSPL!H108</f>
        <v>453421</v>
      </c>
    </row>
    <row r="10" spans="1:56">
      <c r="A10" s="965" t="s">
        <v>2318</v>
      </c>
      <c r="B10" s="644">
        <f>+BSPL!G88</f>
        <v>19583896</v>
      </c>
      <c r="C10" s="980">
        <f>+BSPL!H88</f>
        <v>18081667.364197128</v>
      </c>
    </row>
    <row r="11" spans="1:56">
      <c r="A11" s="965" t="s">
        <v>766</v>
      </c>
      <c r="B11" s="644">
        <f>+BSPL!G87</f>
        <v>15644945</v>
      </c>
      <c r="C11" s="980">
        <f>+BSPL!H87</f>
        <v>8587641</v>
      </c>
    </row>
    <row r="12" spans="1:56">
      <c r="A12" s="965" t="s">
        <v>757</v>
      </c>
      <c r="B12" s="644"/>
      <c r="C12" s="979"/>
    </row>
    <row r="13" spans="1:56">
      <c r="A13" s="957" t="s">
        <v>2320</v>
      </c>
      <c r="B13" s="642">
        <f>SUM(B7:B12)</f>
        <v>-32040242.726733327</v>
      </c>
      <c r="C13" s="981">
        <f>SUM(C7:C12)</f>
        <v>-22652318.780150779</v>
      </c>
    </row>
    <row r="14" spans="1:56">
      <c r="A14" s="960"/>
      <c r="B14" s="641"/>
      <c r="C14" s="982"/>
      <c r="O14" s="645" t="s">
        <v>2321</v>
      </c>
      <c r="P14" s="637">
        <v>0</v>
      </c>
      <c r="Q14" s="637">
        <v>0</v>
      </c>
      <c r="R14" s="637">
        <v>12325000</v>
      </c>
      <c r="S14" s="637">
        <v>0</v>
      </c>
      <c r="T14" s="646">
        <f>+P14-R14</f>
        <v>-12325000</v>
      </c>
    </row>
    <row r="15" spans="1:56">
      <c r="A15" s="960" t="s">
        <v>2322</v>
      </c>
      <c r="B15" s="641"/>
      <c r="C15" s="979"/>
      <c r="O15" s="645" t="s">
        <v>2323</v>
      </c>
      <c r="P15" s="637">
        <v>3800000</v>
      </c>
      <c r="Q15" s="637">
        <v>0</v>
      </c>
      <c r="R15" s="637">
        <v>0</v>
      </c>
      <c r="S15" s="637">
        <v>0</v>
      </c>
      <c r="T15" s="646">
        <f t="shared" ref="T15:T25" si="0">+P15-R15</f>
        <v>3800000</v>
      </c>
      <c r="AX15" s="647" t="s">
        <v>2324</v>
      </c>
      <c r="AY15" s="647" t="s">
        <v>2325</v>
      </c>
      <c r="AZ15" s="647" t="s">
        <v>2326</v>
      </c>
      <c r="BA15" s="647" t="s">
        <v>2327</v>
      </c>
      <c r="BB15" s="647" t="s">
        <v>2328</v>
      </c>
      <c r="BC15" s="647" t="s">
        <v>2329</v>
      </c>
      <c r="BD15" s="647" t="s">
        <v>2330</v>
      </c>
    </row>
    <row r="16" spans="1:56">
      <c r="A16" s="965" t="s">
        <v>2331</v>
      </c>
      <c r="B16" s="644">
        <f>+BSPL!H17-BSPL!G17</f>
        <v>35739150.266733214</v>
      </c>
      <c r="C16" s="979">
        <v>-11069413.8336384</v>
      </c>
      <c r="E16" s="124" t="s">
        <v>714</v>
      </c>
      <c r="F16">
        <f>+[75]BSPL!G15</f>
        <v>51184927.105289809</v>
      </c>
      <c r="G16">
        <v>42797875.565622441</v>
      </c>
      <c r="H16">
        <f>+G16-F16</f>
        <v>-8387051.5396673679</v>
      </c>
      <c r="I16">
        <v>-8387051.5396673679</v>
      </c>
      <c r="J16">
        <f>+H16-I16</f>
        <v>0</v>
      </c>
      <c r="O16" s="645" t="s">
        <v>285</v>
      </c>
      <c r="P16" s="637">
        <v>34285</v>
      </c>
      <c r="Q16" s="637">
        <v>0</v>
      </c>
      <c r="R16" s="637">
        <v>34285</v>
      </c>
      <c r="S16" s="637">
        <v>0</v>
      </c>
      <c r="T16" s="646">
        <f t="shared" si="0"/>
        <v>0</v>
      </c>
      <c r="AX16" s="647" t="s">
        <v>714</v>
      </c>
      <c r="AY16" s="647">
        <f>+[74]BSPL!F15</f>
        <v>67513794.217889339</v>
      </c>
      <c r="AZ16" s="647">
        <f>+[74]BSPL!G15</f>
        <v>67823511.890000001</v>
      </c>
      <c r="BA16" s="647"/>
      <c r="BB16" s="647">
        <f>+AZ16</f>
        <v>67823511.890000001</v>
      </c>
      <c r="BC16" s="647">
        <v>51184927.105289809</v>
      </c>
      <c r="BD16" s="647"/>
    </row>
    <row r="17" spans="1:82">
      <c r="A17" s="965" t="s">
        <v>2332</v>
      </c>
      <c r="B17" s="644">
        <f>+BSPL!H19-BSPL!G19</f>
        <v>34641471.120000005</v>
      </c>
      <c r="C17" s="979">
        <v>50752504.290000007</v>
      </c>
      <c r="E17" s="124" t="s">
        <v>14</v>
      </c>
      <c r="F17">
        <f>+[75]BSPL!G17</f>
        <v>89957465.5</v>
      </c>
      <c r="G17">
        <v>100458396.86999999</v>
      </c>
      <c r="H17">
        <f>+G17-F17</f>
        <v>10500931.36999999</v>
      </c>
      <c r="I17">
        <v>10500931.36999999</v>
      </c>
      <c r="J17">
        <f t="shared" ref="J17:J27" si="1">+H17-I17</f>
        <v>0</v>
      </c>
      <c r="O17" s="645" t="s">
        <v>288</v>
      </c>
      <c r="P17" s="637">
        <v>122153</v>
      </c>
      <c r="Q17" s="637">
        <v>0</v>
      </c>
      <c r="R17" s="637">
        <v>122153</v>
      </c>
      <c r="S17" s="637">
        <v>0</v>
      </c>
      <c r="T17" s="646">
        <f t="shared" si="0"/>
        <v>0</v>
      </c>
      <c r="AX17" s="647" t="s">
        <v>14</v>
      </c>
      <c r="AY17" s="647" t="e">
        <f>+[74]BSPL!F16</f>
        <v>#REF!</v>
      </c>
      <c r="AZ17" s="647">
        <f>+[74]BSPL!G17</f>
        <v>94854388</v>
      </c>
      <c r="BA17" s="647"/>
      <c r="BB17" s="647">
        <f t="shared" ref="BB17:BB25" si="2">+AZ17</f>
        <v>94854388</v>
      </c>
      <c r="BC17" s="647">
        <v>89957465.5</v>
      </c>
      <c r="BD17" s="647"/>
    </row>
    <row r="18" spans="1:82">
      <c r="A18" s="965" t="s">
        <v>2333</v>
      </c>
      <c r="B18" s="644">
        <f>+BSPL!H21-BSPL!G21</f>
        <v>3541841</v>
      </c>
      <c r="C18" s="979">
        <v>935500</v>
      </c>
      <c r="E18" t="s">
        <v>35</v>
      </c>
      <c r="F18">
        <f>+[75]BSPL!G20</f>
        <v>5769158.1199999992</v>
      </c>
      <c r="G18">
        <v>3466500.52</v>
      </c>
      <c r="H18">
        <f>+G18-F18</f>
        <v>-2302657.5999999992</v>
      </c>
      <c r="I18">
        <v>257785</v>
      </c>
      <c r="J18">
        <f t="shared" si="1"/>
        <v>-2560442.5999999992</v>
      </c>
      <c r="O18" s="645" t="s">
        <v>290</v>
      </c>
      <c r="P18" s="637">
        <v>139678</v>
      </c>
      <c r="Q18" s="637">
        <v>0</v>
      </c>
      <c r="R18" s="637">
        <v>139678</v>
      </c>
      <c r="S18" s="637">
        <v>0</v>
      </c>
      <c r="T18" s="646">
        <f t="shared" si="0"/>
        <v>0</v>
      </c>
      <c r="AX18" s="647" t="s">
        <v>35</v>
      </c>
      <c r="AY18" s="647">
        <f>+[74]BSPL!F17</f>
        <v>155760049.43000001</v>
      </c>
      <c r="AZ18" s="647">
        <f>+[74]BSPL!G20</f>
        <v>8543299.9600000009</v>
      </c>
      <c r="BA18" s="647"/>
      <c r="BB18" s="647">
        <f t="shared" si="2"/>
        <v>8543299.9600000009</v>
      </c>
      <c r="BC18" s="647">
        <v>5769158.1199999992</v>
      </c>
      <c r="BD18" s="647"/>
    </row>
    <row r="19" spans="1:82">
      <c r="A19" s="965" t="s">
        <v>2334</v>
      </c>
      <c r="B19" s="644">
        <f>+BSPL!H22-BSPL!G22</f>
        <v>2424507.5700000003</v>
      </c>
      <c r="C19" s="979">
        <v>-3781446.9800000004</v>
      </c>
      <c r="E19" s="124" t="s">
        <v>32</v>
      </c>
      <c r="F19">
        <f>+[75]BSPL!G291</f>
        <v>7276608.1800000006</v>
      </c>
      <c r="G19">
        <v>8397289.7899999991</v>
      </c>
      <c r="H19">
        <f>+G19-F19</f>
        <v>1120681.6099999985</v>
      </c>
      <c r="I19">
        <v>-6669728.5899999999</v>
      </c>
      <c r="J19">
        <f t="shared" si="1"/>
        <v>7790410.1999999983</v>
      </c>
      <c r="O19" s="645" t="s">
        <v>291</v>
      </c>
      <c r="P19" s="637">
        <v>271788</v>
      </c>
      <c r="Q19" s="637">
        <v>0</v>
      </c>
      <c r="R19" s="637">
        <v>271788</v>
      </c>
      <c r="S19" s="637">
        <v>0</v>
      </c>
      <c r="T19" s="646">
        <f t="shared" si="0"/>
        <v>0</v>
      </c>
      <c r="AX19" s="647" t="s">
        <v>32</v>
      </c>
      <c r="AY19" s="647">
        <f>+[74]BSPL!F18</f>
        <v>333868.40000000002</v>
      </c>
      <c r="AZ19" s="647">
        <f>+[74]BSPL!G21</f>
        <v>5106736.3549999995</v>
      </c>
      <c r="BA19" s="647"/>
      <c r="BB19" s="647">
        <f t="shared" si="2"/>
        <v>5106736.3549999995</v>
      </c>
      <c r="BC19" s="647">
        <v>7276608.1800000006</v>
      </c>
      <c r="BD19" s="647"/>
    </row>
    <row r="20" spans="1:82">
      <c r="A20" s="965" t="s">
        <v>2335</v>
      </c>
      <c r="B20" s="644">
        <v>0</v>
      </c>
      <c r="C20" s="979">
        <v>0</v>
      </c>
      <c r="E20" s="124" t="s">
        <v>2336</v>
      </c>
      <c r="F20">
        <f>+[75]BSPL!G19</f>
        <v>192300</v>
      </c>
      <c r="G20">
        <v>192929</v>
      </c>
      <c r="H20">
        <f>+G20-F20</f>
        <v>629</v>
      </c>
      <c r="I20">
        <v>628.5</v>
      </c>
      <c r="J20">
        <f t="shared" si="1"/>
        <v>0.5</v>
      </c>
      <c r="O20" s="645" t="s">
        <v>2337</v>
      </c>
      <c r="P20" s="648">
        <v>0</v>
      </c>
      <c r="Q20" s="648">
        <v>0</v>
      </c>
      <c r="R20" s="648">
        <v>0</v>
      </c>
      <c r="S20" s="648">
        <v>0</v>
      </c>
      <c r="T20" s="646">
        <f t="shared" si="0"/>
        <v>0</v>
      </c>
      <c r="AX20" s="647" t="s">
        <v>2336</v>
      </c>
      <c r="AY20" s="647">
        <f>+[74]BSPL!F19</f>
        <v>0</v>
      </c>
      <c r="AZ20" s="647">
        <f>+[74]BSPL!G19</f>
        <v>83453.5</v>
      </c>
      <c r="BA20" s="647"/>
      <c r="BB20" s="647">
        <f t="shared" si="2"/>
        <v>83453.5</v>
      </c>
      <c r="BC20" s="647">
        <v>192300</v>
      </c>
      <c r="BD20" s="647"/>
    </row>
    <row r="21" spans="1:82">
      <c r="A21" s="965" t="s">
        <v>2338</v>
      </c>
      <c r="B21" s="644">
        <f>+BSPL!G42-BSPL!H42</f>
        <v>17896993.479849011</v>
      </c>
      <c r="C21" s="979">
        <v>4241443.1501510143</v>
      </c>
      <c r="E21" t="s">
        <v>2339</v>
      </c>
      <c r="F21">
        <f>+[75]BSPL!G41</f>
        <v>49656875.130000003</v>
      </c>
      <c r="G21">
        <v>64903509.759999998</v>
      </c>
      <c r="H21">
        <f t="shared" ref="H21:H25" si="3">+F21-G21</f>
        <v>-15246634.629999995</v>
      </c>
      <c r="I21">
        <v>-15466601.429999992</v>
      </c>
      <c r="J21">
        <f t="shared" si="1"/>
        <v>219966.79999999702</v>
      </c>
      <c r="O21" s="645" t="s">
        <v>2340</v>
      </c>
      <c r="P21" s="637">
        <v>0</v>
      </c>
      <c r="Q21" s="637">
        <v>0</v>
      </c>
      <c r="R21" s="637">
        <v>19841</v>
      </c>
      <c r="S21" s="637">
        <v>0</v>
      </c>
      <c r="T21" s="646">
        <f t="shared" si="0"/>
        <v>-19841</v>
      </c>
      <c r="AX21" s="647" t="s">
        <v>2339</v>
      </c>
      <c r="AY21" s="647">
        <f>+[74]BSPL!F20</f>
        <v>7281000</v>
      </c>
      <c r="AZ21" s="647">
        <f>+[74]BSPL!G41</f>
        <v>59045466.559999995</v>
      </c>
      <c r="BA21" s="647"/>
      <c r="BB21" s="647">
        <f t="shared" si="2"/>
        <v>59045466.559999995</v>
      </c>
      <c r="BC21" s="647">
        <v>49656875.130000003</v>
      </c>
      <c r="BD21" s="647"/>
    </row>
    <row r="22" spans="1:82">
      <c r="A22" s="965" t="s">
        <v>2341</v>
      </c>
      <c r="B22" s="644">
        <f>+BSPL!G36-BSPL!H36</f>
        <v>-343224.00000000093</v>
      </c>
      <c r="C22" s="979">
        <v>-136086</v>
      </c>
      <c r="E22" t="s">
        <v>2342</v>
      </c>
      <c r="F22">
        <f>+[75]BSPL!G357</f>
        <v>1662107</v>
      </c>
      <c r="G22">
        <v>1812727</v>
      </c>
      <c r="H22">
        <f t="shared" si="3"/>
        <v>-150620</v>
      </c>
      <c r="J22">
        <f t="shared" si="1"/>
        <v>-150620</v>
      </c>
      <c r="O22" s="645" t="s">
        <v>2343</v>
      </c>
      <c r="P22" s="637">
        <v>15292</v>
      </c>
      <c r="Q22" s="637">
        <v>0</v>
      </c>
      <c r="R22" s="637">
        <v>0</v>
      </c>
      <c r="S22" s="637">
        <v>0</v>
      </c>
      <c r="T22" s="646">
        <f t="shared" si="0"/>
        <v>15292</v>
      </c>
      <c r="AX22" s="647" t="s">
        <v>2342</v>
      </c>
      <c r="AY22" s="647">
        <f>+[74]BSPL!F21</f>
        <v>4209495.0199999996</v>
      </c>
      <c r="AZ22" s="647">
        <f>+[74]BSPL!G353</f>
        <v>2183354.7000000002</v>
      </c>
      <c r="BA22" s="647"/>
      <c r="BB22" s="647">
        <f t="shared" si="2"/>
        <v>2183354.7000000002</v>
      </c>
      <c r="BC22" s="647">
        <v>1662107</v>
      </c>
      <c r="BD22" s="647"/>
    </row>
    <row r="23" spans="1:82">
      <c r="A23" s="965" t="s">
        <v>2344</v>
      </c>
      <c r="B23" s="644">
        <f>+BSPL!G43-BSPL!H43</f>
        <v>-3820869</v>
      </c>
      <c r="C23" s="979">
        <v>-64788</v>
      </c>
      <c r="E23" s="124" t="s">
        <v>2345</v>
      </c>
      <c r="F23" s="124">
        <f>+[75]BSPL!G404+[75]BSPL!G406</f>
        <v>983176</v>
      </c>
      <c r="G23">
        <f>192300+830966</f>
        <v>1023266</v>
      </c>
      <c r="H23">
        <f t="shared" si="3"/>
        <v>-40090</v>
      </c>
      <c r="I23">
        <v>-40090</v>
      </c>
      <c r="J23">
        <f t="shared" si="1"/>
        <v>0</v>
      </c>
      <c r="O23" s="645" t="s">
        <v>2346</v>
      </c>
      <c r="P23" s="648">
        <v>0</v>
      </c>
      <c r="Q23" s="648">
        <v>0</v>
      </c>
      <c r="R23" s="648">
        <v>4717</v>
      </c>
      <c r="S23" s="648">
        <v>0</v>
      </c>
      <c r="T23" s="646">
        <f t="shared" si="0"/>
        <v>-4717</v>
      </c>
      <c r="AX23" s="647" t="s">
        <v>2345</v>
      </c>
      <c r="AY23" s="647">
        <f>+[74]BSPL!F22</f>
        <v>673307</v>
      </c>
      <c r="AZ23" s="647">
        <f>+[74]BSPL!G42</f>
        <v>8240996.9399999995</v>
      </c>
      <c r="BA23" s="647"/>
      <c r="BB23" s="647">
        <f t="shared" si="2"/>
        <v>8240996.9399999995</v>
      </c>
      <c r="BC23" s="647">
        <v>20599587</v>
      </c>
      <c r="BD23" s="647"/>
    </row>
    <row r="24" spans="1:82">
      <c r="A24" s="965" t="s">
        <v>2347</v>
      </c>
      <c r="B24" s="644">
        <f>+BSPL!G44-BSPL!H44</f>
        <v>230239.89000000106</v>
      </c>
      <c r="C24" s="979">
        <v>-4255838.1400000006</v>
      </c>
      <c r="E24" s="124" t="s">
        <v>54</v>
      </c>
      <c r="F24">
        <f>+[75]BSPL!G43</f>
        <v>539205.43999999994</v>
      </c>
      <c r="G24">
        <v>652090.0400000005</v>
      </c>
      <c r="H24">
        <f t="shared" si="3"/>
        <v>-112884.60000000056</v>
      </c>
      <c r="I24">
        <v>4972825.7999999989</v>
      </c>
      <c r="J24">
        <f t="shared" si="1"/>
        <v>-5085710.3999999994</v>
      </c>
      <c r="O24" s="645" t="s">
        <v>287</v>
      </c>
      <c r="P24" s="637">
        <v>17190</v>
      </c>
      <c r="Q24" s="637">
        <v>0</v>
      </c>
      <c r="R24" s="637">
        <v>0</v>
      </c>
      <c r="S24" s="637">
        <v>0</v>
      </c>
      <c r="T24" s="646">
        <f t="shared" si="0"/>
        <v>17190</v>
      </c>
      <c r="AX24" s="647" t="s">
        <v>54</v>
      </c>
      <c r="AY24" s="647">
        <f>+[74]BSPL!F23</f>
        <v>235771514.06788936</v>
      </c>
      <c r="AZ24" s="647">
        <f>+[74]BSPL!G43</f>
        <v>537842.43999999994</v>
      </c>
      <c r="BA24" s="647"/>
      <c r="BB24" s="647">
        <f t="shared" si="2"/>
        <v>537842.43999999994</v>
      </c>
      <c r="BC24" s="647">
        <v>539205.43999999994</v>
      </c>
      <c r="BD24" s="647"/>
    </row>
    <row r="25" spans="1:82">
      <c r="A25" s="965" t="s">
        <v>2348</v>
      </c>
      <c r="B25" s="644">
        <f>+BSPL!G478-BSPL!H478+BSPL!G479-BSPL!H479</f>
        <v>-337718</v>
      </c>
      <c r="C25" s="979">
        <v>-1400961</v>
      </c>
      <c r="E25" t="s">
        <v>2349</v>
      </c>
      <c r="F25">
        <f>+[75]BSPL!G413+[75]BSPL!G414</f>
        <v>3054029</v>
      </c>
      <c r="G25">
        <v>2118784</v>
      </c>
      <c r="H25">
        <f t="shared" si="3"/>
        <v>935245</v>
      </c>
      <c r="I25">
        <v>796877.99999999907</v>
      </c>
      <c r="J25">
        <f t="shared" si="1"/>
        <v>138367.00000000093</v>
      </c>
      <c r="O25" s="645" t="s">
        <v>2350</v>
      </c>
      <c r="P25" s="637">
        <v>44002</v>
      </c>
      <c r="Q25" s="637">
        <v>0</v>
      </c>
      <c r="R25" s="637">
        <v>0</v>
      </c>
      <c r="S25" s="637">
        <v>0</v>
      </c>
      <c r="T25" s="646">
        <f t="shared" si="0"/>
        <v>44002</v>
      </c>
      <c r="AX25" s="647" t="s">
        <v>2349</v>
      </c>
      <c r="AY25" s="647" t="e">
        <f>+[74]BSPL!F24</f>
        <v>#REF!</v>
      </c>
      <c r="AZ25" s="647">
        <f>+[74]BSPL!G413+[74]BSPL!G414</f>
        <v>3125149</v>
      </c>
      <c r="BA25" s="647"/>
      <c r="BB25" s="647">
        <f t="shared" si="2"/>
        <v>3125149</v>
      </c>
      <c r="BC25" s="647">
        <f>1450129+1603900</f>
        <v>3054029</v>
      </c>
      <c r="BD25" s="647"/>
    </row>
    <row r="26" spans="1:82">
      <c r="A26" s="965" t="s">
        <v>2351</v>
      </c>
      <c r="B26" s="644">
        <f>+BSPL!H12-BSPL!G12</f>
        <v>12295</v>
      </c>
      <c r="C26" s="979">
        <v>-1086147.3900000001</v>
      </c>
      <c r="E26" s="124" t="s">
        <v>2352</v>
      </c>
      <c r="F26">
        <f>+[75]BSPL!G11</f>
        <v>2870555</v>
      </c>
      <c r="G26">
        <v>2878939.95</v>
      </c>
      <c r="H26">
        <f>+G26-F26</f>
        <v>8384.9500000001863</v>
      </c>
      <c r="I26">
        <v>8384.9500000001863</v>
      </c>
      <c r="J26">
        <f t="shared" si="1"/>
        <v>0</v>
      </c>
      <c r="AX26" s="647" t="s">
        <v>2352</v>
      </c>
      <c r="AY26" s="647" t="e">
        <f>+[74]BSPL!F25</f>
        <v>#REF!</v>
      </c>
      <c r="AZ26" s="647">
        <f>+[74]BSPL!G21</f>
        <v>5106736.3549999995</v>
      </c>
      <c r="BA26" s="647"/>
      <c r="BB26" s="647">
        <f>+AZ26</f>
        <v>5106736.3549999995</v>
      </c>
      <c r="BC26" s="647">
        <v>2870555</v>
      </c>
      <c r="BD26" s="647"/>
    </row>
    <row r="27" spans="1:82">
      <c r="A27" s="965" t="s">
        <v>2353</v>
      </c>
      <c r="B27" s="644">
        <f>+BSPL!H13-BSPL!G13</f>
        <v>-3196380</v>
      </c>
      <c r="C27" s="979">
        <v>-6343554</v>
      </c>
      <c r="E27" s="124" t="s">
        <v>2354</v>
      </c>
      <c r="F27">
        <f>+[75]BSPL!G242+[75]BSPL!G243</f>
        <v>4153020.3599999994</v>
      </c>
      <c r="G27">
        <v>3980523.36</v>
      </c>
      <c r="H27">
        <f>+G27-F27</f>
        <v>-172496.99999999953</v>
      </c>
      <c r="I27">
        <v>-52616.999999999534</v>
      </c>
      <c r="J27">
        <f t="shared" si="1"/>
        <v>-119880</v>
      </c>
      <c r="O27" s="637" t="s">
        <v>2355</v>
      </c>
      <c r="P27" s="637">
        <f>+[75]BSPL!F99</f>
        <v>4514807.180287933</v>
      </c>
      <c r="R27" s="637">
        <f>+[75]BSPL!G99</f>
        <v>16160409.421267949</v>
      </c>
      <c r="AX27" s="647" t="s">
        <v>2354</v>
      </c>
      <c r="AY27" s="647"/>
      <c r="AZ27" s="647">
        <f t="shared" ref="AZ27" si="4">+BB27</f>
        <v>0</v>
      </c>
      <c r="BA27" s="647"/>
      <c r="BB27" s="647"/>
      <c r="BC27" s="647">
        <f>1353400+2799620.36</f>
        <v>4153020.36</v>
      </c>
      <c r="BD27" s="647"/>
    </row>
    <row r="28" spans="1:82">
      <c r="A28" s="965"/>
      <c r="B28" s="644"/>
      <c r="C28" s="979"/>
    </row>
    <row r="29" spans="1:82">
      <c r="A29" s="957" t="s">
        <v>2356</v>
      </c>
      <c r="B29" s="642">
        <f>SUM(B15:B28)</f>
        <v>86788307.326582238</v>
      </c>
      <c r="C29" s="981">
        <f>SUM(C15:C28)</f>
        <v>27791212.096512616</v>
      </c>
      <c r="P29" s="637">
        <f>-P27+(SUM(P14:P25)-SUM(R14:R25))</f>
        <v>-12987881.180287933</v>
      </c>
    </row>
    <row r="30" spans="1:82">
      <c r="A30" s="957" t="s">
        <v>2357</v>
      </c>
      <c r="B30" s="642">
        <f>+B29+B13</f>
        <v>54748064.599848911</v>
      </c>
      <c r="C30" s="981">
        <f>+C29+C13</f>
        <v>5138893.3163618371</v>
      </c>
    </row>
    <row r="31" spans="1:82" s="649" customFormat="1">
      <c r="A31" s="960" t="s">
        <v>2358</v>
      </c>
      <c r="B31" s="641">
        <f>+BSPL!G96+(BSPL!H23-BSPL!G23)</f>
        <v>-461128.92</v>
      </c>
      <c r="C31" s="979">
        <v>-1227442.5463122041</v>
      </c>
      <c r="L31" s="650">
        <f>-6175062+6150116</f>
        <v>-24946</v>
      </c>
      <c r="M31" s="650"/>
      <c r="N31" s="650"/>
      <c r="O31" s="651" t="s">
        <v>2359</v>
      </c>
      <c r="P31" s="651">
        <f>+P15+P25+P22</f>
        <v>3859294</v>
      </c>
      <c r="Q31" s="651"/>
      <c r="R31" s="651">
        <f>+R14+R21</f>
        <v>12344841</v>
      </c>
      <c r="S31" s="651">
        <f>+R31-P31</f>
        <v>8485547</v>
      </c>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652"/>
      <c r="AW31" s="653"/>
      <c r="AX31" s="653" t="s">
        <v>2388</v>
      </c>
      <c r="AY31" s="653"/>
      <c r="AZ31" s="653"/>
      <c r="BA31" s="653"/>
      <c r="BB31" s="653"/>
      <c r="BC31" s="653"/>
      <c r="BD31" s="653"/>
      <c r="BE31" s="653"/>
      <c r="BF31" s="653"/>
      <c r="BG31" s="653"/>
      <c r="BH31" s="653"/>
      <c r="BI31" s="653"/>
      <c r="BJ31" s="653"/>
      <c r="BK31" s="653"/>
      <c r="BL31" s="653"/>
      <c r="BM31" s="653"/>
      <c r="BN31" s="653"/>
      <c r="BO31" s="653"/>
      <c r="BP31" s="653"/>
      <c r="BQ31" s="653"/>
      <c r="BR31" s="653"/>
      <c r="BS31" s="653"/>
      <c r="BT31" s="653"/>
      <c r="BU31" s="653"/>
      <c r="BV31" s="653"/>
      <c r="BW31" s="653"/>
      <c r="BX31" s="653"/>
      <c r="BY31" s="653"/>
      <c r="BZ31" s="653"/>
      <c r="CA31" s="653"/>
      <c r="CB31" s="653"/>
      <c r="CC31" s="653"/>
      <c r="CD31" s="653"/>
    </row>
    <row r="32" spans="1:82">
      <c r="A32" s="957" t="s">
        <v>2360</v>
      </c>
      <c r="B32" s="642">
        <f>+B30+B31</f>
        <v>54286935.679848909</v>
      </c>
      <c r="C32" s="981">
        <f>+C30+C31</f>
        <v>3911450.770049633</v>
      </c>
      <c r="L32" s="636">
        <f>+L31/2</f>
        <v>-12473</v>
      </c>
      <c r="O32" s="637" t="s">
        <v>2361</v>
      </c>
      <c r="P32" s="637">
        <f>+P16+P17+P18+P19+P24</f>
        <v>585094</v>
      </c>
      <c r="R32" s="637">
        <f>+R16+R17+R18+R19+R23</f>
        <v>572621</v>
      </c>
      <c r="S32" s="637">
        <f>+R32-P32</f>
        <v>-12473</v>
      </c>
    </row>
    <row r="33" spans="1:82">
      <c r="A33" s="965"/>
      <c r="B33" s="644"/>
      <c r="C33" s="979"/>
      <c r="O33" s="637" t="s">
        <v>2362</v>
      </c>
      <c r="P33" s="637">
        <f>+P27</f>
        <v>4514807.180287933</v>
      </c>
      <c r="R33" s="637">
        <f>+R27</f>
        <v>16160409.421267949</v>
      </c>
      <c r="S33" s="637">
        <f>+P33-R33</f>
        <v>-11645602.240980016</v>
      </c>
    </row>
    <row r="34" spans="1:82">
      <c r="A34" s="960" t="s">
        <v>2363</v>
      </c>
      <c r="B34" s="641"/>
      <c r="C34" s="979"/>
      <c r="O34" s="637" t="s">
        <v>2364</v>
      </c>
      <c r="P34" s="637">
        <f>+[75]Computation!I83</f>
        <v>655513</v>
      </c>
      <c r="R34" s="637">
        <v>2326918</v>
      </c>
      <c r="S34" s="637">
        <f>+R34-P34</f>
        <v>1671405</v>
      </c>
    </row>
    <row r="35" spans="1:82" s="649" customFormat="1">
      <c r="A35" s="965" t="s">
        <v>2365</v>
      </c>
      <c r="B35" s="644">
        <f>+(BSPL!H9-BSPL!G9)+(BSPL!H10-BSPL!G10)-'Cash Flow'!B10</f>
        <v>-49887521.660000086</v>
      </c>
      <c r="C35" s="979">
        <v>-90751787.390000015</v>
      </c>
      <c r="G35" s="649">
        <v>-20356671.280000001</v>
      </c>
      <c r="H35" s="649">
        <f>+G35+(G36-F36)+(G37-F37)+(F38-G38)</f>
        <v>-21384868.280000001</v>
      </c>
      <c r="L35" s="650"/>
      <c r="M35" s="650"/>
      <c r="N35" s="650"/>
      <c r="O35" s="651" t="s">
        <v>2366</v>
      </c>
      <c r="P35" s="651">
        <f>-[75]BSPL!F371</f>
        <v>1808134</v>
      </c>
      <c r="Q35" s="651"/>
      <c r="R35" s="651">
        <f>-[75]BSPL!G371</f>
        <v>7089950.0863537798</v>
      </c>
      <c r="S35" s="651">
        <f>+R35-P35</f>
        <v>5281816.0863537798</v>
      </c>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0"/>
      <c r="AQ35" s="650"/>
      <c r="AR35" s="650"/>
      <c r="AS35" s="650"/>
      <c r="AT35" s="650"/>
      <c r="AU35" s="650"/>
      <c r="AW35" s="653"/>
      <c r="AX35" s="653"/>
      <c r="AY35" s="653"/>
      <c r="AZ35" s="653"/>
      <c r="BA35" s="653"/>
      <c r="BB35" s="653"/>
      <c r="BC35" s="653"/>
      <c r="BD35" s="653"/>
      <c r="BE35" s="653"/>
      <c r="BF35" s="653"/>
      <c r="BG35" s="653"/>
      <c r="BH35" s="653"/>
      <c r="BI35" s="653"/>
      <c r="BJ35" s="653"/>
      <c r="BK35" s="653"/>
      <c r="BL35" s="653"/>
      <c r="BM35" s="653"/>
      <c r="BN35" s="653"/>
      <c r="BO35" s="653"/>
      <c r="BP35" s="653"/>
      <c r="BQ35" s="653"/>
      <c r="BR35" s="653"/>
      <c r="BS35" s="653"/>
      <c r="BT35" s="653"/>
      <c r="BU35" s="653"/>
      <c r="BV35" s="653"/>
      <c r="BW35" s="653"/>
      <c r="BX35" s="653"/>
      <c r="BY35" s="653"/>
      <c r="BZ35" s="653"/>
      <c r="CA35" s="653"/>
      <c r="CB35" s="653"/>
      <c r="CC35" s="653"/>
      <c r="CD35" s="653"/>
    </row>
    <row r="36" spans="1:82" s="649" customFormat="1">
      <c r="A36" s="965" t="s">
        <v>2367</v>
      </c>
      <c r="B36" s="644">
        <v>0</v>
      </c>
      <c r="C36" s="979">
        <v>0</v>
      </c>
      <c r="F36" s="649">
        <f>+[75]BSPL!G9</f>
        <v>484789</v>
      </c>
      <c r="G36" s="649">
        <v>382310</v>
      </c>
      <c r="L36" s="650"/>
      <c r="M36" s="650"/>
      <c r="N36" s="650"/>
      <c r="O36" s="651"/>
      <c r="P36" s="651">
        <f>+([75]BSPL!F412-[75]BSPL!G412)</f>
        <v>-1488650.2409800161</v>
      </c>
      <c r="Q36" s="651"/>
      <c r="R36" s="651"/>
      <c r="S36" s="651"/>
      <c r="T36" s="650"/>
      <c r="U36" s="650"/>
      <c r="V36" s="650"/>
      <c r="W36" s="650"/>
      <c r="X36" s="650"/>
      <c r="Y36" s="650"/>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3"/>
      <c r="BU36" s="653"/>
      <c r="BV36" s="653"/>
      <c r="BW36" s="653"/>
      <c r="BX36" s="653"/>
      <c r="BY36" s="653"/>
      <c r="BZ36" s="653"/>
      <c r="CA36" s="653"/>
      <c r="CB36" s="653"/>
      <c r="CC36" s="653"/>
      <c r="CD36" s="653"/>
    </row>
    <row r="37" spans="1:82" hidden="1">
      <c r="A37" s="965" t="s">
        <v>2368</v>
      </c>
      <c r="B37" s="644"/>
      <c r="C37" s="979">
        <v>0</v>
      </c>
      <c r="F37">
        <f>+[75]BSPL!G241</f>
        <v>1521769</v>
      </c>
      <c r="G37">
        <v>0</v>
      </c>
      <c r="P37" s="637">
        <f>+([75]BSPL!F371-[75]BSPL!G371)</f>
        <v>5281816.0863537798</v>
      </c>
    </row>
    <row r="38" spans="1:82" hidden="1">
      <c r="A38" s="965" t="s">
        <v>2369</v>
      </c>
      <c r="B38" s="644"/>
      <c r="C38" s="979">
        <v>0</v>
      </c>
      <c r="F38">
        <f>+[75]BSPL!G403</f>
        <v>775995</v>
      </c>
      <c r="G38">
        <v>179944</v>
      </c>
      <c r="P38" s="637">
        <f>+([75]BSPL!G22-[75]BSPL!F22)</f>
        <v>-12473</v>
      </c>
    </row>
    <row r="39" spans="1:82" hidden="1">
      <c r="A39" s="965" t="s">
        <v>2370</v>
      </c>
      <c r="B39" s="644"/>
      <c r="C39" s="979">
        <v>0</v>
      </c>
    </row>
    <row r="40" spans="1:82" hidden="1">
      <c r="A40" s="965" t="s">
        <v>2371</v>
      </c>
      <c r="B40" s="644"/>
      <c r="C40" s="979">
        <v>0</v>
      </c>
    </row>
    <row r="41" spans="1:82">
      <c r="A41" s="965"/>
      <c r="B41" s="644"/>
      <c r="C41" s="979"/>
    </row>
    <row r="42" spans="1:82">
      <c r="A42" s="957" t="s">
        <v>2372</v>
      </c>
      <c r="B42" s="642">
        <f>SUM(B35:B41)</f>
        <v>-49887521.660000086</v>
      </c>
      <c r="C42" s="981">
        <f>SUM(C35:C41)</f>
        <v>-90751787.390000015</v>
      </c>
    </row>
    <row r="43" spans="1:82">
      <c r="A43" s="965" t="s">
        <v>757</v>
      </c>
      <c r="B43" s="644"/>
      <c r="C43" s="979"/>
    </row>
    <row r="44" spans="1:82">
      <c r="A44" s="960" t="s">
        <v>2373</v>
      </c>
      <c r="B44" s="641"/>
      <c r="C44" s="979"/>
    </row>
    <row r="45" spans="1:82" hidden="1">
      <c r="A45" s="965" t="s">
        <v>2374</v>
      </c>
      <c r="B45" s="644"/>
      <c r="C45" s="979">
        <v>0</v>
      </c>
    </row>
    <row r="46" spans="1:82">
      <c r="A46" s="965" t="s">
        <v>2375</v>
      </c>
      <c r="B46" s="644">
        <f>+(BSPL!G35-BSPL!H35)+(BSPL!G41-BSPL!H41)</f>
        <v>11285221.649999991</v>
      </c>
      <c r="C46" s="979">
        <v>103923452.71000001</v>
      </c>
      <c r="E46" s="124" t="s">
        <v>2376</v>
      </c>
      <c r="F46">
        <f>+[75]BSPL!G40</f>
        <v>55675684.390000001</v>
      </c>
      <c r="G46">
        <v>56946206.869999997</v>
      </c>
      <c r="H46">
        <f>+F46-G46</f>
        <v>-1270522.4799999967</v>
      </c>
      <c r="I46">
        <v>-1270522.4799999967</v>
      </c>
      <c r="J46">
        <f>+H46-I46</f>
        <v>0</v>
      </c>
    </row>
    <row r="47" spans="1:82">
      <c r="A47" s="965" t="s">
        <v>2377</v>
      </c>
      <c r="B47" s="644"/>
      <c r="C47" s="979">
        <v>-8334845.9100000001</v>
      </c>
      <c r="F47">
        <f>+[75]BSPL!G351+[75]BSPL!G400+[75]BSPL!G401</f>
        <v>49684017</v>
      </c>
      <c r="G47">
        <f>69355820+16692000</f>
        <v>86047820</v>
      </c>
      <c r="H47">
        <f>+F47-G47</f>
        <v>-36363803</v>
      </c>
    </row>
    <row r="48" spans="1:82">
      <c r="A48" s="965" t="s">
        <v>2378</v>
      </c>
      <c r="B48" s="644">
        <f>-'Cash Flow'!B11</f>
        <v>-15644945</v>
      </c>
      <c r="C48" s="979">
        <v>-8587641</v>
      </c>
    </row>
    <row r="49" spans="1:53">
      <c r="A49" s="965"/>
      <c r="B49" s="654"/>
      <c r="C49" s="979"/>
    </row>
    <row r="50" spans="1:53">
      <c r="A50" s="957" t="s">
        <v>2379</v>
      </c>
      <c r="B50" s="642">
        <f>SUM(B45:B49)</f>
        <v>-4359723.3500000089</v>
      </c>
      <c r="C50" s="981">
        <f>SUM(C45:C49)</f>
        <v>87000965.800000012</v>
      </c>
    </row>
    <row r="51" spans="1:53">
      <c r="A51" s="960"/>
      <c r="B51" s="641"/>
      <c r="C51" s="979"/>
    </row>
    <row r="52" spans="1:53">
      <c r="A52" s="957" t="s">
        <v>2380</v>
      </c>
      <c r="B52" s="642">
        <f>+B50+B42+B32</f>
        <v>39690.669848814607</v>
      </c>
      <c r="C52" s="981">
        <f>+C50+C42+C32</f>
        <v>160629.18004962942</v>
      </c>
    </row>
    <row r="53" spans="1:53">
      <c r="A53" s="960"/>
      <c r="B53" s="641"/>
      <c r="C53" s="979"/>
    </row>
    <row r="54" spans="1:53">
      <c r="A54" s="971" t="s">
        <v>2381</v>
      </c>
      <c r="B54" s="655">
        <f>+C56</f>
        <v>239776.61521909153</v>
      </c>
      <c r="C54" s="982">
        <v>79147.435169462115</v>
      </c>
      <c r="AW54" s="656"/>
    </row>
    <row r="55" spans="1:53">
      <c r="A55" s="824"/>
      <c r="B55" s="914"/>
      <c r="C55" s="979"/>
    </row>
    <row r="56" spans="1:53">
      <c r="A56" s="957" t="s">
        <v>2382</v>
      </c>
      <c r="B56" s="642">
        <f>+B52+B54</f>
        <v>279467.28506790614</v>
      </c>
      <c r="C56" s="983">
        <f>+C52+C54</f>
        <v>239776.61521909153</v>
      </c>
      <c r="D56">
        <v>-96650</v>
      </c>
      <c r="E56" s="124" t="e">
        <f>+#REF!+D56</f>
        <v>#REF!</v>
      </c>
      <c r="L56" s="636">
        <v>283262.68508566916</v>
      </c>
      <c r="AW56" s="638">
        <f>+BSPL!G20</f>
        <v>279466.64</v>
      </c>
      <c r="AX56" s="855">
        <f>+AW56-B56</f>
        <v>-0.645067906123586</v>
      </c>
      <c r="AY56" s="656"/>
      <c r="AZ56" s="656"/>
      <c r="BA56" s="656"/>
    </row>
    <row r="57" spans="1:53">
      <c r="A57" s="984"/>
      <c r="C57" s="985"/>
      <c r="D57" s="124"/>
      <c r="L57" s="659">
        <f>+C56-L56</f>
        <v>-43486.069866577629</v>
      </c>
      <c r="AW57" s="660"/>
    </row>
    <row r="58" spans="1:53" ht="0.75" customHeight="1">
      <c r="A58" s="984"/>
      <c r="C58" s="985"/>
    </row>
    <row r="59" spans="1:53" ht="34.5" customHeight="1">
      <c r="A59" s="2482" t="s">
        <v>2383</v>
      </c>
      <c r="B59" s="2483"/>
      <c r="C59" s="2484"/>
    </row>
    <row r="60" spans="1:53">
      <c r="A60" s="986"/>
      <c r="B60" s="987"/>
      <c r="C60" s="988"/>
    </row>
    <row r="61" spans="1:53" ht="18">
      <c r="A61" s="989" t="s">
        <v>739</v>
      </c>
      <c r="B61" s="990"/>
      <c r="C61" s="991" t="s">
        <v>740</v>
      </c>
    </row>
    <row r="62" spans="1:53" ht="18">
      <c r="A62" s="992" t="s">
        <v>2384</v>
      </c>
      <c r="B62" s="993"/>
      <c r="C62" s="991"/>
    </row>
    <row r="63" spans="1:53" ht="18">
      <c r="A63" s="992" t="s">
        <v>743</v>
      </c>
      <c r="B63" s="993"/>
      <c r="C63" s="991"/>
    </row>
    <row r="64" spans="1:53" ht="18">
      <c r="A64" s="992" t="s">
        <v>2385</v>
      </c>
      <c r="B64" s="993"/>
      <c r="C64" s="991"/>
    </row>
    <row r="65" spans="1:3" ht="18">
      <c r="A65" s="992"/>
      <c r="B65" s="993"/>
      <c r="C65" s="994" t="s">
        <v>742</v>
      </c>
    </row>
    <row r="66" spans="1:3" ht="18">
      <c r="A66" s="992"/>
      <c r="B66" s="993"/>
      <c r="C66" s="995" t="s">
        <v>744</v>
      </c>
    </row>
    <row r="67" spans="1:3" ht="18">
      <c r="A67" s="992"/>
      <c r="B67" s="993"/>
      <c r="C67" s="995"/>
    </row>
    <row r="68" spans="1:3" ht="37.200000000000003" customHeight="1">
      <c r="A68" s="992"/>
      <c r="B68" s="993"/>
      <c r="C68" s="995"/>
    </row>
    <row r="69" spans="1:3" ht="18">
      <c r="A69" s="992"/>
      <c r="B69" s="993"/>
      <c r="C69" s="998" t="s">
        <v>746</v>
      </c>
    </row>
    <row r="70" spans="1:3" ht="18">
      <c r="A70" s="992" t="s">
        <v>2632</v>
      </c>
      <c r="B70" s="993"/>
      <c r="C70" s="991" t="s">
        <v>747</v>
      </c>
    </row>
    <row r="71" spans="1:3" ht="18">
      <c r="A71" s="992" t="s">
        <v>748</v>
      </c>
      <c r="B71" s="993"/>
      <c r="C71" s="995"/>
    </row>
    <row r="72" spans="1:3" ht="18">
      <c r="A72" s="992" t="s">
        <v>2633</v>
      </c>
      <c r="B72" s="993"/>
      <c r="C72" s="991"/>
    </row>
    <row r="73" spans="1:3" ht="18">
      <c r="A73" s="996" t="s">
        <v>750</v>
      </c>
      <c r="B73" s="993"/>
      <c r="C73" s="991"/>
    </row>
    <row r="74" spans="1:3" ht="37.5" customHeight="1">
      <c r="A74" s="997" t="s">
        <v>2778</v>
      </c>
      <c r="B74" s="2485" t="str">
        <f>+[74]BSPL!E127</f>
        <v>JARNAIL SINGH SAINI - CHIEF FINANCIAL OFFICER &amp; EXECUTIVE DIRECTOR</v>
      </c>
      <c r="C74" s="2486"/>
    </row>
    <row r="75" spans="1:3" ht="20.25" customHeight="1">
      <c r="A75" s="996"/>
      <c r="B75" s="993"/>
      <c r="C75" s="995" t="s">
        <v>751</v>
      </c>
    </row>
    <row r="76" spans="1:3" ht="18">
      <c r="A76" s="992"/>
      <c r="B76" s="993"/>
      <c r="C76" s="995"/>
    </row>
    <row r="77" spans="1:3" ht="18">
      <c r="A77" s="992"/>
      <c r="B77" s="993"/>
      <c r="C77" s="995"/>
    </row>
    <row r="78" spans="1:3" ht="18">
      <c r="A78" s="992"/>
      <c r="B78" s="993"/>
      <c r="C78" s="995"/>
    </row>
    <row r="79" spans="1:3" ht="18">
      <c r="A79" s="992"/>
      <c r="B79" s="993"/>
      <c r="C79" s="994" t="s">
        <v>2386</v>
      </c>
    </row>
    <row r="80" spans="1:3" ht="18">
      <c r="A80" s="992"/>
      <c r="B80" s="993"/>
      <c r="C80" s="995" t="s">
        <v>753</v>
      </c>
    </row>
    <row r="81" spans="1:3" ht="18">
      <c r="A81" s="992"/>
      <c r="B81" s="993"/>
      <c r="C81" s="995"/>
    </row>
    <row r="82" spans="1:3" ht="18">
      <c r="A82" s="992"/>
      <c r="B82" s="993"/>
      <c r="C82" s="995"/>
    </row>
    <row r="83" spans="1:3" ht="18">
      <c r="A83" s="992"/>
      <c r="B83" s="993"/>
      <c r="C83" s="995"/>
    </row>
    <row r="84" spans="1:3" ht="18">
      <c r="A84" s="992"/>
      <c r="B84" s="993"/>
      <c r="C84" s="998" t="s">
        <v>754</v>
      </c>
    </row>
    <row r="85" spans="1:3" ht="18">
      <c r="A85" s="992"/>
      <c r="B85" s="993"/>
      <c r="C85" s="991" t="s">
        <v>750</v>
      </c>
    </row>
    <row r="86" spans="1:3" ht="18.600000000000001" thickBot="1">
      <c r="A86" s="999"/>
      <c r="B86" s="1000"/>
      <c r="C86" s="1001" t="str">
        <f>+A74</f>
        <v>Date: 27/05/2023</v>
      </c>
    </row>
  </sheetData>
  <customSheetViews>
    <customSheetView guid="{ADEA4918-0326-423A-8D00-FB47A486004B}" scale="80" showPageBreaks="1" printArea="1" hiddenRows="1" hiddenColumns="1" view="pageBreakPreview" topLeftCell="A49">
      <selection activeCell="B63" sqref="B63"/>
      <colBreaks count="1" manualBreakCount="1">
        <brk id="3" min="1" max="88" man="1"/>
      </colBreaks>
      <pageMargins left="1.37" right="0.7" top="0.75" bottom="0.75" header="0.3" footer="0.3"/>
      <pageSetup scale="48" orientation="portrait" r:id="rId1"/>
    </customSheetView>
    <customSheetView guid="{2A78E287-3113-4387-BB62-BE98FA5C13C2}" scale="80" showPageBreaks="1" printArea="1" hiddenRows="1" hiddenColumns="1" view="pageBreakPreview" topLeftCell="A29">
      <selection activeCell="A73" sqref="A73"/>
      <colBreaks count="1" manualBreakCount="1">
        <brk id="3" min="1" max="88" man="1"/>
      </colBreaks>
      <pageMargins left="1.37" right="0.7" top="0.75" bottom="0.75" header="0.3" footer="0.3"/>
      <pageSetup scale="48" orientation="portrait" r:id="rId2"/>
    </customSheetView>
    <customSheetView guid="{DC5DA12B-0FA6-4F41-A983-6E433AD4604D}" scale="80" showPageBreaks="1" printArea="1" hiddenRows="1" hiddenColumns="1" view="pageBreakPreview" topLeftCell="A29">
      <selection activeCell="A73" sqref="A73"/>
      <colBreaks count="1" manualBreakCount="1">
        <brk id="3" min="1" max="88" man="1"/>
      </colBreaks>
      <pageMargins left="1.37" right="0.7" top="0.75" bottom="0.75" header="0.3" footer="0.3"/>
      <pageSetup scale="48" orientation="portrait" r:id="rId3"/>
    </customSheetView>
  </customSheetViews>
  <mergeCells count="4">
    <mergeCell ref="A2:C2"/>
    <mergeCell ref="A3:C3"/>
    <mergeCell ref="A59:C59"/>
    <mergeCell ref="B74:C74"/>
  </mergeCells>
  <pageMargins left="1.37" right="0.7" top="0.75" bottom="0.75" header="0.3" footer="0.3"/>
  <pageSetup scale="48" orientation="portrait" r:id="rId4"/>
  <colBreaks count="1" manualBreakCount="1">
    <brk id="3" min="1" max="8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E40C6-724E-4C98-BB1E-9AC1FDF09750}">
  <dimension ref="C2:G74"/>
  <sheetViews>
    <sheetView workbookViewId="0">
      <selection activeCell="A2" sqref="A2:G86"/>
    </sheetView>
  </sheetViews>
  <sheetFormatPr defaultColWidth="9.109375" defaultRowHeight="14.4"/>
  <cols>
    <col min="3" max="3" width="2.6640625" bestFit="1" customWidth="1"/>
    <col min="4" max="4" width="96.6640625" bestFit="1" customWidth="1"/>
    <col min="5" max="5" width="4.109375" bestFit="1" customWidth="1"/>
    <col min="6" max="6" width="20.5546875" style="410" bestFit="1" customWidth="1"/>
    <col min="7" max="7" width="22.109375" style="410" bestFit="1" customWidth="1"/>
  </cols>
  <sheetData>
    <row r="2" spans="3:7">
      <c r="C2" s="2489" t="s">
        <v>702</v>
      </c>
      <c r="D2" s="2490"/>
      <c r="E2" s="2490"/>
      <c r="F2" s="2490"/>
      <c r="G2" s="2490"/>
    </row>
    <row r="3" spans="3:7">
      <c r="C3" s="2487"/>
      <c r="D3" s="2488"/>
      <c r="E3" s="2488"/>
      <c r="F3" s="2488"/>
      <c r="G3" s="2488"/>
    </row>
    <row r="4" spans="3:7">
      <c r="C4" s="2487" t="s">
        <v>3073</v>
      </c>
      <c r="D4" s="2488"/>
      <c r="E4" s="2488"/>
      <c r="F4" s="2488"/>
      <c r="G4" s="2488"/>
    </row>
    <row r="5" spans="3:7">
      <c r="C5" s="2487" t="s">
        <v>2906</v>
      </c>
      <c r="D5" s="2488"/>
      <c r="E5" s="2488"/>
      <c r="F5" s="2488"/>
      <c r="G5" s="2488"/>
    </row>
    <row r="6" spans="3:7">
      <c r="C6" s="2491"/>
      <c r="D6" s="2492"/>
      <c r="E6" s="2492"/>
      <c r="F6" s="2492"/>
      <c r="G6" s="2492"/>
    </row>
    <row r="7" spans="3:7">
      <c r="C7" s="2487" t="s">
        <v>2907</v>
      </c>
      <c r="D7" s="2488"/>
      <c r="E7" s="2488"/>
      <c r="F7" s="2488"/>
      <c r="G7" s="2488"/>
    </row>
    <row r="8" spans="3:7">
      <c r="C8" s="2487"/>
      <c r="D8" s="2488"/>
      <c r="E8" s="2488"/>
      <c r="F8" s="2488"/>
      <c r="G8" s="2488"/>
    </row>
    <row r="9" spans="3:7">
      <c r="C9" s="2487" t="s">
        <v>2908</v>
      </c>
      <c r="D9" s="2488"/>
      <c r="E9" s="2488"/>
      <c r="F9" s="2488"/>
      <c r="G9" s="2488"/>
    </row>
    <row r="10" spans="3:7" ht="15.6">
      <c r="C10" s="1571"/>
      <c r="D10" s="1572"/>
      <c r="E10" s="1573"/>
      <c r="F10" s="1753" t="s">
        <v>3074</v>
      </c>
      <c r="G10" s="1574" t="s">
        <v>3075</v>
      </c>
    </row>
    <row r="11" spans="3:7" ht="15.6">
      <c r="C11" s="1575">
        <v>1</v>
      </c>
      <c r="D11" s="1576" t="s">
        <v>2909</v>
      </c>
      <c r="E11" s="1577"/>
      <c r="F11" s="1578"/>
      <c r="G11" s="1579"/>
    </row>
    <row r="12" spans="3:7" ht="15.6">
      <c r="C12" s="1580"/>
      <c r="D12" s="1577"/>
      <c r="E12" s="1577"/>
      <c r="F12" s="1578">
        <f>+BSPL!G483</f>
        <v>579738206.39999998</v>
      </c>
      <c r="G12" s="1578">
        <f>+BSPL!H483</f>
        <v>1042874202.4200001</v>
      </c>
    </row>
    <row r="13" spans="3:7" ht="15.6">
      <c r="C13" s="1581"/>
      <c r="D13" s="1582" t="s">
        <v>2910</v>
      </c>
      <c r="E13" s="1577" t="s">
        <v>2911</v>
      </c>
      <c r="F13" s="1583">
        <f>+F12</f>
        <v>579738206.39999998</v>
      </c>
      <c r="G13" s="1583">
        <f>+G12</f>
        <v>1042874202.4200001</v>
      </c>
    </row>
    <row r="14" spans="3:7" ht="15.6">
      <c r="C14" s="1581"/>
      <c r="D14" s="1584"/>
      <c r="E14" s="1577"/>
      <c r="F14" s="1578"/>
      <c r="G14" s="1583"/>
    </row>
    <row r="15" spans="3:7" ht="15.6">
      <c r="C15" s="1581"/>
      <c r="D15" s="1585" t="s">
        <v>2912</v>
      </c>
      <c r="E15" s="1577"/>
      <c r="F15" s="1578">
        <f>+BSPL!G499</f>
        <v>413929787.49000001</v>
      </c>
      <c r="G15" s="1578">
        <f>+BSPL!H499</f>
        <v>815123705.5</v>
      </c>
    </row>
    <row r="16" spans="3:7" ht="15.6">
      <c r="C16" s="1581"/>
      <c r="D16" s="1585" t="s">
        <v>2913</v>
      </c>
      <c r="E16" s="1577"/>
      <c r="F16" s="1578">
        <v>0</v>
      </c>
      <c r="G16" s="1583">
        <v>0</v>
      </c>
    </row>
    <row r="17" spans="3:7" ht="15.6">
      <c r="C17" s="1581"/>
      <c r="D17" s="1585" t="s">
        <v>2914</v>
      </c>
      <c r="E17" s="1577"/>
      <c r="F17" s="1578">
        <f>+BSPL!G529</f>
        <v>168002348.38</v>
      </c>
      <c r="G17" s="1578">
        <f>+BSPL!H529</f>
        <v>232179744.67999998</v>
      </c>
    </row>
    <row r="18" spans="3:7" ht="15.6">
      <c r="C18" s="1581"/>
      <c r="D18" s="1585" t="s">
        <v>2915</v>
      </c>
      <c r="E18" s="1577"/>
      <c r="F18" s="1578">
        <v>0</v>
      </c>
      <c r="G18" s="1583">
        <v>0</v>
      </c>
    </row>
    <row r="19" spans="3:7" ht="15.6">
      <c r="C19" s="1581"/>
      <c r="D19" s="1585" t="s">
        <v>2916</v>
      </c>
      <c r="E19" s="1577"/>
      <c r="F19" s="1578">
        <f>-BSPL!G503</f>
        <v>-12356119.266733212</v>
      </c>
      <c r="G19" s="1578">
        <f>-BSPL!H503</f>
        <v>-623065</v>
      </c>
    </row>
    <row r="20" spans="3:7" ht="15.6">
      <c r="C20" s="1581"/>
      <c r="D20" s="1584"/>
      <c r="E20" s="1577" t="s">
        <v>2917</v>
      </c>
      <c r="F20" s="1583">
        <f>+SUM(F15:F19)</f>
        <v>569576016.60326684</v>
      </c>
      <c r="G20" s="1583">
        <f>+SUM(G15:G19)</f>
        <v>1046680385.1799999</v>
      </c>
    </row>
    <row r="21" spans="3:7" ht="15.6">
      <c r="C21" s="1581"/>
      <c r="D21" s="1577"/>
      <c r="E21" s="1577"/>
      <c r="F21" s="1578"/>
      <c r="G21" s="1583"/>
    </row>
    <row r="22" spans="3:7" ht="15.6">
      <c r="C22" s="1581"/>
      <c r="D22" s="1585" t="s">
        <v>2918</v>
      </c>
      <c r="E22" s="1577"/>
      <c r="F22" s="1586">
        <f>+F13-F20</f>
        <v>10162189.796733141</v>
      </c>
      <c r="G22" s="1586">
        <f>+G13-G20</f>
        <v>-3806182.7599998713</v>
      </c>
    </row>
    <row r="23" spans="3:7" ht="15.6">
      <c r="C23" s="1581"/>
      <c r="D23" s="1585"/>
      <c r="E23" s="1577"/>
      <c r="F23" s="1578"/>
      <c r="G23" s="1587"/>
    </row>
    <row r="24" spans="3:7" ht="16.2" thickBot="1">
      <c r="C24" s="1581"/>
      <c r="D24" s="1585" t="s">
        <v>2919</v>
      </c>
      <c r="E24" s="1577"/>
      <c r="F24" s="1588">
        <f>+F22/F13</f>
        <v>1.7528928893331502E-2</v>
      </c>
      <c r="G24" s="1588">
        <f>+G22/G13</f>
        <v>-3.6497045867733479E-3</v>
      </c>
    </row>
    <row r="25" spans="3:7" ht="16.2" thickTop="1">
      <c r="C25" s="1581"/>
      <c r="D25" s="1585"/>
      <c r="E25" s="1577"/>
      <c r="F25" s="1578"/>
      <c r="G25" s="1587"/>
    </row>
    <row r="26" spans="3:7" ht="15.6">
      <c r="C26" s="1581"/>
      <c r="D26" s="1585"/>
      <c r="E26" s="1577"/>
      <c r="F26" s="1578"/>
      <c r="G26" s="1587"/>
    </row>
    <row r="27" spans="3:7" ht="15.6">
      <c r="C27" s="1575">
        <v>2</v>
      </c>
      <c r="D27" s="1576" t="s">
        <v>2920</v>
      </c>
      <c r="E27" s="1577"/>
      <c r="F27" s="1578"/>
      <c r="G27" s="1587"/>
    </row>
    <row r="28" spans="3:7" ht="15.6">
      <c r="C28" s="1581"/>
      <c r="D28" s="1585"/>
      <c r="E28" s="1577"/>
      <c r="F28" s="1578"/>
      <c r="G28" s="1587"/>
    </row>
    <row r="29" spans="3:7" ht="15.6">
      <c r="C29" s="1581"/>
      <c r="D29" s="1585" t="s">
        <v>2921</v>
      </c>
      <c r="E29" s="1577"/>
      <c r="F29" s="1578">
        <f>+BSPL!G94</f>
        <v>-68720246.726733327</v>
      </c>
      <c r="G29" s="1578">
        <f>+BSPL!H94</f>
        <v>-49775048.144347906</v>
      </c>
    </row>
    <row r="30" spans="3:7" ht="15.6">
      <c r="C30" s="1581"/>
      <c r="D30" s="1585"/>
      <c r="E30" s="1577"/>
      <c r="F30" s="1578"/>
      <c r="G30" s="1587"/>
    </row>
    <row r="31" spans="3:7" ht="15.6">
      <c r="C31" s="1581"/>
      <c r="D31" s="1585" t="s">
        <v>2922</v>
      </c>
      <c r="E31" s="1577"/>
      <c r="F31" s="1587">
        <f>+F13</f>
        <v>579738206.39999998</v>
      </c>
      <c r="G31" s="1587">
        <f>+G13</f>
        <v>1042874202.4200001</v>
      </c>
    </row>
    <row r="32" spans="3:7" ht="15.6">
      <c r="C32" s="1581"/>
      <c r="D32" s="1585"/>
      <c r="E32" s="1577"/>
      <c r="F32" s="1578"/>
      <c r="G32" s="1587"/>
    </row>
    <row r="33" spans="3:7" ht="16.2" thickBot="1">
      <c r="C33" s="1581"/>
      <c r="D33" s="1585" t="s">
        <v>2923</v>
      </c>
      <c r="E33" s="1577"/>
      <c r="F33" s="1588">
        <f>+F29/F31</f>
        <v>-0.11853668771196814</v>
      </c>
      <c r="G33" s="1588">
        <f>+G29/G31</f>
        <v>-4.7728717451102354E-2</v>
      </c>
    </row>
    <row r="34" spans="3:7" ht="16.2" thickTop="1">
      <c r="C34" s="1581"/>
      <c r="D34" s="1585"/>
      <c r="E34" s="1577"/>
      <c r="F34" s="1578"/>
      <c r="G34" s="1587"/>
    </row>
    <row r="35" spans="3:7" ht="15.6">
      <c r="C35" s="1581"/>
      <c r="D35" s="1585"/>
      <c r="E35" s="1577"/>
      <c r="F35" s="1578"/>
      <c r="G35" s="1587"/>
    </row>
    <row r="36" spans="3:7" ht="15.6">
      <c r="C36" s="1575">
        <v>3</v>
      </c>
      <c r="D36" s="1576" t="s">
        <v>2924</v>
      </c>
      <c r="E36" s="1577"/>
      <c r="F36" s="1578"/>
      <c r="G36" s="1587"/>
    </row>
    <row r="37" spans="3:7" ht="15.6">
      <c r="C37" s="1581"/>
      <c r="D37" s="1585"/>
      <c r="E37" s="1577"/>
      <c r="F37" s="1578"/>
      <c r="G37" s="1587"/>
    </row>
    <row r="38" spans="3:7" ht="15.6">
      <c r="C38" s="1581"/>
      <c r="D38" s="1585" t="s">
        <v>2925</v>
      </c>
      <c r="E38" s="1577"/>
      <c r="F38" s="1587">
        <f>+F13</f>
        <v>579738206.39999998</v>
      </c>
      <c r="G38" s="1587">
        <f>+G13</f>
        <v>1042874202.4200001</v>
      </c>
    </row>
    <row r="39" spans="3:7" ht="15.6">
      <c r="C39" s="1581"/>
      <c r="D39" s="1585"/>
      <c r="E39" s="1577"/>
      <c r="F39" s="1578"/>
      <c r="G39" s="1587"/>
    </row>
    <row r="40" spans="3:7" ht="15.6">
      <c r="C40" s="1581"/>
      <c r="D40" s="1585" t="s">
        <v>2926</v>
      </c>
      <c r="E40" s="1577"/>
      <c r="F40" s="1578">
        <f>+BSPL!G241</f>
        <v>4109107.7332667881</v>
      </c>
      <c r="G40" s="1578">
        <f>+BSPL!H241</f>
        <v>16465227</v>
      </c>
    </row>
    <row r="41" spans="3:7" ht="15.6">
      <c r="C41" s="1581"/>
      <c r="D41" s="1585"/>
      <c r="E41" s="1577"/>
      <c r="F41" s="1578"/>
      <c r="G41" s="1587"/>
    </row>
    <row r="42" spans="3:7" ht="16.2" thickBot="1">
      <c r="C42" s="1581"/>
      <c r="D42" s="1585" t="s">
        <v>2927</v>
      </c>
      <c r="E42" s="1577"/>
      <c r="F42" s="1588">
        <f>+F40/F38</f>
        <v>7.0878677442756657E-3</v>
      </c>
      <c r="G42" s="1588">
        <f>+G40/G38</f>
        <v>1.5788315562694211E-2</v>
      </c>
    </row>
    <row r="43" spans="3:7" ht="16.2" thickTop="1">
      <c r="C43" s="1581"/>
      <c r="D43" s="1585"/>
      <c r="E43" s="1577"/>
      <c r="F43" s="1578"/>
      <c r="G43" s="1587"/>
    </row>
    <row r="44" spans="3:7" ht="15.6">
      <c r="C44" s="1581"/>
      <c r="D44" s="1585"/>
      <c r="E44" s="1577"/>
      <c r="F44" s="1578"/>
      <c r="G44" s="1587"/>
    </row>
    <row r="45" spans="3:7" ht="15.6">
      <c r="C45" s="1575">
        <v>4</v>
      </c>
      <c r="D45" s="1576" t="s">
        <v>2928</v>
      </c>
      <c r="E45" s="1577"/>
      <c r="F45" s="1578"/>
      <c r="G45" s="1587"/>
    </row>
    <row r="46" spans="3:7" ht="15.6">
      <c r="C46" s="1581"/>
      <c r="D46" s="1585"/>
      <c r="E46" s="1577"/>
      <c r="F46" s="1578"/>
      <c r="G46" s="1587"/>
    </row>
    <row r="47" spans="3:7" ht="15.6">
      <c r="C47" s="1581" t="s">
        <v>757</v>
      </c>
      <c r="D47" s="1585" t="s">
        <v>2929</v>
      </c>
      <c r="E47" s="1577"/>
      <c r="F47" s="1578"/>
      <c r="G47" s="1587"/>
    </row>
    <row r="48" spans="3:7" ht="15.6">
      <c r="C48" s="1581"/>
      <c r="D48" s="1585"/>
      <c r="E48" s="1577"/>
      <c r="F48" s="1578"/>
      <c r="G48" s="1587"/>
    </row>
    <row r="49" spans="3:7" ht="15.6">
      <c r="C49" s="1581"/>
      <c r="D49" s="1585" t="s">
        <v>96</v>
      </c>
      <c r="E49" s="1577"/>
      <c r="F49" s="1587">
        <f>+F15</f>
        <v>413929787.49000001</v>
      </c>
      <c r="G49" s="1587">
        <f>+G15</f>
        <v>815123705.5</v>
      </c>
    </row>
    <row r="50" spans="3:7" ht="15.6">
      <c r="C50" s="1581"/>
      <c r="D50" s="1589" t="s">
        <v>2930</v>
      </c>
      <c r="E50" s="1577"/>
      <c r="F50" s="1587">
        <f>+F19</f>
        <v>-12356119.266733212</v>
      </c>
      <c r="G50" s="1587">
        <f>+G19</f>
        <v>-623065</v>
      </c>
    </row>
    <row r="51" spans="3:7" ht="15.6">
      <c r="C51" s="1581"/>
      <c r="D51" s="1585" t="s">
        <v>297</v>
      </c>
      <c r="E51" s="1577"/>
      <c r="F51" s="1578">
        <f>+BSPL!G526</f>
        <v>11539309.399999999</v>
      </c>
      <c r="G51" s="1578">
        <f>+BSPL!H526</f>
        <v>13069555.939999998</v>
      </c>
    </row>
    <row r="52" spans="3:7" ht="15.6">
      <c r="C52" s="1581"/>
      <c r="D52" s="1585"/>
      <c r="E52" s="1577"/>
      <c r="F52" s="1578"/>
      <c r="G52" s="1587"/>
    </row>
    <row r="53" spans="3:7" ht="15.6">
      <c r="C53" s="1581"/>
      <c r="D53" s="1584"/>
      <c r="E53" s="1590" t="s">
        <v>2911</v>
      </c>
      <c r="F53" s="1591">
        <f>+SUM(F49:F51)</f>
        <v>413112977.62326676</v>
      </c>
      <c r="G53" s="1591">
        <f>+SUM(G49:G51)</f>
        <v>827570196.44000006</v>
      </c>
    </row>
    <row r="54" spans="3:7" ht="15.6">
      <c r="C54" s="1581"/>
      <c r="D54" s="1585"/>
      <c r="E54" s="1577"/>
      <c r="F54" s="1578"/>
      <c r="G54" s="1587"/>
    </row>
    <row r="55" spans="3:7" ht="15.6">
      <c r="C55" s="1581" t="s">
        <v>757</v>
      </c>
      <c r="D55" s="1585" t="s">
        <v>2931</v>
      </c>
      <c r="E55" s="1577"/>
      <c r="F55" s="1578"/>
      <c r="G55" s="1587"/>
    </row>
    <row r="56" spans="3:7" ht="15.6">
      <c r="C56" s="1581"/>
      <c r="D56" s="1585"/>
      <c r="E56" s="1577"/>
      <c r="F56" s="1578"/>
      <c r="G56" s="1587"/>
    </row>
    <row r="57" spans="3:7" ht="15.6">
      <c r="C57" s="1581"/>
      <c r="D57" s="1585" t="s">
        <v>96</v>
      </c>
      <c r="E57" s="1577"/>
      <c r="F57" s="1587">
        <f>+F49</f>
        <v>413929787.49000001</v>
      </c>
      <c r="G57" s="1587">
        <f>+G49</f>
        <v>815123705.5</v>
      </c>
    </row>
    <row r="58" spans="3:7" ht="15.6">
      <c r="C58" s="1581"/>
      <c r="D58" s="1585" t="s">
        <v>2932</v>
      </c>
      <c r="E58" s="1577"/>
      <c r="F58" s="1592">
        <v>0</v>
      </c>
      <c r="G58" s="1592">
        <v>0</v>
      </c>
    </row>
    <row r="59" spans="3:7" ht="15.6">
      <c r="C59" s="1581"/>
      <c r="D59" s="1585" t="s">
        <v>2933</v>
      </c>
      <c r="E59" s="1577"/>
      <c r="F59" s="1587">
        <v>0</v>
      </c>
      <c r="G59" s="1587">
        <v>0</v>
      </c>
    </row>
    <row r="60" spans="3:7" ht="15.6">
      <c r="C60" s="1581"/>
      <c r="D60" s="1585" t="s">
        <v>297</v>
      </c>
      <c r="E60" s="1577"/>
      <c r="F60" s="1587">
        <f>+F51</f>
        <v>11539309.399999999</v>
      </c>
      <c r="G60" s="1587">
        <f>+G51</f>
        <v>13069555.939999998</v>
      </c>
    </row>
    <row r="61" spans="3:7" ht="15.6">
      <c r="C61" s="1581"/>
      <c r="D61" s="1585" t="s">
        <v>2934</v>
      </c>
      <c r="E61" s="1577"/>
      <c r="F61" s="1587">
        <f>+BSPL!G519</f>
        <v>5173477.92</v>
      </c>
      <c r="G61" s="1587">
        <f>+BSPL!H519</f>
        <v>10990341.880000001</v>
      </c>
    </row>
    <row r="62" spans="3:7" ht="15.6">
      <c r="C62" s="1581"/>
      <c r="D62" s="1585" t="s">
        <v>2935</v>
      </c>
      <c r="E62" s="1577"/>
      <c r="F62" s="1587">
        <f>+BSPL!G520</f>
        <v>126354165.61</v>
      </c>
      <c r="G62" s="1587">
        <f>+BSPL!H520</f>
        <v>184386383.23999998</v>
      </c>
    </row>
    <row r="63" spans="3:7" ht="15.6">
      <c r="C63" s="1581"/>
      <c r="D63" s="1585" t="s">
        <v>2936</v>
      </c>
      <c r="E63" s="1577"/>
      <c r="F63" s="1583">
        <f>+BSPL!G508</f>
        <v>20598065</v>
      </c>
      <c r="G63" s="1583">
        <f>+BSPL!H508</f>
        <v>18473732</v>
      </c>
    </row>
    <row r="64" spans="3:7" ht="15.6">
      <c r="C64" s="1581"/>
      <c r="D64" s="1585" t="s">
        <v>303</v>
      </c>
      <c r="E64" s="1577"/>
      <c r="F64" s="1583">
        <f>+BSPL!G521</f>
        <v>3685087.84</v>
      </c>
      <c r="G64" s="1583">
        <f>+BSPL!H521</f>
        <v>3368785</v>
      </c>
    </row>
    <row r="65" spans="3:7" ht="15.6">
      <c r="C65" s="1581"/>
      <c r="D65" s="1585" t="s">
        <v>2937</v>
      </c>
      <c r="E65" s="1577"/>
      <c r="F65" s="1583">
        <f>+BSPL!G524</f>
        <v>263090.43</v>
      </c>
      <c r="G65" s="1583">
        <f>+BSPL!H524</f>
        <v>93430.13</v>
      </c>
    </row>
    <row r="66" spans="3:7" ht="15.6">
      <c r="C66" s="1581"/>
      <c r="D66" s="1585" t="s">
        <v>2938</v>
      </c>
      <c r="E66" s="1577"/>
      <c r="F66" s="1583">
        <f>+BSPL!G523</f>
        <v>6603046.9199999999</v>
      </c>
      <c r="G66" s="1583">
        <f>+BSPL!H523</f>
        <v>6859174.04</v>
      </c>
    </row>
    <row r="67" spans="3:7" ht="15.6">
      <c r="C67" s="1581"/>
      <c r="D67" s="1585" t="s">
        <v>170</v>
      </c>
      <c r="E67" s="1577"/>
      <c r="F67" s="1583">
        <f>+BSPL!G518</f>
        <v>3611803</v>
      </c>
      <c r="G67" s="1583">
        <f>+BSPL!H518</f>
        <v>2829820</v>
      </c>
    </row>
    <row r="68" spans="3:7" ht="15.6">
      <c r="C68" s="1581"/>
      <c r="D68" s="1585" t="s">
        <v>928</v>
      </c>
      <c r="E68" s="1577"/>
      <c r="F68" s="1583">
        <f>+BSPL!G528</f>
        <v>4714336.38</v>
      </c>
      <c r="G68" s="1583">
        <f>+BSPL!H528</f>
        <v>4829408</v>
      </c>
    </row>
    <row r="69" spans="3:7" ht="15.6">
      <c r="C69" s="1581"/>
      <c r="D69" s="1585" t="s">
        <v>74</v>
      </c>
      <c r="E69" s="1577"/>
      <c r="F69" s="1587">
        <f>+BSPL!G517</f>
        <v>4910747.88</v>
      </c>
      <c r="G69" s="1587">
        <f>+BSPL!H517</f>
        <v>4847155.45</v>
      </c>
    </row>
    <row r="70" spans="3:7" ht="15.6">
      <c r="C70" s="1581"/>
      <c r="D70" s="1585" t="s">
        <v>328</v>
      </c>
      <c r="E70" s="1593"/>
      <c r="F70" s="1594">
        <f>+BSPL!G525</f>
        <v>827794</v>
      </c>
      <c r="G70" s="1594">
        <f>+BSPL!H525</f>
        <v>905691</v>
      </c>
    </row>
    <row r="71" spans="3:7" ht="15.6">
      <c r="C71" s="1581"/>
      <c r="D71" s="1584"/>
      <c r="E71" s="1590" t="s">
        <v>2917</v>
      </c>
      <c r="F71" s="1591">
        <f>+SUM(F57:F70)</f>
        <v>602210711.86999989</v>
      </c>
      <c r="G71" s="1591">
        <f>+SUM(G57:G70)</f>
        <v>1065777182.1800001</v>
      </c>
    </row>
    <row r="72" spans="3:7" ht="15.6">
      <c r="C72" s="1581"/>
      <c r="D72" s="1585"/>
      <c r="E72" s="1577"/>
      <c r="F72" s="1578"/>
      <c r="G72" s="1587"/>
    </row>
    <row r="73" spans="3:7" ht="15.6">
      <c r="C73" s="1581"/>
      <c r="D73" s="1585"/>
      <c r="E73" s="1577"/>
      <c r="F73" s="1578"/>
      <c r="G73" s="1587"/>
    </row>
    <row r="74" spans="3:7" ht="15.6">
      <c r="C74" s="1595"/>
      <c r="D74" s="1596" t="s">
        <v>2939</v>
      </c>
      <c r="E74" s="1597"/>
      <c r="F74" s="1598">
        <f>+F53/F71</f>
        <v>0.68599407064756113</v>
      </c>
      <c r="G74" s="1598">
        <f>+G53/G71</f>
        <v>0.77649457154566004</v>
      </c>
    </row>
  </sheetData>
  <customSheetViews>
    <customSheetView guid="{ADEA4918-0326-423A-8D00-FB47A486004B}">
      <selection activeCell="A2" sqref="A2:G86"/>
      <pageMargins left="0.7" right="0.7" top="0.75" bottom="0.75" header="0.3" footer="0.3"/>
    </customSheetView>
    <customSheetView guid="{2A78E287-3113-4387-BB62-BE98FA5C13C2}" state="hidden">
      <selection activeCell="A2" sqref="A2:G86"/>
      <pageMargins left="0.7" right="0.7" top="0.75" bottom="0.75" header="0.3" footer="0.3"/>
    </customSheetView>
    <customSheetView guid="{DC5DA12B-0FA6-4F41-A983-6E433AD4604D}" state="hidden">
      <selection activeCell="A2" sqref="A2:G86"/>
      <pageMargins left="0.7" right="0.7" top="0.75" bottom="0.75" header="0.3" footer="0.3"/>
    </customSheetView>
  </customSheetViews>
  <mergeCells count="8">
    <mergeCell ref="C8:G8"/>
    <mergeCell ref="C9:G9"/>
    <mergeCell ref="C2:G2"/>
    <mergeCell ref="C3:G3"/>
    <mergeCell ref="C4:G4"/>
    <mergeCell ref="C5:G5"/>
    <mergeCell ref="C6:G6"/>
    <mergeCell ref="C7:G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36B6A-BAD9-4518-9EB9-9A97215C3E06}">
  <dimension ref="A1:CD87"/>
  <sheetViews>
    <sheetView view="pageBreakPreview" topLeftCell="A64" zoomScale="80" zoomScaleNormal="100" zoomScaleSheetLayoutView="80" workbookViewId="0">
      <selection activeCell="A2" sqref="A2:C2"/>
    </sheetView>
  </sheetViews>
  <sheetFormatPr defaultColWidth="9.109375" defaultRowHeight="15.6"/>
  <cols>
    <col min="1" max="1" width="108.88671875" style="657" customWidth="1"/>
    <col min="2" max="2" width="23.109375" style="658" customWidth="1"/>
    <col min="3" max="3" width="22.33203125" style="658" customWidth="1"/>
    <col min="4" max="4" width="11.88671875" hidden="1" customWidth="1"/>
    <col min="5" max="5" width="25.5546875" hidden="1" customWidth="1"/>
    <col min="6" max="8" width="11.88671875" hidden="1" customWidth="1"/>
    <col min="9" max="9" width="15.44140625" hidden="1" customWidth="1"/>
    <col min="10" max="10" width="14.6640625" hidden="1" customWidth="1"/>
    <col min="11" max="11" width="9.109375" hidden="1" customWidth="1"/>
    <col min="12" max="12" width="14.88671875" style="636" hidden="1" customWidth="1"/>
    <col min="13" max="14" width="9.109375" style="636" hidden="1" customWidth="1"/>
    <col min="15" max="15" width="41.33203125" style="637" hidden="1" customWidth="1"/>
    <col min="16" max="16" width="17.109375" style="637" hidden="1" customWidth="1"/>
    <col min="17" max="17" width="9.44140625" style="637" hidden="1" customWidth="1"/>
    <col min="18" max="19" width="16.33203125" style="637" hidden="1" customWidth="1"/>
    <col min="20" max="20" width="17" style="636" hidden="1" customWidth="1"/>
    <col min="21" max="47" width="9.109375" style="636" hidden="1" customWidth="1"/>
    <col min="49" max="49" width="12.5546875" style="638" bestFit="1" customWidth="1"/>
    <col min="50" max="50" width="31.5546875" style="638" bestFit="1" customWidth="1"/>
    <col min="51" max="51" width="17.33203125" style="638" bestFit="1" customWidth="1"/>
    <col min="52" max="52" width="17.6640625" style="638" bestFit="1" customWidth="1"/>
    <col min="53" max="53" width="9.109375" style="638"/>
    <col min="54" max="54" width="17.109375" style="638" bestFit="1" customWidth="1"/>
    <col min="55" max="55" width="18.44140625" style="638" bestFit="1" customWidth="1"/>
    <col min="56" max="56" width="20.44140625" style="638" bestFit="1" customWidth="1"/>
    <col min="57" max="82" width="9.109375" style="638"/>
  </cols>
  <sheetData>
    <row r="1" spans="1:56" ht="16.2" thickBot="1">
      <c r="A1" s="657">
        <v>100000</v>
      </c>
    </row>
    <row r="2" spans="1:56">
      <c r="A2" s="2476" t="s">
        <v>702</v>
      </c>
      <c r="B2" s="2477"/>
      <c r="C2" s="2478"/>
    </row>
    <row r="3" spans="1:56" s="638" customFormat="1">
      <c r="A3" s="2479" t="s">
        <v>3097</v>
      </c>
      <c r="B3" s="2480"/>
      <c r="C3" s="2481"/>
      <c r="D3"/>
      <c r="E3"/>
      <c r="F3"/>
      <c r="G3"/>
      <c r="H3"/>
      <c r="I3"/>
      <c r="J3"/>
      <c r="K3"/>
      <c r="L3" s="636"/>
      <c r="M3" s="636"/>
      <c r="N3" s="636"/>
      <c r="O3" s="637"/>
      <c r="P3" s="637"/>
      <c r="Q3" s="637"/>
      <c r="R3" s="637"/>
      <c r="S3" s="637"/>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row>
    <row r="4" spans="1:56" s="638" customFormat="1">
      <c r="A4" s="1824"/>
      <c r="B4" s="1825"/>
      <c r="C4" s="1826" t="s">
        <v>4703</v>
      </c>
      <c r="D4"/>
      <c r="E4"/>
      <c r="F4"/>
      <c r="G4"/>
      <c r="H4"/>
      <c r="I4"/>
      <c r="J4"/>
      <c r="K4"/>
      <c r="L4" s="636"/>
      <c r="M4" s="636"/>
      <c r="N4" s="636"/>
      <c r="O4" s="637"/>
      <c r="P4" s="637"/>
      <c r="Q4" s="637"/>
      <c r="R4" s="637"/>
      <c r="S4" s="637"/>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row>
    <row r="5" spans="1:56" s="638" customFormat="1">
      <c r="A5" s="957" t="s">
        <v>2313</v>
      </c>
      <c r="B5" s="639" t="s">
        <v>3098</v>
      </c>
      <c r="C5" s="976" t="s">
        <v>2387</v>
      </c>
      <c r="D5"/>
      <c r="E5"/>
      <c r="F5"/>
      <c r="G5"/>
      <c r="H5"/>
      <c r="I5"/>
      <c r="J5"/>
      <c r="K5"/>
      <c r="L5" s="636"/>
      <c r="M5" s="636"/>
      <c r="N5" s="636"/>
      <c r="O5" s="637"/>
      <c r="P5" s="637"/>
      <c r="Q5" s="637"/>
      <c r="R5" s="637"/>
      <c r="S5" s="637"/>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6"/>
      <c r="AV5"/>
    </row>
    <row r="6" spans="1:56" s="638" customFormat="1">
      <c r="A6" s="965"/>
      <c r="B6" s="640"/>
      <c r="C6" s="977"/>
      <c r="D6"/>
      <c r="E6"/>
      <c r="F6"/>
      <c r="G6"/>
      <c r="H6"/>
      <c r="I6"/>
      <c r="J6"/>
      <c r="K6"/>
      <c r="L6" s="636"/>
      <c r="M6" s="636"/>
      <c r="N6" s="636"/>
      <c r="O6" s="637"/>
      <c r="P6" s="637"/>
      <c r="Q6" s="637"/>
      <c r="R6" s="637"/>
      <c r="S6" s="637"/>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row>
    <row r="7" spans="1:56" s="638" customFormat="1">
      <c r="A7" s="960" t="s">
        <v>2314</v>
      </c>
      <c r="B7" s="641"/>
      <c r="C7" s="977"/>
      <c r="D7"/>
      <c r="E7"/>
      <c r="F7"/>
      <c r="G7"/>
      <c r="H7"/>
      <c r="I7"/>
      <c r="J7"/>
      <c r="K7"/>
      <c r="L7" s="636"/>
      <c r="M7" s="636"/>
      <c r="N7" s="636"/>
      <c r="O7" s="637"/>
      <c r="P7" s="637"/>
      <c r="Q7" s="637"/>
      <c r="R7" s="637"/>
      <c r="S7" s="637"/>
      <c r="T7" s="636"/>
      <c r="U7" s="636"/>
      <c r="V7" s="636"/>
      <c r="W7" s="636"/>
      <c r="X7" s="636"/>
      <c r="Y7" s="636"/>
      <c r="Z7" s="636"/>
      <c r="AA7" s="636"/>
      <c r="AB7" s="636"/>
      <c r="AC7" s="636"/>
      <c r="AD7" s="636"/>
      <c r="AE7" s="636"/>
      <c r="AF7" s="636"/>
      <c r="AG7" s="636"/>
      <c r="AH7" s="636"/>
      <c r="AI7" s="636"/>
      <c r="AJ7" s="636"/>
      <c r="AK7" s="636"/>
      <c r="AL7" s="636"/>
      <c r="AM7" s="636"/>
      <c r="AN7" s="636"/>
      <c r="AO7" s="636"/>
      <c r="AP7" s="636"/>
      <c r="AQ7" s="636"/>
      <c r="AR7" s="636"/>
      <c r="AS7" s="636"/>
      <c r="AT7" s="636"/>
      <c r="AU7" s="636"/>
      <c r="AV7"/>
    </row>
    <row r="8" spans="1:56" s="638" customFormat="1">
      <c r="A8" s="957" t="s">
        <v>2315</v>
      </c>
      <c r="B8" s="963">
        <f>+BSPL!G94/A1</f>
        <v>-687.2024672673333</v>
      </c>
      <c r="C8" s="964">
        <f>+BSPL!H94/A1</f>
        <v>-497.75048144347909</v>
      </c>
      <c r="D8"/>
      <c r="E8"/>
      <c r="F8"/>
      <c r="G8"/>
      <c r="H8"/>
      <c r="I8"/>
      <c r="J8"/>
      <c r="K8"/>
      <c r="L8" s="636"/>
      <c r="M8" s="636"/>
      <c r="N8" s="643"/>
      <c r="O8" s="637"/>
      <c r="P8" s="637"/>
      <c r="Q8" s="637"/>
      <c r="R8" s="637"/>
      <c r="S8" s="637"/>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row>
    <row r="9" spans="1:56" s="638" customFormat="1">
      <c r="A9" s="965" t="s">
        <v>2316</v>
      </c>
      <c r="B9" s="904"/>
      <c r="C9" s="1284"/>
      <c r="D9"/>
      <c r="E9"/>
      <c r="F9"/>
      <c r="G9"/>
      <c r="H9"/>
      <c r="I9"/>
      <c r="J9"/>
      <c r="K9"/>
      <c r="L9" s="636"/>
      <c r="M9" s="636"/>
      <c r="N9" s="636"/>
      <c r="O9" s="637"/>
      <c r="P9" s="637"/>
      <c r="Q9" s="637"/>
      <c r="R9" s="637"/>
      <c r="S9" s="637"/>
      <c r="T9" s="636"/>
      <c r="U9" s="636"/>
      <c r="V9" s="636"/>
      <c r="W9" s="636"/>
      <c r="X9" s="636"/>
      <c r="Y9" s="636"/>
      <c r="Z9" s="636"/>
      <c r="AA9" s="636"/>
      <c r="AB9" s="636"/>
      <c r="AC9" s="636"/>
      <c r="AD9" s="636"/>
      <c r="AE9" s="636"/>
      <c r="AF9" s="636"/>
      <c r="AG9" s="636"/>
      <c r="AH9" s="636"/>
      <c r="AI9" s="636"/>
      <c r="AJ9" s="636"/>
      <c r="AK9" s="636"/>
      <c r="AL9" s="636"/>
      <c r="AM9" s="636"/>
      <c r="AN9" s="636"/>
      <c r="AO9" s="636"/>
      <c r="AP9" s="636"/>
      <c r="AQ9" s="636"/>
      <c r="AR9" s="636"/>
      <c r="AS9" s="636"/>
      <c r="AT9" s="636"/>
      <c r="AU9" s="636"/>
      <c r="AV9"/>
    </row>
    <row r="10" spans="1:56" s="638" customFormat="1">
      <c r="A10" s="965" t="s">
        <v>2317</v>
      </c>
      <c r="B10" s="904">
        <f>BSPL!G108/A1</f>
        <v>14.51163</v>
      </c>
      <c r="C10" s="966">
        <f>+BSPL!H108/A1</f>
        <v>4.5342099999999999</v>
      </c>
      <c r="D10"/>
      <c r="E10"/>
      <c r="F10"/>
      <c r="G10"/>
      <c r="H10"/>
      <c r="I10"/>
      <c r="J10"/>
      <c r="K10"/>
      <c r="L10" s="636"/>
      <c r="M10" s="636"/>
      <c r="N10" s="636"/>
      <c r="O10" s="637"/>
      <c r="P10" s="637"/>
      <c r="Q10" s="637"/>
      <c r="R10" s="637"/>
      <c r="S10" s="637"/>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row>
    <row r="11" spans="1:56" s="638" customFormat="1">
      <c r="A11" s="965" t="s">
        <v>2318</v>
      </c>
      <c r="B11" s="904">
        <f>+BSPL!G88/A1</f>
        <v>195.83895999999999</v>
      </c>
      <c r="C11" s="966">
        <f>+BSPL!H88/A1</f>
        <v>180.81667364197128</v>
      </c>
      <c r="D11"/>
      <c r="E11"/>
      <c r="F11"/>
      <c r="G11"/>
      <c r="H11"/>
      <c r="I11"/>
      <c r="J11"/>
      <c r="K11"/>
      <c r="L11" s="636"/>
      <c r="M11" s="636"/>
      <c r="N11" s="636"/>
      <c r="O11" s="637"/>
      <c r="P11" s="637"/>
      <c r="Q11" s="637"/>
      <c r="R11" s="637"/>
      <c r="S11" s="637"/>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row>
    <row r="12" spans="1:56" s="638" customFormat="1">
      <c r="A12" s="965" t="s">
        <v>766</v>
      </c>
      <c r="B12" s="904">
        <f>+BSPL!G87/A1</f>
        <v>156.44945000000001</v>
      </c>
      <c r="C12" s="966">
        <f>+BSPL!H87/A1</f>
        <v>85.876410000000007</v>
      </c>
      <c r="D12"/>
      <c r="E12"/>
      <c r="F12"/>
      <c r="G12"/>
      <c r="H12"/>
      <c r="I12"/>
      <c r="J12"/>
      <c r="K12"/>
      <c r="L12" s="636"/>
      <c r="M12" s="636"/>
      <c r="N12" s="636"/>
      <c r="O12" s="637"/>
      <c r="P12" s="637"/>
      <c r="Q12" s="637"/>
      <c r="R12" s="637"/>
      <c r="S12" s="637"/>
      <c r="T12" s="636"/>
      <c r="U12" s="636"/>
      <c r="V12" s="636"/>
      <c r="W12" s="636"/>
      <c r="X12" s="636"/>
      <c r="Y12" s="636"/>
      <c r="Z12" s="636"/>
      <c r="AA12" s="636"/>
      <c r="AB12" s="636"/>
      <c r="AC12" s="636"/>
      <c r="AD12" s="636"/>
      <c r="AE12" s="636"/>
      <c r="AF12" s="636"/>
      <c r="AG12" s="636"/>
      <c r="AH12" s="636"/>
      <c r="AI12" s="636"/>
      <c r="AJ12" s="636"/>
      <c r="AK12" s="636"/>
      <c r="AL12" s="636"/>
      <c r="AM12" s="636"/>
      <c r="AN12" s="636"/>
      <c r="AO12" s="636"/>
      <c r="AP12" s="636"/>
      <c r="AQ12" s="636"/>
      <c r="AR12" s="636"/>
      <c r="AS12" s="636"/>
      <c r="AT12" s="636"/>
      <c r="AU12" s="636"/>
      <c r="AV12"/>
    </row>
    <row r="13" spans="1:56" s="638" customFormat="1">
      <c r="A13" s="965" t="s">
        <v>757</v>
      </c>
      <c r="B13" s="904"/>
      <c r="C13" s="1284"/>
      <c r="D13"/>
      <c r="E13"/>
      <c r="F13"/>
      <c r="G13"/>
      <c r="H13"/>
      <c r="I13"/>
      <c r="J13"/>
      <c r="K13"/>
      <c r="L13" s="636"/>
      <c r="M13" s="636"/>
      <c r="N13" s="636"/>
      <c r="O13" s="637"/>
      <c r="P13" s="637"/>
      <c r="Q13" s="637"/>
      <c r="R13" s="637"/>
      <c r="S13" s="637"/>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row>
    <row r="14" spans="1:56" s="638" customFormat="1">
      <c r="A14" s="957" t="s">
        <v>2320</v>
      </c>
      <c r="B14" s="963">
        <f>SUM(B8:B13)</f>
        <v>-320.40242726733334</v>
      </c>
      <c r="C14" s="1285">
        <f>SUM(C8:C13)</f>
        <v>-226.52318780150785</v>
      </c>
      <c r="D14"/>
      <c r="E14"/>
      <c r="F14"/>
      <c r="G14"/>
      <c r="H14"/>
      <c r="I14"/>
      <c r="J14"/>
      <c r="K14"/>
      <c r="L14" s="636"/>
      <c r="M14" s="636"/>
      <c r="N14" s="636"/>
      <c r="O14" s="637"/>
      <c r="P14" s="637"/>
      <c r="Q14" s="637"/>
      <c r="R14" s="637"/>
      <c r="S14" s="637"/>
      <c r="T14" s="636"/>
      <c r="U14" s="636"/>
      <c r="V14" s="636"/>
      <c r="W14" s="636"/>
      <c r="X14" s="636"/>
      <c r="Y14" s="636"/>
      <c r="Z14" s="636"/>
      <c r="AA14" s="636"/>
      <c r="AB14" s="636"/>
      <c r="AC14" s="636"/>
      <c r="AD14" s="636"/>
      <c r="AE14" s="636"/>
      <c r="AF14" s="636"/>
      <c r="AG14" s="636"/>
      <c r="AH14" s="636"/>
      <c r="AI14" s="636"/>
      <c r="AJ14" s="636"/>
      <c r="AK14" s="636"/>
      <c r="AL14" s="636"/>
      <c r="AM14" s="636"/>
      <c r="AN14" s="636"/>
      <c r="AO14" s="636"/>
      <c r="AP14" s="636"/>
      <c r="AQ14" s="636"/>
      <c r="AR14" s="636"/>
      <c r="AS14" s="636"/>
      <c r="AT14" s="636"/>
      <c r="AU14" s="636"/>
      <c r="AV14"/>
    </row>
    <row r="15" spans="1:56" s="638" customFormat="1">
      <c r="A15" s="960"/>
      <c r="B15" s="1859"/>
      <c r="C15" s="1286"/>
      <c r="D15"/>
      <c r="E15"/>
      <c r="F15"/>
      <c r="G15"/>
      <c r="H15"/>
      <c r="I15"/>
      <c r="J15"/>
      <c r="K15"/>
      <c r="L15" s="636"/>
      <c r="M15" s="636"/>
      <c r="N15" s="636"/>
      <c r="O15" s="645" t="s">
        <v>2321</v>
      </c>
      <c r="P15" s="637">
        <v>0</v>
      </c>
      <c r="Q15" s="637">
        <v>0</v>
      </c>
      <c r="R15" s="637">
        <v>12325000</v>
      </c>
      <c r="S15" s="637">
        <v>0</v>
      </c>
      <c r="T15" s="646">
        <f>+P15-R15</f>
        <v>-12325000</v>
      </c>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row>
    <row r="16" spans="1:56" s="638" customFormat="1">
      <c r="A16" s="960" t="s">
        <v>2322</v>
      </c>
      <c r="B16" s="1859"/>
      <c r="C16" s="1284"/>
      <c r="D16"/>
      <c r="E16"/>
      <c r="F16"/>
      <c r="G16"/>
      <c r="H16"/>
      <c r="I16"/>
      <c r="J16"/>
      <c r="K16"/>
      <c r="L16" s="636"/>
      <c r="M16" s="636"/>
      <c r="N16" s="636"/>
      <c r="O16" s="645" t="s">
        <v>2323</v>
      </c>
      <c r="P16" s="637">
        <v>3800000</v>
      </c>
      <c r="Q16" s="637">
        <v>0</v>
      </c>
      <c r="R16" s="637">
        <v>0</v>
      </c>
      <c r="S16" s="637">
        <v>0</v>
      </c>
      <c r="T16" s="646">
        <f t="shared" ref="T16:T26" si="0">+P16-R16</f>
        <v>3800000</v>
      </c>
      <c r="U16" s="636"/>
      <c r="V16" s="636"/>
      <c r="W16" s="636"/>
      <c r="X16" s="636"/>
      <c r="Y16" s="636"/>
      <c r="Z16" s="636"/>
      <c r="AA16" s="636"/>
      <c r="AB16" s="636"/>
      <c r="AC16" s="636"/>
      <c r="AD16" s="636"/>
      <c r="AE16" s="636"/>
      <c r="AF16" s="636"/>
      <c r="AG16" s="636"/>
      <c r="AH16" s="636"/>
      <c r="AI16" s="636"/>
      <c r="AJ16" s="636"/>
      <c r="AK16" s="636"/>
      <c r="AL16" s="636"/>
      <c r="AM16" s="636"/>
      <c r="AN16" s="636"/>
      <c r="AO16" s="636"/>
      <c r="AP16" s="636"/>
      <c r="AQ16" s="636"/>
      <c r="AR16" s="636"/>
      <c r="AS16" s="636"/>
      <c r="AT16" s="636"/>
      <c r="AU16" s="636"/>
      <c r="AV16"/>
      <c r="AX16" s="647" t="s">
        <v>2324</v>
      </c>
      <c r="AY16" s="647" t="s">
        <v>2325</v>
      </c>
      <c r="AZ16" s="647" t="s">
        <v>2326</v>
      </c>
      <c r="BA16" s="647" t="s">
        <v>2327</v>
      </c>
      <c r="BB16" s="647" t="s">
        <v>2328</v>
      </c>
      <c r="BC16" s="647" t="s">
        <v>2329</v>
      </c>
      <c r="BD16" s="647" t="s">
        <v>2330</v>
      </c>
    </row>
    <row r="17" spans="1:82" s="638" customFormat="1">
      <c r="A17" s="965" t="s">
        <v>2331</v>
      </c>
      <c r="B17" s="904">
        <f>+(BSPL!H17-BSPL!G17)/A1</f>
        <v>357.39150266733213</v>
      </c>
      <c r="C17" s="1284">
        <f>-11069413.8336384/A1</f>
        <v>-110.694138336384</v>
      </c>
      <c r="D17"/>
      <c r="E17" s="124" t="s">
        <v>714</v>
      </c>
      <c r="F17">
        <f>+[75]BSPL!G15</f>
        <v>51184927.105289809</v>
      </c>
      <c r="G17">
        <v>42797875.565622441</v>
      </c>
      <c r="H17">
        <f>+G17-F17</f>
        <v>-8387051.5396673679</v>
      </c>
      <c r="I17">
        <v>-8387051.5396673679</v>
      </c>
      <c r="J17">
        <f>+H17-I17</f>
        <v>0</v>
      </c>
      <c r="K17"/>
      <c r="L17" s="636"/>
      <c r="M17" s="636"/>
      <c r="N17" s="636"/>
      <c r="O17" s="645" t="s">
        <v>285</v>
      </c>
      <c r="P17" s="637">
        <v>34285</v>
      </c>
      <c r="Q17" s="637">
        <v>0</v>
      </c>
      <c r="R17" s="637">
        <v>34285</v>
      </c>
      <c r="S17" s="637">
        <v>0</v>
      </c>
      <c r="T17" s="646">
        <f t="shared" si="0"/>
        <v>0</v>
      </c>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c r="AX17" s="647" t="s">
        <v>714</v>
      </c>
      <c r="AY17" s="647">
        <f>+[74]BSPL!F15</f>
        <v>67513794.217889339</v>
      </c>
      <c r="AZ17" s="647">
        <f>+[74]BSPL!G15</f>
        <v>67823511.890000001</v>
      </c>
      <c r="BA17" s="647"/>
      <c r="BB17" s="647">
        <f>+AZ17</f>
        <v>67823511.890000001</v>
      </c>
      <c r="BC17" s="647">
        <v>51184927.105289809</v>
      </c>
      <c r="BD17" s="647"/>
    </row>
    <row r="18" spans="1:82">
      <c r="A18" s="965" t="s">
        <v>2332</v>
      </c>
      <c r="B18" s="904">
        <f>+(BSPL!H19-BSPL!G19)/A1</f>
        <v>346.41471120000006</v>
      </c>
      <c r="C18" s="1284">
        <f>50752504.29/A1</f>
        <v>507.52504290000002</v>
      </c>
      <c r="E18" s="124" t="s">
        <v>14</v>
      </c>
      <c r="F18">
        <f>+[75]BSPL!G17</f>
        <v>89957465.5</v>
      </c>
      <c r="G18">
        <v>100458396.86999999</v>
      </c>
      <c r="H18">
        <f>+G18-F18</f>
        <v>10500931.36999999</v>
      </c>
      <c r="I18">
        <v>10500931.36999999</v>
      </c>
      <c r="J18">
        <f t="shared" ref="J18:J28" si="1">+H18-I18</f>
        <v>0</v>
      </c>
      <c r="O18" s="645" t="s">
        <v>288</v>
      </c>
      <c r="P18" s="637">
        <v>122153</v>
      </c>
      <c r="Q18" s="637">
        <v>0</v>
      </c>
      <c r="R18" s="637">
        <v>122153</v>
      </c>
      <c r="S18" s="637">
        <v>0</v>
      </c>
      <c r="T18" s="646">
        <f t="shared" si="0"/>
        <v>0</v>
      </c>
      <c r="AX18" s="647" t="s">
        <v>14</v>
      </c>
      <c r="AY18" s="647" t="e">
        <f>+[74]BSPL!F16</f>
        <v>#REF!</v>
      </c>
      <c r="AZ18" s="647">
        <f>+[74]BSPL!G17</f>
        <v>94854388</v>
      </c>
      <c r="BA18" s="647"/>
      <c r="BB18" s="647">
        <f t="shared" ref="BB18:BB26" si="2">+AZ18</f>
        <v>94854388</v>
      </c>
      <c r="BC18" s="647">
        <v>89957465.5</v>
      </c>
      <c r="BD18" s="647"/>
    </row>
    <row r="19" spans="1:82">
      <c r="A19" s="965" t="s">
        <v>2333</v>
      </c>
      <c r="B19" s="904">
        <f>+(BSPL!H21-BSPL!G21)/A1</f>
        <v>35.418410000000002</v>
      </c>
      <c r="C19" s="1284">
        <f>935500/A1</f>
        <v>9.3550000000000004</v>
      </c>
      <c r="E19" t="s">
        <v>35</v>
      </c>
      <c r="F19">
        <f>+[75]BSPL!G20</f>
        <v>5769158.1199999992</v>
      </c>
      <c r="G19">
        <v>3466500.52</v>
      </c>
      <c r="H19">
        <f>+G19-F19</f>
        <v>-2302657.5999999992</v>
      </c>
      <c r="I19">
        <v>257785</v>
      </c>
      <c r="J19">
        <f t="shared" si="1"/>
        <v>-2560442.5999999992</v>
      </c>
      <c r="O19" s="645" t="s">
        <v>290</v>
      </c>
      <c r="P19" s="637">
        <v>139678</v>
      </c>
      <c r="Q19" s="637">
        <v>0</v>
      </c>
      <c r="R19" s="637">
        <v>139678</v>
      </c>
      <c r="S19" s="637">
        <v>0</v>
      </c>
      <c r="T19" s="646">
        <f t="shared" si="0"/>
        <v>0</v>
      </c>
      <c r="AX19" s="647" t="s">
        <v>35</v>
      </c>
      <c r="AY19" s="647">
        <f>+[74]BSPL!F17</f>
        <v>155760049.43000001</v>
      </c>
      <c r="AZ19" s="647">
        <f>+[74]BSPL!G20</f>
        <v>8543299.9600000009</v>
      </c>
      <c r="BA19" s="647"/>
      <c r="BB19" s="647">
        <f t="shared" si="2"/>
        <v>8543299.9600000009</v>
      </c>
      <c r="BC19" s="647">
        <v>5769158.1199999992</v>
      </c>
      <c r="BD19" s="647"/>
    </row>
    <row r="20" spans="1:82">
      <c r="A20" s="965" t="s">
        <v>2334</v>
      </c>
      <c r="B20" s="904">
        <f>+(BSPL!H22-BSPL!G22)/A1</f>
        <v>24.245075700000005</v>
      </c>
      <c r="C20" s="1284">
        <f>-3781446.98/A1</f>
        <v>-37.814469799999998</v>
      </c>
      <c r="E20" s="124" t="s">
        <v>32</v>
      </c>
      <c r="F20">
        <f>+[75]BSPL!G291</f>
        <v>7276608.1800000006</v>
      </c>
      <c r="G20">
        <v>8397289.7899999991</v>
      </c>
      <c r="H20">
        <f>+G20-F20</f>
        <v>1120681.6099999985</v>
      </c>
      <c r="I20">
        <v>-6669728.5899999999</v>
      </c>
      <c r="J20">
        <f t="shared" si="1"/>
        <v>7790410.1999999983</v>
      </c>
      <c r="O20" s="645" t="s">
        <v>291</v>
      </c>
      <c r="P20" s="637">
        <v>271788</v>
      </c>
      <c r="Q20" s="637">
        <v>0</v>
      </c>
      <c r="R20" s="637">
        <v>271788</v>
      </c>
      <c r="S20" s="637">
        <v>0</v>
      </c>
      <c r="T20" s="646">
        <f t="shared" si="0"/>
        <v>0</v>
      </c>
      <c r="AX20" s="647" t="s">
        <v>32</v>
      </c>
      <c r="AY20" s="647">
        <f>+[74]BSPL!F18</f>
        <v>333868.40000000002</v>
      </c>
      <c r="AZ20" s="647">
        <f>+[74]BSPL!G21</f>
        <v>5106736.3549999995</v>
      </c>
      <c r="BA20" s="647"/>
      <c r="BB20" s="647">
        <f t="shared" si="2"/>
        <v>5106736.3549999995</v>
      </c>
      <c r="BC20" s="647">
        <v>7276608.1800000006</v>
      </c>
      <c r="BD20" s="647"/>
    </row>
    <row r="21" spans="1:82">
      <c r="A21" s="965" t="s">
        <v>2335</v>
      </c>
      <c r="B21" s="904">
        <v>0</v>
      </c>
      <c r="C21" s="1284">
        <v>0</v>
      </c>
      <c r="E21" s="124" t="s">
        <v>2336</v>
      </c>
      <c r="F21">
        <f>+[75]BSPL!G19</f>
        <v>192300</v>
      </c>
      <c r="G21">
        <v>192929</v>
      </c>
      <c r="H21">
        <f>+G21-F21</f>
        <v>629</v>
      </c>
      <c r="I21">
        <v>628.5</v>
      </c>
      <c r="J21">
        <f t="shared" si="1"/>
        <v>0.5</v>
      </c>
      <c r="O21" s="645" t="s">
        <v>2337</v>
      </c>
      <c r="P21" s="648">
        <v>0</v>
      </c>
      <c r="Q21" s="648">
        <v>0</v>
      </c>
      <c r="R21" s="648">
        <v>0</v>
      </c>
      <c r="S21" s="648">
        <v>0</v>
      </c>
      <c r="T21" s="646">
        <f t="shared" si="0"/>
        <v>0</v>
      </c>
      <c r="AX21" s="647" t="s">
        <v>2336</v>
      </c>
      <c r="AY21" s="647">
        <f>+[74]BSPL!F19</f>
        <v>0</v>
      </c>
      <c r="AZ21" s="647">
        <f>+[74]BSPL!G19</f>
        <v>83453.5</v>
      </c>
      <c r="BA21" s="647"/>
      <c r="BB21" s="647">
        <f t="shared" si="2"/>
        <v>83453.5</v>
      </c>
      <c r="BC21" s="647">
        <v>192300</v>
      </c>
      <c r="BD21" s="647"/>
    </row>
    <row r="22" spans="1:82">
      <c r="A22" s="965" t="s">
        <v>2338</v>
      </c>
      <c r="B22" s="904">
        <f>+(BSPL!G42-BSPL!H42)/A1</f>
        <v>178.9699347984901</v>
      </c>
      <c r="C22" s="1284">
        <f>4241443.15015101/A1</f>
        <v>42.414431501510094</v>
      </c>
      <c r="E22" t="s">
        <v>2339</v>
      </c>
      <c r="F22">
        <f>+[75]BSPL!G41</f>
        <v>49656875.130000003</v>
      </c>
      <c r="G22">
        <v>64903509.759999998</v>
      </c>
      <c r="H22">
        <f t="shared" ref="H22:H26" si="3">+F22-G22</f>
        <v>-15246634.629999995</v>
      </c>
      <c r="I22">
        <v>-15466601.429999992</v>
      </c>
      <c r="J22">
        <f t="shared" si="1"/>
        <v>219966.79999999702</v>
      </c>
      <c r="O22" s="645" t="s">
        <v>2340</v>
      </c>
      <c r="P22" s="637">
        <v>0</v>
      </c>
      <c r="Q22" s="637">
        <v>0</v>
      </c>
      <c r="R22" s="637">
        <v>19841</v>
      </c>
      <c r="S22" s="637">
        <v>0</v>
      </c>
      <c r="T22" s="646">
        <f t="shared" si="0"/>
        <v>-19841</v>
      </c>
      <c r="AX22" s="647" t="s">
        <v>2339</v>
      </c>
      <c r="AY22" s="647">
        <f>+[74]BSPL!F20</f>
        <v>7281000</v>
      </c>
      <c r="AZ22" s="647">
        <f>+[74]BSPL!G41</f>
        <v>59045466.559999995</v>
      </c>
      <c r="BA22" s="647"/>
      <c r="BB22" s="647">
        <f t="shared" si="2"/>
        <v>59045466.559999995</v>
      </c>
      <c r="BC22" s="647">
        <v>49656875.130000003</v>
      </c>
      <c r="BD22" s="647"/>
    </row>
    <row r="23" spans="1:82">
      <c r="A23" s="965" t="s">
        <v>2341</v>
      </c>
      <c r="B23" s="904">
        <f>+(BSPL!G36-BSPL!H36)/A1</f>
        <v>-3.4322400000000095</v>
      </c>
      <c r="C23" s="1284">
        <f>-136086/A1</f>
        <v>-1.36086</v>
      </c>
      <c r="E23" t="s">
        <v>2342</v>
      </c>
      <c r="F23">
        <f>+[75]BSPL!G357</f>
        <v>1662107</v>
      </c>
      <c r="G23">
        <v>1812727</v>
      </c>
      <c r="H23">
        <f t="shared" si="3"/>
        <v>-150620</v>
      </c>
      <c r="J23">
        <f t="shared" si="1"/>
        <v>-150620</v>
      </c>
      <c r="O23" s="645" t="s">
        <v>2343</v>
      </c>
      <c r="P23" s="637">
        <v>15292</v>
      </c>
      <c r="Q23" s="637">
        <v>0</v>
      </c>
      <c r="R23" s="637">
        <v>0</v>
      </c>
      <c r="S23" s="637">
        <v>0</v>
      </c>
      <c r="T23" s="646">
        <f t="shared" si="0"/>
        <v>15292</v>
      </c>
      <c r="AX23" s="647" t="s">
        <v>2342</v>
      </c>
      <c r="AY23" s="647">
        <f>+[74]BSPL!F21</f>
        <v>4209495.0199999996</v>
      </c>
      <c r="AZ23" s="647">
        <f>+[74]BSPL!G353</f>
        <v>2183354.7000000002</v>
      </c>
      <c r="BA23" s="647"/>
      <c r="BB23" s="647">
        <f t="shared" si="2"/>
        <v>2183354.7000000002</v>
      </c>
      <c r="BC23" s="647">
        <v>1662107</v>
      </c>
      <c r="BD23" s="647"/>
    </row>
    <row r="24" spans="1:82">
      <c r="A24" s="965" t="s">
        <v>2344</v>
      </c>
      <c r="B24" s="904">
        <f>+(BSPL!G43-BSPL!H43)/A1</f>
        <v>-38.208689999999997</v>
      </c>
      <c r="C24" s="1284">
        <f>-64788/A1</f>
        <v>-0.64788000000000001</v>
      </c>
      <c r="E24" s="124" t="s">
        <v>2345</v>
      </c>
      <c r="F24" s="124">
        <f>+[75]BSPL!G404+[75]BSPL!G406</f>
        <v>983176</v>
      </c>
      <c r="G24">
        <f>192300+830966</f>
        <v>1023266</v>
      </c>
      <c r="H24">
        <f t="shared" si="3"/>
        <v>-40090</v>
      </c>
      <c r="I24">
        <v>-40090</v>
      </c>
      <c r="J24">
        <f t="shared" si="1"/>
        <v>0</v>
      </c>
      <c r="O24" s="645" t="s">
        <v>2346</v>
      </c>
      <c r="P24" s="648">
        <v>0</v>
      </c>
      <c r="Q24" s="648">
        <v>0</v>
      </c>
      <c r="R24" s="648">
        <v>4717</v>
      </c>
      <c r="S24" s="648">
        <v>0</v>
      </c>
      <c r="T24" s="646">
        <f t="shared" si="0"/>
        <v>-4717</v>
      </c>
      <c r="AX24" s="647" t="s">
        <v>2345</v>
      </c>
      <c r="AY24" s="647">
        <f>+[74]BSPL!F22</f>
        <v>673307</v>
      </c>
      <c r="AZ24" s="647">
        <f>+[74]BSPL!G42</f>
        <v>8240996.9399999995</v>
      </c>
      <c r="BA24" s="647"/>
      <c r="BB24" s="647">
        <f t="shared" si="2"/>
        <v>8240996.9399999995</v>
      </c>
      <c r="BC24" s="647">
        <v>20599587</v>
      </c>
      <c r="BD24" s="647"/>
    </row>
    <row r="25" spans="1:82">
      <c r="A25" s="965" t="s">
        <v>2347</v>
      </c>
      <c r="B25" s="904">
        <f>+(BSPL!G44-BSPL!H44)/A1</f>
        <v>2.3023989000000107</v>
      </c>
      <c r="C25" s="1284">
        <f>-4255838.14/A1</f>
        <v>-42.558381399999995</v>
      </c>
      <c r="E25" s="124" t="s">
        <v>54</v>
      </c>
      <c r="F25">
        <f>+[75]BSPL!G43</f>
        <v>539205.43999999994</v>
      </c>
      <c r="G25">
        <v>652090.0400000005</v>
      </c>
      <c r="H25">
        <f t="shared" si="3"/>
        <v>-112884.60000000056</v>
      </c>
      <c r="I25">
        <v>4972825.7999999989</v>
      </c>
      <c r="J25">
        <f t="shared" si="1"/>
        <v>-5085710.3999999994</v>
      </c>
      <c r="O25" s="645" t="s">
        <v>287</v>
      </c>
      <c r="P25" s="637">
        <v>17190</v>
      </c>
      <c r="Q25" s="637">
        <v>0</v>
      </c>
      <c r="R25" s="637">
        <v>0</v>
      </c>
      <c r="S25" s="637">
        <v>0</v>
      </c>
      <c r="T25" s="646">
        <f t="shared" si="0"/>
        <v>17190</v>
      </c>
      <c r="AX25" s="647" t="s">
        <v>54</v>
      </c>
      <c r="AY25" s="647">
        <f>+[74]BSPL!F23</f>
        <v>235771514.06788936</v>
      </c>
      <c r="AZ25" s="647">
        <f>+[74]BSPL!G43</f>
        <v>537842.43999999994</v>
      </c>
      <c r="BA25" s="647"/>
      <c r="BB25" s="647">
        <f t="shared" si="2"/>
        <v>537842.43999999994</v>
      </c>
      <c r="BC25" s="647">
        <v>539205.43999999994</v>
      </c>
      <c r="BD25" s="647"/>
    </row>
    <row r="26" spans="1:82">
      <c r="A26" s="965" t="s">
        <v>2348</v>
      </c>
      <c r="B26" s="904">
        <f>+(BSPL!G478-BSPL!H478+BSPL!G479-BSPL!H479)/A1</f>
        <v>-3.3771800000000001</v>
      </c>
      <c r="C26" s="1284">
        <f>-1400961/A1</f>
        <v>-14.00961</v>
      </c>
      <c r="E26" t="s">
        <v>2349</v>
      </c>
      <c r="F26">
        <f>+[75]BSPL!G413+[75]BSPL!G414</f>
        <v>3054029</v>
      </c>
      <c r="G26">
        <v>2118784</v>
      </c>
      <c r="H26">
        <f t="shared" si="3"/>
        <v>935245</v>
      </c>
      <c r="I26">
        <v>796877.99999999907</v>
      </c>
      <c r="J26">
        <f t="shared" si="1"/>
        <v>138367.00000000093</v>
      </c>
      <c r="O26" s="645" t="s">
        <v>2350</v>
      </c>
      <c r="P26" s="637">
        <v>44002</v>
      </c>
      <c r="Q26" s="637">
        <v>0</v>
      </c>
      <c r="R26" s="637">
        <v>0</v>
      </c>
      <c r="S26" s="637">
        <v>0</v>
      </c>
      <c r="T26" s="646">
        <f t="shared" si="0"/>
        <v>44002</v>
      </c>
      <c r="AX26" s="647" t="s">
        <v>2349</v>
      </c>
      <c r="AY26" s="647" t="e">
        <f>+[74]BSPL!F24</f>
        <v>#REF!</v>
      </c>
      <c r="AZ26" s="647">
        <f>+[74]BSPL!G413+[74]BSPL!G414</f>
        <v>3125149</v>
      </c>
      <c r="BA26" s="647"/>
      <c r="BB26" s="647">
        <f t="shared" si="2"/>
        <v>3125149</v>
      </c>
      <c r="BC26" s="647">
        <f>1450129+1603900</f>
        <v>3054029</v>
      </c>
      <c r="BD26" s="647"/>
    </row>
    <row r="27" spans="1:82">
      <c r="A27" s="965" t="s">
        <v>2351</v>
      </c>
      <c r="B27" s="904">
        <f>+(BSPL!H12-BSPL!G12)/A1</f>
        <v>0.12295</v>
      </c>
      <c r="C27" s="1284">
        <f>-1086147.39/A1</f>
        <v>-10.861473899999998</v>
      </c>
      <c r="E27" s="124" t="s">
        <v>2352</v>
      </c>
      <c r="F27">
        <f>+[75]BSPL!G11</f>
        <v>2870555</v>
      </c>
      <c r="G27">
        <v>2878939.95</v>
      </c>
      <c r="H27">
        <f>+G27-F27</f>
        <v>8384.9500000001863</v>
      </c>
      <c r="I27">
        <v>8384.9500000001863</v>
      </c>
      <c r="J27">
        <f t="shared" si="1"/>
        <v>0</v>
      </c>
      <c r="AX27" s="647" t="s">
        <v>2352</v>
      </c>
      <c r="AY27" s="647" t="e">
        <f>+[74]BSPL!F25</f>
        <v>#REF!</v>
      </c>
      <c r="AZ27" s="647">
        <f>+[74]BSPL!G21</f>
        <v>5106736.3549999995</v>
      </c>
      <c r="BA27" s="647"/>
      <c r="BB27" s="647">
        <f>+AZ27</f>
        <v>5106736.3549999995</v>
      </c>
      <c r="BC27" s="647">
        <v>2870555</v>
      </c>
      <c r="BD27" s="647"/>
    </row>
    <row r="28" spans="1:82">
      <c r="A28" s="965" t="s">
        <v>2353</v>
      </c>
      <c r="B28" s="904">
        <f>+(BSPL!H13-BSPL!G13)/A1</f>
        <v>-31.963799999999999</v>
      </c>
      <c r="C28" s="1284">
        <f>-6343554/A1</f>
        <v>-63.435540000000003</v>
      </c>
      <c r="E28" s="124" t="s">
        <v>2354</v>
      </c>
      <c r="F28">
        <f>+[75]BSPL!G242+[75]BSPL!G243</f>
        <v>4153020.3599999994</v>
      </c>
      <c r="G28">
        <v>3980523.36</v>
      </c>
      <c r="H28">
        <f>+G28-F28</f>
        <v>-172496.99999999953</v>
      </c>
      <c r="I28">
        <v>-52616.999999999534</v>
      </c>
      <c r="J28">
        <f t="shared" si="1"/>
        <v>-119880</v>
      </c>
      <c r="O28" s="637" t="s">
        <v>2355</v>
      </c>
      <c r="P28" s="637">
        <f>+[75]BSPL!F99</f>
        <v>4514807.180287933</v>
      </c>
      <c r="R28" s="637">
        <f>+[75]BSPL!G99</f>
        <v>16160409.421267949</v>
      </c>
      <c r="AX28" s="647" t="s">
        <v>2354</v>
      </c>
      <c r="AY28" s="647"/>
      <c r="AZ28" s="647">
        <f t="shared" ref="AZ28" si="4">+BB28</f>
        <v>0</v>
      </c>
      <c r="BA28" s="647"/>
      <c r="BB28" s="647"/>
      <c r="BC28" s="647">
        <f>1353400+2799620.36</f>
        <v>4153020.36</v>
      </c>
      <c r="BD28" s="647"/>
    </row>
    <row r="29" spans="1:82">
      <c r="A29" s="965"/>
      <c r="B29" s="904"/>
      <c r="C29" s="1284"/>
    </row>
    <row r="30" spans="1:82">
      <c r="A30" s="957" t="s">
        <v>2356</v>
      </c>
      <c r="B30" s="963">
        <f>SUM(B16:B29)</f>
        <v>867.88307326582219</v>
      </c>
      <c r="C30" s="1285">
        <f>SUM(C16:C29)</f>
        <v>277.91212096512612</v>
      </c>
      <c r="P30" s="637">
        <f>-P28+(SUM(P15:P26)-SUM(R15:R26))</f>
        <v>-12987881.180287933</v>
      </c>
    </row>
    <row r="31" spans="1:82">
      <c r="A31" s="957" t="s">
        <v>2357</v>
      </c>
      <c r="B31" s="963">
        <f>+B30+B14</f>
        <v>547.48064599848885</v>
      </c>
      <c r="C31" s="1285">
        <f>+C30+C14</f>
        <v>51.388933163618276</v>
      </c>
    </row>
    <row r="32" spans="1:82" s="649" customFormat="1">
      <c r="A32" s="960" t="s">
        <v>2358</v>
      </c>
      <c r="B32" s="1859">
        <f>+(BSPL!G96+(BSPL!H23-BSPL!G23))/A1</f>
        <v>-4.6112891999999999</v>
      </c>
      <c r="C32" s="1284">
        <f>-1227442.5463122/A1</f>
        <v>-12.274425463121998</v>
      </c>
      <c r="L32" s="650">
        <f>-6175062+6150116</f>
        <v>-24946</v>
      </c>
      <c r="M32" s="650"/>
      <c r="N32" s="650"/>
      <c r="O32" s="651" t="s">
        <v>2359</v>
      </c>
      <c r="P32" s="651">
        <f>+P16+P26+P23</f>
        <v>3859294</v>
      </c>
      <c r="Q32" s="651"/>
      <c r="R32" s="651">
        <f>+R15+R22</f>
        <v>12344841</v>
      </c>
      <c r="S32" s="651">
        <f>+R32-P32</f>
        <v>8485547</v>
      </c>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652"/>
      <c r="AW32" s="653"/>
      <c r="AX32" s="653" t="s">
        <v>2388</v>
      </c>
      <c r="AY32" s="653"/>
      <c r="AZ32" s="653"/>
      <c r="BA32" s="653"/>
      <c r="BB32" s="653"/>
      <c r="BC32" s="653"/>
      <c r="BD32" s="653"/>
      <c r="BE32" s="653"/>
      <c r="BF32" s="653"/>
      <c r="BG32" s="653"/>
      <c r="BH32" s="653"/>
      <c r="BI32" s="653"/>
      <c r="BJ32" s="653"/>
      <c r="BK32" s="653"/>
      <c r="BL32" s="653"/>
      <c r="BM32" s="653"/>
      <c r="BN32" s="653"/>
      <c r="BO32" s="653"/>
      <c r="BP32" s="653"/>
      <c r="BQ32" s="653"/>
      <c r="BR32" s="653"/>
      <c r="BS32" s="653"/>
      <c r="BT32" s="653"/>
      <c r="BU32" s="653"/>
      <c r="BV32" s="653"/>
      <c r="BW32" s="653"/>
      <c r="BX32" s="653"/>
      <c r="BY32" s="653"/>
      <c r="BZ32" s="653"/>
      <c r="CA32" s="653"/>
      <c r="CB32" s="653"/>
      <c r="CC32" s="653"/>
      <c r="CD32" s="653"/>
    </row>
    <row r="33" spans="1:82">
      <c r="A33" s="957" t="s">
        <v>2360</v>
      </c>
      <c r="B33" s="963">
        <f>+B31+B32</f>
        <v>542.86935679848887</v>
      </c>
      <c r="C33" s="1285">
        <f>+C31+C32</f>
        <v>39.114507700496276</v>
      </c>
      <c r="L33" s="636">
        <f>+L32/2</f>
        <v>-12473</v>
      </c>
      <c r="O33" s="637" t="s">
        <v>2361</v>
      </c>
      <c r="P33" s="637">
        <f>+P17+P18+P19+P20+P25</f>
        <v>585094</v>
      </c>
      <c r="R33" s="637">
        <f>+R17+R18+R19+R20+R24</f>
        <v>572621</v>
      </c>
      <c r="S33" s="637">
        <f>+R33-P33</f>
        <v>-12473</v>
      </c>
    </row>
    <row r="34" spans="1:82">
      <c r="A34" s="965"/>
      <c r="B34" s="904"/>
      <c r="C34" s="1284"/>
      <c r="O34" s="637" t="s">
        <v>2362</v>
      </c>
      <c r="P34" s="637">
        <f>+P28</f>
        <v>4514807.180287933</v>
      </c>
      <c r="R34" s="637">
        <f>+R28</f>
        <v>16160409.421267949</v>
      </c>
      <c r="S34" s="637">
        <f>+P34-R34</f>
        <v>-11645602.240980016</v>
      </c>
    </row>
    <row r="35" spans="1:82">
      <c r="A35" s="960" t="s">
        <v>2363</v>
      </c>
      <c r="B35" s="1859"/>
      <c r="C35" s="1284"/>
      <c r="O35" s="637" t="s">
        <v>2364</v>
      </c>
      <c r="P35" s="637">
        <f>+[75]Computation!I83</f>
        <v>655513</v>
      </c>
      <c r="R35" s="637">
        <v>2326918</v>
      </c>
      <c r="S35" s="637">
        <f>+R35-P35</f>
        <v>1671405</v>
      </c>
    </row>
    <row r="36" spans="1:82" s="649" customFormat="1">
      <c r="A36" s="965" t="s">
        <v>2365</v>
      </c>
      <c r="B36" s="904">
        <f>+(((BSPL!H9-BSPL!G9)+(BSPL!H10-BSPL!G10))/A1)-'Cash Flow lakhs'!B11</f>
        <v>-498.87521660000084</v>
      </c>
      <c r="C36" s="1284">
        <f>-90751787.39/A1</f>
        <v>-907.51787390000004</v>
      </c>
      <c r="G36" s="649">
        <v>-20356671.280000001</v>
      </c>
      <c r="H36" s="649">
        <f>+G36+(G37-F37)+(G38-F38)+(F39-G39)</f>
        <v>-21384868.280000001</v>
      </c>
      <c r="L36" s="650"/>
      <c r="M36" s="650"/>
      <c r="N36" s="650"/>
      <c r="O36" s="651" t="s">
        <v>2366</v>
      </c>
      <c r="P36" s="651">
        <f>-[75]BSPL!F371</f>
        <v>1808134</v>
      </c>
      <c r="Q36" s="651"/>
      <c r="R36" s="651">
        <f>-[75]BSPL!G371</f>
        <v>7089950.0863537798</v>
      </c>
      <c r="S36" s="651">
        <f>+R36-P36</f>
        <v>5281816.0863537798</v>
      </c>
      <c r="T36" s="650"/>
      <c r="U36" s="650"/>
      <c r="V36" s="650"/>
      <c r="W36" s="650"/>
      <c r="X36" s="650"/>
      <c r="Y36" s="650"/>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3"/>
      <c r="BU36" s="653"/>
      <c r="BV36" s="653"/>
      <c r="BW36" s="653"/>
      <c r="BX36" s="653"/>
      <c r="BY36" s="653"/>
      <c r="BZ36" s="653"/>
      <c r="CA36" s="653"/>
      <c r="CB36" s="653"/>
      <c r="CC36" s="653"/>
      <c r="CD36" s="653"/>
    </row>
    <row r="37" spans="1:82" s="649" customFormat="1">
      <c r="A37" s="965" t="s">
        <v>2367</v>
      </c>
      <c r="B37" s="904">
        <v>0</v>
      </c>
      <c r="C37" s="1284">
        <v>0</v>
      </c>
      <c r="F37" s="649">
        <f>+[75]BSPL!G9</f>
        <v>484789</v>
      </c>
      <c r="G37" s="649">
        <v>382310</v>
      </c>
      <c r="L37" s="650"/>
      <c r="M37" s="650"/>
      <c r="N37" s="650"/>
      <c r="O37" s="651"/>
      <c r="P37" s="651">
        <f>+([75]BSPL!F412-[75]BSPL!G412)</f>
        <v>-1488650.2409800161</v>
      </c>
      <c r="Q37" s="651"/>
      <c r="R37" s="651"/>
      <c r="S37" s="651"/>
      <c r="T37" s="650"/>
      <c r="U37" s="650"/>
      <c r="V37" s="650"/>
      <c r="W37" s="650"/>
      <c r="X37" s="650"/>
      <c r="Y37" s="650"/>
      <c r="Z37" s="650"/>
      <c r="AA37" s="650"/>
      <c r="AB37" s="650"/>
      <c r="AC37" s="650"/>
      <c r="AD37" s="650"/>
      <c r="AE37" s="650"/>
      <c r="AF37" s="650"/>
      <c r="AG37" s="650"/>
      <c r="AH37" s="650"/>
      <c r="AI37" s="650"/>
      <c r="AJ37" s="650"/>
      <c r="AK37" s="650"/>
      <c r="AL37" s="650"/>
      <c r="AM37" s="650"/>
      <c r="AN37" s="650"/>
      <c r="AO37" s="650"/>
      <c r="AP37" s="650"/>
      <c r="AQ37" s="650"/>
      <c r="AR37" s="650"/>
      <c r="AS37" s="650"/>
      <c r="AT37" s="650"/>
      <c r="AU37" s="650"/>
      <c r="AW37" s="653"/>
      <c r="AX37" s="653"/>
      <c r="AY37" s="653"/>
      <c r="AZ37" s="653"/>
      <c r="BA37" s="653"/>
      <c r="BB37" s="653"/>
      <c r="BC37" s="653"/>
      <c r="BD37" s="653"/>
      <c r="BE37" s="653"/>
      <c r="BF37" s="653"/>
      <c r="BG37" s="653"/>
      <c r="BH37" s="653"/>
      <c r="BI37" s="653"/>
      <c r="BJ37" s="653"/>
      <c r="BK37" s="653"/>
      <c r="BL37" s="653"/>
      <c r="BM37" s="653"/>
      <c r="BN37" s="653"/>
      <c r="BO37" s="653"/>
      <c r="BP37" s="653"/>
      <c r="BQ37" s="653"/>
      <c r="BR37" s="653"/>
      <c r="BS37" s="653"/>
      <c r="BT37" s="653"/>
      <c r="BU37" s="653"/>
      <c r="BV37" s="653"/>
      <c r="BW37" s="653"/>
      <c r="BX37" s="653"/>
      <c r="BY37" s="653"/>
      <c r="BZ37" s="653"/>
      <c r="CA37" s="653"/>
      <c r="CB37" s="653"/>
      <c r="CC37" s="653"/>
      <c r="CD37" s="653"/>
    </row>
    <row r="38" spans="1:82" hidden="1">
      <c r="A38" s="965" t="s">
        <v>2368</v>
      </c>
      <c r="B38" s="904"/>
      <c r="C38" s="1284">
        <v>0</v>
      </c>
      <c r="F38">
        <f>+[75]BSPL!G241</f>
        <v>1521769</v>
      </c>
      <c r="G38">
        <v>0</v>
      </c>
      <c r="P38" s="637">
        <f>+([75]BSPL!F371-[75]BSPL!G371)</f>
        <v>5281816.0863537798</v>
      </c>
    </row>
    <row r="39" spans="1:82" hidden="1">
      <c r="A39" s="965" t="s">
        <v>2369</v>
      </c>
      <c r="B39" s="904"/>
      <c r="C39" s="1284">
        <v>0</v>
      </c>
      <c r="F39">
        <f>+[75]BSPL!G403</f>
        <v>775995</v>
      </c>
      <c r="G39">
        <v>179944</v>
      </c>
      <c r="P39" s="637">
        <f>+([75]BSPL!G22-[75]BSPL!F22)</f>
        <v>-12473</v>
      </c>
    </row>
    <row r="40" spans="1:82" hidden="1">
      <c r="A40" s="965" t="s">
        <v>2370</v>
      </c>
      <c r="B40" s="904"/>
      <c r="C40" s="1284">
        <v>0</v>
      </c>
    </row>
    <row r="41" spans="1:82" hidden="1">
      <c r="A41" s="965" t="s">
        <v>2371</v>
      </c>
      <c r="B41" s="904"/>
      <c r="C41" s="1284">
        <v>0</v>
      </c>
    </row>
    <row r="42" spans="1:82">
      <c r="A42" s="965"/>
      <c r="B42" s="904"/>
      <c r="C42" s="1284"/>
    </row>
    <row r="43" spans="1:82">
      <c r="A43" s="957" t="s">
        <v>2372</v>
      </c>
      <c r="B43" s="963">
        <f>SUM(B36:B42)</f>
        <v>-498.87521660000084</v>
      </c>
      <c r="C43" s="1285">
        <f>SUM(C36:C42)</f>
        <v>-907.51787390000004</v>
      </c>
    </row>
    <row r="44" spans="1:82">
      <c r="A44" s="965" t="s">
        <v>757</v>
      </c>
      <c r="B44" s="904"/>
      <c r="C44" s="1284"/>
    </row>
    <row r="45" spans="1:82">
      <c r="A45" s="960" t="s">
        <v>2373</v>
      </c>
      <c r="B45" s="1859"/>
      <c r="C45" s="1284"/>
    </row>
    <row r="46" spans="1:82" hidden="1">
      <c r="A46" s="965" t="s">
        <v>2374</v>
      </c>
      <c r="B46" s="904"/>
      <c r="C46" s="1284">
        <v>0</v>
      </c>
    </row>
    <row r="47" spans="1:82">
      <c r="A47" s="965" t="s">
        <v>2375</v>
      </c>
      <c r="B47" s="904">
        <f>+((BSPL!G35-BSPL!H35)+(BSPL!G41-BSPL!H41))/A1</f>
        <v>112.85221649999991</v>
      </c>
      <c r="C47" s="1284">
        <f>103923452.71/A1</f>
        <v>1039.2345270999999</v>
      </c>
      <c r="E47" s="124" t="s">
        <v>2376</v>
      </c>
      <c r="F47">
        <f>+[75]BSPL!G40</f>
        <v>55675684.390000001</v>
      </c>
      <c r="G47">
        <v>56946206.869999997</v>
      </c>
      <c r="H47">
        <f>+F47-G47</f>
        <v>-1270522.4799999967</v>
      </c>
      <c r="I47">
        <v>-1270522.4799999967</v>
      </c>
      <c r="J47">
        <f>+H47-I47</f>
        <v>0</v>
      </c>
    </row>
    <row r="48" spans="1:82">
      <c r="A48" s="965" t="s">
        <v>2377</v>
      </c>
      <c r="B48" s="904"/>
      <c r="C48" s="1284">
        <f>-8334845.91/A1</f>
        <v>-83.348459099999999</v>
      </c>
      <c r="F48">
        <f>+[75]BSPL!G351+[75]BSPL!G400+[75]BSPL!G401</f>
        <v>49684017</v>
      </c>
      <c r="G48">
        <f>69355820+16692000</f>
        <v>86047820</v>
      </c>
      <c r="H48">
        <f>+F48-G48</f>
        <v>-36363803</v>
      </c>
    </row>
    <row r="49" spans="1:53">
      <c r="A49" s="965" t="s">
        <v>2378</v>
      </c>
      <c r="B49" s="904">
        <f>-'Cash Flow lakhs'!B12</f>
        <v>-156.44945000000001</v>
      </c>
      <c r="C49" s="1284">
        <f>-8587641/A1</f>
        <v>-85.876410000000007</v>
      </c>
    </row>
    <row r="50" spans="1:53" s="638" customFormat="1">
      <c r="A50" s="965"/>
      <c r="B50" s="1860"/>
      <c r="C50" s="1284"/>
      <c r="D50"/>
      <c r="E50"/>
      <c r="F50"/>
      <c r="G50"/>
      <c r="H50"/>
      <c r="I50"/>
      <c r="J50"/>
      <c r="K50"/>
      <c r="L50" s="636"/>
      <c r="M50" s="636"/>
      <c r="N50" s="636"/>
      <c r="O50" s="637"/>
      <c r="P50" s="637"/>
      <c r="Q50" s="637"/>
      <c r="R50" s="637"/>
      <c r="S50" s="637"/>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row>
    <row r="51" spans="1:53" s="638" customFormat="1">
      <c r="A51" s="957" t="s">
        <v>2379</v>
      </c>
      <c r="B51" s="963">
        <f>SUM(B46:B50)</f>
        <v>-43.597233500000101</v>
      </c>
      <c r="C51" s="1285">
        <f>SUM(C46:C50)</f>
        <v>870.00965799999994</v>
      </c>
      <c r="D51"/>
      <c r="E51"/>
      <c r="F51"/>
      <c r="G51"/>
      <c r="H51"/>
      <c r="I51"/>
      <c r="J51"/>
      <c r="K51"/>
      <c r="L51" s="636"/>
      <c r="M51" s="636"/>
      <c r="N51" s="636"/>
      <c r="O51" s="637"/>
      <c r="P51" s="637"/>
      <c r="Q51" s="637"/>
      <c r="R51" s="637"/>
      <c r="S51" s="637"/>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row>
    <row r="52" spans="1:53" s="638" customFormat="1">
      <c r="A52" s="960"/>
      <c r="B52" s="1859"/>
      <c r="C52" s="1284"/>
      <c r="D52"/>
      <c r="E52"/>
      <c r="F52"/>
      <c r="G52"/>
      <c r="H52"/>
      <c r="I52"/>
      <c r="J52"/>
      <c r="K52"/>
      <c r="L52" s="636"/>
      <c r="M52" s="636"/>
      <c r="N52" s="636"/>
      <c r="O52" s="637"/>
      <c r="P52" s="637"/>
      <c r="Q52" s="637"/>
      <c r="R52" s="637"/>
      <c r="S52" s="637"/>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row>
    <row r="53" spans="1:53" s="638" customFormat="1">
      <c r="A53" s="957" t="s">
        <v>2380</v>
      </c>
      <c r="B53" s="963">
        <f>+B51+B43+B33</f>
        <v>0.39690669848789639</v>
      </c>
      <c r="C53" s="1285">
        <f>+C51+C43+C33</f>
        <v>1.6062918004961801</v>
      </c>
      <c r="D53"/>
      <c r="E53"/>
      <c r="F53"/>
      <c r="G53"/>
      <c r="H53"/>
      <c r="I53"/>
      <c r="J53"/>
      <c r="K53"/>
      <c r="L53" s="636"/>
      <c r="M53" s="636"/>
      <c r="N53" s="636"/>
      <c r="O53" s="637"/>
      <c r="P53" s="637"/>
      <c r="Q53" s="637"/>
      <c r="R53" s="637"/>
      <c r="S53" s="637"/>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row>
    <row r="54" spans="1:53" s="638" customFormat="1">
      <c r="A54" s="960"/>
      <c r="B54" s="1859"/>
      <c r="C54" s="1284"/>
      <c r="D54"/>
      <c r="E54"/>
      <c r="F54"/>
      <c r="G54"/>
      <c r="H54"/>
      <c r="I54"/>
      <c r="J54"/>
      <c r="K54"/>
      <c r="L54" s="636"/>
      <c r="M54" s="636"/>
      <c r="N54" s="636"/>
      <c r="O54" s="637"/>
      <c r="P54" s="637"/>
      <c r="Q54" s="637"/>
      <c r="R54" s="637"/>
      <c r="S54" s="637"/>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row>
    <row r="55" spans="1:53" s="638" customFormat="1">
      <c r="A55" s="971" t="s">
        <v>2381</v>
      </c>
      <c r="B55" s="1861">
        <f>+C57</f>
        <v>2.3977661521908011</v>
      </c>
      <c r="C55" s="1286">
        <f>79147.4351694621/A1</f>
        <v>0.79147435169462099</v>
      </c>
      <c r="D55"/>
      <c r="E55"/>
      <c r="F55"/>
      <c r="G55"/>
      <c r="H55"/>
      <c r="I55"/>
      <c r="J55"/>
      <c r="K55"/>
      <c r="L55" s="636"/>
      <c r="M55" s="636"/>
      <c r="N55" s="636"/>
      <c r="O55" s="637"/>
      <c r="P55" s="637"/>
      <c r="Q55" s="637"/>
      <c r="R55" s="637"/>
      <c r="S55" s="637"/>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c r="AW55" s="656"/>
    </row>
    <row r="56" spans="1:53" s="638" customFormat="1">
      <c r="A56" s="824"/>
      <c r="B56" s="1862"/>
      <c r="C56" s="1284"/>
      <c r="D56"/>
      <c r="E56"/>
      <c r="F56"/>
      <c r="G56"/>
      <c r="H56"/>
      <c r="I56"/>
      <c r="J56"/>
      <c r="K56"/>
      <c r="L56" s="636"/>
      <c r="M56" s="636"/>
      <c r="N56" s="636"/>
      <c r="O56" s="637"/>
      <c r="P56" s="637"/>
      <c r="Q56" s="637"/>
      <c r="R56" s="637"/>
      <c r="S56" s="637"/>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row>
    <row r="57" spans="1:53" s="638" customFormat="1">
      <c r="A57" s="957" t="s">
        <v>2382</v>
      </c>
      <c r="B57" s="963">
        <f>+B53+B55</f>
        <v>2.7946728506786975</v>
      </c>
      <c r="C57" s="1287">
        <f>+C53+C55</f>
        <v>2.3977661521908011</v>
      </c>
      <c r="D57">
        <v>-96650</v>
      </c>
      <c r="E57" s="124" t="e">
        <f>+#REF!+D57</f>
        <v>#REF!</v>
      </c>
      <c r="F57"/>
      <c r="G57"/>
      <c r="H57"/>
      <c r="I57"/>
      <c r="J57"/>
      <c r="K57"/>
      <c r="L57" s="636">
        <v>283262.68508566916</v>
      </c>
      <c r="M57" s="636"/>
      <c r="N57" s="636"/>
      <c r="O57" s="637"/>
      <c r="P57" s="637"/>
      <c r="Q57" s="637"/>
      <c r="R57" s="637"/>
      <c r="S57" s="637"/>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c r="AW57" s="638">
        <f>+BSPL!G20</f>
        <v>279466.64</v>
      </c>
      <c r="AX57" s="855">
        <f>+AW57-B57</f>
        <v>279463.84532714932</v>
      </c>
      <c r="AY57" s="656"/>
      <c r="AZ57" s="656"/>
      <c r="BA57" s="656"/>
    </row>
    <row r="58" spans="1:53" s="638" customFormat="1">
      <c r="A58" s="984"/>
      <c r="B58" s="658"/>
      <c r="C58" s="985"/>
      <c r="D58" s="124"/>
      <c r="E58"/>
      <c r="F58"/>
      <c r="G58"/>
      <c r="H58"/>
      <c r="I58"/>
      <c r="J58"/>
      <c r="K58"/>
      <c r="L58" s="659">
        <f>+C57-L57</f>
        <v>-283260.287319517</v>
      </c>
      <c r="M58" s="636"/>
      <c r="N58" s="636"/>
      <c r="O58" s="637"/>
      <c r="P58" s="637"/>
      <c r="Q58" s="637"/>
      <c r="R58" s="637"/>
      <c r="S58" s="637"/>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c r="AW58" s="660"/>
    </row>
    <row r="59" spans="1:53" s="638" customFormat="1" ht="0.75" customHeight="1">
      <c r="A59" s="984"/>
      <c r="B59" s="658"/>
      <c r="C59" s="985"/>
      <c r="D59"/>
      <c r="E59"/>
      <c r="F59"/>
      <c r="G59"/>
      <c r="H59"/>
      <c r="I59"/>
      <c r="J59"/>
      <c r="K59"/>
      <c r="L59" s="636"/>
      <c r="M59" s="636"/>
      <c r="N59" s="636"/>
      <c r="O59" s="637"/>
      <c r="P59" s="637"/>
      <c r="Q59" s="637"/>
      <c r="R59" s="637"/>
      <c r="S59" s="637"/>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row>
    <row r="60" spans="1:53" s="638" customFormat="1" ht="34.5" customHeight="1">
      <c r="A60" s="2482" t="s">
        <v>2383</v>
      </c>
      <c r="B60" s="2483"/>
      <c r="C60" s="2484"/>
      <c r="D60"/>
      <c r="E60"/>
      <c r="F60"/>
      <c r="G60"/>
      <c r="H60"/>
      <c r="I60"/>
      <c r="J60"/>
      <c r="K60"/>
      <c r="L60" s="636"/>
      <c r="M60" s="636"/>
      <c r="N60" s="636"/>
      <c r="O60" s="637"/>
      <c r="P60" s="637"/>
      <c r="Q60" s="637"/>
      <c r="R60" s="637"/>
      <c r="S60" s="637"/>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row>
    <row r="61" spans="1:53" s="638" customFormat="1">
      <c r="A61" s="986"/>
      <c r="B61" s="987"/>
      <c r="C61" s="988"/>
      <c r="D61"/>
      <c r="E61"/>
      <c r="F61"/>
      <c r="G61"/>
      <c r="H61"/>
      <c r="I61"/>
      <c r="J61"/>
      <c r="K61"/>
      <c r="L61" s="636"/>
      <c r="M61" s="636"/>
      <c r="N61" s="636"/>
      <c r="O61" s="637"/>
      <c r="P61" s="637"/>
      <c r="Q61" s="637"/>
      <c r="R61" s="637"/>
      <c r="S61" s="637"/>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row>
    <row r="62" spans="1:53" s="638" customFormat="1" ht="18">
      <c r="A62" s="989" t="s">
        <v>739</v>
      </c>
      <c r="B62" s="990"/>
      <c r="C62" s="991" t="s">
        <v>740</v>
      </c>
      <c r="D62"/>
      <c r="E62"/>
      <c r="F62"/>
      <c r="G62"/>
      <c r="H62"/>
      <c r="I62"/>
      <c r="J62"/>
      <c r="K62"/>
      <c r="L62" s="636"/>
      <c r="M62" s="636"/>
      <c r="N62" s="636"/>
      <c r="O62" s="637"/>
      <c r="P62" s="637"/>
      <c r="Q62" s="637"/>
      <c r="R62" s="637"/>
      <c r="S62" s="637"/>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row>
    <row r="63" spans="1:53" s="638" customFormat="1" ht="18">
      <c r="A63" s="992" t="s">
        <v>2384</v>
      </c>
      <c r="B63" s="993"/>
      <c r="C63" s="991"/>
      <c r="D63"/>
      <c r="E63"/>
      <c r="F63"/>
      <c r="G63"/>
      <c r="H63"/>
      <c r="I63"/>
      <c r="J63"/>
      <c r="K63"/>
      <c r="L63" s="636"/>
      <c r="M63" s="636"/>
      <c r="N63" s="636"/>
      <c r="O63" s="637"/>
      <c r="P63" s="637"/>
      <c r="Q63" s="637"/>
      <c r="R63" s="637"/>
      <c r="S63" s="637"/>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row>
    <row r="64" spans="1:53" s="638" customFormat="1" ht="18">
      <c r="A64" s="992" t="s">
        <v>743</v>
      </c>
      <c r="B64" s="993"/>
      <c r="C64" s="991"/>
      <c r="D64"/>
      <c r="E64"/>
      <c r="F64"/>
      <c r="G64"/>
      <c r="H64"/>
      <c r="I64"/>
      <c r="J64"/>
      <c r="K64"/>
      <c r="L64" s="636"/>
      <c r="M64" s="636"/>
      <c r="N64" s="636"/>
      <c r="O64" s="637"/>
      <c r="P64" s="637"/>
      <c r="Q64" s="637"/>
      <c r="R64" s="637"/>
      <c r="S64" s="637"/>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row>
    <row r="65" spans="1:48" s="638" customFormat="1" ht="18">
      <c r="A65" s="992" t="s">
        <v>2385</v>
      </c>
      <c r="B65" s="993"/>
      <c r="C65" s="991"/>
      <c r="D65"/>
      <c r="E65"/>
      <c r="F65"/>
      <c r="G65"/>
      <c r="H65"/>
      <c r="I65"/>
      <c r="J65"/>
      <c r="K65"/>
      <c r="L65" s="636"/>
      <c r="M65" s="636"/>
      <c r="N65" s="636"/>
      <c r="O65" s="637"/>
      <c r="P65" s="637"/>
      <c r="Q65" s="637"/>
      <c r="R65" s="637"/>
      <c r="S65" s="637"/>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row>
    <row r="66" spans="1:48" ht="18">
      <c r="A66" s="992"/>
      <c r="B66" s="993"/>
      <c r="C66" s="994" t="s">
        <v>742</v>
      </c>
    </row>
    <row r="67" spans="1:48" ht="18">
      <c r="A67" s="992"/>
      <c r="B67" s="993"/>
      <c r="C67" s="995" t="s">
        <v>744</v>
      </c>
    </row>
    <row r="68" spans="1:48" ht="18">
      <c r="A68" s="992"/>
      <c r="B68" s="993"/>
      <c r="C68" s="995"/>
    </row>
    <row r="69" spans="1:48" ht="37.200000000000003" customHeight="1">
      <c r="A69" s="992"/>
      <c r="B69" s="993"/>
      <c r="C69" s="995"/>
    </row>
    <row r="70" spans="1:48" ht="18">
      <c r="A70" s="992"/>
      <c r="B70" s="993"/>
      <c r="C70" s="998" t="s">
        <v>746</v>
      </c>
    </row>
    <row r="71" spans="1:48" ht="18">
      <c r="A71" s="992" t="s">
        <v>2632</v>
      </c>
      <c r="B71" s="993"/>
      <c r="C71" s="991" t="s">
        <v>747</v>
      </c>
    </row>
    <row r="72" spans="1:48" ht="18">
      <c r="A72" s="992" t="s">
        <v>748</v>
      </c>
      <c r="B72" s="993"/>
      <c r="C72" s="995"/>
    </row>
    <row r="73" spans="1:48" ht="18">
      <c r="A73" s="992" t="s">
        <v>2633</v>
      </c>
      <c r="B73" s="993"/>
      <c r="C73" s="991"/>
    </row>
    <row r="74" spans="1:48" ht="18">
      <c r="A74" s="996" t="s">
        <v>750</v>
      </c>
      <c r="B74" s="993"/>
      <c r="C74" s="991"/>
    </row>
    <row r="75" spans="1:48" ht="37.5" customHeight="1">
      <c r="A75" s="997" t="s">
        <v>4724</v>
      </c>
      <c r="B75" s="2485" t="str">
        <f>+[74]BSPL!E127</f>
        <v>JARNAIL SINGH SAINI - CHIEF FINANCIAL OFFICER &amp; EXECUTIVE DIRECTOR</v>
      </c>
      <c r="C75" s="2486"/>
    </row>
    <row r="76" spans="1:48" ht="20.25" customHeight="1">
      <c r="A76" s="996"/>
      <c r="B76" s="993"/>
      <c r="C76" s="995" t="s">
        <v>751</v>
      </c>
    </row>
    <row r="77" spans="1:48" ht="18">
      <c r="A77" s="992"/>
      <c r="B77" s="993"/>
      <c r="C77" s="995"/>
    </row>
    <row r="78" spans="1:48" ht="18">
      <c r="A78" s="992"/>
      <c r="B78" s="993"/>
      <c r="C78" s="995"/>
    </row>
    <row r="79" spans="1:48" ht="18">
      <c r="A79" s="992"/>
      <c r="B79" s="993"/>
      <c r="C79" s="995"/>
    </row>
    <row r="80" spans="1:48" ht="18">
      <c r="A80" s="992"/>
      <c r="B80" s="993"/>
      <c r="C80" s="994" t="s">
        <v>2386</v>
      </c>
    </row>
    <row r="81" spans="1:3" ht="18">
      <c r="A81" s="992"/>
      <c r="B81" s="993"/>
      <c r="C81" s="995" t="s">
        <v>753</v>
      </c>
    </row>
    <row r="82" spans="1:3" ht="18">
      <c r="A82" s="992"/>
      <c r="B82" s="993"/>
      <c r="C82" s="995"/>
    </row>
    <row r="83" spans="1:3" ht="18">
      <c r="A83" s="992"/>
      <c r="B83" s="993"/>
      <c r="C83" s="995"/>
    </row>
    <row r="84" spans="1:3" ht="18">
      <c r="A84" s="992"/>
      <c r="B84" s="993"/>
      <c r="C84" s="995"/>
    </row>
    <row r="85" spans="1:3" ht="18">
      <c r="A85" s="992"/>
      <c r="B85" s="993"/>
      <c r="C85" s="998" t="s">
        <v>754</v>
      </c>
    </row>
    <row r="86" spans="1:3" ht="18">
      <c r="A86" s="992"/>
      <c r="B86" s="993"/>
      <c r="C86" s="991" t="s">
        <v>750</v>
      </c>
    </row>
    <row r="87" spans="1:3" ht="18.600000000000001" thickBot="1">
      <c r="A87" s="999"/>
      <c r="B87" s="1000"/>
      <c r="C87" s="1001" t="str">
        <f>+A75</f>
        <v>Date: 29/05/2024</v>
      </c>
    </row>
  </sheetData>
  <customSheetViews>
    <customSheetView guid="{ADEA4918-0326-423A-8D00-FB47A486004B}" scale="80" showPageBreaks="1" printArea="1" hiddenRows="1" hiddenColumns="1" view="pageBreakPreview">
      <selection activeCell="A69" sqref="A69"/>
      <colBreaks count="1" manualBreakCount="1">
        <brk id="3" min="1" max="88" man="1"/>
      </colBreaks>
      <pageMargins left="1.37" right="0.7" top="0.75" bottom="0.75" header="0.3" footer="0.3"/>
      <pageSetup scale="48" orientation="portrait" r:id="rId1"/>
    </customSheetView>
    <customSheetView guid="{2A78E287-3113-4387-BB62-BE98FA5C13C2}" scale="80" showPageBreaks="1" printArea="1" hiddenRows="1" hiddenColumns="1" view="pageBreakPreview">
      <selection activeCell="A69" sqref="A69"/>
      <colBreaks count="1" manualBreakCount="1">
        <brk id="3" min="1" max="88" man="1"/>
      </colBreaks>
      <pageMargins left="1.37" right="0.7" top="0.75" bottom="0.75" header="0.3" footer="0.3"/>
      <pageSetup scale="48" orientation="portrait" r:id="rId2"/>
    </customSheetView>
    <customSheetView guid="{DC5DA12B-0FA6-4F41-A983-6E433AD4604D}" scale="80" showPageBreaks="1" printArea="1" hiddenRows="1" hiddenColumns="1" view="pageBreakPreview">
      <selection activeCell="A69" sqref="A69"/>
      <colBreaks count="1" manualBreakCount="1">
        <brk id="3" min="1" max="88" man="1"/>
      </colBreaks>
      <pageMargins left="1.37" right="0.7" top="0.75" bottom="0.75" header="0.3" footer="0.3"/>
      <pageSetup scale="48" orientation="portrait" r:id="rId3"/>
    </customSheetView>
  </customSheetViews>
  <mergeCells count="4">
    <mergeCell ref="A2:C2"/>
    <mergeCell ref="A3:C3"/>
    <mergeCell ref="A60:C60"/>
    <mergeCell ref="B75:C75"/>
  </mergeCells>
  <pageMargins left="1.37" right="0.7" top="0.75" bottom="0.75" header="0.3" footer="0.3"/>
  <pageSetup scale="48" orientation="portrait" r:id="rId4"/>
  <colBreaks count="1" manualBreakCount="1">
    <brk id="3" min="1" max="88"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6862A-9752-4AE3-98E6-768A99DE3ED5}">
  <dimension ref="B1:W52"/>
  <sheetViews>
    <sheetView topLeftCell="A13" zoomScaleNormal="100" workbookViewId="0">
      <selection activeCell="D13" sqref="D13"/>
    </sheetView>
  </sheetViews>
  <sheetFormatPr defaultColWidth="9" defaultRowHeight="14.4"/>
  <cols>
    <col min="1" max="1" width="1.33203125" style="151" customWidth="1"/>
    <col min="2" max="2" width="6.88671875" style="151" customWidth="1"/>
    <col min="3" max="3" width="28.33203125" style="151" customWidth="1"/>
    <col min="4" max="4" width="12.88671875" style="151" customWidth="1"/>
    <col min="5" max="5" width="11.6640625" style="151" bestFit="1" customWidth="1"/>
    <col min="6" max="6" width="18.44140625" style="151" customWidth="1"/>
    <col min="7" max="7" width="15.33203125" style="151" bestFit="1" customWidth="1"/>
    <col min="8" max="9" width="17.33203125" style="151" customWidth="1"/>
    <col min="10" max="10" width="19.44140625" style="151" bestFit="1" customWidth="1"/>
    <col min="11" max="11" width="13.33203125" style="257" customWidth="1"/>
    <col min="12" max="12" width="15.33203125" style="151" bestFit="1" customWidth="1"/>
    <col min="13" max="13" width="19.33203125" style="151" customWidth="1"/>
    <col min="14" max="14" width="13.6640625" style="257" bestFit="1" customWidth="1"/>
    <col min="15" max="15" width="11.44140625" style="151" customWidth="1"/>
    <col min="16" max="16" width="18.88671875" style="151" customWidth="1"/>
    <col min="17" max="17" width="2.44140625" style="151" customWidth="1"/>
    <col min="18" max="18" width="12.33203125" style="152" bestFit="1" customWidth="1"/>
    <col min="19" max="19" width="12.6640625" style="152" bestFit="1" customWidth="1"/>
    <col min="20" max="20" width="14.33203125" style="152" bestFit="1" customWidth="1"/>
    <col min="21" max="23" width="9" style="152"/>
    <col min="24" max="16384" width="9" style="151"/>
  </cols>
  <sheetData>
    <row r="1" spans="2:23" ht="23.4">
      <c r="B1" s="2493" t="s">
        <v>1969</v>
      </c>
      <c r="C1" s="2493"/>
      <c r="D1" s="2493"/>
      <c r="E1" s="2493"/>
      <c r="F1" s="2493"/>
      <c r="G1" s="2493"/>
      <c r="H1" s="2493"/>
      <c r="I1" s="2493"/>
      <c r="J1" s="2493"/>
      <c r="K1" s="2493"/>
      <c r="L1" s="2493"/>
      <c r="M1" s="2493"/>
      <c r="N1" s="2493"/>
      <c r="O1" s="2493"/>
      <c r="P1" s="2493"/>
    </row>
    <row r="2" spans="2:23" s="153" customFormat="1" ht="23.4">
      <c r="B2" s="2494" t="s">
        <v>3057</v>
      </c>
      <c r="C2" s="2494"/>
      <c r="D2" s="2494"/>
      <c r="E2" s="2494"/>
      <c r="F2" s="2494"/>
      <c r="G2" s="2494"/>
      <c r="H2" s="2494"/>
      <c r="I2" s="2494"/>
      <c r="J2" s="2494"/>
      <c r="K2" s="2494"/>
      <c r="L2" s="2494"/>
      <c r="M2" s="2494"/>
      <c r="N2" s="2494"/>
      <c r="O2" s="2494"/>
      <c r="P2" s="2494"/>
      <c r="R2" s="154"/>
      <c r="S2" s="154"/>
      <c r="T2" s="154"/>
      <c r="U2" s="154"/>
      <c r="V2" s="154"/>
      <c r="W2" s="154"/>
    </row>
    <row r="3" spans="2:23" s="153" customFormat="1" ht="15.6" hidden="1">
      <c r="B3" s="155"/>
      <c r="C3" s="155"/>
      <c r="D3" s="155"/>
      <c r="E3" s="155"/>
      <c r="F3" s="155"/>
      <c r="G3" s="155"/>
      <c r="H3" s="155"/>
      <c r="I3" s="155"/>
      <c r="J3" s="155"/>
      <c r="K3" s="156"/>
      <c r="L3" s="155"/>
      <c r="M3" s="155"/>
      <c r="N3" s="156"/>
      <c r="O3" s="155"/>
      <c r="P3" s="155"/>
      <c r="R3" s="154"/>
      <c r="S3" s="154"/>
      <c r="T3" s="154"/>
      <c r="U3" s="154"/>
      <c r="V3" s="154"/>
      <c r="W3" s="154"/>
    </row>
    <row r="4" spans="2:23" s="153" customFormat="1" ht="15.6" hidden="1">
      <c r="B4" s="155"/>
      <c r="C4" s="155"/>
      <c r="D4" s="155"/>
      <c r="E4" s="155"/>
      <c r="F4" s="155"/>
      <c r="G4" s="155"/>
      <c r="H4" s="155"/>
      <c r="I4" s="155"/>
      <c r="J4" s="155"/>
      <c r="K4" s="156"/>
      <c r="L4" s="155"/>
      <c r="M4" s="155"/>
      <c r="N4" s="156"/>
      <c r="O4" s="155"/>
      <c r="P4" s="155"/>
      <c r="R4" s="154"/>
      <c r="S4" s="154"/>
      <c r="T4" s="154"/>
      <c r="U4" s="154"/>
      <c r="V4" s="154"/>
      <c r="W4" s="154"/>
    </row>
    <row r="5" spans="2:23" s="153" customFormat="1" ht="15.6" hidden="1">
      <c r="B5" s="155"/>
      <c r="C5" s="155"/>
      <c r="D5" s="155"/>
      <c r="E5" s="155"/>
      <c r="F5" s="155"/>
      <c r="G5" s="2495"/>
      <c r="H5" s="2495"/>
      <c r="I5" s="2495"/>
      <c r="J5" s="2495"/>
      <c r="K5" s="156"/>
      <c r="L5" s="155"/>
      <c r="M5" s="155"/>
      <c r="N5" s="156"/>
      <c r="O5" s="155"/>
      <c r="P5" s="155"/>
      <c r="R5" s="154"/>
      <c r="S5" s="154"/>
      <c r="T5" s="154"/>
      <c r="U5" s="154"/>
      <c r="V5" s="154"/>
      <c r="W5" s="154"/>
    </row>
    <row r="6" spans="2:23" ht="16.2" thickBot="1">
      <c r="B6" s="155"/>
      <c r="C6" s="155"/>
      <c r="D6" s="155"/>
      <c r="E6" s="155"/>
      <c r="F6" s="155"/>
      <c r="G6" s="2495"/>
      <c r="H6" s="2495"/>
      <c r="I6" s="2495"/>
      <c r="J6" s="2495"/>
      <c r="K6" s="156"/>
      <c r="L6" s="155"/>
      <c r="M6" s="155"/>
      <c r="N6" s="156"/>
      <c r="O6" s="155"/>
      <c r="P6" s="155"/>
    </row>
    <row r="7" spans="2:23" ht="21.75" customHeight="1">
      <c r="B7" s="2496" t="s">
        <v>1970</v>
      </c>
      <c r="C7" s="2498" t="s">
        <v>0</v>
      </c>
      <c r="D7" s="2500" t="s">
        <v>3058</v>
      </c>
      <c r="E7" s="2501"/>
      <c r="F7" s="2502"/>
      <c r="G7" s="2503" t="s">
        <v>1971</v>
      </c>
      <c r="H7" s="2504"/>
      <c r="I7" s="2504"/>
      <c r="J7" s="2502"/>
      <c r="K7" s="2503" t="s">
        <v>1972</v>
      </c>
      <c r="L7" s="2501"/>
      <c r="M7" s="2502"/>
      <c r="N7" s="2500" t="s">
        <v>3059</v>
      </c>
      <c r="O7" s="2501"/>
      <c r="P7" s="2502"/>
    </row>
    <row r="8" spans="2:23" ht="30" customHeight="1" thickBot="1">
      <c r="B8" s="2497"/>
      <c r="C8" s="2499"/>
      <c r="D8" s="157" t="s">
        <v>1973</v>
      </c>
      <c r="E8" s="1628" t="s">
        <v>1974</v>
      </c>
      <c r="F8" s="1629" t="s">
        <v>1975</v>
      </c>
      <c r="G8" s="1630" t="s">
        <v>1973</v>
      </c>
      <c r="H8" s="1631" t="s">
        <v>1976</v>
      </c>
      <c r="I8" s="1632" t="s">
        <v>1974</v>
      </c>
      <c r="J8" s="1633" t="s">
        <v>1975</v>
      </c>
      <c r="K8" s="1634" t="s">
        <v>1973</v>
      </c>
      <c r="L8" s="1628" t="s">
        <v>1974</v>
      </c>
      <c r="M8" s="1633" t="s">
        <v>1975</v>
      </c>
      <c r="N8" s="158" t="s">
        <v>1973</v>
      </c>
      <c r="O8" s="1628" t="s">
        <v>1974</v>
      </c>
      <c r="P8" s="1629" t="s">
        <v>1975</v>
      </c>
    </row>
    <row r="9" spans="2:23" s="168" customFormat="1" ht="22.5" customHeight="1" thickBot="1">
      <c r="B9" s="159" t="s">
        <v>1977</v>
      </c>
      <c r="C9" s="160" t="s">
        <v>1978</v>
      </c>
      <c r="D9" s="161">
        <v>116</v>
      </c>
      <c r="E9" s="162">
        <f>SUM(F9/D9)</f>
        <v>14987.120689655172</v>
      </c>
      <c r="F9" s="163">
        <v>1738506</v>
      </c>
      <c r="G9" s="1635">
        <v>17487.98</v>
      </c>
      <c r="H9" s="164"/>
      <c r="I9" s="1636">
        <f>SUM(J9/G9)</f>
        <v>13797.48072676204</v>
      </c>
      <c r="J9" s="163">
        <v>241290067</v>
      </c>
      <c r="K9" s="165">
        <v>17448.98</v>
      </c>
      <c r="L9" s="1636">
        <f>SUM(M9/K9)</f>
        <v>13788.78220961913</v>
      </c>
      <c r="M9" s="166">
        <v>240600185</v>
      </c>
      <c r="N9" s="167">
        <f>SUM(D9+G9-K9)</f>
        <v>155</v>
      </c>
      <c r="O9" s="1637">
        <f>SUM(P9/N9)</f>
        <v>15667.019354838711</v>
      </c>
      <c r="P9" s="1638">
        <f>SUM(F9+J9-M9)</f>
        <v>2428388</v>
      </c>
      <c r="R9" s="169"/>
      <c r="S9" s="169"/>
      <c r="T9" s="169"/>
      <c r="U9" s="169"/>
      <c r="V9" s="169"/>
      <c r="W9" s="169"/>
    </row>
    <row r="10" spans="2:23" s="168" customFormat="1" ht="22.5" customHeight="1" thickBot="1">
      <c r="B10" s="170"/>
      <c r="C10" s="171" t="s">
        <v>1980</v>
      </c>
      <c r="D10" s="172">
        <v>0</v>
      </c>
      <c r="E10" s="173">
        <v>0</v>
      </c>
      <c r="F10" s="174">
        <v>0</v>
      </c>
      <c r="G10" s="217">
        <v>0</v>
      </c>
      <c r="H10" s="175"/>
      <c r="I10" s="176">
        <v>0</v>
      </c>
      <c r="J10" s="177">
        <v>0</v>
      </c>
      <c r="K10" s="178">
        <v>0</v>
      </c>
      <c r="L10" s="179">
        <v>0</v>
      </c>
      <c r="M10" s="180">
        <v>0</v>
      </c>
      <c r="N10" s="181">
        <f>SUM(D10+G10-K10)</f>
        <v>0</v>
      </c>
      <c r="O10" s="182"/>
      <c r="P10" s="177">
        <f>SUM(F10+J10-M10)</f>
        <v>0</v>
      </c>
      <c r="R10" s="169"/>
      <c r="S10" s="169"/>
      <c r="T10" s="169"/>
      <c r="U10" s="169"/>
      <c r="V10" s="169"/>
      <c r="W10" s="169"/>
    </row>
    <row r="11" spans="2:23" s="168" customFormat="1" ht="19.5" customHeight="1" thickBot="1">
      <c r="B11" s="170"/>
      <c r="C11" s="183" t="s">
        <v>824</v>
      </c>
      <c r="D11" s="184">
        <f>D9</f>
        <v>116</v>
      </c>
      <c r="E11" s="185"/>
      <c r="F11" s="186">
        <f>+F9</f>
        <v>1738506</v>
      </c>
      <c r="G11" s="1639">
        <f>SUM(G9:G10)</f>
        <v>17487.98</v>
      </c>
      <c r="H11" s="187"/>
      <c r="I11" s="187"/>
      <c r="J11" s="188">
        <f>SUM(J9:J10)</f>
        <v>241290067</v>
      </c>
      <c r="K11" s="189">
        <f>SUM(K9:K10)</f>
        <v>17448.98</v>
      </c>
      <c r="L11" s="190"/>
      <c r="M11" s="191">
        <f>SUM(M9:M10)</f>
        <v>240600185</v>
      </c>
      <c r="N11" s="192">
        <f>SUM(D11+G11-K11)</f>
        <v>155</v>
      </c>
      <c r="O11" s="193"/>
      <c r="P11" s="186">
        <f>+P9</f>
        <v>2428388</v>
      </c>
      <c r="Q11" s="168">
        <f>F11+J11-M11</f>
        <v>2428388</v>
      </c>
      <c r="R11" s="169"/>
      <c r="S11" s="169"/>
      <c r="T11" s="169"/>
      <c r="U11" s="169"/>
      <c r="V11" s="169"/>
      <c r="W11" s="169"/>
    </row>
    <row r="12" spans="2:23" s="168" customFormat="1" ht="21.75" customHeight="1">
      <c r="B12" s="159" t="s">
        <v>1979</v>
      </c>
      <c r="C12" s="194" t="s">
        <v>1983</v>
      </c>
      <c r="D12" s="195">
        <v>255</v>
      </c>
      <c r="E12" s="162">
        <f t="shared" ref="E12:E16" si="0">SUM(F12/D12)</f>
        <v>18902.709803921567</v>
      </c>
      <c r="F12" s="163">
        <v>4820191</v>
      </c>
      <c r="G12" s="230"/>
      <c r="H12" s="196"/>
      <c r="I12" s="196"/>
      <c r="J12" s="197"/>
      <c r="K12" s="198"/>
      <c r="L12" s="199"/>
      <c r="M12" s="196"/>
      <c r="N12" s="200">
        <v>29</v>
      </c>
      <c r="O12" s="201">
        <f t="shared" ref="O12:O14" si="1">SUM(P12/N12)</f>
        <v>20940.96551724138</v>
      </c>
      <c r="P12" s="163">
        <v>607288</v>
      </c>
      <c r="R12" s="169"/>
      <c r="S12" s="169"/>
      <c r="T12" s="169"/>
      <c r="U12" s="169"/>
      <c r="V12" s="169"/>
      <c r="W12" s="169"/>
    </row>
    <row r="13" spans="2:23" s="168" customFormat="1" ht="19.5" customHeight="1">
      <c r="B13" s="1640"/>
      <c r="C13" s="1641" t="s">
        <v>1983</v>
      </c>
      <c r="D13" s="1642">
        <v>272</v>
      </c>
      <c r="E13" s="162">
        <f t="shared" si="0"/>
        <v>18052.316176470587</v>
      </c>
      <c r="F13" s="163">
        <v>4910230</v>
      </c>
      <c r="G13" s="1643"/>
      <c r="H13" s="1644"/>
      <c r="I13" s="1644"/>
      <c r="J13" s="1645"/>
      <c r="K13" s="1646"/>
      <c r="L13" s="1647"/>
      <c r="M13" s="1644"/>
      <c r="N13" s="1648">
        <v>141</v>
      </c>
      <c r="O13" s="1637">
        <f t="shared" si="1"/>
        <v>20775.950354609929</v>
      </c>
      <c r="P13" s="163">
        <v>2929409</v>
      </c>
      <c r="R13" s="169"/>
      <c r="S13" s="169"/>
      <c r="T13" s="169"/>
      <c r="U13" s="169"/>
      <c r="V13" s="169"/>
      <c r="W13" s="169"/>
    </row>
    <row r="14" spans="2:23" s="168" customFormat="1" ht="21" customHeight="1">
      <c r="B14" s="1640"/>
      <c r="C14" s="1641" t="s">
        <v>1983</v>
      </c>
      <c r="D14" s="1642">
        <v>114</v>
      </c>
      <c r="E14" s="162">
        <f t="shared" si="0"/>
        <v>16520.026315789473</v>
      </c>
      <c r="F14" s="163">
        <v>1883283</v>
      </c>
      <c r="G14" s="1643"/>
      <c r="H14" s="1644"/>
      <c r="I14" s="1644"/>
      <c r="J14" s="1645"/>
      <c r="K14" s="1646"/>
      <c r="L14" s="1647"/>
      <c r="M14" s="1644"/>
      <c r="N14" s="1648">
        <v>110</v>
      </c>
      <c r="O14" s="1637">
        <f t="shared" si="1"/>
        <v>22115.936363636363</v>
      </c>
      <c r="P14" s="163">
        <v>2432753</v>
      </c>
      <c r="R14" s="169"/>
      <c r="S14" s="169"/>
      <c r="T14" s="169"/>
      <c r="U14" s="169"/>
      <c r="V14" s="169"/>
      <c r="W14" s="169"/>
    </row>
    <row r="15" spans="2:23" s="168" customFormat="1" ht="21" customHeight="1">
      <c r="B15" s="1640"/>
      <c r="C15" s="1641" t="s">
        <v>1983</v>
      </c>
      <c r="D15" s="1642">
        <v>71</v>
      </c>
      <c r="E15" s="162">
        <f t="shared" si="0"/>
        <v>17074.718309859156</v>
      </c>
      <c r="F15" s="163">
        <v>1212305</v>
      </c>
      <c r="G15" s="1643"/>
      <c r="H15" s="1644"/>
      <c r="I15" s="1644"/>
      <c r="J15" s="1645"/>
      <c r="K15" s="1646"/>
      <c r="L15" s="1647"/>
      <c r="M15" s="1644"/>
      <c r="N15" s="1648">
        <v>0</v>
      </c>
      <c r="O15" s="1637">
        <v>0</v>
      </c>
      <c r="P15" s="163">
        <v>0</v>
      </c>
      <c r="R15" s="169"/>
      <c r="S15" s="169"/>
      <c r="T15" s="169"/>
      <c r="U15" s="169"/>
      <c r="V15" s="169"/>
      <c r="W15" s="169"/>
    </row>
    <row r="16" spans="2:23" s="168" customFormat="1" ht="18.75" customHeight="1">
      <c r="B16" s="1640"/>
      <c r="C16" s="1641" t="s">
        <v>1983</v>
      </c>
      <c r="D16" s="1649">
        <v>24.3</v>
      </c>
      <c r="E16" s="162">
        <f t="shared" si="0"/>
        <v>16158.436213991768</v>
      </c>
      <c r="F16" s="163">
        <v>392650</v>
      </c>
      <c r="G16" s="1643"/>
      <c r="H16" s="1644"/>
      <c r="I16" s="1644"/>
      <c r="J16" s="1645"/>
      <c r="K16" s="1646"/>
      <c r="L16" s="1647"/>
      <c r="M16" s="1644"/>
      <c r="N16" s="1648">
        <v>0</v>
      </c>
      <c r="O16" s="1637">
        <v>0</v>
      </c>
      <c r="P16" s="163">
        <v>0</v>
      </c>
      <c r="R16" s="169"/>
      <c r="S16" s="169"/>
      <c r="T16" s="169"/>
      <c r="U16" s="169"/>
      <c r="V16" s="169"/>
      <c r="W16" s="169"/>
    </row>
    <row r="17" spans="2:23" s="168" customFormat="1" ht="18.75" customHeight="1">
      <c r="B17" s="1640"/>
      <c r="C17" s="1641"/>
      <c r="D17" s="1642"/>
      <c r="E17" s="162"/>
      <c r="F17" s="1650"/>
      <c r="G17" s="1651"/>
      <c r="H17" s="1652"/>
      <c r="I17" s="1652"/>
      <c r="J17" s="1653"/>
      <c r="K17" s="1654"/>
      <c r="L17" s="1655"/>
      <c r="M17" s="1652"/>
      <c r="N17" s="1656"/>
      <c r="O17" s="1637"/>
      <c r="P17" s="163"/>
      <c r="R17" s="169"/>
      <c r="S17" s="169"/>
      <c r="T17" s="169"/>
      <c r="U17" s="169"/>
      <c r="V17" s="169"/>
      <c r="W17" s="169"/>
    </row>
    <row r="18" spans="2:23" s="207" customFormat="1" ht="23.25" customHeight="1">
      <c r="B18" s="1657"/>
      <c r="C18" s="1658" t="s">
        <v>1984</v>
      </c>
      <c r="D18" s="1659">
        <f>SUM(D12:D17)</f>
        <v>736.3</v>
      </c>
      <c r="E18" s="162">
        <f t="shared" ref="E18:E20" si="2">SUM(F18/D18)</f>
        <v>17952.816786635882</v>
      </c>
      <c r="F18" s="202">
        <f>SUM(F12:F17)</f>
        <v>13218659</v>
      </c>
      <c r="G18" s="1660">
        <v>6433.5320000000002</v>
      </c>
      <c r="H18" s="1661"/>
      <c r="I18" s="1662">
        <f>SUM(J18/G18)</f>
        <v>17048.645129922414</v>
      </c>
      <c r="J18" s="203">
        <v>109683004</v>
      </c>
      <c r="K18" s="1663">
        <v>7992.8010000000004</v>
      </c>
      <c r="L18" s="1664">
        <f>SUM(M18/K18)</f>
        <v>16928.934675090746</v>
      </c>
      <c r="M18" s="204">
        <v>135309606</v>
      </c>
      <c r="N18" s="1665">
        <f>SUM(N12:N17)</f>
        <v>280</v>
      </c>
      <c r="O18" s="1666">
        <f>SUM(P18/N18)</f>
        <v>21319.464285714286</v>
      </c>
      <c r="P18" s="205">
        <f>SUM(P12:P17)</f>
        <v>5969450</v>
      </c>
      <c r="Q18" s="168"/>
      <c r="R18" s="206"/>
      <c r="S18" s="206"/>
      <c r="T18" s="206"/>
      <c r="U18" s="206"/>
      <c r="V18" s="206"/>
      <c r="W18" s="206"/>
    </row>
    <row r="19" spans="2:23" s="207" customFormat="1" ht="23.25" customHeight="1">
      <c r="B19" s="1667" t="s">
        <v>1982</v>
      </c>
      <c r="C19" s="1668" t="s">
        <v>3060</v>
      </c>
      <c r="D19" s="1669">
        <v>1102.9690000000001</v>
      </c>
      <c r="E19" s="1670">
        <f t="shared" si="2"/>
        <v>16661.749332936826</v>
      </c>
      <c r="F19" s="208">
        <v>18377393</v>
      </c>
      <c r="G19" s="1671"/>
      <c r="H19" s="1672"/>
      <c r="I19" s="1673"/>
      <c r="J19" s="209"/>
      <c r="K19" s="1674">
        <v>0</v>
      </c>
      <c r="L19" s="1675">
        <v>0</v>
      </c>
      <c r="M19" s="210">
        <v>0</v>
      </c>
      <c r="N19" s="1676">
        <v>0</v>
      </c>
      <c r="O19" s="1677"/>
      <c r="P19" s="211">
        <v>0</v>
      </c>
      <c r="Q19" s="168"/>
      <c r="R19" s="206"/>
      <c r="S19" s="206"/>
      <c r="T19" s="206"/>
      <c r="U19" s="206"/>
      <c r="V19" s="206"/>
      <c r="W19" s="206"/>
    </row>
    <row r="20" spans="2:23" s="213" customFormat="1" ht="27" customHeight="1" thickBot="1">
      <c r="B20" s="1678"/>
      <c r="C20" s="1679" t="s">
        <v>1985</v>
      </c>
      <c r="D20" s="1680">
        <f>SUM(D11+D18+D19)</f>
        <v>1955.269</v>
      </c>
      <c r="E20" s="162">
        <f t="shared" si="2"/>
        <v>17048.578993478648</v>
      </c>
      <c r="F20" s="1681">
        <f>SUM(F11+F18+F19)</f>
        <v>33334558</v>
      </c>
      <c r="G20" s="1682">
        <f>SUM(G9+G18+G19)</f>
        <v>23921.511999999999</v>
      </c>
      <c r="H20" s="1683"/>
      <c r="I20" s="1662">
        <f>SUM(J20/G20)</f>
        <v>14671.859830599338</v>
      </c>
      <c r="J20" s="1684">
        <f>SUM(J9+J18+J19)</f>
        <v>350973071</v>
      </c>
      <c r="K20" s="1685">
        <f>SUM(K11+K18)</f>
        <v>25441.780999999999</v>
      </c>
      <c r="L20" s="1664">
        <f>SUM(M20/K20)</f>
        <v>14775.293875849336</v>
      </c>
      <c r="M20" s="1686">
        <f>SUM(M9+M18)</f>
        <v>375909791</v>
      </c>
      <c r="N20" s="1685">
        <f>SUM(N11+N18+N19)</f>
        <v>435</v>
      </c>
      <c r="O20" s="1687">
        <f>SUM(P20/N20)</f>
        <v>19305.374712643679</v>
      </c>
      <c r="P20" s="1686">
        <f>SUM(P11+P18+P19)</f>
        <v>8397838</v>
      </c>
      <c r="Q20" s="168"/>
      <c r="R20" s="169"/>
      <c r="S20" s="212"/>
      <c r="T20" s="212"/>
      <c r="U20" s="212"/>
      <c r="V20" s="212"/>
      <c r="W20" s="212"/>
    </row>
    <row r="21" spans="2:23" s="213" customFormat="1" ht="19.5" customHeight="1" thickBot="1">
      <c r="B21" s="214"/>
      <c r="C21" s="215"/>
      <c r="D21" s="172"/>
      <c r="E21" s="173"/>
      <c r="F21" s="216"/>
      <c r="G21" s="221"/>
      <c r="H21" s="176"/>
      <c r="I21" s="176"/>
      <c r="J21" s="177"/>
      <c r="K21" s="217"/>
      <c r="L21" s="218"/>
      <c r="M21" s="219"/>
      <c r="N21" s="220"/>
      <c r="O21" s="221"/>
      <c r="P21" s="222"/>
      <c r="Q21" s="223"/>
      <c r="R21" s="169"/>
      <c r="S21" s="212"/>
      <c r="T21" s="212"/>
      <c r="U21" s="212"/>
      <c r="V21" s="212"/>
      <c r="W21" s="212"/>
    </row>
    <row r="22" spans="2:23" s="213" customFormat="1" ht="22.5" customHeight="1">
      <c r="B22" s="224" t="s">
        <v>1986</v>
      </c>
      <c r="C22" s="160" t="s">
        <v>1987</v>
      </c>
      <c r="D22" s="195"/>
      <c r="E22" s="162"/>
      <c r="F22" s="205">
        <v>548138</v>
      </c>
      <c r="G22" s="230"/>
      <c r="H22" s="225"/>
      <c r="I22" s="225"/>
      <c r="J22" s="226">
        <v>5536949</v>
      </c>
      <c r="K22" s="227"/>
      <c r="L22" s="228"/>
      <c r="M22" s="226">
        <v>5173478</v>
      </c>
      <c r="N22" s="229"/>
      <c r="O22" s="230"/>
      <c r="P22" s="1638">
        <f>SUM(F22+J22-M22)</f>
        <v>911609</v>
      </c>
      <c r="Q22" s="223"/>
      <c r="R22" s="169"/>
      <c r="S22" s="212"/>
      <c r="T22" s="212"/>
      <c r="U22" s="212"/>
      <c r="V22" s="212"/>
      <c r="W22" s="212"/>
    </row>
    <row r="23" spans="2:23" s="213" customFormat="1" ht="20.25" customHeight="1">
      <c r="B23" s="1688"/>
      <c r="C23" s="1689"/>
      <c r="D23" s="1642"/>
      <c r="E23" s="1690"/>
      <c r="F23" s="1691"/>
      <c r="G23" s="1643"/>
      <c r="H23" s="1692"/>
      <c r="I23" s="1692"/>
      <c r="J23" s="1693"/>
      <c r="K23" s="1694"/>
      <c r="L23" s="1695"/>
      <c r="M23" s="1645"/>
      <c r="N23" s="1656"/>
      <c r="O23" s="1643"/>
      <c r="P23" s="1696"/>
      <c r="Q23" s="223"/>
      <c r="R23" s="169"/>
      <c r="S23" s="212"/>
      <c r="T23" s="212"/>
      <c r="U23" s="212"/>
      <c r="V23" s="212"/>
      <c r="W23" s="212"/>
    </row>
    <row r="24" spans="2:23" s="213" customFormat="1" ht="20.25" customHeight="1">
      <c r="B24" s="1688" t="s">
        <v>1988</v>
      </c>
      <c r="C24" s="1658" t="s">
        <v>1989</v>
      </c>
      <c r="D24" s="1642"/>
      <c r="E24" s="1690"/>
      <c r="F24" s="1697">
        <v>1216175</v>
      </c>
      <c r="G24" s="1643"/>
      <c r="H24" s="1692"/>
      <c r="I24" s="1692"/>
      <c r="J24" s="1693">
        <v>40051790</v>
      </c>
      <c r="K24" s="1694"/>
      <c r="L24" s="1695"/>
      <c r="M24" s="1693">
        <v>37737996</v>
      </c>
      <c r="N24" s="1656"/>
      <c r="O24" s="1643"/>
      <c r="P24" s="1638">
        <f>SUM(F24+J24-M24)</f>
        <v>3529969</v>
      </c>
      <c r="Q24" s="223"/>
      <c r="R24" s="169"/>
      <c r="S24" s="212"/>
      <c r="T24" s="212"/>
      <c r="U24" s="212"/>
      <c r="V24" s="212"/>
      <c r="W24" s="212"/>
    </row>
    <row r="25" spans="2:23" s="213" customFormat="1" ht="21" customHeight="1">
      <c r="B25" s="1688"/>
      <c r="C25" s="1698"/>
      <c r="D25" s="1642"/>
      <c r="E25" s="1690"/>
      <c r="F25" s="231"/>
      <c r="G25" s="1643"/>
      <c r="H25" s="1692"/>
      <c r="I25" s="1692"/>
      <c r="J25" s="1693"/>
      <c r="K25" s="1694"/>
      <c r="L25" s="1643"/>
      <c r="M25" s="1699"/>
      <c r="N25" s="1656"/>
      <c r="O25" s="1643"/>
      <c r="P25" s="1696"/>
      <c r="Q25" s="223"/>
      <c r="R25" s="169"/>
      <c r="S25" s="212"/>
      <c r="T25" s="212"/>
      <c r="U25" s="212"/>
      <c r="V25" s="212"/>
      <c r="W25" s="212"/>
    </row>
    <row r="26" spans="2:23" s="213" customFormat="1" ht="22.5" customHeight="1">
      <c r="B26" s="1688" t="s">
        <v>1990</v>
      </c>
      <c r="C26" s="1658" t="s">
        <v>1991</v>
      </c>
      <c r="D26" s="1642">
        <v>408</v>
      </c>
      <c r="E26" s="162">
        <f>SUM(F26/D26)</f>
        <v>5252.1813725490192</v>
      </c>
      <c r="F26" s="205">
        <v>2142890</v>
      </c>
      <c r="G26" s="1694">
        <v>12873.12</v>
      </c>
      <c r="H26" s="1692"/>
      <c r="I26" s="1636">
        <f>SUM(J26/G26)</f>
        <v>6246.7500497159972</v>
      </c>
      <c r="J26" s="1693">
        <v>80415163</v>
      </c>
      <c r="K26" s="1694">
        <v>11902.58</v>
      </c>
      <c r="L26" s="1700">
        <f>SUM(M26/K26)</f>
        <v>6144.4456580001979</v>
      </c>
      <c r="M26" s="1693">
        <v>73134756</v>
      </c>
      <c r="N26" s="1656">
        <f>SUM(D26+G26-K26-K28)</f>
        <v>250.00000000000091</v>
      </c>
      <c r="O26" s="1637">
        <f>SUM(P26/N26)</f>
        <v>5536.4319999999798</v>
      </c>
      <c r="P26" s="1638">
        <f>SUM(F26+J26-M26-M28)</f>
        <v>1384108</v>
      </c>
      <c r="Q26" s="223"/>
      <c r="R26" s="169"/>
      <c r="S26" s="212"/>
      <c r="T26" s="212"/>
      <c r="U26" s="212"/>
      <c r="V26" s="212"/>
      <c r="W26" s="212"/>
    </row>
    <row r="27" spans="2:23" s="213" customFormat="1" ht="19.5" customHeight="1">
      <c r="B27" s="1688"/>
      <c r="C27" s="1689"/>
      <c r="D27" s="1642"/>
      <c r="E27" s="1690"/>
      <c r="F27" s="1701"/>
      <c r="G27" s="1643"/>
      <c r="H27" s="1702"/>
      <c r="I27" s="1702"/>
      <c r="J27" s="1693"/>
      <c r="K27" s="1694"/>
      <c r="L27" s="1695"/>
      <c r="M27" s="1645"/>
      <c r="N27" s="1656"/>
      <c r="O27" s="1703"/>
      <c r="P27" s="1696"/>
      <c r="Q27" s="223"/>
      <c r="R27" s="169"/>
      <c r="S27" s="212"/>
      <c r="T27" s="212"/>
      <c r="U27" s="212"/>
      <c r="V27" s="212"/>
      <c r="W27" s="212"/>
    </row>
    <row r="28" spans="2:23" s="213" customFormat="1" ht="19.5" customHeight="1">
      <c r="B28" s="1688" t="s">
        <v>1992</v>
      </c>
      <c r="C28" s="1658" t="s">
        <v>3061</v>
      </c>
      <c r="D28" s="1704">
        <v>0</v>
      </c>
      <c r="E28" s="162">
        <v>0</v>
      </c>
      <c r="F28" s="205">
        <v>0</v>
      </c>
      <c r="G28" s="1705">
        <v>0</v>
      </c>
      <c r="H28" s="1702"/>
      <c r="I28" s="1636">
        <v>0</v>
      </c>
      <c r="J28" s="1693">
        <v>0</v>
      </c>
      <c r="K28" s="1706">
        <v>1128.54</v>
      </c>
      <c r="L28" s="1707">
        <f>SUM(M28/K28)</f>
        <v>7123.5304021124639</v>
      </c>
      <c r="M28" s="1708">
        <v>8039189</v>
      </c>
      <c r="N28" s="1656">
        <v>0</v>
      </c>
      <c r="O28" s="1637">
        <v>0</v>
      </c>
      <c r="P28" s="1638">
        <v>0</v>
      </c>
      <c r="Q28" s="223"/>
      <c r="R28" s="169"/>
      <c r="S28" s="212"/>
      <c r="T28" s="212"/>
      <c r="U28" s="212"/>
      <c r="V28" s="212"/>
      <c r="W28" s="212"/>
    </row>
    <row r="29" spans="2:23" s="213" customFormat="1" ht="19.5" customHeight="1">
      <c r="B29" s="1688"/>
      <c r="C29" s="1689"/>
      <c r="D29" s="1704"/>
      <c r="E29" s="1690"/>
      <c r="F29" s="1701"/>
      <c r="G29" s="1709"/>
      <c r="H29" s="1702"/>
      <c r="I29" s="1702"/>
      <c r="J29" s="1693"/>
      <c r="K29" s="1705"/>
      <c r="L29" s="1710"/>
      <c r="M29" s="1645"/>
      <c r="N29" s="1656"/>
      <c r="O29" s="1703"/>
      <c r="P29" s="1696"/>
      <c r="Q29" s="223"/>
      <c r="R29" s="169"/>
      <c r="S29" s="212"/>
      <c r="T29" s="212"/>
      <c r="U29" s="212"/>
      <c r="V29" s="212"/>
      <c r="W29" s="212"/>
    </row>
    <row r="30" spans="2:23" s="213" customFormat="1" ht="24" customHeight="1">
      <c r="B30" s="1711"/>
      <c r="C30" s="1712" t="s">
        <v>1993</v>
      </c>
      <c r="D30" s="1713"/>
      <c r="E30" s="1714"/>
      <c r="F30" s="1715">
        <f>SUM(F20+F22+F24+F26+F28)</f>
        <v>37241761</v>
      </c>
      <c r="G30" s="1716"/>
      <c r="H30" s="1717"/>
      <c r="I30" s="1717"/>
      <c r="J30" s="1715">
        <f>SUM(J20+J22+J24+J26)</f>
        <v>476976973</v>
      </c>
      <c r="K30" s="1718"/>
      <c r="L30" s="1717"/>
      <c r="M30" s="1715">
        <f>SUM(M20:M29)</f>
        <v>499995210</v>
      </c>
      <c r="N30" s="1719"/>
      <c r="O30" s="1720"/>
      <c r="P30" s="1721">
        <f>SUM(P20+P22+P24+P26+P28)</f>
        <v>14223524</v>
      </c>
      <c r="Q30" s="232">
        <v>0</v>
      </c>
      <c r="R30" s="169"/>
      <c r="S30" s="212"/>
      <c r="T30" s="212"/>
      <c r="U30" s="212"/>
      <c r="V30" s="212"/>
      <c r="W30" s="212"/>
    </row>
    <row r="31" spans="2:23" s="213" customFormat="1" ht="21.75" customHeight="1">
      <c r="B31" s="1688"/>
      <c r="C31" s="1689"/>
      <c r="D31" s="1642"/>
      <c r="E31" s="1690"/>
      <c r="F31" s="1701"/>
      <c r="G31" s="1643"/>
      <c r="H31" s="1652"/>
      <c r="I31" s="1652"/>
      <c r="J31" s="1650"/>
      <c r="K31" s="1722"/>
      <c r="L31" s="1723"/>
      <c r="M31" s="1696"/>
      <c r="N31" s="1656"/>
      <c r="O31" s="1703"/>
      <c r="P31" s="1696"/>
      <c r="Q31" s="223"/>
      <c r="R31" s="169"/>
      <c r="S31" s="212"/>
      <c r="T31" s="212"/>
      <c r="U31" s="212"/>
      <c r="V31" s="212"/>
      <c r="W31" s="212"/>
    </row>
    <row r="32" spans="2:23" s="213" customFormat="1" ht="21" customHeight="1">
      <c r="B32" s="1688" t="s">
        <v>1994</v>
      </c>
      <c r="C32" s="1658" t="s">
        <v>1995</v>
      </c>
      <c r="D32" s="1649">
        <v>592.61900000000003</v>
      </c>
      <c r="E32" s="162">
        <f>SUM(F32/D32)</f>
        <v>27783.832445466647</v>
      </c>
      <c r="F32" s="163">
        <v>16465227</v>
      </c>
      <c r="G32" s="1643"/>
      <c r="H32" s="225"/>
      <c r="I32" s="225"/>
      <c r="J32" s="226"/>
      <c r="K32" s="1722"/>
      <c r="M32" s="1696"/>
      <c r="N32" s="1656">
        <v>155.19300000000001</v>
      </c>
      <c r="O32" s="1637">
        <f>SUM(P32/N32)</f>
        <v>25050.002255256357</v>
      </c>
      <c r="P32" s="163">
        <v>3887585</v>
      </c>
      <c r="Q32" s="223"/>
      <c r="R32" s="169"/>
      <c r="S32" s="212"/>
      <c r="T32" s="212"/>
      <c r="U32" s="212"/>
      <c r="V32" s="212"/>
      <c r="W32" s="212"/>
    </row>
    <row r="33" spans="2:23" s="213" customFormat="1" ht="19.5" customHeight="1">
      <c r="B33" s="1688"/>
      <c r="C33" s="1698"/>
      <c r="D33" s="1649"/>
      <c r="E33" s="162"/>
      <c r="F33" s="1724"/>
      <c r="G33" s="1643"/>
      <c r="H33" s="1692"/>
      <c r="I33" s="1725"/>
      <c r="J33" s="1693"/>
      <c r="K33" s="1722"/>
      <c r="L33" s="1700"/>
      <c r="M33" s="1696"/>
      <c r="N33" s="1656"/>
      <c r="O33" s="1703"/>
      <c r="P33" s="1638"/>
      <c r="Q33" s="223"/>
      <c r="R33" s="169"/>
      <c r="S33" s="212"/>
      <c r="T33" s="212"/>
      <c r="U33" s="212"/>
      <c r="V33" s="212"/>
      <c r="W33" s="212"/>
    </row>
    <row r="34" spans="2:23" s="213" customFormat="1" ht="21" customHeight="1">
      <c r="B34" s="1688" t="s">
        <v>1996</v>
      </c>
      <c r="C34" s="1658" t="s">
        <v>1997</v>
      </c>
      <c r="D34" s="1636"/>
      <c r="E34" s="1690"/>
      <c r="F34" s="1724">
        <v>8955693</v>
      </c>
      <c r="G34" s="1637"/>
      <c r="H34" s="1689"/>
      <c r="I34" s="1689"/>
      <c r="J34" s="1726"/>
      <c r="K34" s="1727"/>
      <c r="L34" s="1728"/>
      <c r="M34" s="1696"/>
      <c r="N34" s="1729"/>
      <c r="O34" s="1730"/>
      <c r="P34" s="1638">
        <v>8590899</v>
      </c>
      <c r="Q34" s="223"/>
      <c r="R34" s="169"/>
      <c r="S34" s="212"/>
      <c r="T34" s="212"/>
      <c r="U34" s="212"/>
      <c r="V34" s="212"/>
      <c r="W34" s="212"/>
    </row>
    <row r="35" spans="2:23" s="213" customFormat="1" ht="22.5" customHeight="1" thickBot="1">
      <c r="B35" s="1678"/>
      <c r="C35" s="1731"/>
      <c r="D35" s="1678"/>
      <c r="E35" s="1732"/>
      <c r="F35" s="1733"/>
      <c r="G35" s="1734"/>
      <c r="H35" s="1735"/>
      <c r="I35" s="1735"/>
      <c r="J35" s="1736"/>
      <c r="K35" s="1737"/>
      <c r="L35" s="1732"/>
      <c r="M35" s="1733"/>
      <c r="N35" s="1738"/>
      <c r="O35" s="1739"/>
      <c r="P35" s="1733"/>
      <c r="Q35" s="223"/>
      <c r="R35" s="169"/>
      <c r="S35" s="212"/>
      <c r="T35" s="212"/>
      <c r="U35" s="212"/>
      <c r="V35" s="212"/>
      <c r="W35" s="212"/>
    </row>
    <row r="36" spans="2:23" s="244" customFormat="1" ht="27" customHeight="1" thickBot="1">
      <c r="B36" s="233"/>
      <c r="C36" s="234" t="s">
        <v>1998</v>
      </c>
      <c r="D36" s="235"/>
      <c r="E36" s="236"/>
      <c r="F36" s="237">
        <f>SUM(F30:F35)</f>
        <v>62662681</v>
      </c>
      <c r="G36" s="241"/>
      <c r="H36" s="238"/>
      <c r="I36" s="238"/>
      <c r="J36" s="237">
        <f>SUM(J30+J34)</f>
        <v>476976973</v>
      </c>
      <c r="K36" s="239"/>
      <c r="L36" s="238"/>
      <c r="M36" s="237">
        <f>SUM(M30+M34)</f>
        <v>499995210</v>
      </c>
      <c r="N36" s="240"/>
      <c r="O36" s="241"/>
      <c r="P36" s="242">
        <f>SUM(P30+P32+P34)</f>
        <v>26702008</v>
      </c>
      <c r="Q36" s="168"/>
      <c r="R36" s="169"/>
      <c r="S36" s="243"/>
      <c r="T36" s="243"/>
      <c r="U36" s="243"/>
      <c r="V36" s="243"/>
      <c r="W36" s="243"/>
    </row>
    <row r="37" spans="2:23" s="244" customFormat="1">
      <c r="B37" s="245"/>
      <c r="C37" s="245"/>
      <c r="D37" s="245"/>
      <c r="E37" s="245"/>
      <c r="F37" s="245"/>
      <c r="G37" s="245"/>
      <c r="H37" s="245"/>
      <c r="I37" s="245"/>
      <c r="J37" s="245"/>
      <c r="K37" s="246"/>
      <c r="L37" s="245"/>
      <c r="M37" s="245"/>
      <c r="N37" s="246"/>
      <c r="O37" s="245"/>
      <c r="P37" s="247"/>
      <c r="R37" s="169"/>
      <c r="S37" s="243"/>
      <c r="T37" s="243"/>
      <c r="U37" s="243"/>
      <c r="V37" s="243"/>
      <c r="W37" s="243"/>
    </row>
    <row r="38" spans="2:23" s="244" customFormat="1">
      <c r="B38" s="245"/>
      <c r="C38" s="245"/>
      <c r="D38" s="245"/>
      <c r="E38" s="245"/>
      <c r="F38" s="245"/>
      <c r="G38" s="245"/>
      <c r="H38" s="245"/>
      <c r="I38" s="245"/>
      <c r="J38" s="245"/>
      <c r="K38" s="246"/>
      <c r="L38" s="245"/>
      <c r="M38" s="245"/>
      <c r="N38" s="246"/>
      <c r="O38" s="245"/>
      <c r="P38" s="247"/>
      <c r="R38" s="169"/>
      <c r="S38" s="243"/>
      <c r="T38" s="243"/>
      <c r="U38" s="243"/>
      <c r="V38" s="243"/>
      <c r="W38" s="243"/>
    </row>
    <row r="39" spans="2:23" s="248" customFormat="1">
      <c r="F39" s="248" t="s">
        <v>1991</v>
      </c>
      <c r="G39" s="248">
        <v>6929.6</v>
      </c>
      <c r="H39" s="249"/>
      <c r="I39" s="249"/>
      <c r="J39" s="250"/>
      <c r="K39" s="251"/>
      <c r="N39" s="251"/>
      <c r="P39" s="252"/>
    </row>
    <row r="40" spans="2:23" s="248" customFormat="1">
      <c r="K40" s="251"/>
      <c r="N40" s="251"/>
    </row>
    <row r="41" spans="2:23" s="248" customFormat="1">
      <c r="F41" s="248" t="s">
        <v>1999</v>
      </c>
      <c r="G41" s="253">
        <v>14082.69</v>
      </c>
      <c r="H41" s="253"/>
      <c r="I41" s="253"/>
      <c r="J41" s="253">
        <v>208095676</v>
      </c>
      <c r="K41" s="251"/>
      <c r="M41" s="248" t="s">
        <v>2000</v>
      </c>
      <c r="N41" s="251"/>
      <c r="P41" s="248">
        <v>50731860</v>
      </c>
    </row>
    <row r="42" spans="2:23" s="248" customFormat="1">
      <c r="G42" s="248" t="s">
        <v>2001</v>
      </c>
      <c r="H42" s="254"/>
      <c r="I42" s="254"/>
      <c r="J42" s="248" t="s">
        <v>2002</v>
      </c>
      <c r="K42" s="251"/>
      <c r="N42" s="251"/>
    </row>
    <row r="43" spans="2:23" s="248" customFormat="1">
      <c r="E43" s="255" t="s">
        <v>1978</v>
      </c>
      <c r="G43" s="248">
        <v>206705257</v>
      </c>
      <c r="H43" s="254"/>
      <c r="I43" s="254"/>
      <c r="J43" s="248">
        <v>-97905166</v>
      </c>
      <c r="K43" s="251"/>
      <c r="M43" s="248" t="s">
        <v>2002</v>
      </c>
      <c r="N43" s="251"/>
      <c r="P43" s="248">
        <v>4746766</v>
      </c>
    </row>
    <row r="44" spans="2:23" s="248" customFormat="1">
      <c r="E44" s="248" t="s">
        <v>1983</v>
      </c>
      <c r="G44" s="248">
        <v>0</v>
      </c>
      <c r="J44" s="248">
        <v>-127735752</v>
      </c>
      <c r="K44" s="251"/>
      <c r="N44" s="251"/>
    </row>
    <row r="45" spans="2:23" s="248" customFormat="1">
      <c r="E45" s="248" t="s">
        <v>1987</v>
      </c>
      <c r="G45" s="248">
        <v>5874950</v>
      </c>
      <c r="J45" s="248">
        <v>-176435</v>
      </c>
      <c r="K45" s="251"/>
      <c r="N45" s="251"/>
    </row>
    <row r="46" spans="2:23" s="248" customFormat="1">
      <c r="E46" s="256" t="s">
        <v>1989</v>
      </c>
      <c r="G46" s="248">
        <v>39627524</v>
      </c>
      <c r="J46" s="248">
        <v>2154656</v>
      </c>
      <c r="K46" s="251"/>
      <c r="N46" s="251"/>
    </row>
    <row r="47" spans="2:23" s="248" customFormat="1">
      <c r="E47" s="256" t="s">
        <v>2003</v>
      </c>
      <c r="G47" s="248">
        <v>46546231</v>
      </c>
      <c r="J47" s="248">
        <v>-1822536</v>
      </c>
      <c r="K47" s="251"/>
      <c r="N47" s="251"/>
    </row>
    <row r="48" spans="2:23" s="248" customFormat="1">
      <c r="E48" s="248" t="s">
        <v>1995</v>
      </c>
      <c r="J48" s="248">
        <v>0</v>
      </c>
      <c r="K48" s="251"/>
      <c r="N48" s="251"/>
    </row>
    <row r="49" spans="5:14" s="248" customFormat="1">
      <c r="E49" s="248" t="s">
        <v>1997</v>
      </c>
      <c r="J49" s="248">
        <v>0</v>
      </c>
      <c r="K49" s="251"/>
      <c r="N49" s="251"/>
    </row>
    <row r="50" spans="5:14" s="248" customFormat="1">
      <c r="G50" s="248">
        <v>298753962</v>
      </c>
      <c r="J50" s="248">
        <v>-225485233</v>
      </c>
      <c r="K50" s="251"/>
      <c r="N50" s="251"/>
    </row>
    <row r="51" spans="5:14" s="248" customFormat="1">
      <c r="K51" s="251"/>
      <c r="N51" s="251"/>
    </row>
    <row r="52" spans="5:14" s="248" customFormat="1">
      <c r="K52" s="251"/>
      <c r="N52" s="251"/>
    </row>
  </sheetData>
  <customSheetViews>
    <customSheetView guid="{ADEA4918-0326-423A-8D00-FB47A486004B}" showPageBreaks="1" printArea="1" hiddenRows="1" topLeftCell="A22">
      <selection activeCell="E13" sqref="E13"/>
      <pageMargins left="0.19685039370078741" right="0.19685039370078741" top="0.74803149606299213" bottom="0.74803149606299213" header="0.31496062992125984" footer="0.31496062992125984"/>
      <pageSetup paperSize="9" scale="60" orientation="landscape" r:id="rId1"/>
    </customSheetView>
    <customSheetView guid="{2A78E287-3113-4387-BB62-BE98FA5C13C2}" hiddenRows="1" topLeftCell="A12">
      <selection activeCell="N32" sqref="N32"/>
      <pageMargins left="0.19685039370078741" right="0.19685039370078741" top="0.74803149606299213" bottom="0.74803149606299213" header="0.31496062992125984" footer="0.31496062992125984"/>
      <pageSetup paperSize="9" scale="60" orientation="landscape" r:id="rId2"/>
    </customSheetView>
    <customSheetView guid="{DC5DA12B-0FA6-4F41-A983-6E433AD4604D}" hiddenRows="1" topLeftCell="A12">
      <selection activeCell="N32" sqref="N32"/>
      <pageMargins left="0.19685039370078741" right="0.19685039370078741" top="0.74803149606299213" bottom="0.74803149606299213" header="0.31496062992125984" footer="0.31496062992125984"/>
      <pageSetup paperSize="9" scale="60" orientation="landscape" r:id="rId3"/>
    </customSheetView>
  </customSheetViews>
  <mergeCells count="9">
    <mergeCell ref="B1:P1"/>
    <mergeCell ref="B2:P2"/>
    <mergeCell ref="G5:J6"/>
    <mergeCell ref="B7:B8"/>
    <mergeCell ref="C7:C8"/>
    <mergeCell ref="D7:F7"/>
    <mergeCell ref="G7:J7"/>
    <mergeCell ref="K7:M7"/>
    <mergeCell ref="N7:P7"/>
  </mergeCells>
  <conditionalFormatting sqref="H39:I39">
    <cfRule type="duplicateValues" dxfId="5" priority="1"/>
  </conditionalFormatting>
  <pageMargins left="0.19685039370078741" right="0.19685039370078741" top="0.74803149606299213" bottom="0.74803149606299213" header="0.31496062992125984" footer="0.31496062992125984"/>
  <pageSetup paperSize="9" scale="60" orientation="landscape" r:id="rId4"/>
  <legacy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P54"/>
  <sheetViews>
    <sheetView view="pageBreakPreview" topLeftCell="B25" zoomScale="115" zoomScaleNormal="130" zoomScaleSheetLayoutView="115" workbookViewId="0">
      <selection activeCell="G39" sqref="G39"/>
    </sheetView>
  </sheetViews>
  <sheetFormatPr defaultColWidth="9.109375" defaultRowHeight="14.4"/>
  <cols>
    <col min="2" max="2" width="34.5546875" bestFit="1" customWidth="1"/>
    <col min="3" max="3" width="9.5546875" customWidth="1"/>
    <col min="4" max="4" width="13.44140625" bestFit="1" customWidth="1"/>
    <col min="5" max="5" width="13.6640625" bestFit="1" customWidth="1"/>
    <col min="6" max="6" width="11.44140625" bestFit="1" customWidth="1"/>
    <col min="7" max="7" width="18.44140625" bestFit="1" customWidth="1"/>
    <col min="8" max="8" width="16.5546875" bestFit="1" customWidth="1"/>
    <col min="9" max="9" width="18.44140625" bestFit="1" customWidth="1"/>
    <col min="12" max="12" width="10.33203125" bestFit="1" customWidth="1"/>
    <col min="14" max="14" width="10" bestFit="1" customWidth="1"/>
    <col min="15" max="15" width="10" customWidth="1"/>
  </cols>
  <sheetData>
    <row r="1" spans="2:14">
      <c r="G1" s="1"/>
      <c r="I1" s="1"/>
    </row>
    <row r="2" spans="2:14">
      <c r="G2" s="1"/>
      <c r="I2" s="1"/>
    </row>
    <row r="3" spans="2:14">
      <c r="B3" s="2505" t="s">
        <v>2030</v>
      </c>
      <c r="C3" s="2505"/>
      <c r="D3" s="2505"/>
      <c r="E3" s="2505"/>
      <c r="F3" s="2505"/>
      <c r="G3" s="2505"/>
      <c r="I3" s="1"/>
    </row>
    <row r="4" spans="2:14">
      <c r="B4" s="268"/>
      <c r="C4" s="268"/>
      <c r="D4" s="268"/>
      <c r="E4" s="268"/>
      <c r="F4" s="268"/>
      <c r="G4" s="269"/>
      <c r="I4" s="270"/>
    </row>
    <row r="5" spans="2:14">
      <c r="B5" s="2505" t="s">
        <v>2061</v>
      </c>
      <c r="C5" s="2505"/>
      <c r="D5" s="2505"/>
      <c r="E5" s="2505"/>
      <c r="F5" s="2505"/>
      <c r="G5" s="2505"/>
      <c r="I5" s="1"/>
    </row>
    <row r="6" spans="2:14">
      <c r="B6" s="271" t="s">
        <v>2031</v>
      </c>
      <c r="C6" s="272"/>
      <c r="D6" s="272"/>
      <c r="E6" s="273" t="s">
        <v>2488</v>
      </c>
      <c r="F6" s="272"/>
      <c r="G6" s="273" t="s">
        <v>2488</v>
      </c>
      <c r="H6" t="s">
        <v>900</v>
      </c>
      <c r="I6" s="1" t="s">
        <v>900</v>
      </c>
      <c r="M6" t="s">
        <v>2032</v>
      </c>
    </row>
    <row r="7" spans="2:14">
      <c r="B7" s="275" t="s">
        <v>2033</v>
      </c>
      <c r="C7" s="276"/>
      <c r="D7" s="277"/>
      <c r="E7" s="278"/>
      <c r="F7" s="279" t="s">
        <v>2034</v>
      </c>
      <c r="G7" s="280">
        <v>23117.353999999999</v>
      </c>
      <c r="H7" s="281">
        <v>8204.357</v>
      </c>
      <c r="I7" s="281">
        <v>33880.254000000008</v>
      </c>
      <c r="M7" t="s">
        <v>2013</v>
      </c>
      <c r="N7">
        <f>2385259+37470996+2927083</f>
        <v>42783338</v>
      </c>
    </row>
    <row r="8" spans="2:14">
      <c r="B8" s="282" t="s">
        <v>2035</v>
      </c>
      <c r="C8" s="283"/>
      <c r="D8" s="284"/>
      <c r="E8" s="285" t="s">
        <v>2036</v>
      </c>
      <c r="F8" s="286"/>
      <c r="G8" s="287" t="s">
        <v>2036</v>
      </c>
      <c r="H8" s="287" t="s">
        <v>2036</v>
      </c>
      <c r="I8" s="287" t="s">
        <v>2036</v>
      </c>
      <c r="M8" t="s">
        <v>1120</v>
      </c>
      <c r="N8">
        <f>12902845+38522473+172209946</f>
        <v>223635264</v>
      </c>
    </row>
    <row r="9" spans="2:14">
      <c r="B9" s="288" t="s">
        <v>2037</v>
      </c>
      <c r="C9" s="289"/>
      <c r="D9" s="290"/>
      <c r="E9" s="291">
        <f>BSPL!G499</f>
        <v>413929787.49000001</v>
      </c>
      <c r="F9" s="292"/>
      <c r="G9" s="293">
        <f>E9-F9</f>
        <v>413929787.49000001</v>
      </c>
      <c r="H9" s="294"/>
      <c r="I9" s="295">
        <f>+BSPL!H499</f>
        <v>815123705.5</v>
      </c>
      <c r="M9" t="s">
        <v>1121</v>
      </c>
      <c r="N9">
        <f>6473641+14050975+2975248</f>
        <v>23499864</v>
      </c>
    </row>
    <row r="10" spans="2:14">
      <c r="B10" s="296" t="s">
        <v>2038</v>
      </c>
      <c r="C10" s="297"/>
      <c r="D10" s="298"/>
      <c r="E10" s="299">
        <f>+BSPL!G505</f>
        <v>17639146</v>
      </c>
      <c r="F10" s="300"/>
      <c r="G10" s="301">
        <f t="shared" ref="G10:G26" si="0">E10-F10</f>
        <v>17639146</v>
      </c>
      <c r="H10" s="294"/>
      <c r="I10" s="295">
        <f>+BSPL!H505</f>
        <v>15862269</v>
      </c>
      <c r="N10">
        <f>+N7+N8-N9</f>
        <v>242918738</v>
      </c>
    </row>
    <row r="11" spans="2:14">
      <c r="B11" s="296" t="s">
        <v>1123</v>
      </c>
      <c r="C11" s="297"/>
      <c r="D11" s="298"/>
      <c r="E11" s="299">
        <f>+BSPL!G520</f>
        <v>126354165.61</v>
      </c>
      <c r="F11" s="300"/>
      <c r="G11" s="301">
        <f t="shared" si="0"/>
        <v>126354165.61</v>
      </c>
      <c r="H11" s="294"/>
      <c r="I11" s="295">
        <f>+BSPL!H520</f>
        <v>184386383.23999998</v>
      </c>
    </row>
    <row r="12" spans="2:14">
      <c r="B12" s="296" t="s">
        <v>2039</v>
      </c>
      <c r="C12" s="297"/>
      <c r="D12" s="298"/>
      <c r="E12" s="299"/>
      <c r="F12" s="300"/>
      <c r="G12" s="301">
        <f t="shared" si="0"/>
        <v>0</v>
      </c>
      <c r="H12" s="294"/>
      <c r="I12" s="295"/>
    </row>
    <row r="13" spans="2:14">
      <c r="B13" s="296" t="s">
        <v>2040</v>
      </c>
      <c r="C13" s="297"/>
      <c r="D13" s="298"/>
      <c r="E13" s="299">
        <f>+BSPL!G525</f>
        <v>827794</v>
      </c>
      <c r="F13" s="300"/>
      <c r="G13" s="301">
        <f t="shared" si="0"/>
        <v>827794</v>
      </c>
      <c r="H13" s="294"/>
      <c r="I13" s="295">
        <f>+BSPL!H525</f>
        <v>905691</v>
      </c>
    </row>
    <row r="14" spans="2:14">
      <c r="B14" s="296" t="s">
        <v>2041</v>
      </c>
      <c r="C14" s="297"/>
      <c r="D14" s="298"/>
      <c r="E14" s="299">
        <f>+BSPL!G526</f>
        <v>11539309.399999999</v>
      </c>
      <c r="F14" s="300"/>
      <c r="G14" s="301">
        <f t="shared" si="0"/>
        <v>11539309.399999999</v>
      </c>
      <c r="H14" s="294"/>
      <c r="I14" s="295">
        <f>+BSPL!H526</f>
        <v>13069555.939999998</v>
      </c>
    </row>
    <row r="15" spans="2:14">
      <c r="B15" s="296" t="s">
        <v>2042</v>
      </c>
      <c r="C15" s="297"/>
      <c r="D15" s="298"/>
      <c r="E15" s="299">
        <f>+BSPL!G519</f>
        <v>5173477.92</v>
      </c>
      <c r="F15" s="300"/>
      <c r="G15" s="301">
        <f t="shared" si="0"/>
        <v>5173477.92</v>
      </c>
      <c r="H15" s="294"/>
      <c r="I15" s="295">
        <f>+BSPL!H519</f>
        <v>10990341.880000001</v>
      </c>
    </row>
    <row r="16" spans="2:14">
      <c r="B16" s="296" t="s">
        <v>2043</v>
      </c>
      <c r="C16" s="297"/>
      <c r="D16" s="298"/>
      <c r="E16" s="299">
        <f>+BSPL!G523</f>
        <v>6603046.9199999999</v>
      </c>
      <c r="F16" s="300"/>
      <c r="G16" s="301">
        <f t="shared" si="0"/>
        <v>6603046.9199999999</v>
      </c>
      <c r="H16" s="294"/>
      <c r="I16" s="295">
        <f>+BSPL!H523</f>
        <v>6859174.04</v>
      </c>
    </row>
    <row r="17" spans="2:9">
      <c r="B17" s="296" t="s">
        <v>2044</v>
      </c>
      <c r="C17" s="297"/>
      <c r="D17" s="298"/>
      <c r="E17" s="299">
        <f>+BSPL!G517</f>
        <v>4910747.88</v>
      </c>
      <c r="F17" s="300"/>
      <c r="G17" s="301">
        <f t="shared" si="0"/>
        <v>4910747.88</v>
      </c>
      <c r="H17" s="294"/>
      <c r="I17" s="295">
        <f>+BSPL!H517</f>
        <v>4847155.45</v>
      </c>
    </row>
    <row r="18" spans="2:9">
      <c r="B18" s="296" t="str">
        <f>'[77]Balance Sheet'!B538</f>
        <v>Raw Material Sorting Charges</v>
      </c>
      <c r="C18" s="297"/>
      <c r="D18" s="298"/>
      <c r="E18" s="299">
        <f>+BSPL!G521</f>
        <v>3685087.84</v>
      </c>
      <c r="F18" s="300"/>
      <c r="G18" s="301">
        <f t="shared" si="0"/>
        <v>3685087.84</v>
      </c>
      <c r="H18" s="294"/>
      <c r="I18" s="295">
        <f>+BSPL!H521</f>
        <v>3368785</v>
      </c>
    </row>
    <row r="19" spans="2:9">
      <c r="B19" s="296" t="str">
        <f>'[77]Balance Sheet'!B541</f>
        <v>Finished Goods Packing and Allied Charges</v>
      </c>
      <c r="C19" s="272"/>
      <c r="D19" s="302"/>
      <c r="E19" s="299">
        <f>+BSPL!G518</f>
        <v>3611803</v>
      </c>
      <c r="F19" s="303"/>
      <c r="G19" s="301">
        <f t="shared" si="0"/>
        <v>3611803</v>
      </c>
      <c r="H19" s="294"/>
      <c r="I19" s="295">
        <f>+BSPL!H518</f>
        <v>2829820</v>
      </c>
    </row>
    <row r="20" spans="2:9">
      <c r="B20" s="296" t="s">
        <v>2045</v>
      </c>
      <c r="C20" s="272"/>
      <c r="D20" s="302"/>
      <c r="E20" s="299">
        <f>+BSPL!G528</f>
        <v>4714336.38</v>
      </c>
      <c r="F20" s="303"/>
      <c r="G20" s="301">
        <f t="shared" si="0"/>
        <v>4714336.38</v>
      </c>
      <c r="H20" s="294"/>
      <c r="I20" s="295">
        <f>+BSPL!H528</f>
        <v>4829408</v>
      </c>
    </row>
    <row r="21" spans="2:9">
      <c r="B21" s="296" t="s">
        <v>132</v>
      </c>
      <c r="C21" s="297"/>
      <c r="D21" s="298"/>
      <c r="E21" s="1627">
        <f>+BSPL!G88</f>
        <v>19583896</v>
      </c>
      <c r="F21" s="300"/>
      <c r="G21" s="301">
        <f t="shared" si="0"/>
        <v>19583896</v>
      </c>
      <c r="H21" s="294"/>
      <c r="I21" s="295">
        <f>+BSPL!H88</f>
        <v>18081667.364197128</v>
      </c>
    </row>
    <row r="22" spans="2:9">
      <c r="B22" s="304" t="s">
        <v>2046</v>
      </c>
      <c r="C22" s="272"/>
      <c r="D22" s="302"/>
      <c r="E22" s="299"/>
      <c r="F22" s="303"/>
      <c r="G22" s="301">
        <f t="shared" si="0"/>
        <v>0</v>
      </c>
      <c r="H22" s="294"/>
      <c r="I22" s="295"/>
    </row>
    <row r="23" spans="2:9">
      <c r="B23" s="296" t="str">
        <f>'[77]Balance Sheet'!B519</f>
        <v>Contribution to Funds</v>
      </c>
      <c r="C23" s="272"/>
      <c r="D23" s="302"/>
      <c r="E23" s="299">
        <f>+BSPL!G506</f>
        <v>2702976</v>
      </c>
      <c r="F23" s="303"/>
      <c r="G23" s="301">
        <f t="shared" si="0"/>
        <v>2702976</v>
      </c>
      <c r="H23" s="294"/>
      <c r="I23" s="295">
        <f>+BSPL!H506</f>
        <v>2416943</v>
      </c>
    </row>
    <row r="24" spans="2:9">
      <c r="B24" s="296" t="s">
        <v>244</v>
      </c>
      <c r="C24" s="272"/>
      <c r="D24" s="302"/>
      <c r="E24" s="299">
        <f>+BSPL!G507</f>
        <v>255943</v>
      </c>
      <c r="F24" s="303"/>
      <c r="G24" s="301">
        <f t="shared" si="0"/>
        <v>255943</v>
      </c>
      <c r="H24" s="294"/>
      <c r="I24" s="295">
        <f>+BSPL!H507</f>
        <v>194520</v>
      </c>
    </row>
    <row r="25" spans="2:9">
      <c r="B25" s="296" t="s">
        <v>1044</v>
      </c>
      <c r="C25" s="272"/>
      <c r="D25" s="302"/>
      <c r="E25" s="299"/>
      <c r="F25" s="303"/>
      <c r="G25" s="301">
        <f t="shared" si="0"/>
        <v>0</v>
      </c>
      <c r="H25" s="294"/>
      <c r="I25" s="301"/>
    </row>
    <row r="26" spans="2:9">
      <c r="B26" s="296" t="s">
        <v>280</v>
      </c>
      <c r="C26" s="272"/>
      <c r="D26" s="302"/>
      <c r="E26" s="299">
        <f>-BSPL!G486</f>
        <v>-9444000</v>
      </c>
      <c r="F26" s="303"/>
      <c r="G26" s="299">
        <f t="shared" si="0"/>
        <v>-9444000</v>
      </c>
      <c r="H26" s="294"/>
      <c r="I26" s="299">
        <f>-BSPL!H486</f>
        <v>-9443500</v>
      </c>
    </row>
    <row r="27" spans="2:9">
      <c r="B27" s="296"/>
      <c r="C27" s="272"/>
      <c r="D27" s="302"/>
      <c r="E27" s="299"/>
      <c r="F27" s="303"/>
      <c r="G27" s="301"/>
      <c r="H27" s="137"/>
      <c r="I27" s="301"/>
    </row>
    <row r="28" spans="2:9" ht="15" thickBot="1">
      <c r="B28" s="305" t="s">
        <v>824</v>
      </c>
      <c r="C28" s="306"/>
      <c r="D28" s="307"/>
      <c r="E28" s="308"/>
      <c r="F28" s="308"/>
      <c r="G28" s="309">
        <f>SUM(G9:G26)</f>
        <v>612087517.43999994</v>
      </c>
      <c r="H28" s="309">
        <f>SUM(H9:H26)</f>
        <v>0</v>
      </c>
      <c r="I28" s="309">
        <f>SUM(I9:I26)</f>
        <v>1074321919.4141972</v>
      </c>
    </row>
    <row r="29" spans="2:9" ht="15" thickTop="1">
      <c r="B29" s="272"/>
      <c r="C29" s="310" t="s">
        <v>2047</v>
      </c>
      <c r="D29" s="272"/>
      <c r="E29" s="272"/>
      <c r="F29" s="272"/>
      <c r="G29" s="311">
        <f>G28/G7</f>
        <v>26477.403834366163</v>
      </c>
      <c r="H29" s="311">
        <f>ROUND(H28/H7,0)</f>
        <v>0</v>
      </c>
      <c r="I29" s="311">
        <f>I28/I7</f>
        <v>31709.382090647756</v>
      </c>
    </row>
    <row r="30" spans="2:9">
      <c r="B30" s="272"/>
      <c r="C30" s="272"/>
      <c r="D30" s="272"/>
      <c r="E30" s="272"/>
      <c r="F30" s="272"/>
      <c r="G30" s="274"/>
      <c r="I30" s="1"/>
    </row>
    <row r="31" spans="2:9">
      <c r="B31" s="272"/>
      <c r="C31" s="272"/>
      <c r="D31" s="272"/>
      <c r="E31" s="272"/>
      <c r="F31" s="272"/>
      <c r="G31" s="274">
        <v>0</v>
      </c>
      <c r="I31" s="1"/>
    </row>
    <row r="32" spans="2:9">
      <c r="B32" s="272"/>
      <c r="C32" s="272"/>
      <c r="D32" s="310" t="s">
        <v>2048</v>
      </c>
      <c r="E32" s="310">
        <f>+G29</f>
        <v>26477.403834366163</v>
      </c>
      <c r="F32" s="272"/>
      <c r="G32" s="311">
        <f>+'CLOSING STOCK 31-03-24'!N32</f>
        <v>155.19300000000001</v>
      </c>
      <c r="I32" s="311">
        <f>SUM(I29:I31)</f>
        <v>31709.382090647756</v>
      </c>
    </row>
    <row r="33" spans="2:16">
      <c r="B33" s="272"/>
      <c r="C33" s="310" t="s">
        <v>2049</v>
      </c>
      <c r="D33" s="272"/>
      <c r="E33" s="272"/>
      <c r="F33" s="272"/>
      <c r="G33" s="312"/>
      <c r="I33" s="311">
        <f>+'CLOSING STOCK 31-03-24'!D32</f>
        <v>592.61900000000003</v>
      </c>
    </row>
    <row r="34" spans="2:16">
      <c r="B34" s="272"/>
      <c r="C34" s="272"/>
      <c r="D34" s="272"/>
      <c r="E34" s="272"/>
      <c r="F34" s="272"/>
      <c r="G34" s="274"/>
      <c r="I34" s="274"/>
    </row>
    <row r="35" spans="2:16">
      <c r="B35" s="272"/>
      <c r="C35" s="310" t="s">
        <v>2050</v>
      </c>
      <c r="D35" s="272"/>
      <c r="E35" s="313"/>
      <c r="F35" s="272"/>
      <c r="G35" s="311">
        <f>+G29*G32</f>
        <v>4109107.7332667881</v>
      </c>
      <c r="I35" s="314">
        <f>I32*I33</f>
        <v>18791582.305177584</v>
      </c>
    </row>
    <row r="36" spans="2:16">
      <c r="B36" s="272"/>
      <c r="C36" s="272"/>
      <c r="D36" s="272"/>
      <c r="E36" s="272"/>
      <c r="F36" s="272"/>
      <c r="G36" s="274"/>
      <c r="I36" s="1"/>
    </row>
    <row r="37" spans="2:16">
      <c r="B37" s="272"/>
      <c r="C37" s="272" t="s">
        <v>2051</v>
      </c>
      <c r="D37" s="272"/>
      <c r="E37" s="272"/>
      <c r="F37" s="272"/>
      <c r="G37" s="274">
        <f>+G51</f>
        <v>4398039</v>
      </c>
      <c r="H37" s="504"/>
      <c r="I37" s="1">
        <v>16465227</v>
      </c>
    </row>
    <row r="38" spans="2:16">
      <c r="B38" s="272"/>
      <c r="C38" s="272"/>
      <c r="D38" s="272"/>
      <c r="E38" s="272"/>
      <c r="F38" s="272"/>
      <c r="G38" s="274"/>
      <c r="I38" s="1"/>
    </row>
    <row r="39" spans="2:16">
      <c r="B39" s="272"/>
      <c r="C39" s="629" t="s">
        <v>2052</v>
      </c>
      <c r="D39" s="630"/>
      <c r="E39" s="630"/>
      <c r="F39" s="630"/>
      <c r="G39" s="631">
        <f>+IF(G35&gt;G37,G37,G35)</f>
        <v>4109107.7332667881</v>
      </c>
      <c r="I39" s="1">
        <f>+I37</f>
        <v>16465227</v>
      </c>
    </row>
    <row r="40" spans="2:16">
      <c r="G40" s="1"/>
      <c r="I40" s="1"/>
    </row>
    <row r="41" spans="2:16">
      <c r="G41" s="1"/>
    </row>
    <row r="42" spans="2:16">
      <c r="D42" s="2228" t="s">
        <v>2060</v>
      </c>
      <c r="E42" s="2228"/>
      <c r="F42" s="2228"/>
      <c r="G42" s="2228"/>
      <c r="K42" s="140"/>
      <c r="L42" s="140" t="s">
        <v>2122</v>
      </c>
      <c r="M42" s="140" t="s">
        <v>2123</v>
      </c>
      <c r="N42" s="140" t="s">
        <v>2124</v>
      </c>
      <c r="O42" s="140" t="s">
        <v>2127</v>
      </c>
      <c r="P42" s="140" t="s">
        <v>2125</v>
      </c>
    </row>
    <row r="43" spans="2:16">
      <c r="D43" s="135"/>
      <c r="E43" s="377" t="s">
        <v>2128</v>
      </c>
      <c r="F43" s="377" t="s">
        <v>2053</v>
      </c>
      <c r="G43" s="379" t="s">
        <v>2036</v>
      </c>
      <c r="K43" s="140" t="s">
        <v>2054</v>
      </c>
      <c r="L43" s="140">
        <v>25.5</v>
      </c>
      <c r="M43" s="140">
        <v>28.75</v>
      </c>
      <c r="N43" s="140">
        <v>28.85</v>
      </c>
      <c r="O43" s="140">
        <v>28</v>
      </c>
      <c r="P43" s="140">
        <f>+AVERAGE(L43:O43)</f>
        <v>27.774999999999999</v>
      </c>
    </row>
    <row r="44" spans="2:16">
      <c r="D44" s="140" t="s">
        <v>2054</v>
      </c>
      <c r="E44" s="378">
        <f>6154+882+20017+4016+3549+570+4486+2126</f>
        <v>41800</v>
      </c>
      <c r="F44" s="323">
        <f t="shared" ref="F44:F50" si="1">+P43</f>
        <v>27.774999999999999</v>
      </c>
      <c r="G44" s="378">
        <f>+ROUND(F44*E44,0)</f>
        <v>1160995</v>
      </c>
      <c r="K44" s="140" t="s">
        <v>2055</v>
      </c>
      <c r="L44" s="140">
        <f>25.5-2.25</f>
        <v>23.25</v>
      </c>
      <c r="M44" s="140">
        <f>28.75-2.25</f>
        <v>26.5</v>
      </c>
      <c r="N44" s="140">
        <f>28.85-2.25</f>
        <v>26.6</v>
      </c>
      <c r="O44" s="140">
        <f>28-2.25</f>
        <v>25.75</v>
      </c>
      <c r="P44" s="140">
        <f t="shared" ref="P44:P49" si="2">+AVERAGE(L44:O44)</f>
        <v>25.524999999999999</v>
      </c>
    </row>
    <row r="45" spans="2:16">
      <c r="D45" s="140" t="s">
        <v>2055</v>
      </c>
      <c r="E45" s="378">
        <v>1273</v>
      </c>
      <c r="F45" s="323">
        <f t="shared" si="1"/>
        <v>25.524999999999999</v>
      </c>
      <c r="G45" s="378">
        <f t="shared" ref="G45:G50" si="3">+ROUND(F45*E45,0)</f>
        <v>32493</v>
      </c>
      <c r="I45">
        <f>+L45-L46</f>
        <v>2.25</v>
      </c>
      <c r="K45" s="140" t="s">
        <v>2056</v>
      </c>
      <c r="L45" s="140">
        <v>26.5</v>
      </c>
      <c r="M45" s="140">
        <v>29.35</v>
      </c>
      <c r="N45" s="140">
        <v>27.75</v>
      </c>
      <c r="O45" s="140">
        <v>28.35</v>
      </c>
      <c r="P45" s="140">
        <f t="shared" si="2"/>
        <v>27.987499999999997</v>
      </c>
    </row>
    <row r="46" spans="2:16">
      <c r="D46" s="140" t="s">
        <v>2056</v>
      </c>
      <c r="E46" s="378">
        <f>34753+9322+1694+1318+4934</f>
        <v>52021</v>
      </c>
      <c r="F46" s="323">
        <f t="shared" si="1"/>
        <v>27.987499999999997</v>
      </c>
      <c r="G46" s="378">
        <f t="shared" si="3"/>
        <v>1455938</v>
      </c>
      <c r="K46" s="140" t="s">
        <v>2121</v>
      </c>
      <c r="L46" s="140">
        <v>24.25</v>
      </c>
      <c r="M46" s="140">
        <f>29.35-2.25</f>
        <v>27.1</v>
      </c>
      <c r="N46" s="140">
        <f>27.75-2.25</f>
        <v>25.5</v>
      </c>
      <c r="O46" s="140">
        <f>28.35-2.25</f>
        <v>26.1</v>
      </c>
      <c r="P46" s="140">
        <f t="shared" si="2"/>
        <v>25.737499999999997</v>
      </c>
    </row>
    <row r="47" spans="2:16">
      <c r="D47" s="140" t="s">
        <v>2121</v>
      </c>
      <c r="E47" s="378">
        <f>1906+288+536</f>
        <v>2730</v>
      </c>
      <c r="F47" s="323">
        <f t="shared" si="1"/>
        <v>25.737499999999997</v>
      </c>
      <c r="G47" s="378">
        <f t="shared" si="3"/>
        <v>70263</v>
      </c>
      <c r="K47" s="140" t="s">
        <v>2057</v>
      </c>
      <c r="L47" s="140">
        <v>28</v>
      </c>
      <c r="M47" s="140">
        <v>30.85</v>
      </c>
      <c r="N47" s="140">
        <v>26.75</v>
      </c>
      <c r="O47" s="140">
        <v>29.85</v>
      </c>
      <c r="P47" s="140">
        <f t="shared" si="2"/>
        <v>28.862499999999997</v>
      </c>
    </row>
    <row r="48" spans="2:16">
      <c r="D48" s="140" t="s">
        <v>2057</v>
      </c>
      <c r="E48" s="378">
        <f>8794+3165+11126+692+3782+4256</f>
        <v>31815</v>
      </c>
      <c r="F48" s="323">
        <f t="shared" si="1"/>
        <v>28.862499999999997</v>
      </c>
      <c r="G48" s="378">
        <f t="shared" si="3"/>
        <v>918260</v>
      </c>
      <c r="K48" s="140" t="s">
        <v>2058</v>
      </c>
      <c r="L48" s="140">
        <v>24.25</v>
      </c>
      <c r="M48" s="140">
        <v>30.25</v>
      </c>
      <c r="N48" s="140"/>
      <c r="O48" s="140"/>
      <c r="P48" s="140">
        <f t="shared" si="2"/>
        <v>27.25</v>
      </c>
    </row>
    <row r="49" spans="4:16">
      <c r="D49" s="140" t="s">
        <v>2058</v>
      </c>
      <c r="E49" s="378">
        <v>309</v>
      </c>
      <c r="F49" s="323">
        <f t="shared" si="1"/>
        <v>27.25</v>
      </c>
      <c r="G49" s="378">
        <f t="shared" si="3"/>
        <v>8420</v>
      </c>
      <c r="K49" s="140" t="s">
        <v>2059</v>
      </c>
      <c r="L49" s="140">
        <v>30.1</v>
      </c>
      <c r="M49" s="140">
        <v>30.5</v>
      </c>
      <c r="N49" s="140">
        <v>28.25</v>
      </c>
      <c r="O49" s="140">
        <v>30.25</v>
      </c>
      <c r="P49" s="140">
        <f t="shared" si="2"/>
        <v>29.774999999999999</v>
      </c>
    </row>
    <row r="50" spans="4:16">
      <c r="D50" s="140" t="s">
        <v>2059</v>
      </c>
      <c r="E50" s="378">
        <f>6729+14905+3611</f>
        <v>25245</v>
      </c>
      <c r="F50" s="323">
        <f t="shared" si="1"/>
        <v>29.774999999999999</v>
      </c>
      <c r="G50" s="378">
        <f t="shared" si="3"/>
        <v>751670</v>
      </c>
    </row>
    <row r="51" spans="4:16">
      <c r="D51" s="135" t="s">
        <v>824</v>
      </c>
      <c r="E51" s="138">
        <f>SUM(E44:E50)</f>
        <v>155193</v>
      </c>
      <c r="F51" s="412">
        <f>+G51/E51</f>
        <v>28.339158338327117</v>
      </c>
      <c r="G51" s="138">
        <f>+SUM(G44:G50)</f>
        <v>4398039</v>
      </c>
      <c r="K51" s="139"/>
      <c r="L51" s="139"/>
      <c r="M51" s="139"/>
      <c r="N51" s="139"/>
      <c r="O51" s="139"/>
      <c r="P51" s="139"/>
    </row>
    <row r="54" spans="4:16" s="139" customFormat="1">
      <c r="D54"/>
      <c r="E54"/>
      <c r="F54"/>
      <c r="G54"/>
      <c r="K54"/>
      <c r="L54"/>
      <c r="M54"/>
      <c r="N54"/>
      <c r="O54"/>
      <c r="P54"/>
    </row>
  </sheetData>
  <customSheetViews>
    <customSheetView guid="{ADEA4918-0326-423A-8D00-FB47A486004B}" scale="115" showPageBreaks="1" printArea="1" view="pageBreakPreview" topLeftCell="B20">
      <selection activeCell="I37" sqref="I37"/>
      <pageMargins left="0.7" right="0.7" top="0.75" bottom="0.75" header="0.3" footer="0.3"/>
      <pageSetup paperSize="9" scale="60" orientation="portrait" horizontalDpi="4294967293" r:id="rId1"/>
    </customSheetView>
    <customSheetView guid="{2A78E287-3113-4387-BB62-BE98FA5C13C2}" scale="115" showPageBreaks="1" printArea="1" view="pageBreakPreview" topLeftCell="A13">
      <selection activeCell="I40" sqref="I40"/>
      <pageMargins left="0.7" right="0.7" top="0.75" bottom="0.75" header="0.3" footer="0.3"/>
      <pageSetup paperSize="9" scale="60" orientation="portrait" horizontalDpi="4294967293" r:id="rId2"/>
    </customSheetView>
    <customSheetView guid="{DC5DA12B-0FA6-4F41-A983-6E433AD4604D}" scale="115" showPageBreaks="1" printArea="1" view="pageBreakPreview" topLeftCell="A13">
      <selection activeCell="I40" sqref="I40"/>
      <pageMargins left="0.7" right="0.7" top="0.75" bottom="0.75" header="0.3" footer="0.3"/>
      <pageSetup paperSize="9" scale="60" orientation="portrait" horizontalDpi="4294967293" r:id="rId3"/>
    </customSheetView>
  </customSheetViews>
  <mergeCells count="3">
    <mergeCell ref="B3:G3"/>
    <mergeCell ref="B5:G5"/>
    <mergeCell ref="D42:G42"/>
  </mergeCells>
  <pageMargins left="0.7" right="0.7" top="0.75" bottom="0.75" header="0.3" footer="0.3"/>
  <pageSetup paperSize="9" scale="60" orientation="portrait" horizontalDpi="4294967293"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R66"/>
  <sheetViews>
    <sheetView zoomScaleNormal="100" workbookViewId="0">
      <selection activeCell="A6" sqref="A6"/>
    </sheetView>
  </sheetViews>
  <sheetFormatPr defaultColWidth="9.109375" defaultRowHeight="13.8"/>
  <cols>
    <col min="1" max="1" width="9.109375" style="1314"/>
    <col min="2" max="2" width="7.6640625" style="1312" customWidth="1"/>
    <col min="3" max="3" width="33.44140625" style="1314" bestFit="1" customWidth="1"/>
    <col min="4" max="4" width="13.88671875" style="1314" customWidth="1"/>
    <col min="5" max="5" width="14.109375" style="1314" customWidth="1"/>
    <col min="6" max="6" width="9.109375" style="1314"/>
    <col min="7" max="7" width="27.5546875" style="1314" customWidth="1"/>
    <col min="8" max="8" width="31.109375" style="1314" customWidth="1"/>
    <col min="9" max="9" width="27.109375" style="1314" bestFit="1" customWidth="1"/>
    <col min="10" max="11" width="9.109375" style="1314"/>
    <col min="12" max="13" width="14.33203125" style="1314" customWidth="1"/>
    <col min="14" max="14" width="9.109375" style="1314"/>
    <col min="15" max="16" width="15.88671875" style="1314" customWidth="1"/>
    <col min="17" max="16384" width="9.109375" style="1314"/>
  </cols>
  <sheetData>
    <row r="1" spans="2:16" ht="14.4" thickBot="1"/>
    <row r="2" spans="2:16" ht="18.600000000000001" thickBot="1">
      <c r="B2" s="1418" t="s">
        <v>702</v>
      </c>
      <c r="C2" s="1419"/>
      <c r="D2" s="1419"/>
      <c r="E2" s="1419"/>
      <c r="F2" s="1419"/>
      <c r="G2" s="1420"/>
      <c r="H2" s="1419"/>
      <c r="I2" s="1419"/>
      <c r="L2" s="1419"/>
      <c r="M2" s="1419"/>
      <c r="O2" s="1419"/>
      <c r="P2" s="1419"/>
    </row>
    <row r="3" spans="2:16" ht="18.600000000000001" thickBot="1">
      <c r="B3" s="1418" t="s">
        <v>3056</v>
      </c>
      <c r="C3" s="1419"/>
      <c r="D3" s="1419"/>
      <c r="E3" s="1419"/>
      <c r="F3" s="1419"/>
      <c r="G3" s="1420"/>
      <c r="H3" s="1419"/>
      <c r="I3" s="1419"/>
      <c r="L3" s="1419"/>
      <c r="M3" s="1419"/>
      <c r="O3" s="1419"/>
      <c r="P3" s="1419"/>
    </row>
    <row r="4" spans="2:16" ht="18">
      <c r="B4" s="1375" t="s">
        <v>2865</v>
      </c>
      <c r="C4" s="1374"/>
      <c r="D4" s="1260"/>
      <c r="E4" s="1260"/>
      <c r="F4" s="1260"/>
      <c r="G4" s="1261"/>
      <c r="H4" s="1260"/>
      <c r="I4" s="1260"/>
      <c r="L4" s="1260"/>
      <c r="M4" s="1260"/>
      <c r="O4" s="1260"/>
      <c r="P4" s="1260"/>
    </row>
    <row r="5" spans="2:16" s="1313" customFormat="1">
      <c r="B5" s="1376"/>
      <c r="C5" s="1316" t="s">
        <v>2779</v>
      </c>
      <c r="D5" s="1373">
        <v>45382</v>
      </c>
      <c r="E5" s="1373">
        <v>45016</v>
      </c>
      <c r="F5" s="1315" t="s">
        <v>2863</v>
      </c>
      <c r="G5" s="1377" t="s">
        <v>2864</v>
      </c>
      <c r="H5" s="1315" t="s">
        <v>2780</v>
      </c>
      <c r="I5" s="1315" t="s">
        <v>2782</v>
      </c>
      <c r="L5" s="1315" t="s">
        <v>2862</v>
      </c>
      <c r="M5" s="1315" t="s">
        <v>2781</v>
      </c>
      <c r="O5" s="1315" t="s">
        <v>2862</v>
      </c>
      <c r="P5" s="1315" t="s">
        <v>2781</v>
      </c>
    </row>
    <row r="6" spans="2:16">
      <c r="B6" s="1378"/>
      <c r="C6" s="1317"/>
      <c r="D6" s="1365"/>
      <c r="E6" s="1371"/>
      <c r="F6" s="1317"/>
      <c r="G6" s="1379"/>
      <c r="H6" s="1317"/>
      <c r="I6" s="1317"/>
      <c r="L6" s="1318"/>
      <c r="M6" s="1318"/>
      <c r="O6" s="1319"/>
      <c r="P6" s="1319"/>
    </row>
    <row r="7" spans="2:16" ht="41.4">
      <c r="B7" s="1378">
        <v>1</v>
      </c>
      <c r="C7" s="1320" t="s">
        <v>2783</v>
      </c>
      <c r="D7" s="1366">
        <f>L17/O17</f>
        <v>0.53359504242562594</v>
      </c>
      <c r="E7" s="1331">
        <f>M17/P17</f>
        <v>0.98084085000816357</v>
      </c>
      <c r="F7" s="1372">
        <f>+(E7-D7)/E7</f>
        <v>0.45598203580001301</v>
      </c>
      <c r="G7" s="1407" t="s">
        <v>2872</v>
      </c>
      <c r="H7" s="1321" t="s">
        <v>2063</v>
      </c>
      <c r="I7" s="1321" t="s">
        <v>2064</v>
      </c>
      <c r="L7" s="1322"/>
      <c r="M7" s="1322"/>
      <c r="O7" s="1323"/>
      <c r="P7" s="1323"/>
    </row>
    <row r="8" spans="2:16">
      <c r="B8" s="1378"/>
      <c r="C8" s="1332"/>
      <c r="D8" s="1368"/>
      <c r="E8" s="1334"/>
      <c r="F8" s="1317"/>
      <c r="G8" s="1379"/>
      <c r="H8" s="1325"/>
      <c r="I8" s="1325"/>
      <c r="L8" s="1326">
        <f>+BSPL!G17</f>
        <v>26923530.733266789</v>
      </c>
      <c r="M8" s="1326">
        <f>+BSPL!H17</f>
        <v>62662681</v>
      </c>
      <c r="O8" s="1327">
        <f>+BSPL!G42</f>
        <v>109494915.47000001</v>
      </c>
      <c r="P8" s="1327">
        <f>+BSPL!H42</f>
        <v>91597921.990151003</v>
      </c>
    </row>
    <row r="9" spans="2:16" ht="41.4">
      <c r="B9" s="1378">
        <v>2</v>
      </c>
      <c r="C9" s="1320" t="s">
        <v>2798</v>
      </c>
      <c r="D9" s="1410">
        <f>L20/O20</f>
        <v>1.8462362700234536</v>
      </c>
      <c r="E9" s="1411">
        <f>M20/P20</f>
        <v>1.3694811140491938</v>
      </c>
      <c r="F9" s="1412">
        <f>+(E9-D9)/E9</f>
        <v>-0.34812831742134853</v>
      </c>
      <c r="G9" s="1413" t="s">
        <v>2873</v>
      </c>
      <c r="H9" s="1320" t="s">
        <v>2799</v>
      </c>
      <c r="I9" s="1320" t="s">
        <v>2800</v>
      </c>
      <c r="L9" s="1328">
        <f>+BSPL!G19</f>
        <v>81160771.019999996</v>
      </c>
      <c r="M9" s="1328">
        <f>+BSPL!H19</f>
        <v>115802242.14</v>
      </c>
      <c r="O9" s="1323">
        <f>+BSPL!G420+BSPL!G421</f>
        <v>25302059.859999999</v>
      </c>
      <c r="P9" s="1323">
        <f>+BSPL!H420+BSPL!H421</f>
        <v>23000016</v>
      </c>
    </row>
    <row r="10" spans="2:16">
      <c r="B10" s="1378"/>
      <c r="C10" s="1320"/>
      <c r="D10" s="1369"/>
      <c r="E10" s="1334"/>
      <c r="F10" s="1317"/>
      <c r="G10" s="1379"/>
      <c r="H10" s="1325"/>
      <c r="I10" s="1325"/>
      <c r="L10" s="1328">
        <f>+BSPL!G20</f>
        <v>279466.64</v>
      </c>
      <c r="M10" s="1328">
        <f>+BSPL!H20</f>
        <v>239775.64</v>
      </c>
      <c r="O10" s="1323"/>
      <c r="P10" s="1323"/>
    </row>
    <row r="11" spans="2:16">
      <c r="B11" s="1378"/>
      <c r="C11" s="1320"/>
      <c r="D11" s="1368"/>
      <c r="E11" s="1334"/>
      <c r="F11" s="1317"/>
      <c r="G11" s="1379"/>
      <c r="H11" s="1325"/>
      <c r="I11" s="1325"/>
      <c r="L11" s="1328">
        <f>+BSPL!G297+BSPL!G298</f>
        <v>662573</v>
      </c>
      <c r="M11" s="1328">
        <f>+BSPL!H297+BSPL!H298</f>
        <v>398175</v>
      </c>
      <c r="O11" s="1323">
        <f>+BSPL!G424</f>
        <v>89643931.159999996</v>
      </c>
      <c r="P11" s="1323">
        <f>+BSPL!H424</f>
        <v>78274677.280000001</v>
      </c>
    </row>
    <row r="12" spans="2:16" ht="27.6">
      <c r="B12" s="1378">
        <v>3</v>
      </c>
      <c r="C12" s="1320" t="s">
        <v>2803</v>
      </c>
      <c r="D12" s="1366">
        <f>L24/O24</f>
        <v>-1.35499284275579</v>
      </c>
      <c r="E12" s="1331">
        <f>M24/P24</f>
        <v>-1.7357261026966226</v>
      </c>
      <c r="F12" s="1372">
        <f>+(E12-D12)/E12</f>
        <v>0.21935100206727648</v>
      </c>
      <c r="G12" s="1407" t="s">
        <v>2874</v>
      </c>
      <c r="H12" s="1321" t="s">
        <v>2804</v>
      </c>
      <c r="I12" s="1321" t="s">
        <v>2805</v>
      </c>
      <c r="L12" s="1328">
        <f>+BSPL!G286</f>
        <v>235000</v>
      </c>
      <c r="M12" s="1328">
        <f>+BSPL!H286</f>
        <v>344000</v>
      </c>
      <c r="O12" s="1323"/>
      <c r="P12" s="1323"/>
    </row>
    <row r="13" spans="2:16">
      <c r="B13" s="1378"/>
      <c r="C13" s="1320"/>
      <c r="D13" s="1369"/>
      <c r="E13" s="1334"/>
      <c r="F13" s="1317"/>
      <c r="G13" s="1379"/>
      <c r="H13" s="1325"/>
      <c r="I13" s="1325"/>
      <c r="L13" s="1328"/>
      <c r="M13" s="1328"/>
      <c r="O13" s="1323"/>
      <c r="P13" s="1323"/>
    </row>
    <row r="14" spans="2:16">
      <c r="B14" s="1378"/>
      <c r="C14" s="1320"/>
      <c r="D14" s="1369"/>
      <c r="E14" s="1334"/>
      <c r="F14" s="1317"/>
      <c r="G14" s="1379"/>
      <c r="H14" s="1325"/>
      <c r="I14" s="1325"/>
      <c r="L14" s="1328">
        <f>+BSPL!G295+BSPL!G296+BSPL!G293-'Ratio Analysis (2)'!L12</f>
        <v>14123053.789999999</v>
      </c>
      <c r="M14" s="1328">
        <f>+BSPL!H295+BSPL!H296+BSPL!H293-'Ratio Analysis (2)'!M12</f>
        <v>20244800.359999999</v>
      </c>
      <c r="O14" s="1323">
        <f>+BSPL!G45</f>
        <v>1671857</v>
      </c>
      <c r="P14" s="1323">
        <f>+BSPL!H45</f>
        <v>2009575</v>
      </c>
    </row>
    <row r="15" spans="2:16" ht="27.6">
      <c r="B15" s="1378">
        <v>4</v>
      </c>
      <c r="C15" s="1320" t="s">
        <v>2809</v>
      </c>
      <c r="D15" s="1370">
        <f>L28/O28</f>
        <v>-0.24209886532039143</v>
      </c>
      <c r="E15" s="1338">
        <f>M28/P28</f>
        <v>-0.13934757935998288</v>
      </c>
      <c r="F15" s="1372">
        <f>+(E15-D15)/E15</f>
        <v>-0.73737402854316203</v>
      </c>
      <c r="G15" s="1407" t="s">
        <v>2874</v>
      </c>
      <c r="H15" s="1321" t="s">
        <v>2810</v>
      </c>
      <c r="I15" s="1321" t="s">
        <v>2811</v>
      </c>
      <c r="L15" s="1328"/>
      <c r="M15" s="1328"/>
      <c r="O15" s="1323"/>
      <c r="P15" s="1323"/>
    </row>
    <row r="16" spans="2:16">
      <c r="B16" s="1378"/>
      <c r="C16" s="1320"/>
      <c r="D16" s="1368"/>
      <c r="E16" s="1334"/>
      <c r="F16" s="1317"/>
      <c r="G16" s="1379"/>
      <c r="H16" s="1325"/>
      <c r="I16" s="1325"/>
      <c r="L16" s="1328"/>
      <c r="M16" s="1328"/>
      <c r="O16" s="1323">
        <f>+BSPL!G43+BSPL!G44</f>
        <v>5119510.75</v>
      </c>
      <c r="P16" s="1323">
        <f>+BSPL!H43+BSPL!H44</f>
        <v>8710139.8599999994</v>
      </c>
    </row>
    <row r="17" spans="2:16">
      <c r="B17" s="1378">
        <v>5</v>
      </c>
      <c r="C17" s="1320" t="s">
        <v>2814</v>
      </c>
      <c r="D17" s="1366">
        <f>L33/O33</f>
        <v>17.811651893110241</v>
      </c>
      <c r="E17" s="1331">
        <f>M33/P33</f>
        <v>24.900180679908054</v>
      </c>
      <c r="F17" s="1372">
        <f>+(E17-D17)/E17</f>
        <v>0.28467780527060771</v>
      </c>
      <c r="G17" s="1380">
        <v>0</v>
      </c>
      <c r="H17" s="1321" t="s">
        <v>2815</v>
      </c>
      <c r="I17" s="1321" t="s">
        <v>2816</v>
      </c>
      <c r="L17" s="1330">
        <f>SUM(L8:L15)</f>
        <v>123384395.18326679</v>
      </c>
      <c r="M17" s="1330">
        <f>SUM(M8:M15)</f>
        <v>199691674.13999999</v>
      </c>
      <c r="O17" s="1330">
        <f>SUM(O8:O16)</f>
        <v>231232274.24000001</v>
      </c>
      <c r="P17" s="1330">
        <f>SUM(P8:P16)</f>
        <v>203592330.13015103</v>
      </c>
    </row>
    <row r="18" spans="2:16">
      <c r="B18" s="1378"/>
      <c r="C18" s="1320"/>
      <c r="D18" s="1368"/>
      <c r="E18" s="1334"/>
      <c r="F18" s="1317"/>
      <c r="G18" s="1380"/>
      <c r="H18" s="1325"/>
      <c r="I18" s="1325"/>
      <c r="L18" s="1330"/>
      <c r="M18" s="1330"/>
      <c r="O18" s="1333"/>
      <c r="P18" s="1333"/>
    </row>
    <row r="19" spans="2:16" s="1414" customFormat="1">
      <c r="B19" s="1378">
        <v>6</v>
      </c>
      <c r="C19" s="1320" t="s">
        <v>2819</v>
      </c>
      <c r="D19" s="1366">
        <f>L37/O37</f>
        <v>5.9826684913820491</v>
      </c>
      <c r="E19" s="1331">
        <f>M37/P37</f>
        <v>6.5297511373141095</v>
      </c>
      <c r="F19" s="1372">
        <f>+(E19-D19)/E19</f>
        <v>8.3783077551879345E-2</v>
      </c>
      <c r="G19" s="1380">
        <v>0</v>
      </c>
      <c r="H19" s="1321" t="s">
        <v>2820</v>
      </c>
      <c r="I19" s="1321" t="s">
        <v>2821</v>
      </c>
      <c r="L19" s="1408"/>
      <c r="M19" s="1408"/>
      <c r="O19" s="1409"/>
      <c r="P19" s="1409"/>
    </row>
    <row r="20" spans="2:16">
      <c r="B20" s="1378"/>
      <c r="C20" s="1320"/>
      <c r="D20" s="1368"/>
      <c r="E20" s="1334"/>
      <c r="F20" s="1317"/>
      <c r="G20" s="1380"/>
      <c r="H20" s="1325"/>
      <c r="I20" s="1325"/>
      <c r="L20" s="1330">
        <f>+BSPL!G47-BSPL!G32</f>
        <v>343931068.94</v>
      </c>
      <c r="M20" s="1330">
        <f>+BSPL!H47-BSPL!H32</f>
        <v>323126181.83879948</v>
      </c>
      <c r="O20" s="1336">
        <f>+BSPL!G32</f>
        <v>186287678.62719482</v>
      </c>
      <c r="P20" s="1336">
        <f>+BSPL!H32</f>
        <v>235947891.8868773</v>
      </c>
    </row>
    <row r="21" spans="2:16">
      <c r="B21" s="1378">
        <v>7</v>
      </c>
      <c r="C21" s="1320" t="s">
        <v>2825</v>
      </c>
      <c r="D21" s="1366">
        <f>L41/O41</f>
        <v>3.8918030739661944</v>
      </c>
      <c r="E21" s="1331">
        <f>M41/P41</f>
        <v>9.8952454349468546</v>
      </c>
      <c r="F21" s="1372">
        <f>+(E21-D21)/E21</f>
        <v>0.60669969233692922</v>
      </c>
      <c r="G21" s="1380">
        <v>0</v>
      </c>
      <c r="H21" s="1321" t="s">
        <v>2826</v>
      </c>
      <c r="I21" s="1321" t="s">
        <v>2827</v>
      </c>
      <c r="L21" s="1330"/>
      <c r="M21" s="1330"/>
      <c r="O21" s="1336"/>
      <c r="P21" s="1336"/>
    </row>
    <row r="22" spans="2:16">
      <c r="B22" s="1378"/>
      <c r="C22" s="1320"/>
      <c r="D22" s="1368"/>
      <c r="E22" s="1334"/>
      <c r="F22" s="1317"/>
      <c r="G22" s="1379"/>
      <c r="H22" s="1325"/>
      <c r="I22" s="1325"/>
      <c r="L22" s="1330"/>
      <c r="M22" s="1330"/>
      <c r="O22" s="1333"/>
      <c r="P22" s="1333"/>
    </row>
    <row r="23" spans="2:16" ht="41.4">
      <c r="B23" s="1378">
        <v>8</v>
      </c>
      <c r="C23" s="1320" t="s">
        <v>2830</v>
      </c>
      <c r="D23" s="1366">
        <f>L45/O45</f>
        <v>-5.4630857050982105</v>
      </c>
      <c r="E23" s="1331">
        <f>M45/P45</f>
        <v>-269.77967425916233</v>
      </c>
      <c r="F23" s="1372">
        <f>+(E23-D23)/E23</f>
        <v>0.97974982466673854</v>
      </c>
      <c r="G23" s="1407" t="s">
        <v>2872</v>
      </c>
      <c r="H23" s="1321" t="s">
        <v>2831</v>
      </c>
      <c r="I23" s="1321" t="s">
        <v>2832</v>
      </c>
      <c r="L23" s="1335"/>
      <c r="M23" s="1335"/>
      <c r="O23" s="1323"/>
      <c r="P23" s="1323"/>
    </row>
    <row r="24" spans="2:16">
      <c r="B24" s="1378"/>
      <c r="C24" s="1320"/>
      <c r="D24" s="1368"/>
      <c r="E24" s="1329"/>
      <c r="F24" s="1317"/>
      <c r="G24" s="1379"/>
      <c r="H24" s="1325"/>
      <c r="I24" s="1325"/>
      <c r="L24" s="1330">
        <f>+BSPL!G101+BSPL!G87+BSPL!G88</f>
        <v>-15882535.259682491</v>
      </c>
      <c r="M24" s="1330">
        <f>+BSPL!H101+BSPL!H87+BSPL!H88</f>
        <v>-11060367.748925574</v>
      </c>
      <c r="O24" s="1323">
        <f>+[78]BSPL!G86+'[78]Bank TL &amp; Int.'!F6</f>
        <v>11721490.15</v>
      </c>
      <c r="P24" s="1323">
        <f>+[78]BSPL!H86+'[78]Bank TL &amp; Int.'!G6</f>
        <v>6372184.9500000002</v>
      </c>
    </row>
    <row r="25" spans="2:16" ht="27.6">
      <c r="B25" s="1378">
        <v>9</v>
      </c>
      <c r="C25" s="1320" t="s">
        <v>2835</v>
      </c>
      <c r="D25" s="1370">
        <f>L49/O49</f>
        <v>-8.6749694244809925E-2</v>
      </c>
      <c r="E25" s="1338">
        <f>M49/P49</f>
        <v>-3.5853883315234841E-2</v>
      </c>
      <c r="F25" s="1372">
        <f>+(E25-D25)/E25</f>
        <v>-1.4195341263898382</v>
      </c>
      <c r="G25" s="1407" t="s">
        <v>2874</v>
      </c>
      <c r="H25" s="1321" t="s">
        <v>2836</v>
      </c>
      <c r="I25" s="1321" t="s">
        <v>2831</v>
      </c>
      <c r="L25" s="1330"/>
      <c r="M25" s="1330"/>
      <c r="O25" s="1336"/>
      <c r="P25" s="1336"/>
    </row>
    <row r="26" spans="2:16">
      <c r="B26" s="1378"/>
      <c r="C26" s="1320"/>
      <c r="D26" s="1368"/>
      <c r="E26" s="1329"/>
      <c r="F26" s="1317"/>
      <c r="G26" s="1379"/>
      <c r="H26" s="1325"/>
      <c r="I26" s="1325"/>
      <c r="L26" s="1330"/>
      <c r="M26" s="1330"/>
      <c r="O26" s="1336"/>
      <c r="P26" s="1336"/>
    </row>
    <row r="27" spans="2:16" ht="27.6">
      <c r="B27" s="1416">
        <v>10</v>
      </c>
      <c r="C27" s="1321" t="s">
        <v>2838</v>
      </c>
      <c r="D27" s="1370">
        <f>L53/O53</f>
        <v>-0.17781224128766732</v>
      </c>
      <c r="E27" s="1338">
        <f>M53/P53</f>
        <v>-0.11613773774292681</v>
      </c>
      <c r="F27" s="1417">
        <f>+(E27-D27)/E27</f>
        <v>-0.53104619345400239</v>
      </c>
      <c r="G27" s="1415" t="s">
        <v>2874</v>
      </c>
      <c r="H27" s="1321" t="s">
        <v>2839</v>
      </c>
      <c r="I27" s="1321" t="s">
        <v>2840</v>
      </c>
      <c r="K27" s="1337"/>
      <c r="L27" s="1322"/>
      <c r="M27" s="1322"/>
      <c r="O27" s="1323"/>
      <c r="P27" s="1323"/>
    </row>
    <row r="28" spans="2:16" ht="14.4" thickBot="1">
      <c r="B28" s="1383"/>
      <c r="C28" s="1384"/>
      <c r="D28" s="1388"/>
      <c r="E28" s="1389"/>
      <c r="F28" s="1390"/>
      <c r="G28" s="1391"/>
      <c r="H28" s="1385"/>
      <c r="I28" s="1385"/>
      <c r="K28" s="1337"/>
      <c r="L28" s="1328">
        <f>+BSPL!G101</f>
        <v>-51111376.259682491</v>
      </c>
      <c r="M28" s="1328">
        <f>+BSPL!H101</f>
        <v>-37729676.113122702</v>
      </c>
      <c r="O28" s="1323">
        <f>+(BSPL!H32+BSPL!G32)/2</f>
        <v>211117785.25703606</v>
      </c>
      <c r="P28" s="1323">
        <v>270759465.5494799</v>
      </c>
    </row>
    <row r="29" spans="2:16">
      <c r="B29" s="1343">
        <v>11</v>
      </c>
      <c r="C29" s="1344" t="s">
        <v>2843</v>
      </c>
      <c r="D29" s="1347"/>
      <c r="E29" s="1348"/>
      <c r="F29" s="1349"/>
      <c r="G29" s="1350"/>
      <c r="H29" s="1345" t="s">
        <v>2844</v>
      </c>
      <c r="I29" s="1345" t="s">
        <v>2845</v>
      </c>
      <c r="L29" s="1330"/>
      <c r="M29" s="1330"/>
      <c r="O29" s="1333"/>
      <c r="P29" s="1333"/>
    </row>
    <row r="30" spans="2:16">
      <c r="B30" s="1353"/>
      <c r="C30" s="1340"/>
      <c r="D30" s="1357"/>
      <c r="E30" s="1357"/>
      <c r="H30" s="1354"/>
      <c r="I30" s="1354"/>
      <c r="L30" s="1317"/>
      <c r="M30" s="1317"/>
      <c r="O30" s="1333"/>
      <c r="P30" s="1333"/>
    </row>
    <row r="31" spans="2:16">
      <c r="C31" s="1358"/>
      <c r="L31" s="1330"/>
      <c r="M31" s="1330"/>
      <c r="O31" s="1333"/>
      <c r="P31" s="1333"/>
    </row>
    <row r="32" spans="2:16">
      <c r="B32" s="1359"/>
      <c r="C32" s="1341" t="s">
        <v>2846</v>
      </c>
      <c r="L32" s="1335"/>
      <c r="M32" s="1335"/>
      <c r="O32" s="1333"/>
      <c r="P32" s="1333"/>
    </row>
    <row r="33" spans="2:18">
      <c r="L33" s="1330">
        <f>+BSPL!G83</f>
        <v>413929787.49000001</v>
      </c>
      <c r="M33" s="1330">
        <f>+BSPL!H83</f>
        <v>815123705.5</v>
      </c>
      <c r="O33" s="1333">
        <f>+(BSPL!H239+BSPL!G239)/2</f>
        <v>23239270</v>
      </c>
      <c r="P33" s="1364">
        <v>32735654.25</v>
      </c>
    </row>
    <row r="34" spans="2:18">
      <c r="C34" s="1314" t="s">
        <v>2847</v>
      </c>
      <c r="L34" s="1330"/>
      <c r="M34" s="1330"/>
      <c r="O34" s="1333"/>
      <c r="P34" s="1333"/>
    </row>
    <row r="35" spans="2:18">
      <c r="C35" s="1314" t="s">
        <v>2848</v>
      </c>
      <c r="L35" s="1330"/>
      <c r="M35" s="1330"/>
      <c r="O35" s="1333"/>
      <c r="P35" s="1333"/>
    </row>
    <row r="36" spans="2:18">
      <c r="C36" s="1314" t="s">
        <v>2849</v>
      </c>
      <c r="L36" s="1335"/>
      <c r="M36" s="1335"/>
      <c r="O36" s="1333"/>
      <c r="P36" s="1333"/>
      <c r="R36" s="1314" t="s">
        <v>2822</v>
      </c>
    </row>
    <row r="37" spans="2:18">
      <c r="L37" s="1330">
        <f>+BSPL!G79</f>
        <v>589182206.39999998</v>
      </c>
      <c r="M37" s="1330">
        <f>+BSPL!H79</f>
        <v>1052317702.4200001</v>
      </c>
      <c r="O37" s="1333">
        <f>+(BSPL!H19+BSPL!G19)/2</f>
        <v>98481506.579999998</v>
      </c>
      <c r="P37" s="1364">
        <v>161157397.93000001</v>
      </c>
    </row>
    <row r="38" spans="2:18">
      <c r="B38" s="1312" t="s">
        <v>2850</v>
      </c>
      <c r="C38" s="1314" t="s">
        <v>2851</v>
      </c>
      <c r="L38" s="1335"/>
      <c r="M38" s="1335"/>
      <c r="O38" s="1333"/>
      <c r="P38" s="1333"/>
    </row>
    <row r="39" spans="2:18">
      <c r="C39" s="1360" t="s">
        <v>2852</v>
      </c>
      <c r="L39" s="1330"/>
      <c r="M39" s="1330"/>
      <c r="O39" s="1333"/>
      <c r="P39" s="1333"/>
    </row>
    <row r="40" spans="2:18">
      <c r="C40" s="1362" t="s">
        <v>2853</v>
      </c>
      <c r="L40" s="1335"/>
      <c r="M40" s="1335"/>
      <c r="O40" s="1333"/>
      <c r="P40" s="1333"/>
    </row>
    <row r="41" spans="2:18">
      <c r="L41" s="1330">
        <f>+BSPL!G496</f>
        <v>391306861.49000001</v>
      </c>
      <c r="M41" s="1330">
        <f>+BSPL!H496</f>
        <v>826174715.5</v>
      </c>
      <c r="O41" s="1333">
        <f>+(BSPL!H42+BSPL!G42)/2</f>
        <v>100546418.73007551</v>
      </c>
      <c r="P41" s="1364">
        <v>83492089.299999982</v>
      </c>
    </row>
    <row r="42" spans="2:18">
      <c r="C42" s="1314" t="s">
        <v>2854</v>
      </c>
      <c r="L42" s="1335"/>
      <c r="M42" s="1335"/>
      <c r="O42" s="1333"/>
      <c r="P42" s="1333"/>
    </row>
    <row r="43" spans="2:18">
      <c r="C43" s="1363" t="s">
        <v>2855</v>
      </c>
      <c r="L43" s="1330"/>
      <c r="M43" s="1330"/>
      <c r="O43" s="1333"/>
      <c r="P43" s="1333"/>
    </row>
    <row r="44" spans="2:18">
      <c r="C44" s="1363" t="s">
        <v>2856</v>
      </c>
      <c r="J44" s="1342"/>
      <c r="K44" s="1341"/>
      <c r="L44" s="1335"/>
      <c r="M44" s="1335"/>
      <c r="O44" s="1333"/>
      <c r="P44" s="1333"/>
    </row>
    <row r="45" spans="2:18">
      <c r="C45" s="1363" t="s">
        <v>2857</v>
      </c>
      <c r="J45" s="1342"/>
      <c r="K45" s="1337"/>
      <c r="L45" s="1330">
        <f>+BSPL!G79</f>
        <v>589182206.39999998</v>
      </c>
      <c r="M45" s="1330">
        <f>+BSPL!H79</f>
        <v>1052317702.4200001</v>
      </c>
      <c r="O45" s="1333">
        <f>+L17-O17</f>
        <v>-107847879.05673322</v>
      </c>
      <c r="P45" s="1333">
        <f>+M17-P17</f>
        <v>-3900655.9901510477</v>
      </c>
    </row>
    <row r="46" spans="2:18">
      <c r="C46" s="1363" t="s">
        <v>2858</v>
      </c>
      <c r="L46" s="1335"/>
      <c r="M46" s="1335"/>
      <c r="O46" s="1333"/>
      <c r="P46" s="1333"/>
    </row>
    <row r="47" spans="2:18">
      <c r="C47" s="1363" t="s">
        <v>2859</v>
      </c>
      <c r="L47" s="1330"/>
      <c r="M47" s="1330"/>
      <c r="O47" s="1333"/>
      <c r="P47" s="1333"/>
    </row>
    <row r="48" spans="2:18">
      <c r="C48" s="1363" t="s">
        <v>2860</v>
      </c>
      <c r="L48" s="1335"/>
      <c r="M48" s="1335"/>
      <c r="O48" s="1333"/>
      <c r="P48" s="1333"/>
    </row>
    <row r="49" spans="2:16">
      <c r="C49" s="1314" t="s">
        <v>2861</v>
      </c>
      <c r="L49" s="1335">
        <f>+BSPL!G101</f>
        <v>-51111376.259682491</v>
      </c>
      <c r="M49" s="1335">
        <f>+BSPL!H101</f>
        <v>-37729676.113122702</v>
      </c>
      <c r="O49" s="1333">
        <f>+BSPL!G79</f>
        <v>589182206.39999998</v>
      </c>
      <c r="P49" s="1333">
        <f>+BSPL!H79</f>
        <v>1052317702.4200001</v>
      </c>
    </row>
    <row r="50" spans="2:16">
      <c r="L50" s="1335"/>
      <c r="M50" s="1335"/>
      <c r="O50" s="1333"/>
      <c r="P50" s="1333"/>
    </row>
    <row r="51" spans="2:16">
      <c r="L51" s="1330"/>
      <c r="M51" s="1330"/>
      <c r="O51" s="1333"/>
      <c r="P51" s="1333"/>
    </row>
    <row r="52" spans="2:16" s="1337" customFormat="1">
      <c r="B52" s="1312"/>
      <c r="C52" s="1314"/>
      <c r="D52" s="1314"/>
      <c r="E52" s="1314"/>
      <c r="F52" s="1314"/>
      <c r="G52" s="1314"/>
      <c r="H52" s="1314"/>
      <c r="I52" s="1314"/>
      <c r="L52" s="1335"/>
      <c r="M52" s="1335"/>
      <c r="O52" s="1333"/>
      <c r="P52" s="1333"/>
    </row>
    <row r="53" spans="2:16">
      <c r="J53" s="1337"/>
      <c r="L53" s="1335">
        <f>+BSPL!G91+BSPL!G87</f>
        <v>-53075301.726733327</v>
      </c>
      <c r="M53" s="1335">
        <f>+BSPL!H91+BSPL!H87</f>
        <v>-41187407.144347906</v>
      </c>
      <c r="O53" s="1329">
        <f>+BSPL!G32+BSPL!G35+BSPL!G37</f>
        <v>298490707.62719482</v>
      </c>
      <c r="P53" s="1333">
        <f>+BSPL!H32+BSPL!H35+BSPL!H37</f>
        <v>354642753.89552575</v>
      </c>
    </row>
    <row r="54" spans="2:16">
      <c r="L54" s="1335"/>
      <c r="M54" s="1335"/>
      <c r="O54" s="1333"/>
      <c r="P54" s="1333"/>
    </row>
    <row r="55" spans="2:16" ht="14.4" thickBot="1">
      <c r="L55" s="1386"/>
      <c r="M55" s="1386"/>
      <c r="O55" s="1387"/>
      <c r="P55" s="1387"/>
    </row>
    <row r="56" spans="2:16" s="1349" customFormat="1">
      <c r="B56" s="1312"/>
      <c r="C56" s="1314"/>
      <c r="D56" s="1314"/>
      <c r="E56" s="1314"/>
      <c r="F56" s="1314"/>
      <c r="G56" s="1314"/>
      <c r="H56" s="1314"/>
      <c r="I56" s="1314"/>
      <c r="J56" s="1351"/>
      <c r="K56" s="1352"/>
      <c r="L56" s="1346">
        <f>+L49</f>
        <v>-51111376.259682491</v>
      </c>
      <c r="M56" s="1346">
        <f>+M49</f>
        <v>-37729676.113122702</v>
      </c>
      <c r="O56" s="1339">
        <f>[73]BS!E33</f>
        <v>0</v>
      </c>
      <c r="P56" s="1339"/>
    </row>
    <row r="57" spans="2:16">
      <c r="L57" s="1355"/>
      <c r="M57" s="1355"/>
      <c r="O57" s="1356"/>
      <c r="P57" s="1356"/>
    </row>
    <row r="66" spans="15:16">
      <c r="O66" s="1361"/>
      <c r="P66" s="1361"/>
    </row>
  </sheetData>
  <customSheetViews>
    <customSheetView guid="{ADEA4918-0326-423A-8D00-FB47A486004B}" showPageBreaks="1" fitToPage="1" printArea="1">
      <selection activeCell="A6" sqref="A6"/>
      <rowBreaks count="1" manualBreakCount="1">
        <brk id="38" min="1" max="10" man="1"/>
      </rowBreaks>
      <pageMargins left="0.31496062992125984" right="0.31496062992125984" top="0.15748031496062992" bottom="0.15748031496062992" header="0.31496062992125984" footer="0.31496062992125984"/>
      <printOptions horizontalCentered="1"/>
      <pageSetup paperSize="9" scale="10" orientation="portrait" r:id="rId1"/>
    </customSheetView>
    <customSheetView guid="{2A78E287-3113-4387-BB62-BE98FA5C13C2}" fitToPage="1" state="hidden">
      <selection activeCell="L20" sqref="L20"/>
      <rowBreaks count="1" manualBreakCount="1">
        <brk id="38" min="1" max="10" man="1"/>
      </rowBreaks>
      <pageMargins left="0.31496062992125984" right="0.31496062992125984" top="0.15748031496062992" bottom="0.15748031496062992" header="0.31496062992125984" footer="0.31496062992125984"/>
      <printOptions horizontalCentered="1"/>
      <pageSetup paperSize="9" scale="92" orientation="portrait" r:id="rId2"/>
    </customSheetView>
    <customSheetView guid="{DC5DA12B-0FA6-4F41-A983-6E433AD4604D}" fitToPage="1" state="hidden">
      <selection activeCell="L20" sqref="L20"/>
      <rowBreaks count="1" manualBreakCount="1">
        <brk id="38" min="1" max="10" man="1"/>
      </rowBreaks>
      <pageMargins left="0.31496062992125984" right="0.31496062992125984" top="0.15748031496062992" bottom="0.15748031496062992" header="0.31496062992125984" footer="0.31496062992125984"/>
      <printOptions horizontalCentered="1"/>
      <pageSetup paperSize="9" scale="91" orientation="portrait" r:id="rId3"/>
    </customSheetView>
  </customSheetViews>
  <printOptions horizontalCentered="1"/>
  <pageMargins left="0.31496062992125984" right="0.31496062992125984" top="0.15748031496062992" bottom="0.15748031496062992" header="0.31496062992125984" footer="0.31496062992125984"/>
  <pageSetup paperSize="9" scale="92" orientation="portrait" r:id="rId4"/>
  <rowBreaks count="1" manualBreakCount="1">
    <brk id="38"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X156"/>
  <sheetViews>
    <sheetView view="pageBreakPreview" zoomScale="80" zoomScaleNormal="85" zoomScaleSheetLayoutView="80" workbookViewId="0">
      <selection activeCell="B25" sqref="B25:I25"/>
    </sheetView>
  </sheetViews>
  <sheetFormatPr defaultColWidth="9.109375" defaultRowHeight="14.4"/>
  <cols>
    <col min="1" max="1" width="30.44140625" customWidth="1"/>
    <col min="2" max="2" width="22.109375" customWidth="1"/>
    <col min="3" max="4" width="19.5546875" customWidth="1"/>
    <col min="5" max="5" width="22.109375" customWidth="1"/>
    <col min="6" max="6" width="21.6640625" customWidth="1"/>
    <col min="7" max="9" width="19.5546875" customWidth="1"/>
    <col min="10" max="10" width="20.6640625" customWidth="1"/>
    <col min="11" max="11" width="35" customWidth="1"/>
    <col min="12" max="12" width="16.44140625" bestFit="1" customWidth="1"/>
    <col min="13" max="13" width="15.33203125" bestFit="1" customWidth="1"/>
    <col min="14" max="14" width="14.88671875" bestFit="1" customWidth="1"/>
    <col min="15" max="15" width="13.88671875" bestFit="1" customWidth="1"/>
    <col min="16" max="16" width="15" bestFit="1" customWidth="1"/>
    <col min="18" max="18" width="12.44140625" bestFit="1" customWidth="1"/>
  </cols>
  <sheetData>
    <row r="1" spans="1:12">
      <c r="A1" s="134" t="s">
        <v>1125</v>
      </c>
      <c r="K1">
        <v>100000</v>
      </c>
    </row>
    <row r="2" spans="1:12">
      <c r="A2" s="134"/>
    </row>
    <row r="4" spans="1:12" ht="31.95" customHeight="1">
      <c r="A4" s="413" t="s">
        <v>1126</v>
      </c>
      <c r="B4" s="502" t="s">
        <v>175</v>
      </c>
      <c r="C4" s="502" t="s">
        <v>1127</v>
      </c>
      <c r="D4" s="502" t="s">
        <v>270</v>
      </c>
      <c r="E4" s="502" t="s">
        <v>1128</v>
      </c>
      <c r="F4" s="502" t="s">
        <v>1129</v>
      </c>
      <c r="G4" s="502" t="s">
        <v>1130</v>
      </c>
      <c r="H4" s="502" t="s">
        <v>1131</v>
      </c>
      <c r="I4" s="502" t="s">
        <v>1132</v>
      </c>
      <c r="J4" s="413" t="s">
        <v>399</v>
      </c>
    </row>
    <row r="5" spans="1:12">
      <c r="A5" s="794" t="s">
        <v>1133</v>
      </c>
      <c r="B5" s="136"/>
      <c r="C5" s="136"/>
      <c r="D5" s="136"/>
      <c r="E5" s="136"/>
      <c r="F5" s="136"/>
      <c r="G5" s="136"/>
      <c r="H5" s="136"/>
      <c r="I5" s="136"/>
      <c r="J5" s="137"/>
    </row>
    <row r="6" spans="1:12">
      <c r="A6" s="794" t="s">
        <v>3068</v>
      </c>
      <c r="B6" s="795">
        <f>+B96</f>
        <v>33964999.899999999</v>
      </c>
      <c r="C6" s="795">
        <f>+B97</f>
        <v>61286378.519999996</v>
      </c>
      <c r="D6" s="795">
        <f>+B98</f>
        <v>222104413.368</v>
      </c>
      <c r="E6" s="796">
        <f>+B99</f>
        <v>2991111</v>
      </c>
      <c r="F6" s="795">
        <f>+B100</f>
        <v>868635.45771976002</v>
      </c>
      <c r="G6" s="795">
        <f>+B101</f>
        <v>1123743.1299999999</v>
      </c>
      <c r="H6" s="795">
        <f>+B102</f>
        <v>1344197.03</v>
      </c>
      <c r="I6" s="795">
        <f>+B103</f>
        <v>26458588.080000002</v>
      </c>
      <c r="J6" s="797">
        <f>+B109</f>
        <v>40380749.359999992</v>
      </c>
    </row>
    <row r="7" spans="1:12">
      <c r="A7" s="136" t="s">
        <v>1134</v>
      </c>
      <c r="B7" s="798">
        <f>+C96</f>
        <v>0</v>
      </c>
      <c r="C7" s="798">
        <f>+C97</f>
        <v>2830332</v>
      </c>
      <c r="D7" s="798">
        <f>+C98</f>
        <v>63178</v>
      </c>
      <c r="E7" s="799">
        <f>+C99</f>
        <v>0</v>
      </c>
      <c r="F7" s="798">
        <f>+C100</f>
        <v>29800</v>
      </c>
      <c r="G7" s="798">
        <f>+C101</f>
        <v>0</v>
      </c>
      <c r="H7" s="798">
        <f>+C102</f>
        <v>540632</v>
      </c>
      <c r="I7" s="798">
        <f>+C103</f>
        <v>98460</v>
      </c>
      <c r="J7" s="797">
        <f>+C109</f>
        <v>108896814.39000002</v>
      </c>
    </row>
    <row r="8" spans="1:12">
      <c r="A8" s="136" t="s">
        <v>1135</v>
      </c>
      <c r="B8" s="798">
        <f>+D96</f>
        <v>0</v>
      </c>
      <c r="C8" s="798">
        <f>+D97</f>
        <v>0</v>
      </c>
      <c r="D8" s="798">
        <f>+D98</f>
        <v>0</v>
      </c>
      <c r="E8" s="799">
        <f>+D99</f>
        <v>0</v>
      </c>
      <c r="F8" s="798">
        <f>+D100</f>
        <v>0</v>
      </c>
      <c r="G8" s="798">
        <f>+D101</f>
        <v>0</v>
      </c>
      <c r="H8" s="798">
        <f>+D102</f>
        <v>0</v>
      </c>
      <c r="I8" s="798">
        <f>+D103</f>
        <v>0</v>
      </c>
      <c r="J8" s="797">
        <f>+D109</f>
        <v>2830332</v>
      </c>
    </row>
    <row r="9" spans="1:12">
      <c r="A9" s="794" t="s">
        <v>1167</v>
      </c>
      <c r="B9" s="795">
        <f>+B6+B7-B8</f>
        <v>33964999.899999999</v>
      </c>
      <c r="C9" s="795">
        <f t="shared" ref="C9:J9" si="0">+C6+C7-C8</f>
        <v>64116710.519999996</v>
      </c>
      <c r="D9" s="795">
        <f t="shared" si="0"/>
        <v>222167591.368</v>
      </c>
      <c r="E9" s="795">
        <f t="shared" si="0"/>
        <v>2991111</v>
      </c>
      <c r="F9" s="795">
        <f t="shared" si="0"/>
        <v>898435.45771976002</v>
      </c>
      <c r="G9" s="795">
        <f t="shared" si="0"/>
        <v>1123743.1299999999</v>
      </c>
      <c r="H9" s="795">
        <f t="shared" si="0"/>
        <v>1884829.03</v>
      </c>
      <c r="I9" s="795">
        <f t="shared" si="0"/>
        <v>26557048.080000002</v>
      </c>
      <c r="J9" s="795">
        <f t="shared" si="0"/>
        <v>146447231.75</v>
      </c>
    </row>
    <row r="10" spans="1:12">
      <c r="A10" s="136" t="s">
        <v>1134</v>
      </c>
      <c r="B10" s="798">
        <f>+C75</f>
        <v>0</v>
      </c>
      <c r="C10" s="798">
        <f>+C76</f>
        <v>10206973</v>
      </c>
      <c r="D10" s="798">
        <f>+C77</f>
        <v>138007930</v>
      </c>
      <c r="E10" s="799">
        <f>+C78</f>
        <v>0</v>
      </c>
      <c r="F10" s="798">
        <f>+C79</f>
        <v>158186</v>
      </c>
      <c r="G10" s="798">
        <f>+C80</f>
        <v>84623</v>
      </c>
      <c r="H10" s="798">
        <f>+C81</f>
        <v>98020</v>
      </c>
      <c r="I10" s="798">
        <f>+C82</f>
        <v>48720609</v>
      </c>
      <c r="J10" s="797">
        <f>+C88</f>
        <v>164220370.84999999</v>
      </c>
    </row>
    <row r="11" spans="1:12">
      <c r="A11" s="136" t="s">
        <v>1135</v>
      </c>
      <c r="B11" s="798">
        <f>+D96</f>
        <v>0</v>
      </c>
      <c r="C11" s="798">
        <f>+D97</f>
        <v>0</v>
      </c>
      <c r="D11" s="798">
        <f>+D77</f>
        <v>11551373</v>
      </c>
      <c r="E11" s="799">
        <f>+D99</f>
        <v>0</v>
      </c>
      <c r="F11" s="798">
        <f>+D100</f>
        <v>0</v>
      </c>
      <c r="G11" s="798">
        <f>+D101</f>
        <v>0</v>
      </c>
      <c r="H11" s="798">
        <f>+D102</f>
        <v>0</v>
      </c>
      <c r="I11" s="798">
        <f>+D82</f>
        <v>5832403.5899999999</v>
      </c>
      <c r="J11" s="797">
        <f>+D88</f>
        <v>310667602.59999996</v>
      </c>
    </row>
    <row r="12" spans="1:12">
      <c r="A12" s="135" t="s">
        <v>3069</v>
      </c>
      <c r="B12" s="800">
        <f>+B9+B10-B11</f>
        <v>33964999.899999999</v>
      </c>
      <c r="C12" s="800">
        <f t="shared" ref="C12:J12" si="1">+C9+C10-C11</f>
        <v>74323683.519999996</v>
      </c>
      <c r="D12" s="800">
        <f t="shared" si="1"/>
        <v>348624148.36800003</v>
      </c>
      <c r="E12" s="801">
        <f t="shared" si="1"/>
        <v>2991111</v>
      </c>
      <c r="F12" s="800">
        <f t="shared" si="1"/>
        <v>1056621.45771976</v>
      </c>
      <c r="G12" s="800">
        <f t="shared" si="1"/>
        <v>1208366.1299999999</v>
      </c>
      <c r="H12" s="800">
        <f t="shared" si="1"/>
        <v>1982849.03</v>
      </c>
      <c r="I12" s="800">
        <f t="shared" si="1"/>
        <v>69445253.489999995</v>
      </c>
      <c r="J12" s="800">
        <f t="shared" si="1"/>
        <v>0</v>
      </c>
      <c r="K12">
        <v>146320240.61000001</v>
      </c>
      <c r="L12" s="501">
        <f>+J12-K12</f>
        <v>-146320240.61000001</v>
      </c>
    </row>
    <row r="13" spans="1:12">
      <c r="A13" s="136"/>
      <c r="B13" s="136"/>
      <c r="C13" s="136"/>
      <c r="D13" s="136"/>
      <c r="E13" s="799"/>
      <c r="F13" s="136"/>
      <c r="G13" s="136"/>
      <c r="H13" s="136"/>
      <c r="I13" s="136"/>
      <c r="J13" s="137"/>
    </row>
    <row r="14" spans="1:12">
      <c r="A14" s="794" t="s">
        <v>132</v>
      </c>
      <c r="B14" s="136"/>
      <c r="C14" s="136"/>
      <c r="D14" s="136"/>
      <c r="E14" s="799"/>
      <c r="F14" s="136"/>
      <c r="G14" s="136"/>
      <c r="H14" s="136"/>
      <c r="I14" s="136"/>
      <c r="J14" s="137"/>
    </row>
    <row r="15" spans="1:12">
      <c r="A15" s="794" t="s">
        <v>3068</v>
      </c>
      <c r="B15" s="795">
        <f>+F96</f>
        <v>0</v>
      </c>
      <c r="C15" s="795">
        <f>+F97</f>
        <v>7440220.8707179464</v>
      </c>
      <c r="D15" s="795">
        <f>+F98</f>
        <v>113124942.86722933</v>
      </c>
      <c r="E15" s="796">
        <f>+F99</f>
        <v>927869.20226313535</v>
      </c>
      <c r="F15" s="795">
        <f>+F100</f>
        <v>730456.64351598185</v>
      </c>
      <c r="G15" s="795">
        <f>+F101</f>
        <v>712523.14323580917</v>
      </c>
      <c r="H15" s="795">
        <f>+F102</f>
        <v>1062733.9912144693</v>
      </c>
      <c r="I15" s="795">
        <f>+F103</f>
        <v>18195793.90260445</v>
      </c>
      <c r="J15" s="795">
        <v>0</v>
      </c>
    </row>
    <row r="16" spans="1:12">
      <c r="A16" s="136" t="s">
        <v>1134</v>
      </c>
      <c r="B16" s="798">
        <f>+G96</f>
        <v>0</v>
      </c>
      <c r="C16" s="798">
        <f>+G97</f>
        <v>1989109.2</v>
      </c>
      <c r="D16" s="798">
        <f>+G98</f>
        <v>13650885.199999999</v>
      </c>
      <c r="E16" s="799">
        <f>+G123</f>
        <v>369148.96419712796</v>
      </c>
      <c r="F16" s="798">
        <f>+G100</f>
        <v>45170</v>
      </c>
      <c r="G16" s="798">
        <f>+G101</f>
        <v>114072</v>
      </c>
      <c r="H16" s="798">
        <f>+G102</f>
        <v>56194</v>
      </c>
      <c r="I16" s="798">
        <f>+G103</f>
        <v>1857088</v>
      </c>
      <c r="J16" s="798">
        <f>+H144</f>
        <v>0</v>
      </c>
    </row>
    <row r="17" spans="1:24">
      <c r="A17" s="136" t="s">
        <v>1135</v>
      </c>
      <c r="B17" s="798">
        <f>+H120</f>
        <v>0</v>
      </c>
      <c r="C17" s="798">
        <f>+H121</f>
        <v>0</v>
      </c>
      <c r="D17" s="798">
        <f>+H122</f>
        <v>0</v>
      </c>
      <c r="E17" s="799">
        <f>+H123</f>
        <v>0</v>
      </c>
      <c r="F17" s="798">
        <f>+H124</f>
        <v>0</v>
      </c>
      <c r="G17" s="798">
        <f>+H125</f>
        <v>0</v>
      </c>
      <c r="H17" s="798">
        <f>+H126</f>
        <v>0</v>
      </c>
      <c r="I17" s="798">
        <f>+H127</f>
        <v>0</v>
      </c>
      <c r="J17" s="798">
        <v>0</v>
      </c>
    </row>
    <row r="18" spans="1:24">
      <c r="A18" s="794" t="s">
        <v>1167</v>
      </c>
      <c r="B18" s="795">
        <f>+B15+B16-B17</f>
        <v>0</v>
      </c>
      <c r="C18" s="795">
        <f t="shared" ref="C18:J18" si="2">+C15+C16-C17</f>
        <v>9429330.0707179457</v>
      </c>
      <c r="D18" s="795">
        <f t="shared" si="2"/>
        <v>126775828.06722933</v>
      </c>
      <c r="E18" s="796">
        <f t="shared" si="2"/>
        <v>1297018.1664602633</v>
      </c>
      <c r="F18" s="795">
        <f t="shared" si="2"/>
        <v>775626.64351598185</v>
      </c>
      <c r="G18" s="795">
        <f t="shared" si="2"/>
        <v>826595.14323580917</v>
      </c>
      <c r="H18" s="795">
        <f t="shared" si="2"/>
        <v>1118927.9912144693</v>
      </c>
      <c r="I18" s="795">
        <f t="shared" si="2"/>
        <v>20052881.90260445</v>
      </c>
      <c r="J18" s="795">
        <f t="shared" si="2"/>
        <v>0</v>
      </c>
    </row>
    <row r="19" spans="1:24">
      <c r="A19" s="136" t="s">
        <v>1134</v>
      </c>
      <c r="B19" s="798">
        <f>+G75</f>
        <v>0</v>
      </c>
      <c r="C19" s="798">
        <f>+G76</f>
        <v>2104855</v>
      </c>
      <c r="D19" s="798">
        <f>+G77</f>
        <v>14032176</v>
      </c>
      <c r="E19" s="799">
        <f>+G78</f>
        <v>345303</v>
      </c>
      <c r="F19" s="798">
        <f>+G79</f>
        <v>97152</v>
      </c>
      <c r="G19" s="798">
        <f>+G80</f>
        <v>109389</v>
      </c>
      <c r="H19" s="798">
        <f>+G81</f>
        <v>103879</v>
      </c>
      <c r="I19" s="798">
        <f>+G82</f>
        <v>2791142</v>
      </c>
      <c r="J19" s="798">
        <v>0</v>
      </c>
    </row>
    <row r="20" spans="1:24">
      <c r="A20" s="136" t="s">
        <v>1135</v>
      </c>
      <c r="B20" s="798">
        <f>+H120</f>
        <v>0</v>
      </c>
      <c r="C20" s="798">
        <f>+H121</f>
        <v>0</v>
      </c>
      <c r="D20" s="798">
        <f>+H77</f>
        <v>11022866</v>
      </c>
      <c r="E20" s="799">
        <f>+H123</f>
        <v>0</v>
      </c>
      <c r="F20" s="798">
        <f>+H124</f>
        <v>0</v>
      </c>
      <c r="G20" s="798">
        <f>+H125</f>
        <v>0</v>
      </c>
      <c r="H20" s="798">
        <f>+H126</f>
        <v>0</v>
      </c>
      <c r="I20" s="798">
        <f>+H82</f>
        <v>5419323</v>
      </c>
      <c r="J20" s="798">
        <v>0</v>
      </c>
    </row>
    <row r="21" spans="1:24">
      <c r="A21" s="135" t="s">
        <v>3069</v>
      </c>
      <c r="B21" s="800">
        <f>+B18+B19-B20</f>
        <v>0</v>
      </c>
      <c r="C21" s="800">
        <f t="shared" ref="C21:J21" si="3">+C18+C19-C20</f>
        <v>11534185.070717946</v>
      </c>
      <c r="D21" s="800">
        <f t="shared" si="3"/>
        <v>129785138.06722933</v>
      </c>
      <c r="E21" s="800">
        <f t="shared" si="3"/>
        <v>1642321.1664602633</v>
      </c>
      <c r="F21" s="800">
        <f t="shared" si="3"/>
        <v>872778.64351598185</v>
      </c>
      <c r="G21" s="800">
        <f t="shared" si="3"/>
        <v>935984.14323580917</v>
      </c>
      <c r="H21" s="800">
        <f t="shared" si="3"/>
        <v>1222806.9912144693</v>
      </c>
      <c r="I21" s="800">
        <f t="shared" si="3"/>
        <v>17424700.90260445</v>
      </c>
      <c r="J21" s="800">
        <f t="shared" si="3"/>
        <v>0</v>
      </c>
    </row>
    <row r="22" spans="1:24">
      <c r="A22" s="136"/>
      <c r="B22" s="136"/>
      <c r="C22" s="136"/>
      <c r="D22" s="136"/>
      <c r="E22" s="136"/>
      <c r="F22" s="136"/>
      <c r="G22" s="136"/>
      <c r="H22" s="136"/>
      <c r="I22" s="136"/>
      <c r="J22" s="137"/>
    </row>
    <row r="23" spans="1:24">
      <c r="A23" s="135" t="s">
        <v>3068</v>
      </c>
      <c r="B23" s="800">
        <f>+B6-B15</f>
        <v>33964999.899999999</v>
      </c>
      <c r="C23" s="800">
        <f t="shared" ref="C23:J23" si="4">+C6-C15</f>
        <v>53846157.649282053</v>
      </c>
      <c r="D23" s="800">
        <f t="shared" si="4"/>
        <v>108979470.50077067</v>
      </c>
      <c r="E23" s="800">
        <f t="shared" si="4"/>
        <v>2063241.7977368645</v>
      </c>
      <c r="F23" s="800">
        <f t="shared" si="4"/>
        <v>138178.81420377817</v>
      </c>
      <c r="G23" s="800">
        <f t="shared" si="4"/>
        <v>411219.98676419072</v>
      </c>
      <c r="H23" s="800">
        <f t="shared" si="4"/>
        <v>281463.03878553072</v>
      </c>
      <c r="I23" s="800">
        <f t="shared" si="4"/>
        <v>8262794.1773955524</v>
      </c>
      <c r="J23" s="800">
        <f t="shared" si="4"/>
        <v>40380749.359999992</v>
      </c>
    </row>
    <row r="24" spans="1:24">
      <c r="A24" s="802" t="s">
        <v>1167</v>
      </c>
      <c r="B24" s="803">
        <f>+B9-B18</f>
        <v>33964999.899999999</v>
      </c>
      <c r="C24" s="803">
        <f t="shared" ref="C24:I24" si="5">+C9-C18</f>
        <v>54687380.44928205</v>
      </c>
      <c r="D24" s="803">
        <f t="shared" si="5"/>
        <v>95391763.30077067</v>
      </c>
      <c r="E24" s="803">
        <f t="shared" si="5"/>
        <v>1694092.8335397367</v>
      </c>
      <c r="F24" s="803">
        <f t="shared" si="5"/>
        <v>122808.81420377817</v>
      </c>
      <c r="G24" s="803">
        <f t="shared" si="5"/>
        <v>297147.98676419072</v>
      </c>
      <c r="H24" s="803">
        <f t="shared" si="5"/>
        <v>765901.03878553072</v>
      </c>
      <c r="I24" s="803">
        <f t="shared" si="5"/>
        <v>6504166.1773955524</v>
      </c>
      <c r="J24" s="803">
        <f>+J9-J18</f>
        <v>146447231.75</v>
      </c>
      <c r="W24" t="s">
        <v>1140</v>
      </c>
      <c r="X24" t="s">
        <v>2617</v>
      </c>
    </row>
    <row r="25" spans="1:24">
      <c r="A25" s="804" t="s">
        <v>3069</v>
      </c>
      <c r="B25" s="805">
        <f>+B12-B21</f>
        <v>33964999.899999999</v>
      </c>
      <c r="C25" s="805">
        <f t="shared" ref="C25:J25" si="6">+C12-C21</f>
        <v>62789498.44928205</v>
      </c>
      <c r="D25" s="805">
        <f t="shared" si="6"/>
        <v>218839010.3007707</v>
      </c>
      <c r="E25" s="805">
        <f t="shared" si="6"/>
        <v>1348789.8335397367</v>
      </c>
      <c r="F25" s="805">
        <f t="shared" si="6"/>
        <v>183842.81420377817</v>
      </c>
      <c r="G25" s="805">
        <f t="shared" si="6"/>
        <v>272381.98676419072</v>
      </c>
      <c r="H25" s="805">
        <f t="shared" si="6"/>
        <v>760042.03878553072</v>
      </c>
      <c r="I25" s="805">
        <f t="shared" si="6"/>
        <v>52020552.587395549</v>
      </c>
      <c r="J25" s="805">
        <f t="shared" si="6"/>
        <v>0</v>
      </c>
      <c r="V25" t="s">
        <v>398</v>
      </c>
      <c r="W25" s="376">
        <f>1374004-X25</f>
        <v>663004</v>
      </c>
      <c r="X25" s="376">
        <v>711000</v>
      </c>
    </row>
    <row r="26" spans="1:24">
      <c r="V26" t="s">
        <v>400</v>
      </c>
      <c r="W26" s="376">
        <f>198800-X26</f>
        <v>45750</v>
      </c>
      <c r="X26" s="376">
        <v>153050</v>
      </c>
    </row>
    <row r="27" spans="1:24">
      <c r="A27" s="139" t="s">
        <v>1136</v>
      </c>
      <c r="M27" t="s">
        <v>790</v>
      </c>
      <c r="N27" t="s">
        <v>2228</v>
      </c>
      <c r="O27" t="s">
        <v>1152</v>
      </c>
      <c r="P27" t="s">
        <v>464</v>
      </c>
      <c r="V27" t="s">
        <v>401</v>
      </c>
      <c r="W27" s="376">
        <f>9930454-X27</f>
        <v>7860196</v>
      </c>
      <c r="X27" s="376">
        <v>2070258</v>
      </c>
    </row>
    <row r="28" spans="1:24">
      <c r="A28" t="s">
        <v>2898</v>
      </c>
      <c r="K28" t="s">
        <v>2246</v>
      </c>
      <c r="L28" t="s">
        <v>900</v>
      </c>
      <c r="M28" s="807">
        <f t="shared" ref="M28:M29" si="7">+P29</f>
        <v>40380750.019999996</v>
      </c>
      <c r="N28" s="807">
        <v>106354564.16</v>
      </c>
      <c r="O28" s="807">
        <v>10244145</v>
      </c>
      <c r="P28" s="807">
        <f>+M28+N28-O28</f>
        <v>136491169.18000001</v>
      </c>
      <c r="R28" s="124">
        <f>+N28-O28</f>
        <v>96110419.159999996</v>
      </c>
      <c r="V28" t="s">
        <v>402</v>
      </c>
      <c r="W28" s="376">
        <f>491595-X28</f>
        <v>464592</v>
      </c>
      <c r="X28" s="376">
        <v>27003</v>
      </c>
    </row>
    <row r="29" spans="1:24">
      <c r="K29" s="498" t="s">
        <v>2247</v>
      </c>
      <c r="L29" t="s">
        <v>901</v>
      </c>
      <c r="M29" s="807">
        <f t="shared" si="7"/>
        <v>313007.79999999981</v>
      </c>
      <c r="N29" s="807">
        <v>44022621.640000001</v>
      </c>
      <c r="O29" s="807">
        <v>3954879.42</v>
      </c>
      <c r="P29" s="807">
        <f>+M29+N29-O29</f>
        <v>40380750.019999996</v>
      </c>
      <c r="R29" s="124">
        <f>+N29-O29</f>
        <v>40067742.219999999</v>
      </c>
      <c r="V29" t="s">
        <v>449</v>
      </c>
      <c r="W29" s="376">
        <v>6416446.9100000001</v>
      </c>
      <c r="X29" s="376">
        <v>0</v>
      </c>
    </row>
    <row r="30" spans="1:24">
      <c r="A30" t="s">
        <v>1137</v>
      </c>
      <c r="K30" s="498" t="s">
        <v>2247</v>
      </c>
      <c r="L30" t="s">
        <v>2244</v>
      </c>
      <c r="M30" s="807">
        <f>+P44</f>
        <v>402479</v>
      </c>
      <c r="N30" s="807">
        <v>6025711.6200000001</v>
      </c>
      <c r="O30" s="807">
        <v>6115182.8200000003</v>
      </c>
      <c r="P30" s="807">
        <f>+M30+N30-O30</f>
        <v>313007.79999999981</v>
      </c>
      <c r="V30" t="s">
        <v>425</v>
      </c>
      <c r="W30" s="3">
        <f>26642149.92-X30</f>
        <v>22526626.920000002</v>
      </c>
      <c r="X30" s="376">
        <v>4115523</v>
      </c>
    </row>
    <row r="31" spans="1:24">
      <c r="K31" s="498"/>
      <c r="M31" s="807"/>
      <c r="N31" s="807"/>
      <c r="O31" s="807"/>
      <c r="P31" s="807"/>
      <c r="W31" s="3"/>
      <c r="X31" s="376"/>
    </row>
    <row r="32" spans="1:24">
      <c r="A32" s="134" t="s">
        <v>4714</v>
      </c>
      <c r="K32" s="498"/>
      <c r="M32" s="807"/>
      <c r="N32" s="807"/>
      <c r="O32" s="807"/>
      <c r="P32" s="807"/>
      <c r="W32" s="3"/>
      <c r="X32" s="376"/>
    </row>
    <row r="33" spans="1:24">
      <c r="K33" s="498"/>
      <c r="M33" s="807"/>
      <c r="N33" s="807"/>
      <c r="O33" s="807"/>
      <c r="P33" s="807"/>
      <c r="W33" s="3"/>
      <c r="X33" s="376"/>
    </row>
    <row r="34" spans="1:24">
      <c r="A34" s="2517" t="s">
        <v>1138</v>
      </c>
      <c r="B34" s="2228" t="s">
        <v>1139</v>
      </c>
      <c r="C34" s="2228"/>
      <c r="D34" s="2228"/>
      <c r="E34" s="2228"/>
      <c r="F34" s="2228"/>
      <c r="K34" s="498"/>
      <c r="M34" s="807"/>
      <c r="N34" s="807"/>
      <c r="O34" s="807"/>
      <c r="P34" s="807"/>
      <c r="W34" s="3"/>
      <c r="X34" s="376"/>
    </row>
    <row r="35" spans="1:24">
      <c r="A35" s="2517"/>
      <c r="B35" s="135" t="s">
        <v>1140</v>
      </c>
      <c r="C35" s="135" t="s">
        <v>1141</v>
      </c>
      <c r="D35" s="135" t="s">
        <v>1142</v>
      </c>
      <c r="E35" s="135" t="s">
        <v>1143</v>
      </c>
      <c r="F35" s="135" t="s">
        <v>824</v>
      </c>
      <c r="K35" s="498"/>
      <c r="M35" s="807"/>
      <c r="N35" s="807"/>
      <c r="O35" s="807"/>
      <c r="P35" s="807"/>
      <c r="W35" s="3"/>
      <c r="X35" s="376"/>
    </row>
    <row r="36" spans="1:24">
      <c r="A36" s="806" t="s">
        <v>1144</v>
      </c>
      <c r="B36" s="140"/>
      <c r="C36" s="140"/>
      <c r="D36" s="140"/>
      <c r="E36" s="140"/>
      <c r="F36" s="140"/>
      <c r="K36" s="498"/>
      <c r="M36" s="807"/>
      <c r="N36" s="807"/>
      <c r="O36" s="807"/>
      <c r="P36" s="807"/>
      <c r="W36" s="3"/>
      <c r="X36" s="376"/>
    </row>
    <row r="37" spans="1:24">
      <c r="A37" s="806"/>
      <c r="B37" s="140"/>
      <c r="C37" s="140"/>
      <c r="D37" s="140"/>
      <c r="E37" s="140"/>
      <c r="F37" s="140"/>
      <c r="K37" s="498"/>
      <c r="M37" s="807"/>
      <c r="N37" s="807"/>
      <c r="O37" s="807"/>
      <c r="P37" s="807"/>
      <c r="W37" s="3"/>
      <c r="X37" s="376"/>
    </row>
    <row r="38" spans="1:24">
      <c r="A38" s="140" t="s">
        <v>2899</v>
      </c>
      <c r="B38" s="1310">
        <v>0</v>
      </c>
      <c r="C38" s="1310">
        <v>0</v>
      </c>
      <c r="D38" s="1310">
        <v>0</v>
      </c>
      <c r="E38" s="1310">
        <v>0</v>
      </c>
      <c r="F38" s="808">
        <f>+SUM(B38:E38)</f>
        <v>0</v>
      </c>
      <c r="K38" s="498"/>
      <c r="M38" s="807"/>
      <c r="N38" s="807"/>
      <c r="O38" s="807"/>
      <c r="P38" s="807"/>
      <c r="W38" s="3"/>
      <c r="X38" s="376"/>
    </row>
    <row r="39" spans="1:24">
      <c r="A39" s="856"/>
      <c r="B39" s="1310"/>
      <c r="C39" s="1310"/>
      <c r="D39" s="1310"/>
      <c r="E39" s="1310"/>
      <c r="F39" s="1310"/>
      <c r="K39" s="498"/>
      <c r="M39" s="807"/>
      <c r="N39" s="807"/>
      <c r="O39" s="807"/>
      <c r="P39" s="807"/>
      <c r="W39" s="3"/>
      <c r="X39" s="376"/>
    </row>
    <row r="40" spans="1:24">
      <c r="A40" s="140" t="s">
        <v>1145</v>
      </c>
      <c r="B40" s="808">
        <v>0</v>
      </c>
      <c r="C40" s="808">
        <v>0</v>
      </c>
      <c r="D40" s="808">
        <v>0</v>
      </c>
      <c r="E40" s="808">
        <v>0</v>
      </c>
      <c r="F40" s="808">
        <f>+SUM(B40:E40)</f>
        <v>0</v>
      </c>
      <c r="K40" s="498"/>
      <c r="M40" s="807"/>
      <c r="N40" s="807"/>
      <c r="O40" s="807"/>
      <c r="P40" s="807"/>
      <c r="W40" s="3"/>
      <c r="X40" s="376"/>
    </row>
    <row r="41" spans="1:24">
      <c r="A41" s="140"/>
      <c r="B41" s="808"/>
      <c r="C41" s="808"/>
      <c r="D41" s="808"/>
      <c r="E41" s="808"/>
      <c r="F41" s="808"/>
      <c r="K41" s="498"/>
      <c r="M41" s="807"/>
      <c r="N41" s="807"/>
      <c r="O41" s="807"/>
      <c r="P41" s="807"/>
      <c r="W41" s="3"/>
      <c r="X41" s="376"/>
    </row>
    <row r="42" spans="1:24">
      <c r="A42" s="140" t="s">
        <v>824</v>
      </c>
      <c r="B42" s="808">
        <f>+SUM(B37:B41)</f>
        <v>0</v>
      </c>
      <c r="C42" s="808">
        <f>+SUM(C37:C41)</f>
        <v>0</v>
      </c>
      <c r="D42" s="808">
        <f>+SUM(D37:D41)</f>
        <v>0</v>
      </c>
      <c r="E42" s="808">
        <f>+SUM(E37:E41)</f>
        <v>0</v>
      </c>
      <c r="F42" s="808">
        <f>+SUM(F37:F41)</f>
        <v>0</v>
      </c>
      <c r="K42" s="498"/>
      <c r="M42" s="807"/>
      <c r="N42" s="807"/>
      <c r="O42" s="807"/>
      <c r="P42" s="807"/>
      <c r="W42" s="3"/>
      <c r="X42" s="376"/>
    </row>
    <row r="43" spans="1:24">
      <c r="K43" s="498"/>
      <c r="M43" s="807"/>
      <c r="N43" s="807"/>
      <c r="O43" s="807"/>
      <c r="P43" s="807"/>
      <c r="W43" s="3"/>
      <c r="X43" s="376"/>
    </row>
    <row r="44" spans="1:24">
      <c r="K44" s="498" t="s">
        <v>2248</v>
      </c>
      <c r="L44" t="s">
        <v>2245</v>
      </c>
      <c r="M44" s="807">
        <v>484789</v>
      </c>
      <c r="N44" s="807">
        <v>5143635.54</v>
      </c>
      <c r="O44" s="807">
        <v>5225945.54</v>
      </c>
      <c r="P44" s="807">
        <f>+M44+N44-O44</f>
        <v>402479</v>
      </c>
      <c r="V44" t="s">
        <v>2614</v>
      </c>
      <c r="W44">
        <v>300000</v>
      </c>
      <c r="X44" s="376">
        <v>0</v>
      </c>
    </row>
    <row r="45" spans="1:24">
      <c r="A45" s="134" t="s">
        <v>2242</v>
      </c>
      <c r="V45" t="s">
        <v>450</v>
      </c>
      <c r="W45" s="3">
        <f>83604790.78-X45</f>
        <v>68162084.870000005</v>
      </c>
      <c r="X45" s="376">
        <v>15442705.91</v>
      </c>
    </row>
    <row r="46" spans="1:24">
      <c r="V46" t="s">
        <v>2618</v>
      </c>
      <c r="W46" s="3">
        <f>17362000-X46</f>
        <v>639287</v>
      </c>
      <c r="X46" s="376">
        <v>16722713</v>
      </c>
    </row>
    <row r="47" spans="1:24">
      <c r="A47" s="2517" t="s">
        <v>1138</v>
      </c>
      <c r="B47" s="2228" t="s">
        <v>1139</v>
      </c>
      <c r="C47" s="2228"/>
      <c r="D47" s="2228"/>
      <c r="E47" s="2228"/>
      <c r="F47" s="2228"/>
      <c r="W47" s="539">
        <f>+SUM(W25:W46)</f>
        <v>107077987.7</v>
      </c>
      <c r="X47" s="539">
        <f>+SUM(X25:X46)</f>
        <v>39242252.909999996</v>
      </c>
    </row>
    <row r="48" spans="1:24">
      <c r="A48" s="2517"/>
      <c r="B48" s="135" t="s">
        <v>1140</v>
      </c>
      <c r="C48" s="135" t="s">
        <v>1141</v>
      </c>
      <c r="D48" s="135" t="s">
        <v>1142</v>
      </c>
      <c r="E48" s="135" t="s">
        <v>1143</v>
      </c>
      <c r="F48" s="135" t="s">
        <v>824</v>
      </c>
    </row>
    <row r="49" spans="1:16">
      <c r="A49" s="806" t="s">
        <v>1144</v>
      </c>
      <c r="B49" s="140"/>
      <c r="C49" s="140"/>
      <c r="D49" s="140"/>
      <c r="E49" s="140"/>
      <c r="F49" s="140"/>
    </row>
    <row r="50" spans="1:16">
      <c r="A50" s="806"/>
      <c r="B50" s="140"/>
      <c r="C50" s="140"/>
      <c r="D50" s="140"/>
      <c r="E50" s="140"/>
      <c r="F50" s="140"/>
    </row>
    <row r="51" spans="1:16">
      <c r="A51" s="140" t="s">
        <v>2899</v>
      </c>
      <c r="B51" s="1310">
        <f>7700000+99504980</f>
        <v>107204980</v>
      </c>
      <c r="C51" s="1310">
        <f>+F64</f>
        <v>39242251.689999998</v>
      </c>
      <c r="D51" s="1310"/>
      <c r="E51" s="1310"/>
      <c r="F51" s="808">
        <f>+SUM(B51:E51)</f>
        <v>146447231.69</v>
      </c>
      <c r="H51" s="124"/>
      <c r="K51" s="498"/>
      <c r="M51" s="807"/>
      <c r="N51" s="807"/>
      <c r="O51" s="807"/>
      <c r="P51" s="807"/>
    </row>
    <row r="52" spans="1:16">
      <c r="A52" s="856"/>
      <c r="B52" s="1310"/>
      <c r="C52" s="1310"/>
      <c r="D52" s="1310"/>
      <c r="E52" s="1310"/>
      <c r="F52" s="1310"/>
      <c r="K52" s="498"/>
      <c r="M52" s="807"/>
      <c r="N52" s="807"/>
      <c r="O52" s="807"/>
      <c r="P52" s="807"/>
    </row>
    <row r="53" spans="1:16">
      <c r="A53" s="140" t="s">
        <v>1145</v>
      </c>
      <c r="B53" s="808">
        <v>0</v>
      </c>
      <c r="C53" s="808">
        <v>0</v>
      </c>
      <c r="D53" s="808">
        <v>0</v>
      </c>
      <c r="E53" s="808">
        <v>0</v>
      </c>
      <c r="F53" s="808">
        <f>+SUM(B53:E53)</f>
        <v>0</v>
      </c>
      <c r="H53" s="124"/>
    </row>
    <row r="54" spans="1:16">
      <c r="A54" s="140"/>
      <c r="B54" s="808"/>
      <c r="C54" s="808"/>
      <c r="D54" s="808"/>
      <c r="E54" s="808"/>
      <c r="F54" s="808"/>
    </row>
    <row r="55" spans="1:16">
      <c r="A55" s="140" t="s">
        <v>824</v>
      </c>
      <c r="B55" s="808">
        <f>+SUM(B50:B54)</f>
        <v>107204980</v>
      </c>
      <c r="C55" s="808">
        <f>+SUM(C50:C54)</f>
        <v>39242251.689999998</v>
      </c>
      <c r="D55" s="808">
        <f>+SUM(D50:D54)</f>
        <v>0</v>
      </c>
      <c r="E55" s="808">
        <f>+SUM(E50:E54)</f>
        <v>0</v>
      </c>
      <c r="F55" s="808">
        <f>+SUM(F50:F54)</f>
        <v>146447231.69</v>
      </c>
    </row>
    <row r="56" spans="1:16">
      <c r="B56" s="124"/>
      <c r="C56" s="124"/>
      <c r="D56" s="124"/>
      <c r="E56" s="124"/>
      <c r="F56" s="124"/>
    </row>
    <row r="57" spans="1:16">
      <c r="B57" s="124"/>
      <c r="C57" s="124"/>
      <c r="D57" s="124"/>
      <c r="E57" s="124"/>
      <c r="F57" s="124"/>
    </row>
    <row r="58" spans="1:16">
      <c r="A58" s="134" t="s">
        <v>2243</v>
      </c>
      <c r="B58" s="124"/>
      <c r="C58" s="124"/>
      <c r="D58" s="124"/>
      <c r="E58" s="124"/>
      <c r="F58" s="124"/>
    </row>
    <row r="59" spans="1:16">
      <c r="B59" s="124"/>
      <c r="C59" s="124"/>
      <c r="D59" s="124"/>
      <c r="E59" s="124"/>
      <c r="F59" s="124"/>
    </row>
    <row r="60" spans="1:16">
      <c r="A60" s="2517" t="s">
        <v>1138</v>
      </c>
      <c r="B60" s="2506" t="s">
        <v>1139</v>
      </c>
      <c r="C60" s="2506"/>
      <c r="D60" s="2506"/>
      <c r="E60" s="2506"/>
      <c r="F60" s="2506"/>
    </row>
    <row r="61" spans="1:16">
      <c r="A61" s="2517"/>
      <c r="B61" s="725" t="s">
        <v>1140</v>
      </c>
      <c r="C61" s="725" t="s">
        <v>1141</v>
      </c>
      <c r="D61" s="725" t="s">
        <v>1142</v>
      </c>
      <c r="E61" s="725" t="s">
        <v>1143</v>
      </c>
      <c r="F61" s="725" t="s">
        <v>824</v>
      </c>
    </row>
    <row r="62" spans="1:16">
      <c r="A62" s="806" t="s">
        <v>1144</v>
      </c>
      <c r="B62" s="503"/>
      <c r="C62" s="503"/>
      <c r="D62" s="503"/>
      <c r="E62" s="503"/>
      <c r="F62" s="503"/>
    </row>
    <row r="63" spans="1:16">
      <c r="A63" s="806"/>
      <c r="B63" s="503"/>
      <c r="C63" s="503"/>
      <c r="D63" s="503"/>
      <c r="E63" s="503"/>
      <c r="F63" s="503"/>
    </row>
    <row r="64" spans="1:16">
      <c r="A64" s="140" t="s">
        <v>2899</v>
      </c>
      <c r="B64" s="1310">
        <f>40380749-B66</f>
        <v>39242251.689999998</v>
      </c>
      <c r="C64" s="1310">
        <v>0</v>
      </c>
      <c r="D64" s="1310">
        <v>0</v>
      </c>
      <c r="E64" s="1310">
        <v>0</v>
      </c>
      <c r="F64" s="808">
        <f>+SUM(B64:E64)</f>
        <v>39242251.689999998</v>
      </c>
    </row>
    <row r="65" spans="1:11">
      <c r="A65" s="856"/>
      <c r="B65" s="808"/>
      <c r="C65" s="808"/>
      <c r="D65" s="808"/>
      <c r="E65" s="808"/>
      <c r="F65" s="808"/>
    </row>
    <row r="66" spans="1:11">
      <c r="A66" s="140" t="s">
        <v>1145</v>
      </c>
      <c r="B66" s="808">
        <v>1138497.31</v>
      </c>
      <c r="C66" s="808">
        <v>0</v>
      </c>
      <c r="D66" s="808">
        <v>0</v>
      </c>
      <c r="E66" s="808">
        <v>0</v>
      </c>
      <c r="F66" s="808">
        <f>+SUM(B66:E66)</f>
        <v>1138497.31</v>
      </c>
    </row>
    <row r="67" spans="1:11">
      <c r="A67" s="140"/>
      <c r="B67" s="808"/>
      <c r="C67" s="808"/>
      <c r="D67" s="808"/>
      <c r="E67" s="808"/>
      <c r="F67" s="808"/>
    </row>
    <row r="68" spans="1:11">
      <c r="A68" s="140" t="s">
        <v>824</v>
      </c>
      <c r="B68" s="808">
        <f>+SUM(B63:B67)</f>
        <v>40380749</v>
      </c>
      <c r="C68" s="808">
        <f>+SUM(C63:C67)</f>
        <v>0</v>
      </c>
      <c r="D68" s="808">
        <f>+SUM(D63:D67)</f>
        <v>0</v>
      </c>
      <c r="E68" s="808">
        <f>+SUM(E63:E67)</f>
        <v>0</v>
      </c>
      <c r="F68" s="808">
        <f>+SUM(F63:F67)</f>
        <v>40380749</v>
      </c>
    </row>
    <row r="70" spans="1:11">
      <c r="J70" s="501">
        <f>+J104-BSPL!G9</f>
        <v>-162231592.04580298</v>
      </c>
    </row>
    <row r="71" spans="1:11" ht="15" thickBot="1">
      <c r="J71" s="501"/>
    </row>
    <row r="72" spans="1:11" ht="16.2" thickBot="1">
      <c r="A72" s="809"/>
      <c r="B72" s="2507" t="s">
        <v>2488</v>
      </c>
      <c r="C72" s="2507"/>
      <c r="D72" s="2507"/>
      <c r="E72" s="2507"/>
      <c r="F72" s="2507"/>
      <c r="G72" s="2507"/>
      <c r="H72" s="2507"/>
      <c r="I72" s="2507"/>
      <c r="J72" s="2507"/>
      <c r="K72" s="2508"/>
    </row>
    <row r="73" spans="1:11" ht="15.6">
      <c r="A73" s="2509"/>
      <c r="B73" s="2511" t="s">
        <v>1147</v>
      </c>
      <c r="C73" s="2512"/>
      <c r="D73" s="2512"/>
      <c r="E73" s="2513"/>
      <c r="F73" s="2514" t="s">
        <v>132</v>
      </c>
      <c r="G73" s="2515"/>
      <c r="H73" s="2516"/>
      <c r="I73" s="2515"/>
      <c r="J73" s="810">
        <v>45017</v>
      </c>
      <c r="K73" s="811">
        <v>45382</v>
      </c>
    </row>
    <row r="74" spans="1:11" ht="47.4" thickBot="1">
      <c r="A74" s="2510"/>
      <c r="B74" s="812">
        <v>45017</v>
      </c>
      <c r="C74" s="813" t="s">
        <v>3070</v>
      </c>
      <c r="D74" s="814" t="s">
        <v>3071</v>
      </c>
      <c r="E74" s="812">
        <v>45382</v>
      </c>
      <c r="F74" s="815" t="s">
        <v>3072</v>
      </c>
      <c r="G74" s="814" t="s">
        <v>1151</v>
      </c>
      <c r="H74" s="816" t="s">
        <v>1152</v>
      </c>
      <c r="I74" s="815" t="s">
        <v>1153</v>
      </c>
      <c r="J74" s="817" t="s">
        <v>1154</v>
      </c>
      <c r="K74" s="818" t="s">
        <v>1154</v>
      </c>
    </row>
    <row r="75" spans="1:11">
      <c r="A75" s="819" t="s">
        <v>1155</v>
      </c>
      <c r="B75" s="141">
        <f t="shared" ref="B75:B82" si="8">+E96</f>
        <v>33964999.899999999</v>
      </c>
      <c r="C75" s="142">
        <v>0</v>
      </c>
      <c r="D75" s="142"/>
      <c r="E75" s="142">
        <f>+B75+C75-D75</f>
        <v>33964999.899999999</v>
      </c>
      <c r="F75" s="142">
        <f t="shared" ref="F75:F82" si="9">+I96</f>
        <v>0</v>
      </c>
      <c r="G75" s="142">
        <v>0</v>
      </c>
      <c r="H75" s="142"/>
      <c r="I75" s="142">
        <f>+F75+G75-H75</f>
        <v>0</v>
      </c>
      <c r="J75" s="142">
        <f>+B75-F75</f>
        <v>33964999.899999999</v>
      </c>
      <c r="K75" s="143">
        <f>+E75-I75</f>
        <v>33964999.899999999</v>
      </c>
    </row>
    <row r="76" spans="1:11">
      <c r="A76" s="820" t="s">
        <v>1127</v>
      </c>
      <c r="B76" s="141">
        <f t="shared" si="8"/>
        <v>64116710.519999996</v>
      </c>
      <c r="C76" s="142">
        <v>10206973</v>
      </c>
      <c r="D76" s="142"/>
      <c r="E76" s="142">
        <f t="shared" ref="E76:E82" si="10">+B76+C76-D76</f>
        <v>74323683.519999996</v>
      </c>
      <c r="F76" s="142">
        <f t="shared" si="9"/>
        <v>9429330.0707179457</v>
      </c>
      <c r="G76" s="142">
        <f>+GETPIVOTDATA("Sum of Dr. Final 23-24",Pivot!$A$1,"PARTICULARS","Depreciation on Building","Note",,"BS Main Head","Depreciation &amp; Amortisation","BS Sub Head","Depreciation")</f>
        <v>2104855</v>
      </c>
      <c r="H76" s="142"/>
      <c r="I76" s="142">
        <f t="shared" ref="I76:I82" si="11">+F76+G76-H76</f>
        <v>11534185.070717946</v>
      </c>
      <c r="J76" s="142">
        <f t="shared" ref="J76:J82" si="12">+B76-F76</f>
        <v>54687380.44928205</v>
      </c>
      <c r="K76" s="143">
        <f t="shared" ref="K76:K82" si="13">+E76-I76</f>
        <v>62789498.44928205</v>
      </c>
    </row>
    <row r="77" spans="1:11">
      <c r="A77" s="820" t="s">
        <v>270</v>
      </c>
      <c r="B77" s="141">
        <f t="shared" si="8"/>
        <v>222167591.368</v>
      </c>
      <c r="C77" s="142">
        <v>138007930</v>
      </c>
      <c r="D77" s="142">
        <v>11551373</v>
      </c>
      <c r="E77" s="142">
        <f t="shared" si="10"/>
        <v>348624148.36800003</v>
      </c>
      <c r="F77" s="142">
        <f t="shared" si="9"/>
        <v>126775828.06722933</v>
      </c>
      <c r="G77" s="142">
        <f>+GETPIVOTDATA("Sum of Dr. Final 23-24",Pivot!$A$1,"PARTICULARS","Depreciation on Plant &amp; Machinery","Note",,"BS Main Head","Depreciation &amp; Amortisation","BS Sub Head","Depreciation")</f>
        <v>14032176</v>
      </c>
      <c r="H77" s="142">
        <v>11022866</v>
      </c>
      <c r="I77" s="142">
        <f t="shared" si="11"/>
        <v>129785138.06722933</v>
      </c>
      <c r="J77" s="142">
        <f t="shared" si="12"/>
        <v>95391763.30077067</v>
      </c>
      <c r="K77" s="143">
        <f t="shared" si="13"/>
        <v>218839010.3007707</v>
      </c>
    </row>
    <row r="78" spans="1:11">
      <c r="A78" s="820" t="s">
        <v>1128</v>
      </c>
      <c r="B78" s="141">
        <f t="shared" si="8"/>
        <v>2991111</v>
      </c>
      <c r="C78" s="142">
        <v>0</v>
      </c>
      <c r="D78" s="142"/>
      <c r="E78" s="142">
        <f t="shared" si="10"/>
        <v>2991111</v>
      </c>
      <c r="F78" s="142">
        <f t="shared" si="9"/>
        <v>1297018.2022631355</v>
      </c>
      <c r="G78" s="142">
        <f>+GETPIVOTDATA("Sum of Dr. Final 23-24",Pivot!$A$1,"PARTICULARS","Depreciation on Vehicle","Note",,"BS Main Head","Depreciation &amp; Amortisation","BS Sub Head","Depreciation")</f>
        <v>345303</v>
      </c>
      <c r="H78" s="142"/>
      <c r="I78" s="142">
        <f t="shared" si="11"/>
        <v>1642321.2022631355</v>
      </c>
      <c r="J78" s="142">
        <f t="shared" si="12"/>
        <v>1694092.7977368645</v>
      </c>
      <c r="K78" s="143">
        <f t="shared" si="13"/>
        <v>1348789.7977368645</v>
      </c>
    </row>
    <row r="79" spans="1:11">
      <c r="A79" s="820" t="s">
        <v>1129</v>
      </c>
      <c r="B79" s="141">
        <f t="shared" si="8"/>
        <v>898435.45771976002</v>
      </c>
      <c r="C79" s="142">
        <v>158186</v>
      </c>
      <c r="D79" s="142"/>
      <c r="E79" s="142">
        <f t="shared" si="10"/>
        <v>1056621.45771976</v>
      </c>
      <c r="F79" s="142">
        <f t="shared" si="9"/>
        <v>775626.64351598185</v>
      </c>
      <c r="G79" s="142">
        <f>+GETPIVOTDATA("Sum of Dr. Final 23-24",Pivot!$A$1,"PARTICULARS","Depreciation on Computer","Note",,"BS Main Head","Depreciation &amp; Amortisation","BS Sub Head","Depreciation")</f>
        <v>97152</v>
      </c>
      <c r="H79" s="142"/>
      <c r="I79" s="142">
        <f t="shared" si="11"/>
        <v>872778.64351598185</v>
      </c>
      <c r="J79" s="142">
        <f t="shared" si="12"/>
        <v>122808.81420377817</v>
      </c>
      <c r="K79" s="143">
        <f t="shared" si="13"/>
        <v>183842.81420377817</v>
      </c>
    </row>
    <row r="80" spans="1:11">
      <c r="A80" s="820" t="s">
        <v>1130</v>
      </c>
      <c r="B80" s="141">
        <f t="shared" si="8"/>
        <v>1123743.1299999999</v>
      </c>
      <c r="C80" s="142">
        <v>84623</v>
      </c>
      <c r="D80" s="142"/>
      <c r="E80" s="142">
        <f t="shared" si="10"/>
        <v>1208366.1299999999</v>
      </c>
      <c r="F80" s="142">
        <f t="shared" si="9"/>
        <v>826595.14323580917</v>
      </c>
      <c r="G80" s="142">
        <f>+GETPIVOTDATA("Sum of Dr. Final 23-24",Pivot!$A$1,"PARTICULARS","Depreciation on Office Equipment","Note",,"BS Main Head","Depreciation &amp; Amortisation","BS Sub Head","Depreciation")</f>
        <v>109389</v>
      </c>
      <c r="H80" s="142"/>
      <c r="I80" s="142">
        <f t="shared" si="11"/>
        <v>935984.14323580917</v>
      </c>
      <c r="J80" s="142">
        <f t="shared" si="12"/>
        <v>297147.98676419072</v>
      </c>
      <c r="K80" s="143">
        <f t="shared" si="13"/>
        <v>272381.98676419072</v>
      </c>
    </row>
    <row r="81" spans="1:13">
      <c r="A81" s="820" t="s">
        <v>1131</v>
      </c>
      <c r="B81" s="141">
        <f t="shared" si="8"/>
        <v>1884829.03</v>
      </c>
      <c r="C81" s="142">
        <v>98020</v>
      </c>
      <c r="D81" s="142"/>
      <c r="E81" s="142">
        <f t="shared" si="10"/>
        <v>1982849.03</v>
      </c>
      <c r="F81" s="142">
        <f t="shared" si="9"/>
        <v>1118927.9912144693</v>
      </c>
      <c r="G81" s="142">
        <f>+GETPIVOTDATA("Sum of Dr. Final 23-24",Pivot!$A$1,"PARTICULARS","Depreciation on Furniture &amp; Fixture","Note",,"BS Main Head","Depreciation &amp; Amortisation","BS Sub Head","Depreciation")</f>
        <v>103879</v>
      </c>
      <c r="H81" s="142"/>
      <c r="I81" s="142">
        <f t="shared" si="11"/>
        <v>1222806.9912144693</v>
      </c>
      <c r="J81" s="142">
        <f t="shared" si="12"/>
        <v>765901.03878553072</v>
      </c>
      <c r="K81" s="143">
        <f t="shared" si="13"/>
        <v>760042.03878553072</v>
      </c>
    </row>
    <row r="82" spans="1:13" ht="15" thickBot="1">
      <c r="A82" s="821" t="s">
        <v>1132</v>
      </c>
      <c r="B82" s="141">
        <f t="shared" si="8"/>
        <v>26557048.080000002</v>
      </c>
      <c r="C82" s="142">
        <v>48720609</v>
      </c>
      <c r="D82" s="142">
        <f>5832405-1.41</f>
        <v>5832403.5899999999</v>
      </c>
      <c r="E82" s="142">
        <f t="shared" si="10"/>
        <v>69445253.489999995</v>
      </c>
      <c r="F82" s="142">
        <f t="shared" si="9"/>
        <v>20052881.90260445</v>
      </c>
      <c r="G82" s="142">
        <f>+GETPIVOTDATA("Sum of Dr. Final 23-24",Pivot!$A$1,"PARTICULARS","Depreciation Electrical Installation","Note",,"BS Main Head","Depreciation &amp; Amortisation","BS Sub Head","Depreciation")</f>
        <v>2791142</v>
      </c>
      <c r="H82" s="142">
        <v>5419323</v>
      </c>
      <c r="I82" s="142">
        <f t="shared" si="11"/>
        <v>17424700.90260445</v>
      </c>
      <c r="J82" s="142">
        <f t="shared" si="12"/>
        <v>6504166.1773955524</v>
      </c>
      <c r="K82" s="143">
        <f t="shared" si="13"/>
        <v>52020552.587395549</v>
      </c>
    </row>
    <row r="83" spans="1:13" ht="16.2" thickBot="1">
      <c r="A83" s="822" t="s">
        <v>1156</v>
      </c>
      <c r="B83" s="823">
        <f t="shared" ref="B83:K83" si="14">SUM(B75:B82)</f>
        <v>353704468.48571968</v>
      </c>
      <c r="C83" s="823">
        <f t="shared" si="14"/>
        <v>197276341</v>
      </c>
      <c r="D83" s="823">
        <f t="shared" si="14"/>
        <v>17383776.59</v>
      </c>
      <c r="E83" s="823">
        <f t="shared" si="14"/>
        <v>533597032.89571971</v>
      </c>
      <c r="F83" s="823">
        <f t="shared" si="14"/>
        <v>160276208.02078113</v>
      </c>
      <c r="G83" s="823">
        <f t="shared" si="14"/>
        <v>19583896</v>
      </c>
      <c r="H83" s="823">
        <f t="shared" si="14"/>
        <v>16442189</v>
      </c>
      <c r="I83" s="823">
        <f t="shared" si="14"/>
        <v>163417915.02078113</v>
      </c>
      <c r="J83" s="823">
        <f t="shared" si="14"/>
        <v>193428260.46493861</v>
      </c>
      <c r="K83" s="823">
        <f t="shared" si="14"/>
        <v>370179117.87493873</v>
      </c>
    </row>
    <row r="84" spans="1:13" ht="15" thickBot="1">
      <c r="J84" s="501"/>
    </row>
    <row r="85" spans="1:13" ht="15" thickBot="1">
      <c r="A85" s="826" t="s">
        <v>399</v>
      </c>
      <c r="B85" s="827"/>
      <c r="C85" s="827"/>
      <c r="D85" s="827"/>
      <c r="E85" s="827"/>
      <c r="F85" s="827"/>
      <c r="G85" s="827"/>
      <c r="H85" s="827"/>
      <c r="I85" s="827"/>
      <c r="J85" s="827"/>
      <c r="K85" s="828"/>
    </row>
    <row r="86" spans="1:13">
      <c r="A86" s="829" t="s">
        <v>1157</v>
      </c>
      <c r="B86" s="830">
        <f>+K107</f>
        <v>6416446.5099999998</v>
      </c>
      <c r="C86" s="912">
        <v>3850638.38</v>
      </c>
      <c r="D86" s="913">
        <v>10267084.890000001</v>
      </c>
      <c r="E86" s="912">
        <f>B86+C86-D86</f>
        <v>0</v>
      </c>
      <c r="F86" s="142">
        <v>0</v>
      </c>
      <c r="G86" s="142">
        <v>0</v>
      </c>
      <c r="H86" s="142">
        <v>0</v>
      </c>
      <c r="I86" s="142">
        <v>0</v>
      </c>
      <c r="J86" s="831">
        <f>+B86</f>
        <v>6416446.5099999998</v>
      </c>
      <c r="K86" s="831">
        <f>E86</f>
        <v>0</v>
      </c>
    </row>
    <row r="87" spans="1:13" ht="15" thickBot="1">
      <c r="A87" s="832" t="s">
        <v>1158</v>
      </c>
      <c r="B87" s="830">
        <f>+K108</f>
        <v>140030785.24000001</v>
      </c>
      <c r="C87" s="912">
        <v>160369732.47</v>
      </c>
      <c r="D87" s="913">
        <v>300400517.70999998</v>
      </c>
      <c r="E87" s="912">
        <f>B87+C87-D87</f>
        <v>0</v>
      </c>
      <c r="F87" s="142">
        <v>0</v>
      </c>
      <c r="G87" s="142">
        <v>0</v>
      </c>
      <c r="H87" s="142">
        <v>0</v>
      </c>
      <c r="I87" s="142">
        <v>0</v>
      </c>
      <c r="J87" s="833">
        <f>B87</f>
        <v>140030785.24000001</v>
      </c>
      <c r="K87" s="831">
        <f>E87</f>
        <v>0</v>
      </c>
    </row>
    <row r="88" spans="1:13" ht="16.2" thickBot="1">
      <c r="A88" s="834" t="s">
        <v>1156</v>
      </c>
      <c r="B88" s="835">
        <f>SUM(B86:B87)</f>
        <v>146447231.75</v>
      </c>
      <c r="C88" s="823">
        <f t="shared" ref="C88:D88" si="15">SUM(C86:C87)</f>
        <v>164220370.84999999</v>
      </c>
      <c r="D88" s="823">
        <f t="shared" si="15"/>
        <v>310667602.59999996</v>
      </c>
      <c r="E88" s="823">
        <f>SUM(E86:E87)</f>
        <v>0</v>
      </c>
      <c r="F88" s="823">
        <f t="shared" ref="F88:K88" si="16">SUM(F86:F87)</f>
        <v>0</v>
      </c>
      <c r="G88" s="823">
        <f t="shared" si="16"/>
        <v>0</v>
      </c>
      <c r="H88" s="823">
        <f t="shared" si="16"/>
        <v>0</v>
      </c>
      <c r="I88" s="823">
        <f t="shared" si="16"/>
        <v>0</v>
      </c>
      <c r="J88" s="823">
        <f t="shared" si="16"/>
        <v>146447231.75</v>
      </c>
      <c r="K88" s="836">
        <f t="shared" si="16"/>
        <v>0</v>
      </c>
    </row>
    <row r="89" spans="1:13" ht="15" thickBot="1">
      <c r="A89" s="837"/>
      <c r="K89" s="825"/>
    </row>
    <row r="90" spans="1:13" ht="16.2" thickBot="1">
      <c r="A90" s="834" t="s">
        <v>824</v>
      </c>
      <c r="B90" s="835">
        <f>B83+B88</f>
        <v>500151700.23571968</v>
      </c>
      <c r="C90" s="823">
        <f t="shared" ref="C90:D90" si="17">C83+C88</f>
        <v>361496711.85000002</v>
      </c>
      <c r="D90" s="823">
        <f t="shared" si="17"/>
        <v>328051379.18999994</v>
      </c>
      <c r="E90" s="823">
        <f>E83+E88</f>
        <v>533597032.89571971</v>
      </c>
      <c r="F90" s="823">
        <f t="shared" ref="F90:K90" si="18">F83+F88</f>
        <v>160276208.02078113</v>
      </c>
      <c r="G90" s="823">
        <f t="shared" si="18"/>
        <v>19583896</v>
      </c>
      <c r="H90" s="823">
        <f t="shared" si="18"/>
        <v>16442189</v>
      </c>
      <c r="I90" s="823">
        <f t="shared" si="18"/>
        <v>163417915.02078113</v>
      </c>
      <c r="J90" s="823">
        <f t="shared" si="18"/>
        <v>339875492.21493864</v>
      </c>
      <c r="K90" s="836">
        <f t="shared" si="18"/>
        <v>370179117.87493873</v>
      </c>
    </row>
    <row r="91" spans="1:13">
      <c r="J91" s="501"/>
    </row>
    <row r="92" spans="1:13" ht="15" thickBot="1"/>
    <row r="93" spans="1:13" ht="16.2" thickBot="1">
      <c r="A93" s="809"/>
      <c r="B93" s="2507" t="s">
        <v>1163</v>
      </c>
      <c r="C93" s="2507"/>
      <c r="D93" s="2507"/>
      <c r="E93" s="2507"/>
      <c r="F93" s="2507"/>
      <c r="G93" s="2507"/>
      <c r="H93" s="2507"/>
      <c r="I93" s="2507"/>
      <c r="J93" s="2507"/>
      <c r="K93" s="2508"/>
    </row>
    <row r="94" spans="1:13" ht="15.6">
      <c r="A94" s="2509"/>
      <c r="B94" s="2511" t="s">
        <v>1147</v>
      </c>
      <c r="C94" s="2512"/>
      <c r="D94" s="2512"/>
      <c r="E94" s="2513"/>
      <c r="F94" s="2514" t="s">
        <v>132</v>
      </c>
      <c r="G94" s="2515"/>
      <c r="H94" s="2516"/>
      <c r="I94" s="2515"/>
      <c r="J94" s="810">
        <v>44652</v>
      </c>
      <c r="K94" s="811">
        <v>45016</v>
      </c>
    </row>
    <row r="95" spans="1:13" ht="47.4" thickBot="1">
      <c r="A95" s="2510"/>
      <c r="B95" s="812">
        <v>44652</v>
      </c>
      <c r="C95" s="813" t="s">
        <v>1164</v>
      </c>
      <c r="D95" s="814" t="s">
        <v>1165</v>
      </c>
      <c r="E95" s="812">
        <v>45016</v>
      </c>
      <c r="F95" s="815" t="s">
        <v>1166</v>
      </c>
      <c r="G95" s="814" t="s">
        <v>1151</v>
      </c>
      <c r="H95" s="816" t="s">
        <v>1152</v>
      </c>
      <c r="I95" s="815" t="s">
        <v>1153</v>
      </c>
      <c r="J95" s="817" t="s">
        <v>1154</v>
      </c>
      <c r="K95" s="818" t="s">
        <v>1154</v>
      </c>
    </row>
    <row r="96" spans="1:13">
      <c r="A96" s="819" t="s">
        <v>1155</v>
      </c>
      <c r="B96" s="141">
        <f>+E120</f>
        <v>33964999.899999999</v>
      </c>
      <c r="C96" s="142">
        <f>+'[79]Summary 2022-23'!C4</f>
        <v>0</v>
      </c>
      <c r="D96" s="142">
        <v>0</v>
      </c>
      <c r="E96" s="142">
        <f>+B96+C96-D96</f>
        <v>33964999.899999999</v>
      </c>
      <c r="F96" s="142">
        <f>+I120</f>
        <v>0</v>
      </c>
      <c r="G96" s="142">
        <f>+'[79]Summary 2022-23'!G4</f>
        <v>0</v>
      </c>
      <c r="H96" s="142">
        <v>0</v>
      </c>
      <c r="I96" s="142">
        <f>+F96+G96-H96</f>
        <v>0</v>
      </c>
      <c r="J96" s="142">
        <f>+B96-F96</f>
        <v>33964999.899999999</v>
      </c>
      <c r="K96" s="143">
        <f>+E96-I96</f>
        <v>33964999.899999999</v>
      </c>
      <c r="M96">
        <f>899004-236000</f>
        <v>663004</v>
      </c>
    </row>
    <row r="97" spans="1:14">
      <c r="A97" s="820" t="s">
        <v>1127</v>
      </c>
      <c r="B97" s="141">
        <f t="shared" ref="B97:B103" si="19">+E121</f>
        <v>61286378.519999996</v>
      </c>
      <c r="C97" s="142">
        <f>+'[79]Summary 2022-23'!C5</f>
        <v>2830332</v>
      </c>
      <c r="D97" s="142">
        <v>0</v>
      </c>
      <c r="E97" s="142">
        <f t="shared" ref="E97:E103" si="20">+B97+C97-D97</f>
        <v>64116710.519999996</v>
      </c>
      <c r="F97" s="142">
        <f t="shared" ref="F97:F103" si="21">+I121+0.4</f>
        <v>7440220.8707179464</v>
      </c>
      <c r="G97" s="142">
        <f>1989109+0.2</f>
        <v>1989109.2</v>
      </c>
      <c r="H97" s="142">
        <v>0</v>
      </c>
      <c r="I97" s="142">
        <f t="shared" ref="I97:I103" si="22">+F97+G97-H97</f>
        <v>9429330.0707179457</v>
      </c>
      <c r="J97" s="142">
        <f t="shared" ref="J97:J103" si="23">+B97-F97</f>
        <v>53846157.649282053</v>
      </c>
      <c r="K97" s="143">
        <f t="shared" ref="K97:K103" si="24">+E97-I97</f>
        <v>54687380.44928205</v>
      </c>
      <c r="M97">
        <v>45750</v>
      </c>
    </row>
    <row r="98" spans="1:14">
      <c r="A98" s="820" t="s">
        <v>270</v>
      </c>
      <c r="B98" s="141">
        <f t="shared" si="19"/>
        <v>222104413.368</v>
      </c>
      <c r="C98" s="142">
        <f>+'[79]Summary 2022-23'!C6</f>
        <v>63178</v>
      </c>
      <c r="D98" s="142">
        <v>0</v>
      </c>
      <c r="E98" s="142">
        <f t="shared" si="20"/>
        <v>222167591.368</v>
      </c>
      <c r="F98" s="142">
        <f t="shared" si="21"/>
        <v>113124942.86722933</v>
      </c>
      <c r="G98" s="142">
        <f>13650885+0.2</f>
        <v>13650885.199999999</v>
      </c>
      <c r="H98" s="142">
        <v>0</v>
      </c>
      <c r="I98" s="142">
        <f t="shared" si="22"/>
        <v>126775828.06722933</v>
      </c>
      <c r="J98" s="142">
        <f t="shared" si="23"/>
        <v>108979470.50077067</v>
      </c>
      <c r="K98" s="143">
        <f t="shared" si="24"/>
        <v>95391763.30077067</v>
      </c>
      <c r="M98">
        <v>7860196</v>
      </c>
    </row>
    <row r="99" spans="1:14">
      <c r="A99" s="820" t="s">
        <v>1128</v>
      </c>
      <c r="B99" s="141">
        <f t="shared" si="19"/>
        <v>2991111</v>
      </c>
      <c r="C99" s="142">
        <f>+'[79]Summary 2022-23'!C7</f>
        <v>0</v>
      </c>
      <c r="D99" s="142">
        <v>0</v>
      </c>
      <c r="E99" s="142">
        <f t="shared" si="20"/>
        <v>2991111</v>
      </c>
      <c r="F99" s="142">
        <f t="shared" si="21"/>
        <v>927869.20226313535</v>
      </c>
      <c r="G99" s="142">
        <f>369149</f>
        <v>369149</v>
      </c>
      <c r="H99" s="142">
        <v>0</v>
      </c>
      <c r="I99" s="142">
        <f t="shared" si="22"/>
        <v>1297018.2022631355</v>
      </c>
      <c r="J99" s="142">
        <f t="shared" si="23"/>
        <v>2063241.7977368645</v>
      </c>
      <c r="K99" s="143">
        <f t="shared" si="24"/>
        <v>1694092.7977368645</v>
      </c>
      <c r="M99">
        <v>464592</v>
      </c>
    </row>
    <row r="100" spans="1:14">
      <c r="A100" s="820" t="s">
        <v>1129</v>
      </c>
      <c r="B100" s="141">
        <f t="shared" si="19"/>
        <v>868635.45771976002</v>
      </c>
      <c r="C100" s="142">
        <f>+'[79]Summary 2022-23'!C8</f>
        <v>29800</v>
      </c>
      <c r="D100" s="142">
        <v>0</v>
      </c>
      <c r="E100" s="142">
        <f t="shared" si="20"/>
        <v>898435.45771976002</v>
      </c>
      <c r="F100" s="142">
        <f t="shared" si="21"/>
        <v>730456.64351598185</v>
      </c>
      <c r="G100" s="142">
        <v>45170</v>
      </c>
      <c r="H100" s="142">
        <v>0</v>
      </c>
      <c r="I100" s="142">
        <f t="shared" si="22"/>
        <v>775626.64351598185</v>
      </c>
      <c r="J100" s="142">
        <f t="shared" si="23"/>
        <v>138178.81420377817</v>
      </c>
      <c r="K100" s="143">
        <f t="shared" si="24"/>
        <v>122808.81420377817</v>
      </c>
      <c r="M100">
        <v>8108281.5999999996</v>
      </c>
      <c r="N100">
        <v>-2830332</v>
      </c>
    </row>
    <row r="101" spans="1:14">
      <c r="A101" s="820" t="s">
        <v>1130</v>
      </c>
      <c r="B101" s="141">
        <f t="shared" si="19"/>
        <v>1123743.1299999999</v>
      </c>
      <c r="C101" s="142">
        <f>+'[79]Summary 2022-23'!C9</f>
        <v>0</v>
      </c>
      <c r="D101" s="142">
        <v>0</v>
      </c>
      <c r="E101" s="142">
        <f t="shared" si="20"/>
        <v>1123743.1299999999</v>
      </c>
      <c r="F101" s="142">
        <f t="shared" si="21"/>
        <v>712523.14323580917</v>
      </c>
      <c r="G101" s="142">
        <v>114072</v>
      </c>
      <c r="H101" s="142">
        <v>0</v>
      </c>
      <c r="I101" s="142">
        <f t="shared" si="22"/>
        <v>826595.14323580917</v>
      </c>
      <c r="J101" s="142">
        <f t="shared" si="23"/>
        <v>411219.98676419072</v>
      </c>
      <c r="K101" s="143">
        <f t="shared" si="24"/>
        <v>297147.98676419072</v>
      </c>
      <c r="M101">
        <v>22526626.920000002</v>
      </c>
    </row>
    <row r="102" spans="1:14">
      <c r="A102" s="820" t="s">
        <v>1131</v>
      </c>
      <c r="B102" s="141">
        <f t="shared" si="19"/>
        <v>1344197.03</v>
      </c>
      <c r="C102" s="142">
        <f>+'[79]Summary 2022-23'!C10</f>
        <v>540632</v>
      </c>
      <c r="D102" s="142">
        <v>0</v>
      </c>
      <c r="E102" s="142">
        <f t="shared" si="20"/>
        <v>1884829.03</v>
      </c>
      <c r="F102" s="142">
        <f t="shared" si="21"/>
        <v>1062733.9912144693</v>
      </c>
      <c r="G102" s="142">
        <v>56194</v>
      </c>
      <c r="H102" s="142">
        <v>0</v>
      </c>
      <c r="I102" s="142">
        <f t="shared" si="22"/>
        <v>1118927.9912144693</v>
      </c>
      <c r="J102" s="142">
        <f t="shared" si="23"/>
        <v>281463.03878553072</v>
      </c>
      <c r="K102" s="143">
        <f t="shared" si="24"/>
        <v>765901.03878553072</v>
      </c>
      <c r="M102">
        <v>300000</v>
      </c>
    </row>
    <row r="103" spans="1:14" ht="15" thickBot="1">
      <c r="A103" s="821" t="s">
        <v>1132</v>
      </c>
      <c r="B103" s="141">
        <f t="shared" si="19"/>
        <v>26458588.080000002</v>
      </c>
      <c r="C103" s="142">
        <f>+'[79]Summary 2022-23'!C11</f>
        <v>98460</v>
      </c>
      <c r="D103" s="142">
        <v>0</v>
      </c>
      <c r="E103" s="142">
        <f t="shared" si="20"/>
        <v>26557048.080000002</v>
      </c>
      <c r="F103" s="142">
        <f t="shared" si="21"/>
        <v>18195793.90260445</v>
      </c>
      <c r="G103" s="142">
        <v>1857088</v>
      </c>
      <c r="H103" s="142">
        <v>0</v>
      </c>
      <c r="I103" s="142">
        <f t="shared" si="22"/>
        <v>20052881.90260445</v>
      </c>
      <c r="J103" s="142">
        <f t="shared" si="23"/>
        <v>8262794.1773955524</v>
      </c>
      <c r="K103" s="143">
        <f t="shared" si="24"/>
        <v>6504166.1773955524</v>
      </c>
      <c r="M103">
        <f>68406176.87-117100</f>
        <v>68289076.870000005</v>
      </c>
    </row>
    <row r="104" spans="1:14" ht="16.2" thickBot="1">
      <c r="A104" s="822" t="s">
        <v>1156</v>
      </c>
      <c r="B104" s="823">
        <f>SUM(B96:B103)</f>
        <v>350142066.48571968</v>
      </c>
      <c r="C104" s="823">
        <f>SUM(C96:C103)</f>
        <v>3562402</v>
      </c>
      <c r="D104" s="823">
        <v>0</v>
      </c>
      <c r="E104" s="823">
        <f>SUM(E96:E103)</f>
        <v>353704468.48571968</v>
      </c>
      <c r="F104" s="823">
        <f>SUM(F96:F103)</f>
        <v>142194540.62078112</v>
      </c>
      <c r="G104" s="823">
        <f>SUM(G96:G103)</f>
        <v>18081667.399999999</v>
      </c>
      <c r="H104" s="823">
        <v>0</v>
      </c>
      <c r="I104" s="823">
        <f>SUM(I96:I103)</f>
        <v>160276208.02078113</v>
      </c>
      <c r="J104" s="823">
        <f>SUM(J96:J103)</f>
        <v>207947525.86493859</v>
      </c>
      <c r="K104" s="823">
        <f>SUM(K96:K103)</f>
        <v>193428260.46493861</v>
      </c>
      <c r="M104">
        <f>7700000-7060713</f>
        <v>639287</v>
      </c>
    </row>
    <row r="105" spans="1:14" ht="15" thickBot="1">
      <c r="A105" s="824"/>
      <c r="B105" s="148"/>
      <c r="K105" s="825"/>
      <c r="M105">
        <f>+SUM(M96:M104)</f>
        <v>108896814.39000002</v>
      </c>
    </row>
    <row r="106" spans="1:14" ht="15" thickBot="1">
      <c r="A106" s="826" t="s">
        <v>399</v>
      </c>
      <c r="B106" s="827"/>
      <c r="C106" s="827"/>
      <c r="D106" s="827"/>
      <c r="E106" s="827"/>
      <c r="F106" s="827"/>
      <c r="G106" s="827"/>
      <c r="H106" s="827"/>
      <c r="I106" s="827"/>
      <c r="J106" s="827"/>
      <c r="K106" s="828"/>
      <c r="M106">
        <f>+M105-M100</f>
        <v>100788532.79000002</v>
      </c>
    </row>
    <row r="107" spans="1:14">
      <c r="A107" s="829" t="s">
        <v>1157</v>
      </c>
      <c r="B107" s="830">
        <f>+E131</f>
        <v>1138496.9099999997</v>
      </c>
      <c r="C107" s="912">
        <f>8108281.6</f>
        <v>8108281.5999999996</v>
      </c>
      <c r="D107" s="913">
        <f>+C97</f>
        <v>2830332</v>
      </c>
      <c r="E107" s="912">
        <f>B107+C107-D107</f>
        <v>6416446.5099999998</v>
      </c>
      <c r="F107" s="142">
        <v>0</v>
      </c>
      <c r="G107" s="142">
        <v>0</v>
      </c>
      <c r="H107" s="142">
        <v>0</v>
      </c>
      <c r="I107" s="142">
        <v>0</v>
      </c>
      <c r="J107" s="831">
        <f>+B107</f>
        <v>1138496.9099999997</v>
      </c>
      <c r="K107" s="831">
        <f>E107</f>
        <v>6416446.5099999998</v>
      </c>
    </row>
    <row r="108" spans="1:14" ht="15" thickBot="1">
      <c r="A108" s="832" t="s">
        <v>1158</v>
      </c>
      <c r="B108" s="830">
        <f>+E132</f>
        <v>39242252.449999996</v>
      </c>
      <c r="C108" s="912">
        <f>+M106</f>
        <v>100788532.79000002</v>
      </c>
      <c r="D108" s="913">
        <v>0</v>
      </c>
      <c r="E108" s="912">
        <f>B108+C108-D108</f>
        <v>140030785.24000001</v>
      </c>
      <c r="F108" s="142">
        <v>0</v>
      </c>
      <c r="G108" s="142">
        <v>0</v>
      </c>
      <c r="H108" s="142">
        <v>0</v>
      </c>
      <c r="I108" s="142">
        <v>0</v>
      </c>
      <c r="J108" s="833">
        <f>B108</f>
        <v>39242252.449999996</v>
      </c>
      <c r="K108" s="831">
        <f>E108</f>
        <v>140030785.24000001</v>
      </c>
    </row>
    <row r="109" spans="1:14" ht="16.2" thickBot="1">
      <c r="A109" s="834" t="s">
        <v>1156</v>
      </c>
      <c r="B109" s="835">
        <f>SUM(B107:B108)</f>
        <v>40380749.359999992</v>
      </c>
      <c r="C109" s="823">
        <f t="shared" ref="C109:D109" si="25">SUM(C107:C108)</f>
        <v>108896814.39000002</v>
      </c>
      <c r="D109" s="823">
        <f t="shared" si="25"/>
        <v>2830332</v>
      </c>
      <c r="E109" s="823">
        <f>SUM(E107:E108)</f>
        <v>146447231.75</v>
      </c>
      <c r="F109" s="823">
        <f t="shared" ref="F109:K109" si="26">SUM(F107:F108)</f>
        <v>0</v>
      </c>
      <c r="G109" s="823">
        <f t="shared" si="26"/>
        <v>0</v>
      </c>
      <c r="H109" s="823">
        <f t="shared" si="26"/>
        <v>0</v>
      </c>
      <c r="I109" s="823">
        <f t="shared" si="26"/>
        <v>0</v>
      </c>
      <c r="J109" s="823">
        <f t="shared" si="26"/>
        <v>40380749.359999992</v>
      </c>
      <c r="K109" s="836">
        <f t="shared" si="26"/>
        <v>146447231.75</v>
      </c>
    </row>
    <row r="110" spans="1:14" ht="15" thickBot="1">
      <c r="A110" s="837"/>
      <c r="K110" s="825"/>
    </row>
    <row r="111" spans="1:14" ht="16.2" thickBot="1">
      <c r="A111" s="834" t="s">
        <v>824</v>
      </c>
      <c r="B111" s="835">
        <f>B104+B109</f>
        <v>390522815.8457197</v>
      </c>
      <c r="C111" s="823">
        <f t="shared" ref="C111:D111" si="27">C104+C109</f>
        <v>112459216.39000002</v>
      </c>
      <c r="D111" s="823">
        <f t="shared" si="27"/>
        <v>2830332</v>
      </c>
      <c r="E111" s="823">
        <f>E104+E109</f>
        <v>500151700.23571968</v>
      </c>
      <c r="F111" s="823">
        <f t="shared" ref="F111:K111" si="28">F104+F109</f>
        <v>142194540.62078112</v>
      </c>
      <c r="G111" s="823">
        <f t="shared" si="28"/>
        <v>18081667.399999999</v>
      </c>
      <c r="H111" s="823">
        <f t="shared" si="28"/>
        <v>0</v>
      </c>
      <c r="I111" s="823">
        <f t="shared" si="28"/>
        <v>160276208.02078113</v>
      </c>
      <c r="J111" s="823">
        <f t="shared" si="28"/>
        <v>248328275.22493857</v>
      </c>
      <c r="K111" s="836">
        <f t="shared" si="28"/>
        <v>339875492.21493864</v>
      </c>
    </row>
    <row r="116" spans="1:11" ht="15" thickBot="1"/>
    <row r="117" spans="1:11" ht="16.2" thickBot="1">
      <c r="A117" s="809"/>
      <c r="B117" s="2507" t="s">
        <v>1146</v>
      </c>
      <c r="C117" s="2507"/>
      <c r="D117" s="2507"/>
      <c r="E117" s="2507"/>
      <c r="F117" s="2507"/>
      <c r="G117" s="2507"/>
      <c r="H117" s="2507"/>
      <c r="I117" s="2507"/>
      <c r="J117" s="2507"/>
      <c r="K117" s="2508"/>
    </row>
    <row r="118" spans="1:11" ht="15.6">
      <c r="A118" s="2509"/>
      <c r="B118" s="2511" t="s">
        <v>1147</v>
      </c>
      <c r="C118" s="2512"/>
      <c r="D118" s="2512"/>
      <c r="E118" s="2513"/>
      <c r="F118" s="2514" t="s">
        <v>132</v>
      </c>
      <c r="G118" s="2515"/>
      <c r="H118" s="2516"/>
      <c r="I118" s="2515"/>
      <c r="J118" s="810">
        <v>44287</v>
      </c>
      <c r="K118" s="811">
        <v>44651</v>
      </c>
    </row>
    <row r="119" spans="1:11" ht="47.4" thickBot="1">
      <c r="A119" s="2510"/>
      <c r="B119" s="812">
        <v>44287</v>
      </c>
      <c r="C119" s="813" t="s">
        <v>1148</v>
      </c>
      <c r="D119" s="814" t="s">
        <v>1149</v>
      </c>
      <c r="E119" s="812">
        <v>44651</v>
      </c>
      <c r="F119" s="815" t="s">
        <v>1150</v>
      </c>
      <c r="G119" s="814" t="s">
        <v>1151</v>
      </c>
      <c r="H119" s="816" t="s">
        <v>1152</v>
      </c>
      <c r="I119" s="815" t="s">
        <v>1153</v>
      </c>
      <c r="J119" s="817" t="s">
        <v>1154</v>
      </c>
      <c r="K119" s="818" t="s">
        <v>1154</v>
      </c>
    </row>
    <row r="120" spans="1:11">
      <c r="A120" s="819" t="s">
        <v>1155</v>
      </c>
      <c r="B120" s="141">
        <f>+'[80]Summary-20-21'!E4</f>
        <v>33964999.899999999</v>
      </c>
      <c r="C120" s="142">
        <f>+'[80]Summary 2021-22'!C4</f>
        <v>0</v>
      </c>
      <c r="D120" s="142">
        <f>+'[80]Summary 2021-22'!D4</f>
        <v>0</v>
      </c>
      <c r="E120" s="142">
        <f>B120+C120-D120</f>
        <v>33964999.899999999</v>
      </c>
      <c r="F120" s="142">
        <f>+'[80]Summary-20-21'!I4</f>
        <v>0</v>
      </c>
      <c r="G120" s="142">
        <f>+'[80]Summary 2021-22'!G4</f>
        <v>0</v>
      </c>
      <c r="H120" s="142">
        <v>0</v>
      </c>
      <c r="I120" s="142">
        <v>0</v>
      </c>
      <c r="J120" s="142">
        <f>B120-F120</f>
        <v>33964999.899999999</v>
      </c>
      <c r="K120" s="143">
        <f t="shared" ref="K120:K127" si="29">E120-I120</f>
        <v>33964999.899999999</v>
      </c>
    </row>
    <row r="121" spans="1:11">
      <c r="A121" s="820" t="s">
        <v>1127</v>
      </c>
      <c r="B121" s="141">
        <f>+'[80]Summary-20-21'!E5</f>
        <v>58923230.529999994</v>
      </c>
      <c r="C121" s="142">
        <f>+'[80]Summary 2021-22'!C5</f>
        <v>2363147.9900000002</v>
      </c>
      <c r="D121" s="142">
        <f>+'[80]Summary 2021-22'!D5</f>
        <v>0</v>
      </c>
      <c r="E121" s="144">
        <f>B121+C121-D121</f>
        <v>61286378.519999996</v>
      </c>
      <c r="F121" s="142">
        <f>+'[80]Summary-20-21'!I5</f>
        <v>5534893.9886987675</v>
      </c>
      <c r="G121" s="142">
        <f>+'[80]Summary 2021-22'!G5</f>
        <v>1905326.4820191783</v>
      </c>
      <c r="H121" s="142">
        <f>+'[80]Summary 2021-22'!H5</f>
        <v>0</v>
      </c>
      <c r="I121" s="144">
        <f t="shared" ref="I121:I127" si="30">F121+G121-H121</f>
        <v>7440220.4707179461</v>
      </c>
      <c r="J121" s="144">
        <f t="shared" ref="J121:J127" si="31">B121-F121</f>
        <v>53388336.541301228</v>
      </c>
      <c r="K121" s="145">
        <f t="shared" si="29"/>
        <v>53846158.049282052</v>
      </c>
    </row>
    <row r="122" spans="1:11">
      <c r="A122" s="820" t="s">
        <v>270</v>
      </c>
      <c r="B122" s="141">
        <f>+'[80]Summary-20-21'!E6</f>
        <v>215300342.50799999</v>
      </c>
      <c r="C122" s="142">
        <f>+'[80]Summary 2021-22'!C6-1</f>
        <v>6804070.8600000003</v>
      </c>
      <c r="D122" s="142">
        <f>+'[80]Summary 2021-22'!D6</f>
        <v>0</v>
      </c>
      <c r="E122" s="144">
        <f>B122+C122-D122</f>
        <v>222104413.368</v>
      </c>
      <c r="F122" s="142">
        <f>+'[80]Summary-20-21'!I6</f>
        <v>99496168.438061088</v>
      </c>
      <c r="G122" s="142">
        <f>+'[80]Summary 2021-22'!G6</f>
        <v>13628774.029168235</v>
      </c>
      <c r="H122" s="142">
        <f>+'[80]Summary 2021-22'!H6</f>
        <v>0</v>
      </c>
      <c r="I122" s="144">
        <f>F122+G122-H122</f>
        <v>113124942.46722932</v>
      </c>
      <c r="J122" s="144">
        <f t="shared" si="31"/>
        <v>115804174.0699389</v>
      </c>
      <c r="K122" s="145">
        <f t="shared" si="29"/>
        <v>108979470.90077068</v>
      </c>
    </row>
    <row r="123" spans="1:11">
      <c r="A123" s="820" t="s">
        <v>1128</v>
      </c>
      <c r="B123" s="141">
        <f>+'[80]Summary-20-21'!E7</f>
        <v>2991111</v>
      </c>
      <c r="C123" s="142">
        <f>+'[80]Summary 2021-22'!C7</f>
        <v>0</v>
      </c>
      <c r="D123" s="142">
        <f>+'[80]Summary 2021-22'!D7</f>
        <v>0</v>
      </c>
      <c r="E123" s="144">
        <f t="shared" ref="E123:E126" si="32">B123+C123-D123</f>
        <v>2991111</v>
      </c>
      <c r="F123" s="142">
        <f>+'[80]Summary-20-21'!I7</f>
        <v>558719.83806600736</v>
      </c>
      <c r="G123" s="142">
        <f>+'[80]Summary 2021-22'!G7</f>
        <v>369148.96419712796</v>
      </c>
      <c r="H123" s="142">
        <f>+'[80]Summary 2021-22'!H7</f>
        <v>0</v>
      </c>
      <c r="I123" s="144">
        <f t="shared" si="30"/>
        <v>927868.80226313532</v>
      </c>
      <c r="J123" s="144">
        <f t="shared" si="31"/>
        <v>2432391.1619339925</v>
      </c>
      <c r="K123" s="145">
        <f t="shared" si="29"/>
        <v>2063242.1977368647</v>
      </c>
    </row>
    <row r="124" spans="1:11">
      <c r="A124" s="820" t="s">
        <v>1129</v>
      </c>
      <c r="B124" s="141">
        <f>+'[80]Summary-20-21'!E8</f>
        <v>744525.7</v>
      </c>
      <c r="C124" s="142">
        <f>+'[80]Summary 2021-22'!C8-0.24228024</f>
        <v>124109.75771976</v>
      </c>
      <c r="D124" s="142">
        <f>+'[80]Summary 2021-22'!D8</f>
        <v>0</v>
      </c>
      <c r="E124" s="144">
        <f t="shared" si="32"/>
        <v>868635.45771976002</v>
      </c>
      <c r="F124" s="142">
        <f>+'[80]Summary-20-21'!I8</f>
        <v>688913.61548858462</v>
      </c>
      <c r="G124" s="142">
        <f>+'[80]Summary 2021-22'!G8</f>
        <v>41542.628027397266</v>
      </c>
      <c r="H124" s="142">
        <f>+'[80]Summary 2021-22'!H8</f>
        <v>0</v>
      </c>
      <c r="I124" s="144">
        <f t="shared" si="30"/>
        <v>730456.24351598183</v>
      </c>
      <c r="J124" s="144">
        <f t="shared" si="31"/>
        <v>55612.084511415334</v>
      </c>
      <c r="K124" s="145">
        <f t="shared" si="29"/>
        <v>138179.21420377819</v>
      </c>
    </row>
    <row r="125" spans="1:11">
      <c r="A125" s="820" t="s">
        <v>1130</v>
      </c>
      <c r="B125" s="141">
        <f>+'[80]Summary-20-21'!E9</f>
        <v>1024059.5</v>
      </c>
      <c r="C125" s="142">
        <f>+'[80]Summary 2021-22'!C9</f>
        <v>99683.63</v>
      </c>
      <c r="D125" s="142">
        <f>+'[80]Summary 2021-22'!D9</f>
        <v>0</v>
      </c>
      <c r="E125" s="144">
        <f>B125+C125-D125</f>
        <v>1123743.1299999999</v>
      </c>
      <c r="F125" s="142">
        <f>+'[80]Summary-20-21'!I9</f>
        <v>598525.87082759</v>
      </c>
      <c r="G125" s="142">
        <f>+'[80]Summary 2021-22'!G9</f>
        <v>113996.87240821918</v>
      </c>
      <c r="H125" s="142">
        <f>+'[80]Summary 2021-22'!H9</f>
        <v>0</v>
      </c>
      <c r="I125" s="144">
        <f t="shared" si="30"/>
        <v>712522.74323580915</v>
      </c>
      <c r="J125" s="144">
        <f t="shared" si="31"/>
        <v>425533.62917241</v>
      </c>
      <c r="K125" s="145">
        <f t="shared" si="29"/>
        <v>411220.38676419074</v>
      </c>
    </row>
    <row r="126" spans="1:11">
      <c r="A126" s="820" t="s">
        <v>1131</v>
      </c>
      <c r="B126" s="141">
        <f>+'[80]Summary-20-21'!E10</f>
        <v>1330214.03</v>
      </c>
      <c r="C126" s="142">
        <f>+'[80]Summary 2021-22'!C10</f>
        <v>13983</v>
      </c>
      <c r="D126" s="142">
        <f>+'[80]Summary 2021-22'!D10</f>
        <v>0</v>
      </c>
      <c r="E126" s="144">
        <f t="shared" si="32"/>
        <v>1344197.03</v>
      </c>
      <c r="F126" s="142">
        <f>+'[80]Summary-20-21'!I10</f>
        <v>1014017.3961523059</v>
      </c>
      <c r="G126" s="142">
        <f>+'[80]Summary 2021-22'!G10</f>
        <v>48716.19506216341</v>
      </c>
      <c r="H126" s="142">
        <f>+'[80]Summary 2021-22'!H10</f>
        <v>0</v>
      </c>
      <c r="I126" s="144">
        <f t="shared" si="30"/>
        <v>1062733.5912144694</v>
      </c>
      <c r="J126" s="144">
        <f t="shared" si="31"/>
        <v>316196.63384769415</v>
      </c>
      <c r="K126" s="145">
        <f t="shared" si="29"/>
        <v>281463.43878553063</v>
      </c>
    </row>
    <row r="127" spans="1:11" ht="15" thickBot="1">
      <c r="A127" s="821" t="s">
        <v>1132</v>
      </c>
      <c r="B127" s="141">
        <f>+'[80]Summary-20-21'!E11</f>
        <v>26188108.080000002</v>
      </c>
      <c r="C127" s="142">
        <f>+'[80]Summary 2021-22'!C11</f>
        <v>270480</v>
      </c>
      <c r="D127" s="142">
        <f>+'[80]Summary 2021-22'!D11</f>
        <v>0</v>
      </c>
      <c r="E127" s="146">
        <f>B127+C127-D127</f>
        <v>26458588.080000002</v>
      </c>
      <c r="F127" s="142">
        <f>+'[80]Summary-20-21'!I11</f>
        <v>16345550.182161208</v>
      </c>
      <c r="G127" s="142">
        <f>+'[80]Summary 2021-22'!G11</f>
        <v>1850243.3204432426</v>
      </c>
      <c r="H127" s="142">
        <f>+'[80]Summary 2021-22'!H11</f>
        <v>0</v>
      </c>
      <c r="I127" s="146">
        <f t="shared" si="30"/>
        <v>18195793.502604451</v>
      </c>
      <c r="J127" s="146">
        <f t="shared" si="31"/>
        <v>9842557.8978387937</v>
      </c>
      <c r="K127" s="147">
        <f t="shared" si="29"/>
        <v>8262794.5773955509</v>
      </c>
    </row>
    <row r="128" spans="1:11" ht="16.2" thickBot="1">
      <c r="A128" s="822" t="s">
        <v>1156</v>
      </c>
      <c r="B128" s="823">
        <f>SUM(B120:B127)</f>
        <v>340466591.24799991</v>
      </c>
      <c r="C128" s="823">
        <f t="shared" ref="C128:J128" si="33">SUM(C120:C127)</f>
        <v>9675475.2377197631</v>
      </c>
      <c r="D128" s="823">
        <f t="shared" si="33"/>
        <v>0</v>
      </c>
      <c r="E128" s="823">
        <f t="shared" si="33"/>
        <v>350142066.48571968</v>
      </c>
      <c r="F128" s="823">
        <f t="shared" si="33"/>
        <v>124236789.32945555</v>
      </c>
      <c r="G128" s="823">
        <f t="shared" si="33"/>
        <v>17957748.491325565</v>
      </c>
      <c r="H128" s="823">
        <f t="shared" si="33"/>
        <v>0</v>
      </c>
      <c r="I128" s="823">
        <f t="shared" si="33"/>
        <v>142194537.82078111</v>
      </c>
      <c r="J128" s="823">
        <f t="shared" si="33"/>
        <v>216229801.91854444</v>
      </c>
      <c r="K128" s="836">
        <f>SUM(K120:K127)</f>
        <v>207947528.66493863</v>
      </c>
    </row>
    <row r="129" spans="1:11" ht="15" thickBot="1">
      <c r="A129" s="824"/>
      <c r="B129" s="148"/>
      <c r="K129" s="825"/>
    </row>
    <row r="130" spans="1:11" ht="15" thickBot="1">
      <c r="A130" s="826" t="s">
        <v>399</v>
      </c>
      <c r="B130" s="827"/>
      <c r="C130" s="827"/>
      <c r="D130" s="827"/>
      <c r="E130" s="827"/>
      <c r="F130" s="827"/>
      <c r="G130" s="827"/>
      <c r="H130" s="827"/>
      <c r="I130" s="827"/>
      <c r="J130" s="827"/>
      <c r="K130" s="828"/>
    </row>
    <row r="131" spans="1:11">
      <c r="A131" s="829" t="s">
        <v>1157</v>
      </c>
      <c r="B131" s="830">
        <f>+'[80]Summary-20-21'!E15</f>
        <v>133007.59999999963</v>
      </c>
      <c r="C131" s="149">
        <f>+'[80]Summary 2021-22'!C15</f>
        <v>1825887.73</v>
      </c>
      <c r="D131" s="142">
        <f>+'[80]Summary 2021-22'!D15</f>
        <v>820398.42</v>
      </c>
      <c r="E131" s="149">
        <f>B131+C131-D131</f>
        <v>1138496.9099999997</v>
      </c>
      <c r="F131" s="142">
        <v>0</v>
      </c>
      <c r="G131" s="142">
        <v>0</v>
      </c>
      <c r="H131" s="142">
        <v>0</v>
      </c>
      <c r="I131" s="142">
        <v>0</v>
      </c>
      <c r="J131" s="831">
        <f>+B131</f>
        <v>133007.59999999963</v>
      </c>
      <c r="K131" s="831">
        <f>E131</f>
        <v>1138496.9099999997</v>
      </c>
    </row>
    <row r="132" spans="1:11" ht="15" thickBot="1">
      <c r="A132" s="832" t="s">
        <v>1158</v>
      </c>
      <c r="B132" s="830">
        <f>+'[80]Summary-20-21'!E16</f>
        <v>179999.53999999957</v>
      </c>
      <c r="C132" s="149">
        <v>42196733.909999996</v>
      </c>
      <c r="D132" s="142">
        <f>+'[80]Summary 2021-22'!D16</f>
        <v>3134481</v>
      </c>
      <c r="E132" s="149">
        <f>B132+C132-D132</f>
        <v>39242252.449999996</v>
      </c>
      <c r="F132" s="142">
        <v>0</v>
      </c>
      <c r="G132" s="142">
        <v>0</v>
      </c>
      <c r="H132" s="142">
        <v>0</v>
      </c>
      <c r="I132" s="142">
        <v>0</v>
      </c>
      <c r="J132" s="833">
        <f>B132</f>
        <v>179999.53999999957</v>
      </c>
      <c r="K132" s="831">
        <f>E132</f>
        <v>39242252.449999996</v>
      </c>
    </row>
    <row r="133" spans="1:11" ht="16.2" thickBot="1">
      <c r="A133" s="834" t="s">
        <v>1156</v>
      </c>
      <c r="B133" s="835">
        <f>SUM(B131:B132)</f>
        <v>313007.1399999992</v>
      </c>
      <c r="C133" s="823">
        <f t="shared" ref="C133:K133" si="34">SUM(C131:C132)</f>
        <v>44022621.639999993</v>
      </c>
      <c r="D133" s="823">
        <f t="shared" si="34"/>
        <v>3954879.42</v>
      </c>
      <c r="E133" s="823">
        <f>SUM(E131:E132)</f>
        <v>40380749.359999992</v>
      </c>
      <c r="F133" s="823">
        <f t="shared" si="34"/>
        <v>0</v>
      </c>
      <c r="G133" s="823">
        <f t="shared" si="34"/>
        <v>0</v>
      </c>
      <c r="H133" s="823">
        <f t="shared" si="34"/>
        <v>0</v>
      </c>
      <c r="I133" s="823">
        <f t="shared" si="34"/>
        <v>0</v>
      </c>
      <c r="J133" s="823">
        <f t="shared" si="34"/>
        <v>313007.1399999992</v>
      </c>
      <c r="K133" s="836">
        <f t="shared" si="34"/>
        <v>40380749.359999992</v>
      </c>
    </row>
    <row r="134" spans="1:11" ht="15" thickBot="1">
      <c r="A134" s="837"/>
      <c r="K134" s="825"/>
    </row>
    <row r="135" spans="1:11" ht="16.2" thickBot="1">
      <c r="A135" s="834" t="s">
        <v>824</v>
      </c>
      <c r="B135" s="835">
        <f>B128+B133</f>
        <v>340779598.38799989</v>
      </c>
      <c r="C135" s="823">
        <f t="shared" ref="C135:K135" si="35">C128+C133</f>
        <v>53698096.87771976</v>
      </c>
      <c r="D135" s="823">
        <f t="shared" si="35"/>
        <v>3954879.42</v>
      </c>
      <c r="E135" s="823">
        <f>E128+E133</f>
        <v>390522815.8457197</v>
      </c>
      <c r="F135" s="823">
        <f t="shared" si="35"/>
        <v>124236789.32945555</v>
      </c>
      <c r="G135" s="823">
        <f t="shared" si="35"/>
        <v>17957748.491325565</v>
      </c>
      <c r="H135" s="823">
        <f t="shared" si="35"/>
        <v>0</v>
      </c>
      <c r="I135" s="823">
        <f t="shared" si="35"/>
        <v>142194537.82078111</v>
      </c>
      <c r="J135" s="823">
        <f t="shared" si="35"/>
        <v>216542809.05854443</v>
      </c>
      <c r="K135" s="836">
        <f t="shared" si="35"/>
        <v>248328278.02493861</v>
      </c>
    </row>
    <row r="137" spans="1:11" ht="15" thickBot="1"/>
    <row r="138" spans="1:11" ht="16.2" thickBot="1">
      <c r="A138" s="809"/>
      <c r="B138" s="2507" t="s">
        <v>1159</v>
      </c>
      <c r="C138" s="2507"/>
      <c r="D138" s="2507"/>
      <c r="E138" s="2507"/>
      <c r="F138" s="2507"/>
      <c r="G138" s="2507"/>
      <c r="H138" s="2507"/>
      <c r="I138" s="2507"/>
      <c r="J138" s="2507"/>
      <c r="K138" s="2508"/>
    </row>
    <row r="139" spans="1:11" ht="15.6">
      <c r="A139" s="2509"/>
      <c r="B139" s="2511" t="s">
        <v>1147</v>
      </c>
      <c r="C139" s="2512"/>
      <c r="D139" s="2512"/>
      <c r="E139" s="2513"/>
      <c r="F139" s="2514" t="s">
        <v>132</v>
      </c>
      <c r="G139" s="2515"/>
      <c r="H139" s="2516"/>
      <c r="I139" s="2515"/>
      <c r="J139" s="810">
        <v>43922</v>
      </c>
      <c r="K139" s="811">
        <v>44286</v>
      </c>
    </row>
    <row r="140" spans="1:11" ht="47.4" thickBot="1">
      <c r="A140" s="2510"/>
      <c r="B140" s="812">
        <v>43922</v>
      </c>
      <c r="C140" s="813" t="s">
        <v>1160</v>
      </c>
      <c r="D140" s="814" t="s">
        <v>1161</v>
      </c>
      <c r="E140" s="812">
        <v>44286</v>
      </c>
      <c r="F140" s="815" t="s">
        <v>1162</v>
      </c>
      <c r="G140" s="814" t="s">
        <v>1151</v>
      </c>
      <c r="H140" s="816" t="s">
        <v>1152</v>
      </c>
      <c r="I140" s="815" t="s">
        <v>1153</v>
      </c>
      <c r="J140" s="817" t="s">
        <v>1154</v>
      </c>
      <c r="K140" s="818" t="s">
        <v>1154</v>
      </c>
    </row>
    <row r="141" spans="1:11">
      <c r="A141" s="819" t="s">
        <v>1155</v>
      </c>
      <c r="B141" s="141">
        <v>33964999.899999999</v>
      </c>
      <c r="C141" s="141">
        <v>0</v>
      </c>
      <c r="D141" s="141">
        <v>0</v>
      </c>
      <c r="E141" s="142">
        <f t="shared" ref="E141:E148" si="36">B141+C141-D141</f>
        <v>33964999.899999999</v>
      </c>
      <c r="F141" s="141">
        <v>0</v>
      </c>
      <c r="G141" s="141">
        <v>0</v>
      </c>
      <c r="H141" s="141"/>
      <c r="I141" s="141">
        <v>0</v>
      </c>
      <c r="J141" s="142">
        <v>33964999.899999999</v>
      </c>
      <c r="K141" s="143">
        <v>33964999.899999999</v>
      </c>
    </row>
    <row r="142" spans="1:11">
      <c r="A142" s="820" t="s">
        <v>1127</v>
      </c>
      <c r="B142" s="141">
        <v>56016203.549999997</v>
      </c>
      <c r="C142" s="141">
        <v>2907026.98</v>
      </c>
      <c r="D142" s="141">
        <v>0</v>
      </c>
      <c r="E142" s="142">
        <f t="shared" si="36"/>
        <v>58923230.529999994</v>
      </c>
      <c r="F142" s="141">
        <v>3700708.5652456624</v>
      </c>
      <c r="G142" s="141">
        <v>1834185.4234531051</v>
      </c>
      <c r="H142" s="141">
        <v>0</v>
      </c>
      <c r="I142" s="144">
        <v>5534893.9886987675</v>
      </c>
      <c r="J142" s="144">
        <v>52315494.984754331</v>
      </c>
      <c r="K142" s="145">
        <v>53388336.541301228</v>
      </c>
    </row>
    <row r="143" spans="1:11">
      <c r="A143" s="820" t="s">
        <v>270</v>
      </c>
      <c r="B143" s="141">
        <v>217294094.07799998</v>
      </c>
      <c r="C143" s="141">
        <v>5234643.66</v>
      </c>
      <c r="D143" s="141">
        <v>7228395.2299999995</v>
      </c>
      <c r="E143" s="142">
        <f t="shared" si="36"/>
        <v>215300342.50799999</v>
      </c>
      <c r="F143" s="141">
        <v>92431426.995565161</v>
      </c>
      <c r="G143" s="141">
        <v>13466160.816718986</v>
      </c>
      <c r="H143" s="141">
        <v>6401419.3742230469</v>
      </c>
      <c r="I143" s="144">
        <v>99496168.438061088</v>
      </c>
      <c r="J143" s="144">
        <v>124862667.08243482</v>
      </c>
      <c r="K143" s="145">
        <v>115804174.0699389</v>
      </c>
    </row>
    <row r="144" spans="1:11">
      <c r="A144" s="820" t="s">
        <v>1128</v>
      </c>
      <c r="B144" s="141">
        <v>2991111</v>
      </c>
      <c r="C144" s="141">
        <v>0</v>
      </c>
      <c r="D144" s="141">
        <v>0</v>
      </c>
      <c r="E144" s="142">
        <f t="shared" si="36"/>
        <v>2991111</v>
      </c>
      <c r="F144" s="141">
        <v>189570.87386887943</v>
      </c>
      <c r="G144" s="141">
        <v>369148.96419712796</v>
      </c>
      <c r="H144" s="141">
        <v>0</v>
      </c>
      <c r="I144" s="144">
        <v>558719.83806600736</v>
      </c>
      <c r="J144" s="144">
        <v>2801540.1261311206</v>
      </c>
      <c r="K144" s="145">
        <f>2432391.16193399+0.4</f>
        <v>2432391.5619339901</v>
      </c>
    </row>
    <row r="145" spans="1:11">
      <c r="A145" s="820" t="s">
        <v>1129</v>
      </c>
      <c r="B145" s="141">
        <v>1057200.7</v>
      </c>
      <c r="C145" s="141">
        <v>0</v>
      </c>
      <c r="D145" s="141">
        <v>312675</v>
      </c>
      <c r="E145" s="142">
        <f t="shared" si="36"/>
        <v>744525.7</v>
      </c>
      <c r="F145" s="141">
        <v>939165.05196347041</v>
      </c>
      <c r="G145" s="141">
        <v>46789.81352511415</v>
      </c>
      <c r="H145" s="141">
        <v>297041</v>
      </c>
      <c r="I145" s="144">
        <v>688913.86548858462</v>
      </c>
      <c r="J145" s="144">
        <v>118035.64803652954</v>
      </c>
      <c r="K145" s="145">
        <f>55611.8345114153+0.8+0.03</f>
        <v>55612.6645114153</v>
      </c>
    </row>
    <row r="146" spans="1:11">
      <c r="A146" s="820" t="s">
        <v>1130</v>
      </c>
      <c r="B146" s="141">
        <v>884075.03</v>
      </c>
      <c r="C146" s="141">
        <v>415195.47</v>
      </c>
      <c r="D146" s="141">
        <v>275211</v>
      </c>
      <c r="E146" s="142">
        <f t="shared" si="36"/>
        <v>1024059.5</v>
      </c>
      <c r="F146" s="141">
        <v>753817.65582759003</v>
      </c>
      <c r="G146" s="141">
        <v>103252.61500000002</v>
      </c>
      <c r="H146" s="141">
        <v>258544</v>
      </c>
      <c r="I146" s="144">
        <v>598526.27082759002</v>
      </c>
      <c r="J146" s="144">
        <v>130257.37417241</v>
      </c>
      <c r="K146" s="145">
        <f>425533.22917241-0.8</f>
        <v>425532.42917240999</v>
      </c>
    </row>
    <row r="147" spans="1:11">
      <c r="A147" s="820" t="s">
        <v>1131</v>
      </c>
      <c r="B147" s="141">
        <v>1820295</v>
      </c>
      <c r="C147" s="141">
        <v>47872.03</v>
      </c>
      <c r="D147" s="141">
        <v>537953</v>
      </c>
      <c r="E147" s="142">
        <f t="shared" si="36"/>
        <v>1330214.03</v>
      </c>
      <c r="F147" s="141">
        <v>1478166.1085677366</v>
      </c>
      <c r="G147" s="141">
        <v>46906.637584569173</v>
      </c>
      <c r="H147" s="141">
        <v>511055</v>
      </c>
      <c r="I147" s="144">
        <v>1014017.7461523057</v>
      </c>
      <c r="J147" s="144">
        <v>342128.89143226342</v>
      </c>
      <c r="K147" s="145">
        <f>316196.283847694-0.8</f>
        <v>316195.48384769401</v>
      </c>
    </row>
    <row r="148" spans="1:11" ht="15" thickBot="1">
      <c r="A148" s="821" t="s">
        <v>1132</v>
      </c>
      <c r="B148" s="141">
        <v>28507136.800000001</v>
      </c>
      <c r="C148" s="141">
        <v>422775</v>
      </c>
      <c r="D148" s="141">
        <v>2741803.7199999997</v>
      </c>
      <c r="E148" s="142">
        <f t="shared" si="36"/>
        <v>26188108.080000002</v>
      </c>
      <c r="F148" s="141">
        <v>16647091.583539886</v>
      </c>
      <c r="G148" s="141">
        <v>1861537.3326213248</v>
      </c>
      <c r="H148" s="141">
        <v>2163078.08</v>
      </c>
      <c r="I148" s="144">
        <v>16345550.836161209</v>
      </c>
      <c r="J148" s="146">
        <v>11860045.216460114</v>
      </c>
      <c r="K148" s="147">
        <f>9842557.24383879-2</f>
        <v>9842555.2438387908</v>
      </c>
    </row>
    <row r="149" spans="1:11" ht="16.2" thickBot="1">
      <c r="A149" s="822" t="s">
        <v>1156</v>
      </c>
      <c r="B149" s="836">
        <f t="shared" ref="B149:I149" si="37">+SUM(B141:B148)</f>
        <v>342535116.05799997</v>
      </c>
      <c r="C149" s="836">
        <f t="shared" si="37"/>
        <v>9027513.1400000006</v>
      </c>
      <c r="D149" s="836">
        <f t="shared" si="37"/>
        <v>11096037.949999999</v>
      </c>
      <c r="E149" s="836">
        <f t="shared" si="37"/>
        <v>340466591.24799991</v>
      </c>
      <c r="F149" s="836">
        <f t="shared" si="37"/>
        <v>116139946.83457838</v>
      </c>
      <c r="G149" s="836">
        <f t="shared" si="37"/>
        <v>17727981.603100225</v>
      </c>
      <c r="H149" s="836">
        <f t="shared" si="37"/>
        <v>9631137.4542230479</v>
      </c>
      <c r="I149" s="836">
        <f t="shared" si="37"/>
        <v>124236790.98345557</v>
      </c>
      <c r="J149" s="836">
        <f>+SUM(J141:J148)</f>
        <v>226395169.22342157</v>
      </c>
      <c r="K149" s="836">
        <f>+SUM(K141:K148)</f>
        <v>216229797.89454442</v>
      </c>
    </row>
    <row r="150" spans="1:11" ht="15" thickBot="1">
      <c r="A150" s="824"/>
      <c r="B150" s="148"/>
      <c r="K150" s="825"/>
    </row>
    <row r="151" spans="1:11" ht="15" thickBot="1">
      <c r="A151" s="826" t="s">
        <v>399</v>
      </c>
      <c r="B151" s="827"/>
      <c r="C151" s="827"/>
      <c r="D151" s="827"/>
      <c r="E151" s="827"/>
      <c r="F151" s="827"/>
      <c r="G151" s="827"/>
      <c r="H151" s="827"/>
      <c r="I151" s="827"/>
      <c r="J151" s="827"/>
      <c r="K151" s="828"/>
    </row>
    <row r="152" spans="1:11">
      <c r="A152" s="829" t="s">
        <v>1157</v>
      </c>
      <c r="B152" s="141">
        <v>172560</v>
      </c>
      <c r="C152" s="141">
        <v>2867475.08</v>
      </c>
      <c r="D152" s="141">
        <v>2907027.08</v>
      </c>
      <c r="E152" s="149">
        <v>133008</v>
      </c>
      <c r="F152" s="141">
        <v>0</v>
      </c>
      <c r="G152" s="141">
        <v>0</v>
      </c>
      <c r="H152" s="141">
        <v>0</v>
      </c>
      <c r="I152" s="141">
        <v>0</v>
      </c>
      <c r="J152" s="149">
        <v>172559.99999999988</v>
      </c>
      <c r="K152" s="831">
        <v>133008</v>
      </c>
    </row>
    <row r="153" spans="1:11" ht="15" thickBot="1">
      <c r="A153" s="832" t="s">
        <v>1158</v>
      </c>
      <c r="B153" s="141">
        <v>229919</v>
      </c>
      <c r="C153" s="141">
        <v>3105824.5399999996</v>
      </c>
      <c r="D153" s="141">
        <v>3155744</v>
      </c>
      <c r="E153" s="149">
        <v>179999.53999999957</v>
      </c>
      <c r="F153" s="141">
        <v>0</v>
      </c>
      <c r="G153" s="141">
        <v>0</v>
      </c>
      <c r="H153" s="141">
        <v>0</v>
      </c>
      <c r="I153" s="141">
        <v>0</v>
      </c>
      <c r="J153" s="833">
        <v>229919</v>
      </c>
      <c r="K153" s="831">
        <v>179999.53999999957</v>
      </c>
    </row>
    <row r="154" spans="1:11" ht="16.2" thickBot="1">
      <c r="A154" s="834" t="s">
        <v>1156</v>
      </c>
      <c r="B154" s="835">
        <v>402479</v>
      </c>
      <c r="C154" s="823">
        <v>5973299.6199999992</v>
      </c>
      <c r="D154" s="823">
        <v>6062771.0800000001</v>
      </c>
      <c r="E154" s="823">
        <v>313007.53999999957</v>
      </c>
      <c r="F154" s="823">
        <v>0</v>
      </c>
      <c r="G154" s="823">
        <v>0</v>
      </c>
      <c r="H154" s="823">
        <v>0</v>
      </c>
      <c r="I154" s="823">
        <v>0</v>
      </c>
      <c r="J154" s="823">
        <v>402478.99999999988</v>
      </c>
      <c r="K154" s="836">
        <v>313007.53999999957</v>
      </c>
    </row>
    <row r="155" spans="1:11" ht="15" thickBot="1">
      <c r="A155" s="837"/>
      <c r="K155" s="825"/>
    </row>
    <row r="156" spans="1:11" ht="16.2" thickBot="1">
      <c r="A156" s="834" t="s">
        <v>824</v>
      </c>
      <c r="B156" s="835">
        <v>342937595.05799997</v>
      </c>
      <c r="C156" s="823">
        <v>15000812.76</v>
      </c>
      <c r="D156" s="823">
        <v>17158809.030000001</v>
      </c>
      <c r="E156" s="823">
        <v>340779598.78799993</v>
      </c>
      <c r="F156" s="823">
        <v>116139946.83457838</v>
      </c>
      <c r="G156" s="823">
        <v>17727981.603100225</v>
      </c>
      <c r="H156" s="823">
        <v>9631137.4542230479</v>
      </c>
      <c r="I156" s="823">
        <v>124236790.98345557</v>
      </c>
      <c r="J156" s="823">
        <v>226797648.22342157</v>
      </c>
      <c r="K156" s="836">
        <v>216542807.80454442</v>
      </c>
    </row>
  </sheetData>
  <customSheetViews>
    <customSheetView guid="{ADEA4918-0326-423A-8D00-FB47A486004B}" scale="80" showPageBreaks="1" fitToPage="1" printArea="1" view="pageBreakPreview" topLeftCell="A7">
      <selection activeCell="J25" sqref="J25"/>
      <pageMargins left="0.70866141732283472" right="0.70866141732283472" top="0.74803149606299213" bottom="0.74803149606299213" header="0.31496062992125984" footer="0.31496062992125984"/>
      <pageSetup scale="49" orientation="landscape" r:id="rId1"/>
    </customSheetView>
    <customSheetView guid="{2A78E287-3113-4387-BB62-BE98FA5C13C2}" scale="80" showPageBreaks="1" fitToPage="1" printArea="1" view="pageBreakPreview">
      <selection activeCell="J86" sqref="J86:J87"/>
      <pageMargins left="0.70866141732283472" right="0.70866141732283472" top="0.74803149606299213" bottom="0.74803149606299213" header="0.31496062992125984" footer="0.31496062992125984"/>
      <pageSetup scale="56" orientation="landscape" r:id="rId2"/>
    </customSheetView>
    <customSheetView guid="{DC5DA12B-0FA6-4F41-A983-6E433AD4604D}" scale="80" showPageBreaks="1" fitToPage="1" printArea="1" view="pageBreakPreview">
      <selection activeCell="J86" sqref="J86:J87"/>
      <pageMargins left="0.70866141732283472" right="0.70866141732283472" top="0.74803149606299213" bottom="0.74803149606299213" header="0.31496062992125984" footer="0.31496062992125984"/>
      <pageSetup scale="56" orientation="landscape" r:id="rId3"/>
    </customSheetView>
  </customSheetViews>
  <mergeCells count="22">
    <mergeCell ref="A34:A35"/>
    <mergeCell ref="B34:F34"/>
    <mergeCell ref="B138:K138"/>
    <mergeCell ref="A139:A140"/>
    <mergeCell ref="B139:E139"/>
    <mergeCell ref="F139:I139"/>
    <mergeCell ref="B93:K93"/>
    <mergeCell ref="A94:A95"/>
    <mergeCell ref="B94:E94"/>
    <mergeCell ref="F94:I94"/>
    <mergeCell ref="A118:A119"/>
    <mergeCell ref="B118:E118"/>
    <mergeCell ref="F118:I118"/>
    <mergeCell ref="A47:A48"/>
    <mergeCell ref="B47:F47"/>
    <mergeCell ref="A60:A61"/>
    <mergeCell ref="B60:F60"/>
    <mergeCell ref="B117:K117"/>
    <mergeCell ref="B72:K72"/>
    <mergeCell ref="A73:A74"/>
    <mergeCell ref="B73:E73"/>
    <mergeCell ref="F73:I73"/>
  </mergeCells>
  <hyperlinks>
    <hyperlink ref="A120" location="'1'!A1" tooltip="Click to go to &quot;Land&quot; Sheet" display="Land" xr:uid="{00000000-0004-0000-0E00-000000000000}"/>
    <hyperlink ref="A121" location="'2'!A1" tooltip="Click to go to &quot;Buildings&quot; Sheet" display="Buildings" xr:uid="{00000000-0004-0000-0E00-000001000000}"/>
    <hyperlink ref="A122" location="'3'!A1" tooltip="Click to go to &quot;Plant &amp; Machinery&quot; Sheet" display="Plant and Machinery" xr:uid="{00000000-0004-0000-0E00-000002000000}"/>
    <hyperlink ref="A123" location="'4'!A1" tooltip="Click to go to &quot;Motor Vehicles&quot; Sheet" display="Motor Vehicles" xr:uid="{00000000-0004-0000-0E00-000003000000}"/>
    <hyperlink ref="A124" location="'5'!A1" tooltip="Click to go to &quot;Computers&quot; Sheet" display="Computers" xr:uid="{00000000-0004-0000-0E00-000004000000}"/>
    <hyperlink ref="A125" location="'6'!A1" tooltip="Click to go to &quot;Office Equipments&quot; Sheet" display="Office Equipments" xr:uid="{00000000-0004-0000-0E00-000005000000}"/>
    <hyperlink ref="A126" location="'7'!A1" tooltip="Click to go to &quot;Furniture &amp; Fittings&quot; Sheet" display="Furniture and Fittings" xr:uid="{00000000-0004-0000-0E00-000006000000}"/>
    <hyperlink ref="A127" location="'8'!A1" tooltip="Click to go to &quot;Electrical Installations&quot; Sheet" display="Electrical Installations" xr:uid="{00000000-0004-0000-0E00-000007000000}"/>
    <hyperlink ref="B4" location="'1'!A1" tooltip="Click to go to &quot;Land&quot; Sheet" display="Land" xr:uid="{00000000-0004-0000-0E00-000008000000}"/>
    <hyperlink ref="C4" location="'2'!A1" tooltip="Click to go to &quot;Buildings&quot; Sheet" display="Buildings" xr:uid="{00000000-0004-0000-0E00-000009000000}"/>
    <hyperlink ref="D4" location="'3'!A1" tooltip="Click to go to &quot;Plant &amp; Machinery&quot; Sheet" display="Plant and Machinery" xr:uid="{00000000-0004-0000-0E00-00000A000000}"/>
    <hyperlink ref="E4" location="'4'!A1" tooltip="Click to go to &quot;Motor Vehicles&quot; Sheet" display="Motor Vehicles" xr:uid="{00000000-0004-0000-0E00-00000B000000}"/>
    <hyperlink ref="F4" location="'5'!A1" tooltip="Click to go to &quot;Computers&quot; Sheet" display="Computers" xr:uid="{00000000-0004-0000-0E00-00000C000000}"/>
    <hyperlink ref="G4" location="'6'!A1" tooltip="Click to go to &quot;Office Equipments&quot; Sheet" display="Office Equipments" xr:uid="{00000000-0004-0000-0E00-00000D000000}"/>
    <hyperlink ref="H4" location="'7'!A1" tooltip="Click to go to &quot;Furniture &amp; Fittings&quot; Sheet" display="Furniture and Fittings" xr:uid="{00000000-0004-0000-0E00-00000E000000}"/>
    <hyperlink ref="I4" location="'8'!A1" tooltip="Click to go to &quot;Electrical Installations&quot; Sheet" display="Electrical Installations" xr:uid="{00000000-0004-0000-0E00-00000F000000}"/>
  </hyperlinks>
  <pageMargins left="0.70866141732283472" right="0.70866141732283472" top="0.74803149606299213" bottom="0.74803149606299213" header="0.31496062992125984" footer="0.31496062992125984"/>
  <pageSetup scale="49"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13"/>
  <sheetViews>
    <sheetView view="pageBreakPreview" topLeftCell="A42" zoomScale="60" zoomScaleNormal="100" workbookViewId="0">
      <selection activeCell="B3" sqref="B3:D51"/>
    </sheetView>
  </sheetViews>
  <sheetFormatPr defaultColWidth="9.109375" defaultRowHeight="14.4"/>
  <cols>
    <col min="2" max="2" width="43.44140625" customWidth="1"/>
    <col min="3" max="3" width="22.109375" customWidth="1"/>
    <col min="4" max="4" width="24" customWidth="1"/>
    <col min="5" max="5" width="16" customWidth="1"/>
  </cols>
  <sheetData>
    <row r="1" spans="1:5">
      <c r="C1" s="3">
        <f>+C27-C48</f>
        <v>-4.7840330807957798E-8</v>
      </c>
      <c r="D1" s="3">
        <f>+D27-D48</f>
        <v>-3.3493524824734777E-6</v>
      </c>
    </row>
    <row r="2" spans="1:5" ht="4.5" customHeight="1" thickBot="1">
      <c r="A2">
        <v>100000</v>
      </c>
    </row>
    <row r="3" spans="1:5" ht="19.5" customHeight="1">
      <c r="B3" s="2239" t="s">
        <v>702</v>
      </c>
      <c r="C3" s="2240"/>
      <c r="D3" s="2241"/>
      <c r="E3">
        <v>100000</v>
      </c>
    </row>
    <row r="4" spans="1:5" ht="20.25" customHeight="1">
      <c r="B4" s="2242" t="s">
        <v>4712</v>
      </c>
      <c r="C4" s="2243"/>
      <c r="D4" s="2244"/>
    </row>
    <row r="5" spans="1:5" ht="4.5" customHeight="1">
      <c r="B5" s="945"/>
      <c r="C5" s="876"/>
      <c r="D5" s="946"/>
    </row>
    <row r="6" spans="1:5" ht="15.75" customHeight="1">
      <c r="B6" s="945"/>
      <c r="D6" s="947" t="s">
        <v>2699</v>
      </c>
    </row>
    <row r="7" spans="1:5" ht="15.6">
      <c r="B7" s="2225" t="s">
        <v>463</v>
      </c>
      <c r="C7" s="949" t="s">
        <v>2737</v>
      </c>
      <c r="D7" s="950" t="s">
        <v>2737</v>
      </c>
    </row>
    <row r="8" spans="1:5" ht="15.6">
      <c r="B8" s="2227"/>
      <c r="C8" s="877" t="s">
        <v>4713</v>
      </c>
      <c r="D8" s="878" t="s">
        <v>2749</v>
      </c>
    </row>
    <row r="9" spans="1:5" ht="15.6">
      <c r="B9" s="879" t="s">
        <v>707</v>
      </c>
      <c r="C9" s="880"/>
      <c r="D9" s="881"/>
    </row>
    <row r="10" spans="1:5" ht="21" customHeight="1">
      <c r="B10" s="882" t="s">
        <v>708</v>
      </c>
      <c r="C10" s="880"/>
      <c r="D10" s="881"/>
    </row>
    <row r="11" spans="1:5" ht="15.6">
      <c r="B11" s="883" t="s">
        <v>77</v>
      </c>
      <c r="C11" s="884">
        <f>+BSPL!G9/'Result 2 BS'!$E$3</f>
        <v>3701.7911791074157</v>
      </c>
      <c r="D11" s="885">
        <f>+BSPL!H9/'Result 2 BS'!$E$3</f>
        <v>1934.2826050074148</v>
      </c>
    </row>
    <row r="12" spans="1:5" ht="15.6">
      <c r="B12" s="883" t="s">
        <v>709</v>
      </c>
      <c r="C12" s="884">
        <f>+BSPL!G10/'Result 2 BS'!$E$3</f>
        <v>0</v>
      </c>
      <c r="D12" s="885">
        <f>+BSPL!H10/'Result 2 BS'!$E$3</f>
        <v>1464.4723174999999</v>
      </c>
    </row>
    <row r="13" spans="1:5" ht="15.6">
      <c r="B13" s="886" t="s">
        <v>13</v>
      </c>
      <c r="C13" s="884"/>
      <c r="D13" s="885"/>
    </row>
    <row r="14" spans="1:5" ht="15.6">
      <c r="B14" s="887" t="s">
        <v>710</v>
      </c>
      <c r="C14" s="884">
        <f>+BSPL!G12/'Result 2 BS'!E3</f>
        <v>34.573309999999999</v>
      </c>
      <c r="D14" s="885">
        <f>+BSPL!H12/'Result 2 BS'!$E$3</f>
        <v>34.696260000000002</v>
      </c>
    </row>
    <row r="15" spans="1:5" ht="15.6">
      <c r="B15" s="888" t="s">
        <v>711</v>
      </c>
      <c r="C15" s="884">
        <f>+BSPL!G13/'Result 2 BS'!$E$3</f>
        <v>192.06052</v>
      </c>
      <c r="D15" s="885">
        <f>+BSPL!H13/'Result 2 BS'!$E$3</f>
        <v>160.09672</v>
      </c>
    </row>
    <row r="16" spans="1:5" ht="15.6">
      <c r="B16" s="888" t="s">
        <v>4751</v>
      </c>
      <c r="C16" s="884">
        <f>+BSPL!G14/$E$3</f>
        <v>135.03113548402405</v>
      </c>
      <c r="D16" s="885"/>
    </row>
    <row r="17" spans="2:4" ht="15.6">
      <c r="B17" s="889" t="s">
        <v>2738</v>
      </c>
      <c r="C17" s="948">
        <f>SUM(C11:C16)</f>
        <v>4063.4561445914401</v>
      </c>
      <c r="D17" s="890">
        <f>SUM(D11:D15)</f>
        <v>3593.5479025074146</v>
      </c>
    </row>
    <row r="18" spans="2:4" ht="15.6">
      <c r="B18" s="889" t="s">
        <v>713</v>
      </c>
      <c r="C18" s="891"/>
      <c r="D18" s="892"/>
    </row>
    <row r="19" spans="2:4" ht="15.6">
      <c r="B19" s="888" t="s">
        <v>714</v>
      </c>
      <c r="C19" s="884">
        <f>+BSPL!G17/'Result 2 BS'!$E$3</f>
        <v>269.2353073326679</v>
      </c>
      <c r="D19" s="885">
        <f>+BSPL!H17/'Result 2 BS'!$E$3</f>
        <v>626.62680999999998</v>
      </c>
    </row>
    <row r="20" spans="2:4" ht="15.6">
      <c r="B20" s="888" t="s">
        <v>13</v>
      </c>
      <c r="C20" s="884"/>
      <c r="D20" s="885"/>
    </row>
    <row r="21" spans="2:4" ht="15.6">
      <c r="B21" s="893" t="s">
        <v>715</v>
      </c>
      <c r="C21" s="884">
        <f>+BSPL!G19/'Result 2 BS'!$E$3</f>
        <v>811.60771019999993</v>
      </c>
      <c r="D21" s="885">
        <f>+BSPL!H19/'Result 2 BS'!$E$3</f>
        <v>1158.0224214</v>
      </c>
    </row>
    <row r="22" spans="2:4" ht="15.6">
      <c r="B22" s="893" t="s">
        <v>716</v>
      </c>
      <c r="C22" s="884">
        <f>+BSPL!G20/'Result 2 BS'!$E$3</f>
        <v>2.7946664000000001</v>
      </c>
      <c r="D22" s="885">
        <f>+BSPL!H20/'Result 2 BS'!$E$3</f>
        <v>2.3977564</v>
      </c>
    </row>
    <row r="23" spans="2:4" ht="15.6">
      <c r="B23" s="893" t="s">
        <v>2739</v>
      </c>
      <c r="C23" s="884">
        <f>+BSPL!G21/'Result 2 BS'!$E$3</f>
        <v>74.079503599999995</v>
      </c>
      <c r="D23" s="885">
        <f>+BSPL!H21/'Result 2 BS'!$E$3</f>
        <v>109.49791359999999</v>
      </c>
    </row>
    <row r="24" spans="2:4" ht="15.6">
      <c r="B24" s="888" t="s">
        <v>717</v>
      </c>
      <c r="C24" s="884">
        <f>+BSPL!G22/'Result 2 BS'!$E$3</f>
        <v>76.126764299999991</v>
      </c>
      <c r="D24" s="885">
        <f>+BSPL!H22/'Result 2 BS'!$E$3</f>
        <v>100.37184000000001</v>
      </c>
    </row>
    <row r="25" spans="2:4" ht="15.6">
      <c r="B25" s="888" t="s">
        <v>718</v>
      </c>
      <c r="C25" s="884">
        <f>+BSPL!G23/'Result 2 BS'!$E$3</f>
        <v>4.8873791999999998</v>
      </c>
      <c r="D25" s="885">
        <f>+BSPL!H23/'Result 2 BS'!$E$3</f>
        <v>0.27609</v>
      </c>
    </row>
    <row r="26" spans="2:4" ht="15.6">
      <c r="B26" s="894" t="s">
        <v>2740</v>
      </c>
      <c r="C26" s="948">
        <f>SUM(C19:C25)</f>
        <v>1238.7313310326676</v>
      </c>
      <c r="D26" s="890">
        <f>SUM(D19:D25)</f>
        <v>1997.1928313999999</v>
      </c>
    </row>
    <row r="27" spans="2:4" ht="16.2" thickBot="1">
      <c r="B27" s="952" t="s">
        <v>2741</v>
      </c>
      <c r="C27" s="953">
        <f>C26+C17</f>
        <v>5302.1874756241077</v>
      </c>
      <c r="D27" s="954">
        <f>SUM(D26+D17)</f>
        <v>5590.7407339074143</v>
      </c>
    </row>
    <row r="28" spans="2:4" ht="16.2" thickTop="1">
      <c r="B28" s="895"/>
      <c r="C28" s="896"/>
      <c r="D28" s="897"/>
    </row>
    <row r="29" spans="2:4" ht="15.6">
      <c r="B29" s="898" t="s">
        <v>720</v>
      </c>
      <c r="C29" s="899"/>
      <c r="D29" s="892"/>
    </row>
    <row r="30" spans="2:4" ht="15.6">
      <c r="B30" s="900" t="s">
        <v>2742</v>
      </c>
      <c r="C30" s="884"/>
      <c r="D30" s="892"/>
    </row>
    <row r="31" spans="2:4" ht="15.6">
      <c r="B31" s="887" t="s">
        <v>722</v>
      </c>
      <c r="C31" s="884">
        <f>+BSPL!G30/'Result 2 BS'!$E$3</f>
        <v>269.22649999999999</v>
      </c>
      <c r="D31" s="885">
        <f>+BSPL!H30/'Result 2 BS'!$E$3</f>
        <v>269.22649999999999</v>
      </c>
    </row>
    <row r="32" spans="2:4" ht="15.6">
      <c r="B32" s="887" t="s">
        <v>723</v>
      </c>
      <c r="C32" s="884">
        <f>+BSPL!G31/'Result 2 BS'!$E$3</f>
        <v>1593.6502862719483</v>
      </c>
      <c r="D32" s="885">
        <f>+BSPL!H31/'Result 2 BS'!$E$3</f>
        <v>2090.252418868773</v>
      </c>
    </row>
    <row r="33" spans="2:4" ht="15.6">
      <c r="B33" s="901" t="s">
        <v>2743</v>
      </c>
      <c r="C33" s="948">
        <f>SUM(C31:C32)</f>
        <v>1862.8767862719483</v>
      </c>
      <c r="D33" s="890">
        <f>SUM(D31:D32)</f>
        <v>2359.4789188687728</v>
      </c>
    </row>
    <row r="34" spans="2:4" ht="15.6">
      <c r="B34" s="900" t="s">
        <v>725</v>
      </c>
      <c r="C34" s="884"/>
      <c r="D34" s="892"/>
    </row>
    <row r="35" spans="2:4" ht="15.6">
      <c r="B35" s="887" t="s">
        <v>726</v>
      </c>
      <c r="C35" s="884"/>
      <c r="D35" s="892"/>
    </row>
    <row r="36" spans="2:4" ht="15.6">
      <c r="B36" s="887" t="s">
        <v>727</v>
      </c>
      <c r="C36" s="884">
        <f>+BSPL!G35/'Result 2 BS'!$E$3</f>
        <v>1122.0302899999999</v>
      </c>
      <c r="D36" s="885">
        <f>+BSPL!H35/'Result 2 BS'!$E$3</f>
        <v>1145.8910509</v>
      </c>
    </row>
    <row r="37" spans="2:4" ht="15.6">
      <c r="B37" s="887" t="s">
        <v>728</v>
      </c>
      <c r="C37" s="884">
        <f>+BSPL!G36/'Result 2 BS'!$E$3</f>
        <v>4.9576569999999922</v>
      </c>
      <c r="D37" s="885">
        <f>+BSPL!H36/'Result 2 BS'!$E$3</f>
        <v>8.3898970000000013</v>
      </c>
    </row>
    <row r="38" spans="2:4" ht="15.6">
      <c r="B38" s="887" t="s">
        <v>729</v>
      </c>
      <c r="C38" s="884">
        <f>+BSPL!G37/'Result 2 BS'!$E$3</f>
        <v>0</v>
      </c>
      <c r="D38" s="885">
        <f>+BSPL!H37/'Result 2 BS'!$E$3</f>
        <v>41.057569186484308</v>
      </c>
    </row>
    <row r="39" spans="2:4" ht="15.6">
      <c r="B39" s="902" t="s">
        <v>2744</v>
      </c>
      <c r="C39" s="948">
        <f>SUM(C36:C38)</f>
        <v>1126.9879469999998</v>
      </c>
      <c r="D39" s="890">
        <f>SUM(D36:D38)</f>
        <v>1195.3385170864842</v>
      </c>
    </row>
    <row r="40" spans="2:4" ht="15.6">
      <c r="B40" s="900" t="s">
        <v>730</v>
      </c>
      <c r="C40" s="884"/>
      <c r="D40" s="892"/>
    </row>
    <row r="41" spans="2:4" ht="15.6">
      <c r="B41" s="887" t="s">
        <v>726</v>
      </c>
      <c r="C41" s="884"/>
      <c r="D41" s="892"/>
    </row>
    <row r="42" spans="2:4" ht="15.6">
      <c r="B42" s="887" t="s">
        <v>727</v>
      </c>
      <c r="C42" s="884">
        <f>+BSPL!G41/'Result 2 BS'!$E$3</f>
        <v>1149.4599102</v>
      </c>
      <c r="D42" s="885">
        <f>+BSPL!H41/'Result 2 BS'!$E$3</f>
        <v>1012.7469328</v>
      </c>
    </row>
    <row r="43" spans="2:4" ht="15.6">
      <c r="B43" s="887" t="s">
        <v>731</v>
      </c>
      <c r="C43" s="884">
        <f>+BSPL!G42/'Result 2 BS'!$E$3</f>
        <v>1094.9491547000002</v>
      </c>
      <c r="D43" s="885">
        <f>+BSPL!H42/'Result 2 BS'!$E$3</f>
        <v>915.97921990151008</v>
      </c>
    </row>
    <row r="44" spans="2:4" ht="15.6">
      <c r="B44" s="887" t="s">
        <v>732</v>
      </c>
      <c r="C44" s="884">
        <f>+BSPL!G43/'Result 2 BS'!$E$3</f>
        <v>25.767389999999999</v>
      </c>
      <c r="D44" s="885">
        <f>+BSPL!H43/'Result 2 BS'!$E$3</f>
        <v>63.976080000000003</v>
      </c>
    </row>
    <row r="45" spans="2:4" ht="15.6">
      <c r="B45" s="887" t="s">
        <v>733</v>
      </c>
      <c r="C45" s="884">
        <f>+BSPL!G44/'Result 2 BS'!$E$3</f>
        <v>25.4277175</v>
      </c>
      <c r="D45" s="885">
        <f>+BSPL!H44/'Result 2 BS'!$E$3</f>
        <v>23.125318599999989</v>
      </c>
    </row>
    <row r="46" spans="2:4" ht="15.6">
      <c r="B46" s="887" t="s">
        <v>734</v>
      </c>
      <c r="C46" s="884">
        <f>+BSPL!G45/'Result 2 BS'!$E$3</f>
        <v>16.71857</v>
      </c>
      <c r="D46" s="885">
        <f>+BSPL!H45/'Result 2 BS'!$E$3</f>
        <v>20.095749999999999</v>
      </c>
    </row>
    <row r="47" spans="2:4" ht="15.6">
      <c r="B47" s="901" t="s">
        <v>2745</v>
      </c>
      <c r="C47" s="948">
        <f>SUM(C42:C46)</f>
        <v>2312.3227424000002</v>
      </c>
      <c r="D47" s="890">
        <f>SUM(D42:D46)</f>
        <v>2035.9233013015098</v>
      </c>
    </row>
    <row r="48" spans="2:4" ht="16.2" thickBot="1">
      <c r="B48" s="951" t="s">
        <v>2746</v>
      </c>
      <c r="C48" s="955">
        <f>C33+C39+C47</f>
        <v>5302.1874756719481</v>
      </c>
      <c r="D48" s="956">
        <f>D33+D39+D47</f>
        <v>5590.7407372567668</v>
      </c>
    </row>
    <row r="49" spans="2:7">
      <c r="B49" s="903"/>
      <c r="C49" s="903"/>
      <c r="D49" s="903"/>
      <c r="E49" s="3">
        <f>+C48-C27</f>
        <v>4.7840330807957798E-8</v>
      </c>
      <c r="F49" s="3">
        <f>+D48-D27</f>
        <v>3.3493524824734777E-6</v>
      </c>
    </row>
    <row r="50" spans="2:7">
      <c r="B50" s="139" t="s">
        <v>2736</v>
      </c>
      <c r="C50" s="903"/>
      <c r="D50" s="903"/>
    </row>
    <row r="51" spans="2:7">
      <c r="B51" s="139" t="s">
        <v>2747</v>
      </c>
      <c r="F51" s="3"/>
      <c r="G51" s="1"/>
    </row>
    <row r="52" spans="2:7" ht="32.25" customHeight="1">
      <c r="B52" s="328"/>
      <c r="C52" s="328"/>
      <c r="D52" s="328"/>
      <c r="E52" s="328"/>
      <c r="F52" s="328"/>
      <c r="G52" s="328"/>
    </row>
    <row r="53" spans="2:7">
      <c r="B53" s="328"/>
      <c r="C53" s="328"/>
      <c r="D53" s="328"/>
      <c r="E53" s="328"/>
      <c r="F53" s="328"/>
      <c r="G53" s="328"/>
    </row>
    <row r="54" spans="2:7">
      <c r="F54" s="3"/>
      <c r="G54" s="1"/>
    </row>
    <row r="55" spans="2:7">
      <c r="B55" s="903"/>
      <c r="C55" s="903"/>
      <c r="D55" s="903"/>
    </row>
    <row r="56" spans="2:7">
      <c r="B56" s="903"/>
      <c r="C56" s="903"/>
      <c r="D56" s="903"/>
    </row>
    <row r="57" spans="2:7">
      <c r="B57" s="903"/>
      <c r="C57" s="903"/>
      <c r="D57" s="903"/>
    </row>
    <row r="58" spans="2:7">
      <c r="B58" s="903"/>
      <c r="C58" s="903"/>
      <c r="D58" s="903"/>
    </row>
    <row r="59" spans="2:7">
      <c r="B59" s="903"/>
      <c r="C59" s="903"/>
      <c r="D59" s="903"/>
    </row>
    <row r="60" spans="2:7">
      <c r="B60" s="903"/>
      <c r="C60" s="903"/>
      <c r="D60" s="903"/>
    </row>
    <row r="61" spans="2:7">
      <c r="B61" s="903"/>
      <c r="C61" s="903"/>
      <c r="D61" s="903"/>
    </row>
    <row r="62" spans="2:7">
      <c r="B62" s="903"/>
      <c r="C62" s="903"/>
      <c r="D62" s="903"/>
    </row>
    <row r="63" spans="2:7">
      <c r="B63" s="903"/>
      <c r="C63" s="903"/>
      <c r="D63" s="903"/>
    </row>
    <row r="64" spans="2:7">
      <c r="B64" s="903"/>
      <c r="C64" s="903"/>
      <c r="D64" s="903"/>
    </row>
    <row r="65" spans="2:4">
      <c r="B65" s="903"/>
      <c r="C65" s="903"/>
      <c r="D65" s="903"/>
    </row>
    <row r="66" spans="2:4">
      <c r="B66" s="903"/>
      <c r="C66" s="903"/>
      <c r="D66" s="903"/>
    </row>
    <row r="67" spans="2:4">
      <c r="B67" s="903"/>
      <c r="C67" s="903"/>
      <c r="D67" s="903"/>
    </row>
    <row r="68" spans="2:4">
      <c r="B68" s="903"/>
      <c r="C68" s="903"/>
      <c r="D68" s="903"/>
    </row>
    <row r="69" spans="2:4">
      <c r="B69" s="903"/>
      <c r="C69" s="903"/>
      <c r="D69" s="903"/>
    </row>
    <row r="70" spans="2:4">
      <c r="B70" s="903"/>
      <c r="C70" s="903"/>
      <c r="D70" s="903"/>
    </row>
    <row r="71" spans="2:4">
      <c r="B71" s="903"/>
      <c r="C71" s="903"/>
      <c r="D71" s="903"/>
    </row>
    <row r="72" spans="2:4">
      <c r="B72" s="903"/>
      <c r="C72" s="903"/>
      <c r="D72" s="903"/>
    </row>
    <row r="73" spans="2:4">
      <c r="B73" s="903"/>
      <c r="C73" s="903"/>
      <c r="D73" s="903"/>
    </row>
    <row r="74" spans="2:4">
      <c r="B74" s="903"/>
      <c r="C74" s="903"/>
      <c r="D74" s="903"/>
    </row>
    <row r="75" spans="2:4">
      <c r="B75" s="903"/>
      <c r="C75" s="903"/>
      <c r="D75" s="903"/>
    </row>
    <row r="76" spans="2:4">
      <c r="B76" s="903"/>
      <c r="C76" s="903"/>
      <c r="D76" s="903"/>
    </row>
    <row r="77" spans="2:4">
      <c r="B77" s="903"/>
      <c r="C77" s="903"/>
      <c r="D77" s="903"/>
    </row>
    <row r="78" spans="2:4" ht="15.75" customHeight="1">
      <c r="B78" s="903"/>
      <c r="C78" s="903"/>
      <c r="D78" s="903"/>
    </row>
    <row r="79" spans="2:4" ht="15.75" customHeight="1">
      <c r="B79" s="903"/>
      <c r="C79" s="903"/>
      <c r="D79" s="903"/>
    </row>
    <row r="80" spans="2:4">
      <c r="B80" s="903"/>
      <c r="C80" s="903"/>
      <c r="D80" s="903"/>
    </row>
    <row r="81" spans="2:4">
      <c r="B81" s="903"/>
      <c r="C81" s="903"/>
      <c r="D81" s="903"/>
    </row>
    <row r="82" spans="2:4">
      <c r="B82" s="903"/>
      <c r="C82" s="903"/>
      <c r="D82" s="903"/>
    </row>
    <row r="83" spans="2:4">
      <c r="B83" s="903"/>
      <c r="C83" s="903"/>
      <c r="D83" s="903"/>
    </row>
    <row r="84" spans="2:4">
      <c r="B84" s="903"/>
      <c r="C84" s="903"/>
      <c r="D84" s="903"/>
    </row>
    <row r="85" spans="2:4">
      <c r="B85" s="903"/>
      <c r="C85" s="903"/>
      <c r="D85" s="903"/>
    </row>
    <row r="86" spans="2:4">
      <c r="B86" s="903"/>
      <c r="C86" s="903"/>
      <c r="D86" s="903"/>
    </row>
    <row r="87" spans="2:4">
      <c r="B87" s="903"/>
      <c r="C87" s="903"/>
      <c r="D87" s="903"/>
    </row>
    <row r="88" spans="2:4">
      <c r="B88" s="903"/>
      <c r="C88" s="903"/>
      <c r="D88" s="903"/>
    </row>
    <row r="89" spans="2:4">
      <c r="B89" s="903"/>
      <c r="C89" s="903"/>
      <c r="D89" s="903"/>
    </row>
    <row r="90" spans="2:4">
      <c r="B90" s="903"/>
      <c r="C90" s="903"/>
      <c r="D90" s="903"/>
    </row>
    <row r="91" spans="2:4" ht="15.75" customHeight="1">
      <c r="B91" s="903"/>
      <c r="C91" s="903"/>
      <c r="D91" s="903"/>
    </row>
    <row r="92" spans="2:4">
      <c r="B92" s="903"/>
      <c r="C92" s="903"/>
      <c r="D92" s="903"/>
    </row>
    <row r="93" spans="2:4">
      <c r="B93" s="903"/>
      <c r="C93" s="903"/>
      <c r="D93" s="903"/>
    </row>
    <row r="94" spans="2:4">
      <c r="B94" s="903"/>
      <c r="C94" s="903"/>
      <c r="D94" s="903"/>
    </row>
    <row r="95" spans="2:4">
      <c r="B95" s="903"/>
      <c r="C95" s="903"/>
      <c r="D95" s="903"/>
    </row>
    <row r="96" spans="2:4">
      <c r="B96" s="903"/>
      <c r="C96" s="903"/>
      <c r="D96" s="903"/>
    </row>
    <row r="97" spans="2:4">
      <c r="B97" s="903"/>
      <c r="C97" s="903"/>
      <c r="D97" s="903"/>
    </row>
    <row r="98" spans="2:4">
      <c r="B98" s="903"/>
      <c r="C98" s="903"/>
      <c r="D98" s="903"/>
    </row>
    <row r="99" spans="2:4">
      <c r="B99" s="903"/>
      <c r="C99" s="903"/>
      <c r="D99" s="903"/>
    </row>
    <row r="100" spans="2:4">
      <c r="B100" s="903"/>
      <c r="C100" s="903"/>
      <c r="D100" s="903"/>
    </row>
    <row r="105" spans="2:4" ht="15.75" customHeight="1"/>
    <row r="113" ht="16.5" customHeight="1"/>
  </sheetData>
  <customSheetViews>
    <customSheetView guid="{ADEA4918-0326-423A-8D00-FB47A486004B}" scale="60" showPageBreaks="1" printArea="1" view="pageBreakPreview">
      <selection activeCell="G112" sqref="G112"/>
      <pageMargins left="0.7" right="0.7" top="0.75" bottom="0.75" header="0.3" footer="0.3"/>
      <pageSetup scale="78" orientation="portrait" r:id="rId1"/>
    </customSheetView>
    <customSheetView guid="{2A78E287-3113-4387-BB62-BE98FA5C13C2}" scale="60" showPageBreaks="1" printArea="1" view="pageBreakPreview">
      <selection activeCell="D595" sqref="D595"/>
      <pageMargins left="0.7" right="0.7" top="0.75" bottom="0.75" header="0.3" footer="0.3"/>
      <pageSetup scale="78" orientation="portrait" r:id="rId2"/>
    </customSheetView>
    <customSheetView guid="{DC5DA12B-0FA6-4F41-A983-6E433AD4604D}" scale="116" showPageBreaks="1" printArea="1" view="pageBreakPreview">
      <selection activeCell="D595" sqref="D595"/>
      <pageMargins left="0.7" right="0.7" top="0.75" bottom="0.75" header="0.3" footer="0.3"/>
      <pageSetup scale="78" orientation="portrait" r:id="rId3"/>
    </customSheetView>
  </customSheetViews>
  <mergeCells count="3">
    <mergeCell ref="B3:D3"/>
    <mergeCell ref="B4:D4"/>
    <mergeCell ref="B7:B8"/>
  </mergeCells>
  <pageMargins left="0.7" right="0.7" top="0.75" bottom="0.75" header="0.3" footer="0.3"/>
  <pageSetup scale="78"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V79"/>
  <sheetViews>
    <sheetView view="pageBreakPreview" zoomScale="80" zoomScaleNormal="65" zoomScaleSheetLayoutView="80" workbookViewId="0">
      <selection activeCell="P61" sqref="P61"/>
    </sheetView>
  </sheetViews>
  <sheetFormatPr defaultColWidth="8" defaultRowHeight="14.4"/>
  <cols>
    <col min="1" max="1" width="9.109375" style="542" customWidth="1"/>
    <col min="2" max="2" width="8" style="541" customWidth="1"/>
    <col min="3" max="3" width="30.6640625" style="542" customWidth="1"/>
    <col min="4" max="4" width="17.44140625" style="542" customWidth="1"/>
    <col min="5" max="5" width="19.88671875" style="542" bestFit="1" customWidth="1"/>
    <col min="6" max="6" width="18" style="543" bestFit="1" customWidth="1"/>
    <col min="7" max="7" width="17.33203125" style="542" bestFit="1" customWidth="1"/>
    <col min="8" max="8" width="18.44140625" style="542" hidden="1" customWidth="1"/>
    <col min="9" max="9" width="20" style="542" hidden="1" customWidth="1"/>
    <col min="10" max="10" width="15.109375" style="542" bestFit="1" customWidth="1"/>
    <col min="11" max="11" width="18.5546875" style="542" bestFit="1" customWidth="1"/>
    <col min="12" max="12" width="18" style="542" customWidth="1"/>
    <col min="13" max="13" width="23.33203125" style="542" customWidth="1"/>
    <col min="14" max="14" width="25.88671875" style="542" customWidth="1"/>
    <col min="15" max="15" width="22.33203125" style="542" customWidth="1"/>
    <col min="16" max="16" width="20.44140625" style="542" bestFit="1" customWidth="1"/>
    <col min="17" max="17" width="21.88671875" style="542" customWidth="1"/>
    <col min="18" max="16384" width="8" style="542"/>
  </cols>
  <sheetData>
    <row r="3" spans="2:17">
      <c r="L3" s="608"/>
      <c r="M3" s="608"/>
    </row>
    <row r="4" spans="2:17">
      <c r="B4" s="2521" t="s">
        <v>2262</v>
      </c>
      <c r="C4" s="2522"/>
      <c r="D4" s="2522"/>
      <c r="E4" s="2522"/>
      <c r="F4" s="2522"/>
      <c r="G4" s="2522"/>
      <c r="H4" s="2522"/>
      <c r="I4" s="2522"/>
      <c r="J4" s="2522"/>
      <c r="K4" s="2522"/>
      <c r="L4" s="2522"/>
      <c r="M4" s="2522"/>
      <c r="N4" s="2522"/>
      <c r="O4" s="2522"/>
      <c r="P4" s="2522"/>
      <c r="Q4" s="2523"/>
    </row>
    <row r="5" spans="2:17">
      <c r="B5" s="609"/>
      <c r="C5" s="610"/>
      <c r="D5" s="610"/>
      <c r="E5" s="610"/>
      <c r="F5" s="544"/>
      <c r="G5" s="610"/>
      <c r="H5" s="610"/>
      <c r="I5" s="610"/>
      <c r="J5" s="610"/>
      <c r="K5" s="610"/>
      <c r="L5" s="610"/>
      <c r="M5" s="610"/>
      <c r="N5" s="610"/>
      <c r="O5" s="610"/>
      <c r="P5" s="610"/>
      <c r="Q5" s="611"/>
    </row>
    <row r="6" spans="2:17">
      <c r="B6" s="2524" t="s">
        <v>2263</v>
      </c>
      <c r="C6" s="2525"/>
      <c r="D6" s="2525"/>
      <c r="E6" s="2525"/>
      <c r="F6" s="2525"/>
      <c r="G6" s="2525"/>
      <c r="H6" s="2525"/>
      <c r="I6" s="2525"/>
      <c r="J6" s="2525"/>
      <c r="K6" s="2525"/>
      <c r="L6" s="2525"/>
      <c r="M6" s="2525"/>
      <c r="N6" s="2525"/>
      <c r="O6" s="2525"/>
      <c r="P6" s="2525"/>
      <c r="Q6" s="2526"/>
    </row>
    <row r="7" spans="2:17">
      <c r="B7" s="612"/>
      <c r="C7" s="613"/>
      <c r="D7" s="613"/>
      <c r="E7" s="613"/>
      <c r="F7" s="544"/>
      <c r="G7" s="613"/>
      <c r="H7" s="613"/>
      <c r="I7" s="613"/>
      <c r="J7" s="613"/>
      <c r="K7" s="613"/>
      <c r="L7" s="613"/>
      <c r="M7" s="613"/>
      <c r="N7" s="613"/>
      <c r="O7" s="613"/>
      <c r="P7" s="613"/>
      <c r="Q7" s="611"/>
    </row>
    <row r="8" spans="2:17">
      <c r="B8" s="2527" t="s">
        <v>2264</v>
      </c>
      <c r="C8" s="2528"/>
      <c r="D8" s="2528"/>
      <c r="E8" s="2528"/>
      <c r="F8" s="2528"/>
      <c r="G8" s="2528"/>
      <c r="H8" s="2528"/>
      <c r="I8" s="2528"/>
      <c r="J8" s="2528"/>
      <c r="K8" s="2528"/>
      <c r="L8" s="2528"/>
      <c r="M8" s="2528"/>
      <c r="N8" s="2528"/>
      <c r="O8" s="2528"/>
      <c r="P8" s="2528"/>
      <c r="Q8" s="2529"/>
    </row>
    <row r="9" spans="2:17">
      <c r="B9" s="609"/>
      <c r="C9" s="610"/>
      <c r="D9" s="610"/>
      <c r="E9" s="610"/>
      <c r="F9" s="544"/>
      <c r="G9" s="610"/>
      <c r="H9" s="610"/>
      <c r="I9" s="610"/>
      <c r="J9" s="610"/>
      <c r="K9" s="610"/>
      <c r="L9" s="610"/>
      <c r="M9" s="610"/>
      <c r="N9" s="610"/>
      <c r="O9" s="610"/>
      <c r="P9" s="610"/>
      <c r="Q9" s="611"/>
    </row>
    <row r="10" spans="2:17">
      <c r="B10" s="2530" t="s">
        <v>2265</v>
      </c>
      <c r="C10" s="2531"/>
      <c r="D10" s="2531"/>
      <c r="E10" s="2531"/>
      <c r="F10" s="2531"/>
      <c r="G10" s="2531"/>
      <c r="H10" s="2531"/>
      <c r="I10" s="2531"/>
      <c r="J10" s="2531"/>
      <c r="K10" s="2531"/>
      <c r="L10" s="2531"/>
      <c r="M10" s="2531"/>
      <c r="N10" s="2531"/>
      <c r="O10" s="2531"/>
      <c r="P10" s="2531"/>
      <c r="Q10" s="2532"/>
    </row>
    <row r="11" spans="2:17">
      <c r="B11" s="545"/>
      <c r="C11" s="544"/>
      <c r="D11" s="544"/>
      <c r="E11" s="544"/>
      <c r="F11" s="544"/>
      <c r="G11" s="544"/>
      <c r="H11" s="544"/>
      <c r="I11" s="544"/>
      <c r="J11" s="544"/>
      <c r="K11" s="544"/>
      <c r="L11" s="544"/>
      <c r="M11" s="544"/>
      <c r="N11" s="544"/>
      <c r="O11" s="544"/>
      <c r="P11" s="544"/>
      <c r="Q11" s="611"/>
    </row>
    <row r="12" spans="2:17">
      <c r="B12" s="2530" t="s">
        <v>2266</v>
      </c>
      <c r="C12" s="2531"/>
      <c r="D12" s="2531"/>
      <c r="E12" s="2531"/>
      <c r="F12" s="2531"/>
      <c r="G12" s="2531"/>
      <c r="H12" s="2531"/>
      <c r="I12" s="2531"/>
      <c r="J12" s="2531"/>
      <c r="K12" s="2531"/>
      <c r="L12" s="2531"/>
      <c r="M12" s="2531"/>
      <c r="N12" s="2531"/>
      <c r="O12" s="2531"/>
      <c r="P12" s="2531"/>
      <c r="Q12" s="2532"/>
    </row>
    <row r="13" spans="2:17">
      <c r="B13" s="614"/>
      <c r="C13" s="546"/>
      <c r="D13" s="547"/>
      <c r="E13" s="546"/>
      <c r="F13" s="546"/>
      <c r="G13" s="546"/>
      <c r="H13" s="546"/>
      <c r="I13" s="546"/>
      <c r="J13" s="546"/>
      <c r="K13" s="546"/>
      <c r="L13" s="546"/>
      <c r="M13" s="546"/>
      <c r="N13" s="546"/>
      <c r="O13" s="546"/>
      <c r="P13" s="546"/>
      <c r="Q13" s="611"/>
    </row>
    <row r="14" spans="2:17">
      <c r="B14" s="548" t="s">
        <v>2011</v>
      </c>
      <c r="C14" s="549" t="s">
        <v>2267</v>
      </c>
      <c r="D14" s="550" t="s">
        <v>2268</v>
      </c>
      <c r="E14" s="551" t="s">
        <v>2269</v>
      </c>
      <c r="F14" s="2533" t="s">
        <v>2228</v>
      </c>
      <c r="G14" s="2534"/>
      <c r="H14" s="2535" t="s">
        <v>2270</v>
      </c>
      <c r="I14" s="2536"/>
      <c r="J14" s="552" t="s">
        <v>2271</v>
      </c>
      <c r="K14" s="551" t="s">
        <v>824</v>
      </c>
      <c r="L14" s="551" t="s">
        <v>2272</v>
      </c>
      <c r="M14" s="2518" t="s">
        <v>2273</v>
      </c>
      <c r="N14" s="2518" t="s">
        <v>2274</v>
      </c>
      <c r="O14" s="2518" t="s">
        <v>2275</v>
      </c>
      <c r="P14" s="551" t="s">
        <v>2276</v>
      </c>
      <c r="Q14" s="2518" t="s">
        <v>2277</v>
      </c>
    </row>
    <row r="15" spans="2:17">
      <c r="B15" s="553"/>
      <c r="C15" s="554"/>
      <c r="D15" s="555" t="s">
        <v>2278</v>
      </c>
      <c r="E15" s="555" t="s">
        <v>4702</v>
      </c>
      <c r="F15" s="544" t="s">
        <v>2279</v>
      </c>
      <c r="G15" s="555" t="s">
        <v>2280</v>
      </c>
      <c r="H15" s="544" t="s">
        <v>2279</v>
      </c>
      <c r="I15" s="555" t="s">
        <v>2280</v>
      </c>
      <c r="J15" s="555"/>
      <c r="K15" s="554"/>
      <c r="L15" s="555" t="s">
        <v>2281</v>
      </c>
      <c r="M15" s="2519"/>
      <c r="N15" s="2519"/>
      <c r="O15" s="2519"/>
      <c r="P15" s="556">
        <v>45382</v>
      </c>
      <c r="Q15" s="2519"/>
    </row>
    <row r="16" spans="2:17">
      <c r="B16" s="557"/>
      <c r="C16" s="558"/>
      <c r="D16" s="559"/>
      <c r="E16" s="558"/>
      <c r="F16" s="560" t="s">
        <v>2282</v>
      </c>
      <c r="G16" s="560" t="s">
        <v>2282</v>
      </c>
      <c r="H16" s="560" t="s">
        <v>2282</v>
      </c>
      <c r="I16" s="560" t="s">
        <v>2282</v>
      </c>
      <c r="J16" s="560"/>
      <c r="K16" s="558"/>
      <c r="L16" s="561" t="s">
        <v>2488</v>
      </c>
      <c r="M16" s="2520"/>
      <c r="N16" s="2520"/>
      <c r="O16" s="2520"/>
      <c r="P16" s="558"/>
      <c r="Q16" s="2520"/>
    </row>
    <row r="17" spans="2:17">
      <c r="B17" s="562"/>
      <c r="C17" s="615"/>
      <c r="D17" s="563"/>
      <c r="E17" s="564"/>
      <c r="F17" s="564"/>
      <c r="G17" s="564"/>
      <c r="H17" s="564"/>
      <c r="I17" s="564"/>
      <c r="J17" s="564"/>
      <c r="K17" s="564"/>
      <c r="L17" s="555"/>
      <c r="M17" s="555"/>
      <c r="N17" s="555"/>
      <c r="O17" s="555"/>
      <c r="P17" s="564"/>
      <c r="Q17" s="616"/>
    </row>
    <row r="18" spans="2:17">
      <c r="B18" s="565"/>
      <c r="C18" s="566" t="s">
        <v>2283</v>
      </c>
      <c r="D18" s="567"/>
      <c r="E18" s="564"/>
      <c r="F18" s="564"/>
      <c r="G18" s="564"/>
      <c r="H18" s="564"/>
      <c r="I18" s="564"/>
      <c r="J18" s="564"/>
      <c r="K18" s="564"/>
      <c r="L18" s="555"/>
      <c r="M18" s="555"/>
      <c r="N18" s="555"/>
      <c r="O18" s="555"/>
      <c r="P18" s="564"/>
      <c r="Q18" s="616"/>
    </row>
    <row r="19" spans="2:17">
      <c r="B19" s="568">
        <v>1</v>
      </c>
      <c r="C19" s="569" t="s">
        <v>1155</v>
      </c>
      <c r="D19" s="570">
        <v>0</v>
      </c>
      <c r="E19" s="571">
        <v>1156704</v>
      </c>
      <c r="F19" s="571">
        <v>0</v>
      </c>
      <c r="G19" s="571">
        <v>0</v>
      </c>
      <c r="H19" s="571">
        <v>0</v>
      </c>
      <c r="I19" s="571">
        <v>0</v>
      </c>
      <c r="J19" s="571">
        <v>0</v>
      </c>
      <c r="K19" s="571">
        <f>SUM(F19:G19)</f>
        <v>0</v>
      </c>
      <c r="L19" s="572">
        <f>+((E19+F19-J19)*D19+(G19*D19/2))</f>
        <v>0</v>
      </c>
      <c r="M19" s="572">
        <v>0</v>
      </c>
      <c r="N19" s="572">
        <v>0</v>
      </c>
      <c r="O19" s="572">
        <f>SUM(L19:N19)</f>
        <v>0</v>
      </c>
      <c r="P19" s="571">
        <f>+E19+K19-L19</f>
        <v>1156704</v>
      </c>
      <c r="Q19" s="572">
        <v>0</v>
      </c>
    </row>
    <row r="20" spans="2:17">
      <c r="B20" s="573"/>
      <c r="C20" s="617"/>
      <c r="D20" s="558"/>
      <c r="E20" s="564"/>
      <c r="F20" s="564"/>
      <c r="G20" s="564"/>
      <c r="H20" s="564"/>
      <c r="I20" s="564"/>
      <c r="J20" s="564"/>
      <c r="K20" s="564"/>
      <c r="L20" s="555"/>
      <c r="M20" s="555"/>
      <c r="N20" s="555"/>
      <c r="O20" s="555"/>
      <c r="P20" s="564"/>
      <c r="Q20" s="616"/>
    </row>
    <row r="21" spans="2:17">
      <c r="B21" s="568"/>
      <c r="C21" s="574" t="s">
        <v>2284</v>
      </c>
      <c r="D21" s="575"/>
      <c r="E21" s="576">
        <f t="shared" ref="E21:P21" si="0">SUM(E19:E20)</f>
        <v>1156704</v>
      </c>
      <c r="F21" s="576">
        <f t="shared" si="0"/>
        <v>0</v>
      </c>
      <c r="G21" s="576">
        <f t="shared" si="0"/>
        <v>0</v>
      </c>
      <c r="H21" s="576">
        <f t="shared" si="0"/>
        <v>0</v>
      </c>
      <c r="I21" s="576">
        <f t="shared" si="0"/>
        <v>0</v>
      </c>
      <c r="J21" s="576">
        <f t="shared" si="0"/>
        <v>0</v>
      </c>
      <c r="K21" s="576">
        <f>SUM(K19:K20)</f>
        <v>0</v>
      </c>
      <c r="L21" s="576">
        <f t="shared" si="0"/>
        <v>0</v>
      </c>
      <c r="M21" s="576">
        <f t="shared" si="0"/>
        <v>0</v>
      </c>
      <c r="N21" s="576">
        <f t="shared" si="0"/>
        <v>0</v>
      </c>
      <c r="O21" s="576">
        <f>O19</f>
        <v>0</v>
      </c>
      <c r="P21" s="576">
        <f t="shared" si="0"/>
        <v>1156704</v>
      </c>
      <c r="Q21" s="576">
        <f>SUM(Q19:Q20)</f>
        <v>0</v>
      </c>
    </row>
    <row r="22" spans="2:17">
      <c r="B22" s="562"/>
      <c r="C22" s="615"/>
      <c r="D22" s="563"/>
      <c r="E22" s="564"/>
      <c r="F22" s="564"/>
      <c r="G22" s="564"/>
      <c r="H22" s="564"/>
      <c r="I22" s="564"/>
      <c r="J22" s="564"/>
      <c r="K22" s="564"/>
      <c r="L22" s="555"/>
      <c r="M22" s="555"/>
      <c r="N22" s="555"/>
      <c r="O22" s="555"/>
      <c r="P22" s="564"/>
      <c r="Q22" s="616"/>
    </row>
    <row r="23" spans="2:17">
      <c r="B23" s="565"/>
      <c r="C23" s="566" t="s">
        <v>2285</v>
      </c>
      <c r="D23" s="567"/>
      <c r="E23" s="564"/>
      <c r="F23" s="564"/>
      <c r="G23" s="577"/>
      <c r="H23" s="577"/>
      <c r="I23" s="577"/>
      <c r="J23" s="564"/>
      <c r="K23" s="564"/>
      <c r="L23" s="555"/>
      <c r="M23" s="555"/>
      <c r="N23" s="555"/>
      <c r="O23" s="555"/>
      <c r="P23" s="564"/>
      <c r="Q23" s="555"/>
    </row>
    <row r="24" spans="2:17">
      <c r="B24" s="568">
        <v>2</v>
      </c>
      <c r="C24" s="569" t="s">
        <v>76</v>
      </c>
      <c r="D24" s="570">
        <v>0.1</v>
      </c>
      <c r="E24" s="571">
        <v>21580910</v>
      </c>
      <c r="F24" s="571">
        <v>0</v>
      </c>
      <c r="G24" s="578">
        <v>10206973.789999999</v>
      </c>
      <c r="H24" s="578">
        <v>0</v>
      </c>
      <c r="I24" s="578">
        <v>0</v>
      </c>
      <c r="J24" s="571">
        <v>0</v>
      </c>
      <c r="K24" s="571">
        <f>SUM(F24:G24)-J24</f>
        <v>10206973.789999999</v>
      </c>
      <c r="L24" s="572">
        <f>+((E24+F24-J24)*D24)+(G24*D24/2)</f>
        <v>2668439.6894999999</v>
      </c>
      <c r="M24" s="572">
        <v>0</v>
      </c>
      <c r="N24" s="572">
        <v>0</v>
      </c>
      <c r="O24" s="572">
        <f>SUM(L24:N24)</f>
        <v>2668439.6894999999</v>
      </c>
      <c r="P24" s="571">
        <f>+E24+K24-L24</f>
        <v>29119444.100499999</v>
      </c>
      <c r="Q24" s="572">
        <v>0</v>
      </c>
    </row>
    <row r="25" spans="2:17">
      <c r="B25" s="573"/>
      <c r="C25" s="617"/>
      <c r="D25" s="558"/>
      <c r="E25" s="564"/>
      <c r="F25" s="564"/>
      <c r="G25" s="564"/>
      <c r="H25" s="564"/>
      <c r="I25" s="564"/>
      <c r="J25" s="564"/>
      <c r="K25" s="564"/>
      <c r="L25" s="555"/>
      <c r="M25" s="555"/>
      <c r="N25" s="555"/>
      <c r="O25" s="555"/>
      <c r="P25" s="564"/>
      <c r="Q25" s="616"/>
    </row>
    <row r="26" spans="2:17">
      <c r="B26" s="568"/>
      <c r="C26" s="574" t="s">
        <v>2286</v>
      </c>
      <c r="D26" s="575"/>
      <c r="E26" s="576">
        <f t="shared" ref="E26:P26" si="1">+E24</f>
        <v>21580910</v>
      </c>
      <c r="F26" s="576">
        <f>+F24</f>
        <v>0</v>
      </c>
      <c r="G26" s="576">
        <f t="shared" si="1"/>
        <v>10206973.789999999</v>
      </c>
      <c r="H26" s="576"/>
      <c r="I26" s="576"/>
      <c r="J26" s="576">
        <f>J24</f>
        <v>0</v>
      </c>
      <c r="K26" s="576">
        <f t="shared" si="1"/>
        <v>10206973.789999999</v>
      </c>
      <c r="L26" s="576">
        <f>+L24</f>
        <v>2668439.6894999999</v>
      </c>
      <c r="M26" s="576">
        <f t="shared" si="1"/>
        <v>0</v>
      </c>
      <c r="N26" s="576">
        <f t="shared" si="1"/>
        <v>0</v>
      </c>
      <c r="O26" s="576">
        <f>O24</f>
        <v>2668439.6894999999</v>
      </c>
      <c r="P26" s="576">
        <f t="shared" si="1"/>
        <v>29119444.100499999</v>
      </c>
      <c r="Q26" s="576">
        <f>+Q24</f>
        <v>0</v>
      </c>
    </row>
    <row r="27" spans="2:17">
      <c r="B27" s="562"/>
      <c r="C27" s="615"/>
      <c r="D27" s="563"/>
      <c r="E27" s="564"/>
      <c r="F27" s="564"/>
      <c r="G27" s="564"/>
      <c r="H27" s="564"/>
      <c r="I27" s="564"/>
      <c r="J27" s="564"/>
      <c r="K27" s="564"/>
      <c r="L27" s="555"/>
      <c r="M27" s="555"/>
      <c r="N27" s="555"/>
      <c r="O27" s="555"/>
      <c r="P27" s="564"/>
      <c r="Q27" s="616"/>
    </row>
    <row r="28" spans="2:17">
      <c r="B28" s="579"/>
      <c r="C28" s="566" t="s">
        <v>2287</v>
      </c>
      <c r="D28" s="580"/>
      <c r="E28" s="571"/>
      <c r="F28" s="578"/>
      <c r="G28" s="577"/>
      <c r="H28" s="577"/>
      <c r="I28" s="577"/>
      <c r="J28" s="577"/>
      <c r="K28" s="581"/>
      <c r="L28" s="582"/>
      <c r="M28" s="582"/>
      <c r="N28" s="582"/>
      <c r="O28" s="582"/>
      <c r="P28" s="571"/>
      <c r="Q28" s="582"/>
    </row>
    <row r="29" spans="2:17">
      <c r="B29" s="579">
        <v>3</v>
      </c>
      <c r="C29" s="569" t="s">
        <v>2288</v>
      </c>
      <c r="D29" s="570">
        <v>0.1</v>
      </c>
      <c r="E29" s="571">
        <v>1045038</v>
      </c>
      <c r="F29" s="578">
        <f>24900+67620</f>
        <v>92520</v>
      </c>
      <c r="G29" s="578">
        <v>5500</v>
      </c>
      <c r="H29" s="578">
        <v>0</v>
      </c>
      <c r="I29" s="578">
        <v>0</v>
      </c>
      <c r="J29" s="578">
        <v>0</v>
      </c>
      <c r="K29" s="571">
        <f>SUM(F29:G29)-J29</f>
        <v>98020</v>
      </c>
      <c r="L29" s="572">
        <f>+((E29+F29-J29)*D29)+(G29*D29/2)</f>
        <v>114030.8</v>
      </c>
      <c r="M29" s="572">
        <v>0</v>
      </c>
      <c r="N29" s="572">
        <v>0</v>
      </c>
      <c r="O29" s="572">
        <f>SUM(L29:N29)</f>
        <v>114030.8</v>
      </c>
      <c r="P29" s="571">
        <f>+E29+K29-L29</f>
        <v>1029027.2</v>
      </c>
      <c r="Q29" s="572">
        <v>0</v>
      </c>
    </row>
    <row r="30" spans="2:17">
      <c r="B30" s="579"/>
      <c r="C30" s="583"/>
      <c r="D30" s="570"/>
      <c r="E30" s="571"/>
      <c r="F30" s="578"/>
      <c r="G30" s="578"/>
      <c r="H30" s="578"/>
      <c r="I30" s="578"/>
      <c r="J30" s="578"/>
      <c r="K30" s="571"/>
      <c r="L30" s="572"/>
      <c r="M30" s="572"/>
      <c r="N30" s="572"/>
      <c r="O30" s="572"/>
      <c r="P30" s="571"/>
      <c r="Q30" s="572"/>
    </row>
    <row r="31" spans="2:17">
      <c r="B31" s="584"/>
      <c r="C31" s="574" t="s">
        <v>824</v>
      </c>
      <c r="D31" s="585"/>
      <c r="E31" s="576">
        <f>E29</f>
        <v>1045038</v>
      </c>
      <c r="F31" s="576">
        <f t="shared" ref="F31:Q31" si="2">F29</f>
        <v>92520</v>
      </c>
      <c r="G31" s="576">
        <f t="shared" si="2"/>
        <v>5500</v>
      </c>
      <c r="H31" s="576">
        <f t="shared" si="2"/>
        <v>0</v>
      </c>
      <c r="I31" s="576">
        <f t="shared" si="2"/>
        <v>0</v>
      </c>
      <c r="J31" s="576">
        <f t="shared" si="2"/>
        <v>0</v>
      </c>
      <c r="K31" s="576">
        <f t="shared" si="2"/>
        <v>98020</v>
      </c>
      <c r="L31" s="576">
        <f t="shared" si="2"/>
        <v>114030.8</v>
      </c>
      <c r="M31" s="576">
        <f t="shared" si="2"/>
        <v>0</v>
      </c>
      <c r="N31" s="576">
        <f t="shared" si="2"/>
        <v>0</v>
      </c>
      <c r="O31" s="576">
        <f>O29</f>
        <v>114030.8</v>
      </c>
      <c r="P31" s="576">
        <f t="shared" si="2"/>
        <v>1029027.2</v>
      </c>
      <c r="Q31" s="576">
        <f t="shared" si="2"/>
        <v>0</v>
      </c>
    </row>
    <row r="32" spans="2:17">
      <c r="B32" s="586"/>
      <c r="C32" s="616"/>
      <c r="D32" s="587"/>
      <c r="E32" s="587"/>
      <c r="F32" s="564"/>
      <c r="G32" s="564"/>
      <c r="H32" s="564"/>
      <c r="I32" s="564"/>
      <c r="J32" s="564"/>
      <c r="K32" s="564"/>
      <c r="L32" s="555"/>
      <c r="M32" s="555"/>
      <c r="N32" s="555"/>
      <c r="O32" s="555"/>
      <c r="P32" s="564"/>
      <c r="Q32" s="616"/>
    </row>
    <row r="33" spans="2:17">
      <c r="B33" s="553">
        <v>4</v>
      </c>
      <c r="C33" s="588" t="s">
        <v>2289</v>
      </c>
      <c r="D33" s="570">
        <v>0.1</v>
      </c>
      <c r="E33" s="571">
        <v>10764166</v>
      </c>
      <c r="F33" s="578">
        <v>146843.5</v>
      </c>
      <c r="G33" s="578">
        <v>48573765.479999997</v>
      </c>
      <c r="H33" s="578">
        <v>0</v>
      </c>
      <c r="I33" s="578">
        <v>0</v>
      </c>
      <c r="J33" s="589">
        <v>400000</v>
      </c>
      <c r="K33" s="571">
        <f>SUM(F33:G33)-J33</f>
        <v>48320608.979999997</v>
      </c>
      <c r="L33" s="572">
        <f>+((E33+F33-J33)*D33)+(G33*D33/2)</f>
        <v>3479789.2239999995</v>
      </c>
      <c r="M33" s="572">
        <v>0</v>
      </c>
      <c r="N33" s="572">
        <v>0</v>
      </c>
      <c r="O33" s="572">
        <f>SUM(L33:N33)</f>
        <v>3479789.2239999995</v>
      </c>
      <c r="P33" s="571">
        <f>+E33+K33-L33</f>
        <v>55604985.755999997</v>
      </c>
      <c r="Q33" s="572">
        <v>0</v>
      </c>
    </row>
    <row r="34" spans="2:17">
      <c r="B34" s="586"/>
      <c r="C34" s="616"/>
      <c r="D34" s="587"/>
      <c r="E34" s="587"/>
      <c r="F34" s="564"/>
      <c r="G34" s="564"/>
      <c r="H34" s="564"/>
      <c r="I34" s="564"/>
      <c r="J34" s="564"/>
      <c r="K34" s="564"/>
      <c r="L34" s="555"/>
      <c r="M34" s="555"/>
      <c r="N34" s="555"/>
      <c r="O34" s="555"/>
      <c r="P34" s="564"/>
      <c r="Q34" s="616"/>
    </row>
    <row r="35" spans="2:17">
      <c r="B35" s="584"/>
      <c r="C35" s="618" t="s">
        <v>824</v>
      </c>
      <c r="D35" s="590"/>
      <c r="E35" s="576">
        <f>E33</f>
        <v>10764166</v>
      </c>
      <c r="F35" s="576">
        <f t="shared" ref="F35:Q35" si="3">F33</f>
        <v>146843.5</v>
      </c>
      <c r="G35" s="576">
        <f t="shared" si="3"/>
        <v>48573765.479999997</v>
      </c>
      <c r="H35" s="576">
        <f t="shared" si="3"/>
        <v>0</v>
      </c>
      <c r="I35" s="576">
        <f t="shared" si="3"/>
        <v>0</v>
      </c>
      <c r="J35" s="576">
        <f t="shared" si="3"/>
        <v>400000</v>
      </c>
      <c r="K35" s="576">
        <f t="shared" si="3"/>
        <v>48320608.979999997</v>
      </c>
      <c r="L35" s="576">
        <f t="shared" si="3"/>
        <v>3479789.2239999995</v>
      </c>
      <c r="M35" s="576">
        <f t="shared" si="3"/>
        <v>0</v>
      </c>
      <c r="N35" s="576">
        <f t="shared" si="3"/>
        <v>0</v>
      </c>
      <c r="O35" s="576">
        <f>O33</f>
        <v>3479789.2239999995</v>
      </c>
      <c r="P35" s="576">
        <f t="shared" si="3"/>
        <v>55604985.755999997</v>
      </c>
      <c r="Q35" s="576">
        <f t="shared" si="3"/>
        <v>0</v>
      </c>
    </row>
    <row r="36" spans="2:17" s="592" customFormat="1">
      <c r="B36" s="579"/>
      <c r="C36" s="574" t="s">
        <v>2290</v>
      </c>
      <c r="D36" s="591"/>
      <c r="E36" s="576">
        <f>E35+E31</f>
        <v>11809204</v>
      </c>
      <c r="F36" s="576">
        <f t="shared" ref="F36:Q36" si="4">F35+F31</f>
        <v>239363.5</v>
      </c>
      <c r="G36" s="576">
        <f t="shared" si="4"/>
        <v>48579265.479999997</v>
      </c>
      <c r="H36" s="576">
        <f t="shared" si="4"/>
        <v>0</v>
      </c>
      <c r="I36" s="576">
        <f t="shared" si="4"/>
        <v>0</v>
      </c>
      <c r="J36" s="576">
        <f t="shared" si="4"/>
        <v>400000</v>
      </c>
      <c r="K36" s="576">
        <f t="shared" si="4"/>
        <v>48418628.979999997</v>
      </c>
      <c r="L36" s="576">
        <f t="shared" si="4"/>
        <v>3593820.0239999993</v>
      </c>
      <c r="M36" s="576">
        <f t="shared" si="4"/>
        <v>0</v>
      </c>
      <c r="N36" s="576">
        <f t="shared" si="4"/>
        <v>0</v>
      </c>
      <c r="O36" s="576">
        <f>O35+O31</f>
        <v>3593820.0239999993</v>
      </c>
      <c r="P36" s="576">
        <f t="shared" si="4"/>
        <v>56634012.956</v>
      </c>
      <c r="Q36" s="576">
        <f t="shared" si="4"/>
        <v>0</v>
      </c>
    </row>
    <row r="37" spans="2:17">
      <c r="B37" s="562"/>
      <c r="C37" s="615"/>
      <c r="D37" s="563"/>
      <c r="E37" s="564"/>
      <c r="F37" s="564"/>
      <c r="G37" s="564"/>
      <c r="H37" s="564"/>
      <c r="I37" s="564"/>
      <c r="J37" s="564"/>
      <c r="K37" s="564"/>
      <c r="L37" s="555"/>
      <c r="M37" s="555"/>
      <c r="N37" s="555"/>
      <c r="O37" s="555"/>
      <c r="P37" s="564"/>
      <c r="Q37" s="616"/>
    </row>
    <row r="38" spans="2:17">
      <c r="B38" s="619"/>
      <c r="C38" s="566" t="s">
        <v>2291</v>
      </c>
      <c r="D38" s="593"/>
      <c r="E38" s="571"/>
      <c r="F38" s="594"/>
      <c r="G38" s="594"/>
      <c r="H38" s="594"/>
      <c r="I38" s="594"/>
      <c r="J38" s="594"/>
      <c r="K38" s="594"/>
      <c r="L38" s="571"/>
      <c r="M38" s="571"/>
      <c r="N38" s="571"/>
      <c r="O38" s="571"/>
      <c r="P38" s="571"/>
      <c r="Q38" s="571"/>
    </row>
    <row r="39" spans="2:17">
      <c r="B39" s="579">
        <v>5</v>
      </c>
      <c r="C39" s="569" t="s">
        <v>2292</v>
      </c>
      <c r="D39" s="595">
        <v>0.15</v>
      </c>
      <c r="E39" s="571">
        <v>1855527</v>
      </c>
      <c r="F39" s="571">
        <v>0</v>
      </c>
      <c r="G39" s="594">
        <v>0</v>
      </c>
      <c r="H39" s="594">
        <v>0</v>
      </c>
      <c r="I39" s="594">
        <v>0</v>
      </c>
      <c r="J39" s="594">
        <v>0</v>
      </c>
      <c r="K39" s="571">
        <f>SUM(F39:G39)-J39</f>
        <v>0</v>
      </c>
      <c r="L39" s="572">
        <f>+((E39+F39-J39)*D39)+(G39*D39/2)</f>
        <v>278329.05</v>
      </c>
      <c r="M39" s="572">
        <v>0</v>
      </c>
      <c r="N39" s="572">
        <v>0</v>
      </c>
      <c r="O39" s="572">
        <f>SUM(L39:N39)</f>
        <v>278329.05</v>
      </c>
      <c r="P39" s="571">
        <f>+E39+K39-L39</f>
        <v>1577197.95</v>
      </c>
      <c r="Q39" s="572">
        <v>0</v>
      </c>
    </row>
    <row r="40" spans="2:17">
      <c r="B40" s="573"/>
      <c r="C40" s="617"/>
      <c r="D40" s="558"/>
      <c r="E40" s="564"/>
      <c r="F40" s="564"/>
      <c r="G40" s="564"/>
      <c r="H40" s="564"/>
      <c r="I40" s="564"/>
      <c r="J40" s="564"/>
      <c r="K40" s="564"/>
      <c r="L40" s="555"/>
      <c r="M40" s="555"/>
      <c r="N40" s="555"/>
      <c r="O40" s="555"/>
      <c r="P40" s="564"/>
      <c r="Q40" s="616"/>
    </row>
    <row r="41" spans="2:17">
      <c r="B41" s="568"/>
      <c r="C41" s="574" t="s">
        <v>2293</v>
      </c>
      <c r="D41" s="596"/>
      <c r="E41" s="576">
        <f t="shared" ref="E41:N41" si="5">+E39</f>
        <v>1855527</v>
      </c>
      <c r="F41" s="576">
        <f t="shared" si="5"/>
        <v>0</v>
      </c>
      <c r="G41" s="576">
        <f t="shared" si="5"/>
        <v>0</v>
      </c>
      <c r="H41" s="576">
        <f t="shared" si="5"/>
        <v>0</v>
      </c>
      <c r="I41" s="576">
        <f t="shared" si="5"/>
        <v>0</v>
      </c>
      <c r="J41" s="576">
        <f t="shared" si="5"/>
        <v>0</v>
      </c>
      <c r="K41" s="576">
        <f t="shared" si="5"/>
        <v>0</v>
      </c>
      <c r="L41" s="576">
        <f t="shared" si="5"/>
        <v>278329.05</v>
      </c>
      <c r="M41" s="576">
        <f t="shared" si="5"/>
        <v>0</v>
      </c>
      <c r="N41" s="576">
        <f t="shared" si="5"/>
        <v>0</v>
      </c>
      <c r="O41" s="576">
        <f>O39</f>
        <v>278329.05</v>
      </c>
      <c r="P41" s="576">
        <f>+P39</f>
        <v>1577197.95</v>
      </c>
      <c r="Q41" s="576">
        <f>+Q39</f>
        <v>0</v>
      </c>
    </row>
    <row r="42" spans="2:17">
      <c r="B42" s="562"/>
      <c r="C42" s="615"/>
      <c r="D42" s="563"/>
      <c r="E42" s="564"/>
      <c r="F42" s="564"/>
      <c r="G42" s="564"/>
      <c r="H42" s="564"/>
      <c r="I42" s="564"/>
      <c r="J42" s="564"/>
      <c r="K42" s="564"/>
      <c r="L42" s="555"/>
      <c r="M42" s="555"/>
      <c r="N42" s="555"/>
      <c r="O42" s="555"/>
      <c r="P42" s="564"/>
      <c r="Q42" s="616"/>
    </row>
    <row r="43" spans="2:17">
      <c r="B43" s="579">
        <v>6</v>
      </c>
      <c r="C43" s="597" t="s">
        <v>2294</v>
      </c>
      <c r="D43" s="593"/>
      <c r="E43" s="571"/>
      <c r="F43" s="578"/>
      <c r="G43" s="577"/>
      <c r="H43" s="577"/>
      <c r="I43" s="577"/>
      <c r="J43" s="577"/>
      <c r="K43" s="581"/>
      <c r="L43" s="582"/>
      <c r="M43" s="582"/>
      <c r="N43" s="582"/>
      <c r="O43" s="582"/>
      <c r="P43" s="571"/>
      <c r="Q43" s="616"/>
    </row>
    <row r="44" spans="2:17">
      <c r="B44" s="568" t="s">
        <v>2295</v>
      </c>
      <c r="C44" s="569" t="s">
        <v>270</v>
      </c>
      <c r="D44" s="570">
        <v>0.15</v>
      </c>
      <c r="E44" s="571">
        <v>45908988</v>
      </c>
      <c r="F44" s="546">
        <v>0</v>
      </c>
      <c r="G44" s="571">
        <v>138007930.15000001</v>
      </c>
      <c r="H44" s="571">
        <v>0</v>
      </c>
      <c r="I44" s="571">
        <v>0</v>
      </c>
      <c r="J44" s="571">
        <v>134000</v>
      </c>
      <c r="K44" s="571">
        <f>SUM(F44:G44)-J44-I44</f>
        <v>137873930.15000001</v>
      </c>
      <c r="L44" s="572">
        <f>+((E44+F44-J44)*D44)+(G44*D44/2)</f>
        <v>17216842.96125</v>
      </c>
      <c r="M44" s="571">
        <v>0</v>
      </c>
      <c r="N44" s="571">
        <v>0</v>
      </c>
      <c r="O44" s="572">
        <f>SUM(L44:N44)</f>
        <v>17216842.96125</v>
      </c>
      <c r="P44" s="571">
        <f>+E44+K44-L44-M44-N44</f>
        <v>166566075.18875</v>
      </c>
      <c r="Q44" s="572">
        <v>0</v>
      </c>
    </row>
    <row r="45" spans="2:17">
      <c r="B45" s="568" t="s">
        <v>2296</v>
      </c>
      <c r="C45" s="598" t="s">
        <v>2297</v>
      </c>
      <c r="D45" s="595">
        <v>0.15</v>
      </c>
      <c r="E45" s="571">
        <v>1149521</v>
      </c>
      <c r="F45" s="546">
        <v>0</v>
      </c>
      <c r="G45" s="571">
        <v>0</v>
      </c>
      <c r="H45" s="571"/>
      <c r="I45" s="571"/>
      <c r="J45" s="571">
        <v>0</v>
      </c>
      <c r="K45" s="571">
        <f>SUM(F45:G45)-J45</f>
        <v>0</v>
      </c>
      <c r="L45" s="572">
        <f>+((E45+F45-J45)*D45)+(G45*D45/2)</f>
        <v>172428.15</v>
      </c>
      <c r="M45" s="572">
        <v>0</v>
      </c>
      <c r="N45" s="572">
        <v>0</v>
      </c>
      <c r="O45" s="572">
        <f t="shared" ref="O45:O47" si="6">SUM(L45:N45)</f>
        <v>172428.15</v>
      </c>
      <c r="P45" s="571">
        <f t="shared" ref="P45:P47" si="7">+E45+K45-L45-M45-N45</f>
        <v>977092.85</v>
      </c>
      <c r="Q45" s="572">
        <v>0</v>
      </c>
    </row>
    <row r="46" spans="2:17">
      <c r="B46" s="568" t="s">
        <v>2298</v>
      </c>
      <c r="C46" s="598" t="s">
        <v>2299</v>
      </c>
      <c r="D46" s="595">
        <v>0.4</v>
      </c>
      <c r="E46" s="571">
        <v>409620</v>
      </c>
      <c r="F46" s="546">
        <v>0</v>
      </c>
      <c r="G46" s="571">
        <v>0</v>
      </c>
      <c r="H46" s="571"/>
      <c r="I46" s="571"/>
      <c r="J46" s="571">
        <v>0</v>
      </c>
      <c r="K46" s="571">
        <f>SUM(F46:G46)-J46</f>
        <v>0</v>
      </c>
      <c r="L46" s="572">
        <f>+((E46+F46-J46)*D46)+(G46*D46/2)</f>
        <v>163848</v>
      </c>
      <c r="M46" s="571">
        <f>((F46*20%)+(G46+I46)*10%)</f>
        <v>0</v>
      </c>
      <c r="N46" s="571">
        <v>0</v>
      </c>
      <c r="O46" s="572">
        <f t="shared" si="6"/>
        <v>163848</v>
      </c>
      <c r="P46" s="571">
        <f t="shared" si="7"/>
        <v>245772</v>
      </c>
      <c r="Q46" s="572">
        <f>(G46+I46)*10%</f>
        <v>0</v>
      </c>
    </row>
    <row r="47" spans="2:17">
      <c r="B47" s="568" t="s">
        <v>2300</v>
      </c>
      <c r="C47" s="598" t="s">
        <v>2301</v>
      </c>
      <c r="D47" s="595">
        <v>0.15</v>
      </c>
      <c r="E47" s="571">
        <v>0</v>
      </c>
      <c r="F47" s="546">
        <v>0</v>
      </c>
      <c r="G47" s="571">
        <v>0</v>
      </c>
      <c r="H47" s="571"/>
      <c r="I47" s="571"/>
      <c r="J47" s="571">
        <v>0</v>
      </c>
      <c r="K47" s="571">
        <v>0</v>
      </c>
      <c r="L47" s="572">
        <f>+((E47+F47-J47)*D47)+(G47*D47/2)</f>
        <v>0</v>
      </c>
      <c r="M47" s="571">
        <v>0</v>
      </c>
      <c r="N47" s="571">
        <v>0</v>
      </c>
      <c r="O47" s="572">
        <f t="shared" si="6"/>
        <v>0</v>
      </c>
      <c r="P47" s="571">
        <f t="shared" si="7"/>
        <v>0</v>
      </c>
      <c r="Q47" s="572">
        <f>(G47+I47)*10%</f>
        <v>0</v>
      </c>
    </row>
    <row r="48" spans="2:17">
      <c r="B48" s="573"/>
      <c r="C48" s="617"/>
      <c r="D48" s="558"/>
      <c r="E48" s="564"/>
      <c r="F48" s="564"/>
      <c r="G48" s="564"/>
      <c r="H48" s="564"/>
      <c r="I48" s="564"/>
      <c r="J48" s="564"/>
      <c r="K48" s="564"/>
      <c r="L48" s="555"/>
      <c r="M48" s="555"/>
      <c r="N48" s="555"/>
      <c r="O48" s="555"/>
      <c r="P48" s="564"/>
      <c r="Q48" s="616"/>
    </row>
    <row r="49" spans="2:22">
      <c r="B49" s="568"/>
      <c r="C49" s="574" t="s">
        <v>824</v>
      </c>
      <c r="D49" s="575"/>
      <c r="E49" s="576">
        <f>+SUM(E44:E46)</f>
        <v>47468129</v>
      </c>
      <c r="F49" s="576">
        <f>+SUM(F44:F46)</f>
        <v>0</v>
      </c>
      <c r="G49" s="576">
        <f>+SUM(G44:G46)</f>
        <v>138007930.15000001</v>
      </c>
      <c r="H49" s="576">
        <f t="shared" ref="H49:M49" si="8">+H44</f>
        <v>0</v>
      </c>
      <c r="I49" s="576">
        <f t="shared" si="8"/>
        <v>0</v>
      </c>
      <c r="J49" s="576">
        <f t="shared" si="8"/>
        <v>134000</v>
      </c>
      <c r="K49" s="576">
        <f t="shared" si="8"/>
        <v>137873930.15000001</v>
      </c>
      <c r="L49" s="576">
        <f>+SUM(L44:L46)</f>
        <v>17553119.111249998</v>
      </c>
      <c r="M49" s="576">
        <f t="shared" si="8"/>
        <v>0</v>
      </c>
      <c r="N49" s="576">
        <f>+N44+N46</f>
        <v>0</v>
      </c>
      <c r="O49" s="576">
        <f>+SUM(O44:O46)</f>
        <v>17553119.111249998</v>
      </c>
      <c r="P49" s="576">
        <f>+SUM(P44:P46)</f>
        <v>167788940.03874999</v>
      </c>
      <c r="Q49" s="576">
        <f>+SUM(Q44:Q46)</f>
        <v>0</v>
      </c>
    </row>
    <row r="50" spans="2:22">
      <c r="B50" s="562"/>
      <c r="C50" s="615"/>
      <c r="D50" s="563"/>
      <c r="E50" s="564"/>
      <c r="F50" s="564"/>
      <c r="G50" s="564"/>
      <c r="H50" s="564"/>
      <c r="I50" s="564"/>
      <c r="J50" s="564"/>
      <c r="K50" s="564"/>
      <c r="L50" s="555"/>
      <c r="M50" s="555"/>
      <c r="N50" s="555"/>
      <c r="O50" s="555"/>
      <c r="P50" s="564"/>
      <c r="Q50" s="616"/>
    </row>
    <row r="51" spans="2:22">
      <c r="B51" s="568">
        <v>7</v>
      </c>
      <c r="C51" s="569" t="s">
        <v>1130</v>
      </c>
      <c r="D51" s="570">
        <v>0.15</v>
      </c>
      <c r="E51" s="571">
        <v>479790</v>
      </c>
      <c r="F51" s="546">
        <v>67674</v>
      </c>
      <c r="G51" s="571">
        <v>16949</v>
      </c>
      <c r="H51" s="571">
        <v>0</v>
      </c>
      <c r="I51" s="571">
        <v>0</v>
      </c>
      <c r="J51" s="571">
        <v>0</v>
      </c>
      <c r="K51" s="571">
        <f>SUM(F51:G51)-J51</f>
        <v>84623</v>
      </c>
      <c r="L51" s="572">
        <f>+((E51+F51-J51)*D51)+(G51*D51/2)</f>
        <v>83390.774999999994</v>
      </c>
      <c r="M51" s="572">
        <v>0</v>
      </c>
      <c r="N51" s="572">
        <v>0</v>
      </c>
      <c r="O51" s="572">
        <f>SUM(L51:N51)</f>
        <v>83390.774999999994</v>
      </c>
      <c r="P51" s="571">
        <f>+E51+K51-L51</f>
        <v>481022.22499999998</v>
      </c>
      <c r="Q51" s="572">
        <v>0</v>
      </c>
    </row>
    <row r="52" spans="2:22">
      <c r="B52" s="573"/>
      <c r="C52" s="617"/>
      <c r="D52" s="558"/>
      <c r="E52" s="564"/>
      <c r="F52" s="564"/>
      <c r="G52" s="564"/>
      <c r="H52" s="564"/>
      <c r="I52" s="564"/>
      <c r="J52" s="564"/>
      <c r="K52" s="564"/>
      <c r="L52" s="555"/>
      <c r="M52" s="555"/>
      <c r="N52" s="555"/>
      <c r="O52" s="555"/>
      <c r="P52" s="564"/>
      <c r="Q52" s="616"/>
    </row>
    <row r="53" spans="2:22">
      <c r="B53" s="599"/>
      <c r="C53" s="600" t="s">
        <v>824</v>
      </c>
      <c r="D53" s="601"/>
      <c r="E53" s="576">
        <f t="shared" ref="E53:Q53" si="9">+E51</f>
        <v>479790</v>
      </c>
      <c r="F53" s="576">
        <f>+F51</f>
        <v>67674</v>
      </c>
      <c r="G53" s="576">
        <f>+G51</f>
        <v>16949</v>
      </c>
      <c r="H53" s="576"/>
      <c r="I53" s="576"/>
      <c r="J53" s="576">
        <f t="shared" si="9"/>
        <v>0</v>
      </c>
      <c r="K53" s="576">
        <f t="shared" si="9"/>
        <v>84623</v>
      </c>
      <c r="L53" s="576">
        <f t="shared" si="9"/>
        <v>83390.774999999994</v>
      </c>
      <c r="M53" s="576">
        <f t="shared" si="9"/>
        <v>0</v>
      </c>
      <c r="N53" s="576">
        <f t="shared" si="9"/>
        <v>0</v>
      </c>
      <c r="O53" s="576">
        <f>O51</f>
        <v>83390.774999999994</v>
      </c>
      <c r="P53" s="576">
        <f t="shared" si="9"/>
        <v>481022.22499999998</v>
      </c>
      <c r="Q53" s="576">
        <f t="shared" si="9"/>
        <v>0</v>
      </c>
    </row>
    <row r="54" spans="2:22">
      <c r="B54" s="568"/>
      <c r="C54" s="574" t="s">
        <v>2302</v>
      </c>
      <c r="D54" s="575"/>
      <c r="E54" s="576">
        <f>+E49+E53</f>
        <v>47947919</v>
      </c>
      <c r="F54" s="576">
        <f t="shared" ref="F54:Q54" si="10">+F49+F53</f>
        <v>67674</v>
      </c>
      <c r="G54" s="576">
        <f t="shared" si="10"/>
        <v>138024879.15000001</v>
      </c>
      <c r="H54" s="576">
        <f t="shared" si="10"/>
        <v>0</v>
      </c>
      <c r="I54" s="576">
        <f t="shared" si="10"/>
        <v>0</v>
      </c>
      <c r="J54" s="576">
        <f t="shared" si="10"/>
        <v>134000</v>
      </c>
      <c r="K54" s="576">
        <f t="shared" si="10"/>
        <v>137958553.15000001</v>
      </c>
      <c r="L54" s="576">
        <f t="shared" si="10"/>
        <v>17636509.886249997</v>
      </c>
      <c r="M54" s="576">
        <f t="shared" si="10"/>
        <v>0</v>
      </c>
      <c r="N54" s="576">
        <f t="shared" si="10"/>
        <v>0</v>
      </c>
      <c r="O54" s="576">
        <f>O53+O49</f>
        <v>17636509.886249997</v>
      </c>
      <c r="P54" s="576">
        <f t="shared" si="10"/>
        <v>168269962.26374999</v>
      </c>
      <c r="Q54" s="576">
        <f t="shared" si="10"/>
        <v>0</v>
      </c>
    </row>
    <row r="55" spans="2:22">
      <c r="B55" s="562"/>
      <c r="C55" s="615"/>
      <c r="D55" s="563"/>
      <c r="E55" s="564"/>
      <c r="F55" s="564"/>
      <c r="G55" s="564"/>
      <c r="H55" s="564"/>
      <c r="I55" s="564"/>
      <c r="J55" s="564"/>
      <c r="K55" s="564"/>
      <c r="L55" s="555"/>
      <c r="M55" s="555"/>
      <c r="N55" s="555"/>
      <c r="O55" s="555"/>
      <c r="P55" s="564"/>
      <c r="Q55" s="616"/>
    </row>
    <row r="56" spans="2:22">
      <c r="B56" s="602"/>
      <c r="C56" s="566" t="s">
        <v>2303</v>
      </c>
      <c r="D56" s="603"/>
      <c r="E56" s="571"/>
      <c r="F56" s="571"/>
      <c r="G56" s="620"/>
      <c r="H56" s="620"/>
      <c r="I56" s="620"/>
      <c r="J56" s="620"/>
      <c r="K56" s="571"/>
      <c r="L56" s="571"/>
      <c r="M56" s="571"/>
      <c r="N56" s="571"/>
      <c r="O56" s="571"/>
      <c r="P56" s="571"/>
      <c r="Q56" s="616"/>
    </row>
    <row r="57" spans="2:22">
      <c r="B57" s="602">
        <v>8</v>
      </c>
      <c r="C57" s="569" t="s">
        <v>1129</v>
      </c>
      <c r="D57" s="570">
        <v>0.4</v>
      </c>
      <c r="E57" s="571">
        <v>77075</v>
      </c>
      <c r="F57" s="571">
        <v>63983</v>
      </c>
      <c r="G57" s="621">
        <v>94203</v>
      </c>
      <c r="H57" s="621">
        <v>0</v>
      </c>
      <c r="I57" s="621">
        <v>0</v>
      </c>
      <c r="J57" s="621">
        <v>0</v>
      </c>
      <c r="K57" s="571">
        <f>SUM(F57:G57)-J57</f>
        <v>158186</v>
      </c>
      <c r="L57" s="572">
        <f>+((E57+F57-J57)*D57)+(G57*D57/2)</f>
        <v>75263.8</v>
      </c>
      <c r="M57" s="572">
        <v>0</v>
      </c>
      <c r="N57" s="572">
        <v>0</v>
      </c>
      <c r="O57" s="572">
        <f>SUM(L57:N57)</f>
        <v>75263.8</v>
      </c>
      <c r="P57" s="571">
        <f>+E57+K57-L57</f>
        <v>159997.20000000001</v>
      </c>
      <c r="Q57" s="572">
        <v>0</v>
      </c>
      <c r="V57" s="542">
        <v>57344</v>
      </c>
    </row>
    <row r="58" spans="2:22">
      <c r="B58" s="573"/>
      <c r="C58" s="617"/>
      <c r="D58" s="558"/>
      <c r="E58" s="564"/>
      <c r="F58" s="564"/>
      <c r="G58" s="564"/>
      <c r="H58" s="564"/>
      <c r="I58" s="564"/>
      <c r="J58" s="564"/>
      <c r="K58" s="564"/>
      <c r="L58" s="555"/>
      <c r="M58" s="555"/>
      <c r="N58" s="555"/>
      <c r="O58" s="555"/>
      <c r="P58" s="564"/>
      <c r="Q58" s="616"/>
    </row>
    <row r="59" spans="2:22">
      <c r="B59" s="602"/>
      <c r="C59" s="574" t="s">
        <v>2304</v>
      </c>
      <c r="D59" s="604"/>
      <c r="E59" s="576">
        <f t="shared" ref="E59:N59" si="11">+E57</f>
        <v>77075</v>
      </c>
      <c r="F59" s="576">
        <f t="shared" si="11"/>
        <v>63983</v>
      </c>
      <c r="G59" s="576">
        <f t="shared" si="11"/>
        <v>94203</v>
      </c>
      <c r="H59" s="576">
        <f t="shared" si="11"/>
        <v>0</v>
      </c>
      <c r="I59" s="576">
        <f t="shared" si="11"/>
        <v>0</v>
      </c>
      <c r="J59" s="576">
        <f t="shared" si="11"/>
        <v>0</v>
      </c>
      <c r="K59" s="576">
        <f t="shared" si="11"/>
        <v>158186</v>
      </c>
      <c r="L59" s="576">
        <f>+L57</f>
        <v>75263.8</v>
      </c>
      <c r="M59" s="576">
        <f t="shared" si="11"/>
        <v>0</v>
      </c>
      <c r="N59" s="576">
        <f t="shared" si="11"/>
        <v>0</v>
      </c>
      <c r="O59" s="576">
        <f>O57</f>
        <v>75263.8</v>
      </c>
      <c r="P59" s="576">
        <f>+P57</f>
        <v>159997.20000000001</v>
      </c>
      <c r="Q59" s="576">
        <f>+Q57</f>
        <v>0</v>
      </c>
    </row>
    <row r="60" spans="2:22">
      <c r="B60" s="562"/>
      <c r="C60" s="615"/>
      <c r="D60" s="563"/>
      <c r="E60" s="564"/>
      <c r="F60" s="564"/>
      <c r="G60" s="564"/>
      <c r="H60" s="564"/>
      <c r="I60" s="564"/>
      <c r="J60" s="564"/>
      <c r="K60" s="564"/>
      <c r="L60" s="555"/>
      <c r="M60" s="555"/>
      <c r="N60" s="555"/>
      <c r="O60" s="555"/>
      <c r="P60" s="564"/>
      <c r="Q60" s="616"/>
    </row>
    <row r="61" spans="2:22">
      <c r="B61" s="605"/>
      <c r="C61" s="600" t="s">
        <v>591</v>
      </c>
      <c r="D61" s="606"/>
      <c r="E61" s="576">
        <f>+E59+E54+E41+E36+E26+E21</f>
        <v>84427339</v>
      </c>
      <c r="F61" s="576">
        <f t="shared" ref="F61:L61" si="12">+F59+F54+F41+F36+F26+F21</f>
        <v>371020.5</v>
      </c>
      <c r="G61" s="576">
        <f t="shared" si="12"/>
        <v>196905321.41999999</v>
      </c>
      <c r="H61" s="576">
        <f t="shared" si="12"/>
        <v>0</v>
      </c>
      <c r="I61" s="576">
        <f t="shared" si="12"/>
        <v>0</v>
      </c>
      <c r="J61" s="576">
        <f t="shared" si="12"/>
        <v>534000</v>
      </c>
      <c r="K61" s="576">
        <f t="shared" si="12"/>
        <v>196742341.91999999</v>
      </c>
      <c r="L61" s="576">
        <f t="shared" si="12"/>
        <v>24252362.449749999</v>
      </c>
      <c r="M61" s="576">
        <f>+(M59+M54+M41+M36+M26+M21)</f>
        <v>0</v>
      </c>
      <c r="N61" s="576">
        <f t="shared" ref="N61:Q61" si="13">+(N59+N54+N41+N36+N26+N21)</f>
        <v>0</v>
      </c>
      <c r="O61" s="576">
        <f t="shared" ref="O61:P61" si="14">+O59+O54+O41+O36+O26+O21</f>
        <v>24252362.449749999</v>
      </c>
      <c r="P61" s="576">
        <f t="shared" si="14"/>
        <v>256917318.47024995</v>
      </c>
      <c r="Q61" s="576">
        <f t="shared" si="13"/>
        <v>0</v>
      </c>
    </row>
    <row r="62" spans="2:22">
      <c r="D62" s="592"/>
      <c r="E62" s="592">
        <v>96781637</v>
      </c>
      <c r="G62" s="543"/>
      <c r="H62" s="543"/>
      <c r="I62" s="592"/>
      <c r="J62" s="592"/>
      <c r="K62" s="543"/>
      <c r="P62" s="592"/>
    </row>
    <row r="63" spans="2:22">
      <c r="E63" s="592">
        <f>+E61-E62</f>
        <v>-12354298</v>
      </c>
      <c r="G63" s="543"/>
      <c r="H63" s="543"/>
      <c r="I63" s="543"/>
      <c r="J63" s="592"/>
      <c r="K63" s="592"/>
      <c r="L63" s="622"/>
      <c r="N63" s="592"/>
      <c r="O63" s="542">
        <v>15076098</v>
      </c>
      <c r="P63" s="592">
        <v>92429235</v>
      </c>
    </row>
    <row r="64" spans="2:22">
      <c r="E64" s="592">
        <f>E63-E62</f>
        <v>-109135935</v>
      </c>
      <c r="G64" s="543"/>
      <c r="H64" s="543"/>
      <c r="I64" s="592"/>
      <c r="J64" s="592"/>
      <c r="K64" s="623"/>
      <c r="L64" s="624"/>
      <c r="M64" s="624"/>
      <c r="N64" s="624"/>
      <c r="O64" s="624">
        <f>+O61-O63</f>
        <v>9176264.4497499987</v>
      </c>
      <c r="P64" s="624">
        <f>+P61-P63</f>
        <v>164488083.47024995</v>
      </c>
      <c r="Q64" s="592"/>
    </row>
    <row r="65" spans="2:16">
      <c r="C65" s="625" t="s">
        <v>2305</v>
      </c>
      <c r="K65" s="592"/>
      <c r="M65" s="624"/>
      <c r="P65" s="592"/>
    </row>
    <row r="66" spans="2:16" s="541" customFormat="1">
      <c r="D66" s="610" t="s">
        <v>1134</v>
      </c>
      <c r="E66" s="610" t="s">
        <v>2130</v>
      </c>
      <c r="F66" s="610" t="s">
        <v>2306</v>
      </c>
      <c r="P66" s="626">
        <f>+P61-P21</f>
        <v>255760614.47024995</v>
      </c>
    </row>
    <row r="67" spans="2:16">
      <c r="C67" s="592" t="s">
        <v>2307</v>
      </c>
      <c r="D67" s="627">
        <f>F44</f>
        <v>0</v>
      </c>
      <c r="E67" s="628">
        <v>0.2</v>
      </c>
      <c r="F67" s="627">
        <f>D67*E67</f>
        <v>0</v>
      </c>
    </row>
    <row r="68" spans="2:16">
      <c r="B68" s="542"/>
      <c r="C68" s="592" t="s">
        <v>2308</v>
      </c>
      <c r="D68" s="627">
        <f>G44</f>
        <v>138007930.15000001</v>
      </c>
      <c r="E68" s="628">
        <v>0.1</v>
      </c>
      <c r="F68" s="627">
        <f>D68*E68</f>
        <v>13800793.015000001</v>
      </c>
    </row>
    <row r="69" spans="2:16">
      <c r="B69" s="542"/>
      <c r="D69" s="625"/>
      <c r="F69" s="627"/>
    </row>
    <row r="70" spans="2:16" ht="15" thickBot="1">
      <c r="B70" s="542"/>
      <c r="D70" s="625"/>
      <c r="F70" s="635">
        <f>SUM(F67:F69)</f>
        <v>13800793.015000001</v>
      </c>
    </row>
    <row r="71" spans="2:16" ht="15" thickTop="1">
      <c r="B71" s="542"/>
      <c r="C71" s="542" t="s">
        <v>2309</v>
      </c>
      <c r="F71" s="543">
        <f>F68</f>
        <v>13800793.015000001</v>
      </c>
    </row>
    <row r="73" spans="2:16">
      <c r="B73" s="542"/>
      <c r="C73" s="625" t="s">
        <v>2310</v>
      </c>
    </row>
    <row r="74" spans="2:16">
      <c r="B74" s="542"/>
      <c r="C74" s="542" t="s">
        <v>2311</v>
      </c>
    </row>
    <row r="75" spans="2:16">
      <c r="B75" s="542"/>
      <c r="C75" s="542" t="s">
        <v>2312</v>
      </c>
      <c r="D75" s="543">
        <v>3039211</v>
      </c>
      <c r="E75" s="628">
        <v>0.1</v>
      </c>
      <c r="F75" s="543">
        <f>D75*E75</f>
        <v>303921.10000000003</v>
      </c>
    </row>
    <row r="76" spans="2:16">
      <c r="B76" s="542"/>
      <c r="D76" s="543"/>
      <c r="F76" s="542"/>
    </row>
    <row r="77" spans="2:16">
      <c r="B77" s="542"/>
      <c r="C77" s="607"/>
      <c r="D77" s="543"/>
      <c r="F77" s="542"/>
    </row>
    <row r="78" spans="2:16">
      <c r="B78" s="542"/>
      <c r="C78" s="607"/>
      <c r="D78" s="543"/>
      <c r="F78" s="542"/>
    </row>
    <row r="79" spans="2:16">
      <c r="B79" s="542"/>
      <c r="E79" s="625"/>
    </row>
  </sheetData>
  <customSheetViews>
    <customSheetView guid="{ADEA4918-0326-423A-8D00-FB47A486004B}" scale="80" showPageBreaks="1" fitToPage="1" printArea="1" hiddenColumns="1" view="pageBreakPreview">
      <selection activeCell="E62" sqref="E62"/>
      <pageMargins left="0.11811023622047245" right="0.11811023622047245" top="0.15748031496062992" bottom="0.15748031496062992" header="0.31496062992125984" footer="0.31496062992125984"/>
      <printOptions horizontalCentered="1" verticalCentered="1"/>
      <pageSetup scale="49" orientation="landscape" r:id="rId1"/>
    </customSheetView>
    <customSheetView guid="{2A78E287-3113-4387-BB62-BE98FA5C13C2}" scale="80" showPageBreaks="1" fitToPage="1" printArea="1" hiddenColumns="1" view="pageBreakPreview" topLeftCell="B28">
      <selection activeCell="P67" sqref="P67"/>
      <pageMargins left="0.11811023622047245" right="0.11811023622047245" top="0.15748031496062992" bottom="0.15748031496062992" header="0.31496062992125984" footer="0.31496062992125984"/>
      <printOptions horizontalCentered="1" verticalCentered="1"/>
      <pageSetup scale="49" orientation="landscape" r:id="rId2"/>
    </customSheetView>
    <customSheetView guid="{DC5DA12B-0FA6-4F41-A983-6E433AD4604D}" scale="80" showPageBreaks="1" fitToPage="1" printArea="1" hiddenColumns="1" view="pageBreakPreview" topLeftCell="B28">
      <selection activeCell="P67" sqref="P67"/>
      <pageMargins left="0.11811023622047245" right="0.11811023622047245" top="0.15748031496062992" bottom="0.15748031496062992" header="0.31496062992125984" footer="0.31496062992125984"/>
      <printOptions horizontalCentered="1" verticalCentered="1"/>
      <pageSetup scale="49" orientation="landscape" r:id="rId3"/>
    </customSheetView>
  </customSheetViews>
  <mergeCells count="11">
    <mergeCell ref="Q14:Q16"/>
    <mergeCell ref="B4:Q4"/>
    <mergeCell ref="B6:Q6"/>
    <mergeCell ref="B8:Q8"/>
    <mergeCell ref="B10:Q10"/>
    <mergeCell ref="B12:Q12"/>
    <mergeCell ref="F14:G14"/>
    <mergeCell ref="H14:I14"/>
    <mergeCell ref="M14:M16"/>
    <mergeCell ref="N14:N16"/>
    <mergeCell ref="O14:O16"/>
  </mergeCells>
  <hyperlinks>
    <hyperlink ref="B8:P8" location="'3CD '!E96" display="ANNEXURE A" xr:uid="{00000000-0004-0000-2200-000000000000}"/>
  </hyperlinks>
  <printOptions horizontalCentered="1" verticalCentered="1"/>
  <pageMargins left="0.11811023622047245" right="0.11811023622047245" top="0.15748031496062992" bottom="0.15748031496062992" header="0.31496062992125984" footer="0.31496062992125984"/>
  <pageSetup scale="49" orientation="landscape"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FE204-01B3-41FE-A64F-23F06A42EC7D}">
  <dimension ref="B1:P1579"/>
  <sheetViews>
    <sheetView topLeftCell="A2" workbookViewId="0">
      <selection activeCell="A3" sqref="A3"/>
    </sheetView>
  </sheetViews>
  <sheetFormatPr defaultRowHeight="14.4"/>
  <cols>
    <col min="3" max="3" width="43.109375" bestFit="1" customWidth="1"/>
    <col min="4" max="4" width="17.33203125" bestFit="1" customWidth="1"/>
    <col min="5" max="5" width="16.88671875" bestFit="1" customWidth="1"/>
    <col min="6" max="6" width="10.33203125" bestFit="1" customWidth="1"/>
    <col min="7" max="7" width="14.88671875" bestFit="1" customWidth="1"/>
    <col min="8" max="8" width="10.33203125" bestFit="1" customWidth="1"/>
    <col min="9" max="9" width="14.88671875" bestFit="1" customWidth="1"/>
    <col min="10" max="10" width="11.33203125" bestFit="1" customWidth="1"/>
    <col min="11" max="11" width="13.33203125" bestFit="1" customWidth="1"/>
    <col min="12" max="12" width="13.109375" bestFit="1" customWidth="1"/>
    <col min="13" max="13" width="10.6640625" bestFit="1" customWidth="1"/>
    <col min="14" max="14" width="21.5546875" bestFit="1" customWidth="1"/>
    <col min="15" max="15" width="12.6640625" bestFit="1" customWidth="1"/>
    <col min="16" max="16" width="22.33203125" bestFit="1" customWidth="1"/>
  </cols>
  <sheetData>
    <row r="1" spans="2:16">
      <c r="I1" s="1">
        <f>+SUBTOTAL(9,I4:I1578)</f>
        <v>101645218.17999999</v>
      </c>
      <c r="J1" s="1">
        <f t="shared" ref="J1:M1" si="0">+SUBTOTAL(9,J4:J1578)</f>
        <v>220007</v>
      </c>
      <c r="K1" s="1">
        <f t="shared" si="0"/>
        <v>-127093</v>
      </c>
      <c r="L1" s="1">
        <f t="shared" si="0"/>
        <v>0</v>
      </c>
      <c r="M1" s="1">
        <f t="shared" si="0"/>
        <v>0</v>
      </c>
    </row>
    <row r="2" spans="2:16">
      <c r="G2" s="1"/>
      <c r="H2" s="346">
        <v>45382</v>
      </c>
      <c r="I2" s="2537" t="s">
        <v>3152</v>
      </c>
      <c r="J2" s="2537"/>
      <c r="K2" s="2537"/>
      <c r="L2" s="2537"/>
      <c r="M2" s="2537"/>
    </row>
    <row r="3" spans="2:16" ht="43.2">
      <c r="B3" s="1831" t="s">
        <v>2011</v>
      </c>
      <c r="C3" s="1831" t="s">
        <v>463</v>
      </c>
      <c r="D3" s="1831" t="s">
        <v>3153</v>
      </c>
      <c r="E3" s="1831" t="s">
        <v>2582</v>
      </c>
      <c r="F3" s="1832" t="s">
        <v>1981</v>
      </c>
      <c r="G3" s="1833" t="s">
        <v>2583</v>
      </c>
      <c r="H3" s="1833" t="s">
        <v>3154</v>
      </c>
      <c r="I3" s="1833" t="s">
        <v>3155</v>
      </c>
      <c r="J3" s="1833" t="s">
        <v>3156</v>
      </c>
      <c r="K3" s="1833" t="s">
        <v>3157</v>
      </c>
      <c r="L3" s="1833" t="s">
        <v>3158</v>
      </c>
      <c r="M3" s="1833" t="s">
        <v>3159</v>
      </c>
      <c r="N3" s="1833" t="s">
        <v>3160</v>
      </c>
      <c r="O3" s="1833" t="s">
        <v>3161</v>
      </c>
      <c r="P3" s="1833" t="s">
        <v>2192</v>
      </c>
    </row>
    <row r="4" spans="2:16" s="1843" customFormat="1">
      <c r="B4" s="1838">
        <v>1</v>
      </c>
      <c r="C4" s="1838" t="s">
        <v>20</v>
      </c>
      <c r="D4" s="1838" t="s">
        <v>3162</v>
      </c>
      <c r="E4" s="1838" t="s">
        <v>3163</v>
      </c>
      <c r="F4" s="1839">
        <v>45336</v>
      </c>
      <c r="G4" s="1840">
        <v>1276800</v>
      </c>
      <c r="H4" s="1841">
        <f>+$H$2-F4</f>
        <v>46</v>
      </c>
      <c r="I4" s="1842">
        <f>+G4</f>
        <v>1276800</v>
      </c>
      <c r="J4" s="1838">
        <v>0</v>
      </c>
      <c r="K4" s="1838">
        <v>0</v>
      </c>
      <c r="L4" s="1838">
        <v>0</v>
      </c>
      <c r="M4" s="1838">
        <v>0</v>
      </c>
      <c r="N4" s="1838" t="s">
        <v>3164</v>
      </c>
      <c r="O4" s="1838" t="s">
        <v>3165</v>
      </c>
      <c r="P4" s="1838"/>
    </row>
    <row r="5" spans="2:16" s="1843" customFormat="1">
      <c r="B5" s="1838">
        <f>+B4+1</f>
        <v>2</v>
      </c>
      <c r="C5" s="1838" t="s">
        <v>20</v>
      </c>
      <c r="D5" s="1838" t="s">
        <v>3162</v>
      </c>
      <c r="E5" s="1838" t="s">
        <v>3166</v>
      </c>
      <c r="F5" s="1839">
        <v>45358</v>
      </c>
      <c r="G5" s="1840">
        <v>1208520</v>
      </c>
      <c r="H5" s="1841">
        <f t="shared" ref="H5:H68" si="1">+$H$2-F5</f>
        <v>24</v>
      </c>
      <c r="I5" s="1838">
        <f t="shared" ref="I5:I68" si="2">+G5</f>
        <v>1208520</v>
      </c>
      <c r="J5" s="1838">
        <v>0</v>
      </c>
      <c r="K5" s="1838">
        <v>0</v>
      </c>
      <c r="L5" s="1838">
        <v>0</v>
      </c>
      <c r="M5" s="1838">
        <v>0</v>
      </c>
      <c r="N5" s="1838" t="s">
        <v>3164</v>
      </c>
      <c r="O5" s="1838" t="s">
        <v>3165</v>
      </c>
      <c r="P5" s="1838"/>
    </row>
    <row r="6" spans="2:16" s="1843" customFormat="1">
      <c r="B6" s="1838">
        <f t="shared" ref="B6:B69" si="3">+B5+1</f>
        <v>3</v>
      </c>
      <c r="C6" s="1838" t="s">
        <v>473</v>
      </c>
      <c r="D6" s="1838" t="s">
        <v>3162</v>
      </c>
      <c r="E6" s="1838" t="s">
        <v>3167</v>
      </c>
      <c r="F6" s="1839">
        <v>45336</v>
      </c>
      <c r="G6" s="1840">
        <v>149184</v>
      </c>
      <c r="H6" s="1841">
        <f t="shared" si="1"/>
        <v>46</v>
      </c>
      <c r="I6" s="1838">
        <f t="shared" si="2"/>
        <v>149184</v>
      </c>
      <c r="J6" s="1838">
        <v>0</v>
      </c>
      <c r="K6" s="1838">
        <v>0</v>
      </c>
      <c r="L6" s="1838">
        <v>0</v>
      </c>
      <c r="M6" s="1838">
        <v>0</v>
      </c>
      <c r="N6" s="1838" t="s">
        <v>3168</v>
      </c>
      <c r="O6" s="1838" t="s">
        <v>3169</v>
      </c>
      <c r="P6" s="1838"/>
    </row>
    <row r="7" spans="2:16" s="1843" customFormat="1">
      <c r="B7" s="1838">
        <f t="shared" si="3"/>
        <v>4</v>
      </c>
      <c r="C7" s="1838" t="s">
        <v>473</v>
      </c>
      <c r="D7" s="1838" t="s">
        <v>3162</v>
      </c>
      <c r="E7" s="1838" t="s">
        <v>3170</v>
      </c>
      <c r="F7" s="1839">
        <v>45336</v>
      </c>
      <c r="G7" s="1840">
        <v>-652</v>
      </c>
      <c r="H7" s="1841">
        <f t="shared" si="1"/>
        <v>46</v>
      </c>
      <c r="I7" s="1838">
        <f t="shared" si="2"/>
        <v>-652</v>
      </c>
      <c r="J7" s="1838">
        <v>0</v>
      </c>
      <c r="K7" s="1838">
        <v>0</v>
      </c>
      <c r="L7" s="1838">
        <v>0</v>
      </c>
      <c r="M7" s="1838">
        <v>0</v>
      </c>
      <c r="N7" s="1838" t="s">
        <v>3168</v>
      </c>
      <c r="O7" s="1838" t="s">
        <v>3169</v>
      </c>
      <c r="P7" s="1838"/>
    </row>
    <row r="8" spans="2:16" s="1843" customFormat="1">
      <c r="B8" s="1838">
        <f t="shared" si="3"/>
        <v>5</v>
      </c>
      <c r="C8" s="1838" t="s">
        <v>473</v>
      </c>
      <c r="D8" s="1838" t="s">
        <v>3162</v>
      </c>
      <c r="E8" s="1838" t="s">
        <v>3171</v>
      </c>
      <c r="F8" s="1839">
        <v>45339</v>
      </c>
      <c r="G8" s="1840">
        <v>70282</v>
      </c>
      <c r="H8" s="1841">
        <f t="shared" si="1"/>
        <v>43</v>
      </c>
      <c r="I8" s="1838">
        <f t="shared" si="2"/>
        <v>70282</v>
      </c>
      <c r="J8" s="1838">
        <v>0</v>
      </c>
      <c r="K8" s="1838">
        <v>0</v>
      </c>
      <c r="L8" s="1838">
        <v>0</v>
      </c>
      <c r="M8" s="1838">
        <v>0</v>
      </c>
      <c r="N8" s="1838" t="s">
        <v>3168</v>
      </c>
      <c r="O8" s="1838" t="s">
        <v>3169</v>
      </c>
      <c r="P8" s="1838"/>
    </row>
    <row r="9" spans="2:16" s="1843" customFormat="1">
      <c r="B9" s="1838">
        <f t="shared" si="3"/>
        <v>6</v>
      </c>
      <c r="C9" s="1838" t="s">
        <v>473</v>
      </c>
      <c r="D9" s="1838" t="s">
        <v>3162</v>
      </c>
      <c r="E9" s="1838" t="s">
        <v>3172</v>
      </c>
      <c r="F9" s="1839">
        <v>45339</v>
      </c>
      <c r="G9" s="1840">
        <v>-78</v>
      </c>
      <c r="H9" s="1841">
        <f t="shared" si="1"/>
        <v>43</v>
      </c>
      <c r="I9" s="1838">
        <f t="shared" si="2"/>
        <v>-78</v>
      </c>
      <c r="J9" s="1838">
        <v>0</v>
      </c>
      <c r="K9" s="1838">
        <v>0</v>
      </c>
      <c r="L9" s="1838">
        <v>0</v>
      </c>
      <c r="M9" s="1838">
        <v>0</v>
      </c>
      <c r="N9" s="1838" t="s">
        <v>3168</v>
      </c>
      <c r="O9" s="1838" t="s">
        <v>3169</v>
      </c>
      <c r="P9" s="1838"/>
    </row>
    <row r="10" spans="2:16" s="1843" customFormat="1">
      <c r="B10" s="1838">
        <f t="shared" si="3"/>
        <v>7</v>
      </c>
      <c r="C10" s="1838" t="s">
        <v>473</v>
      </c>
      <c r="D10" s="1838" t="s">
        <v>3162</v>
      </c>
      <c r="E10" s="1838" t="s">
        <v>3173</v>
      </c>
      <c r="F10" s="1839">
        <v>45347</v>
      </c>
      <c r="G10" s="1840">
        <v>91320</v>
      </c>
      <c r="H10" s="1841">
        <f t="shared" si="1"/>
        <v>35</v>
      </c>
      <c r="I10" s="1838">
        <f t="shared" si="2"/>
        <v>91320</v>
      </c>
      <c r="J10" s="1838">
        <v>0</v>
      </c>
      <c r="K10" s="1838">
        <v>0</v>
      </c>
      <c r="L10" s="1838">
        <v>0</v>
      </c>
      <c r="M10" s="1838">
        <v>0</v>
      </c>
      <c r="N10" s="1838" t="s">
        <v>3168</v>
      </c>
      <c r="O10" s="1838" t="s">
        <v>3169</v>
      </c>
      <c r="P10" s="1838"/>
    </row>
    <row r="11" spans="2:16" s="1843" customFormat="1">
      <c r="B11" s="1838">
        <f t="shared" si="3"/>
        <v>8</v>
      </c>
      <c r="C11" s="1838" t="s">
        <v>473</v>
      </c>
      <c r="D11" s="1838" t="s">
        <v>3162</v>
      </c>
      <c r="E11" s="1838" t="s">
        <v>3173</v>
      </c>
      <c r="F11" s="1839">
        <v>45347</v>
      </c>
      <c r="G11" s="1840">
        <v>-149</v>
      </c>
      <c r="H11" s="1841">
        <f t="shared" si="1"/>
        <v>35</v>
      </c>
      <c r="I11" s="1838">
        <f t="shared" si="2"/>
        <v>-149</v>
      </c>
      <c r="J11" s="1838">
        <v>0</v>
      </c>
      <c r="K11" s="1838">
        <v>0</v>
      </c>
      <c r="L11" s="1838">
        <v>0</v>
      </c>
      <c r="M11" s="1838">
        <v>0</v>
      </c>
      <c r="N11" s="1838" t="s">
        <v>3168</v>
      </c>
      <c r="O11" s="1838" t="s">
        <v>3169</v>
      </c>
      <c r="P11" s="1838"/>
    </row>
    <row r="12" spans="2:16" s="1843" customFormat="1">
      <c r="B12" s="1838">
        <f t="shared" si="3"/>
        <v>9</v>
      </c>
      <c r="C12" s="1838" t="s">
        <v>473</v>
      </c>
      <c r="D12" s="1838" t="s">
        <v>3162</v>
      </c>
      <c r="E12" s="1838" t="s">
        <v>3174</v>
      </c>
      <c r="F12" s="1839">
        <v>45355</v>
      </c>
      <c r="G12" s="1840">
        <v>90423</v>
      </c>
      <c r="H12" s="1841">
        <f t="shared" si="1"/>
        <v>27</v>
      </c>
      <c r="I12" s="1838">
        <f t="shared" si="2"/>
        <v>90423</v>
      </c>
      <c r="J12" s="1838">
        <v>0</v>
      </c>
      <c r="K12" s="1838">
        <v>0</v>
      </c>
      <c r="L12" s="1838">
        <v>0</v>
      </c>
      <c r="M12" s="1838">
        <v>0</v>
      </c>
      <c r="N12" s="1838" t="s">
        <v>3168</v>
      </c>
      <c r="O12" s="1838" t="s">
        <v>3169</v>
      </c>
      <c r="P12" s="1838"/>
    </row>
    <row r="13" spans="2:16" s="1843" customFormat="1">
      <c r="B13" s="1838">
        <f t="shared" si="3"/>
        <v>10</v>
      </c>
      <c r="C13" s="1838" t="s">
        <v>473</v>
      </c>
      <c r="D13" s="1838" t="s">
        <v>3162</v>
      </c>
      <c r="E13" s="1838" t="s">
        <v>3175</v>
      </c>
      <c r="F13" s="1839">
        <v>45355</v>
      </c>
      <c r="G13" s="1840">
        <v>-222</v>
      </c>
      <c r="H13" s="1841">
        <f t="shared" si="1"/>
        <v>27</v>
      </c>
      <c r="I13" s="1838">
        <f t="shared" si="2"/>
        <v>-222</v>
      </c>
      <c r="J13" s="1838">
        <v>0</v>
      </c>
      <c r="K13" s="1838">
        <v>0</v>
      </c>
      <c r="L13" s="1838">
        <v>0</v>
      </c>
      <c r="M13" s="1838">
        <v>0</v>
      </c>
      <c r="N13" s="1838" t="s">
        <v>3168</v>
      </c>
      <c r="O13" s="1838" t="s">
        <v>3169</v>
      </c>
      <c r="P13" s="1838"/>
    </row>
    <row r="14" spans="2:16" s="1843" customFormat="1">
      <c r="B14" s="1838">
        <f t="shared" si="3"/>
        <v>11</v>
      </c>
      <c r="C14" s="1838" t="s">
        <v>473</v>
      </c>
      <c r="D14" s="1838" t="s">
        <v>3162</v>
      </c>
      <c r="E14" s="1838" t="s">
        <v>3176</v>
      </c>
      <c r="F14" s="1839">
        <v>45374</v>
      </c>
      <c r="G14" s="1840">
        <v>-481</v>
      </c>
      <c r="H14" s="1841">
        <f t="shared" si="1"/>
        <v>8</v>
      </c>
      <c r="I14" s="1838">
        <f t="shared" si="2"/>
        <v>-481</v>
      </c>
      <c r="J14" s="1838">
        <v>0</v>
      </c>
      <c r="K14" s="1838">
        <v>0</v>
      </c>
      <c r="L14" s="1838">
        <v>0</v>
      </c>
      <c r="M14" s="1838">
        <v>0</v>
      </c>
      <c r="N14" s="1838" t="s">
        <v>3168</v>
      </c>
      <c r="O14" s="1838" t="s">
        <v>3169</v>
      </c>
      <c r="P14" s="1838"/>
    </row>
    <row r="15" spans="2:16" s="1843" customFormat="1">
      <c r="B15" s="1838">
        <f t="shared" si="3"/>
        <v>12</v>
      </c>
      <c r="C15" s="1838" t="s">
        <v>473</v>
      </c>
      <c r="D15" s="1838" t="s">
        <v>3162</v>
      </c>
      <c r="E15" s="1838" t="s">
        <v>3177</v>
      </c>
      <c r="F15" s="1839">
        <v>45375</v>
      </c>
      <c r="G15" s="1840">
        <v>111255</v>
      </c>
      <c r="H15" s="1841">
        <f t="shared" si="1"/>
        <v>7</v>
      </c>
      <c r="I15" s="1838">
        <f t="shared" si="2"/>
        <v>111255</v>
      </c>
      <c r="J15" s="1838">
        <v>0</v>
      </c>
      <c r="K15" s="1838">
        <v>0</v>
      </c>
      <c r="L15" s="1838">
        <v>0</v>
      </c>
      <c r="M15" s="1838">
        <v>0</v>
      </c>
      <c r="N15" s="1838" t="s">
        <v>3168</v>
      </c>
      <c r="O15" s="1838" t="s">
        <v>3169</v>
      </c>
      <c r="P15" s="1838"/>
    </row>
    <row r="16" spans="2:16" s="1843" customFormat="1">
      <c r="B16" s="1838">
        <f t="shared" si="3"/>
        <v>13</v>
      </c>
      <c r="C16" s="1838" t="s">
        <v>473</v>
      </c>
      <c r="D16" s="1838" t="s">
        <v>3162</v>
      </c>
      <c r="E16" s="1838" t="s">
        <v>3178</v>
      </c>
      <c r="F16" s="1839">
        <v>45379</v>
      </c>
      <c r="G16" s="1840">
        <v>131296</v>
      </c>
      <c r="H16" s="1841">
        <f t="shared" si="1"/>
        <v>3</v>
      </c>
      <c r="I16" s="1838">
        <f t="shared" si="2"/>
        <v>131296</v>
      </c>
      <c r="J16" s="1838">
        <v>0</v>
      </c>
      <c r="K16" s="1838">
        <v>0</v>
      </c>
      <c r="L16" s="1838">
        <v>0</v>
      </c>
      <c r="M16" s="1838">
        <v>0</v>
      </c>
      <c r="N16" s="1838" t="s">
        <v>3168</v>
      </c>
      <c r="O16" s="1838" t="s">
        <v>3169</v>
      </c>
      <c r="P16" s="1838"/>
    </row>
    <row r="17" spans="2:16" s="1843" customFormat="1">
      <c r="B17" s="1838">
        <f t="shared" si="3"/>
        <v>14</v>
      </c>
      <c r="C17" s="1838" t="s">
        <v>473</v>
      </c>
      <c r="D17" s="1838" t="s">
        <v>3162</v>
      </c>
      <c r="E17" s="1838" t="s">
        <v>3179</v>
      </c>
      <c r="F17" s="1839">
        <v>45379</v>
      </c>
      <c r="G17" s="1840">
        <v>-410</v>
      </c>
      <c r="H17" s="1841">
        <f t="shared" si="1"/>
        <v>3</v>
      </c>
      <c r="I17" s="1838">
        <f t="shared" si="2"/>
        <v>-410</v>
      </c>
      <c r="J17" s="1838">
        <v>0</v>
      </c>
      <c r="K17" s="1838">
        <v>0</v>
      </c>
      <c r="L17" s="1838">
        <v>0</v>
      </c>
      <c r="M17" s="1838">
        <v>0</v>
      </c>
      <c r="N17" s="1838" t="s">
        <v>3168</v>
      </c>
      <c r="O17" s="1838" t="s">
        <v>3169</v>
      </c>
      <c r="P17" s="1838"/>
    </row>
    <row r="18" spans="2:16" s="1843" customFormat="1">
      <c r="B18" s="1838">
        <f t="shared" si="3"/>
        <v>15</v>
      </c>
      <c r="C18" s="1838" t="s">
        <v>473</v>
      </c>
      <c r="D18" s="1838" t="s">
        <v>3162</v>
      </c>
      <c r="E18" s="1838" t="s">
        <v>3180</v>
      </c>
      <c r="F18" s="1839">
        <v>45382</v>
      </c>
      <c r="G18" s="1840">
        <v>-0.5</v>
      </c>
      <c r="H18" s="1841">
        <f t="shared" si="1"/>
        <v>0</v>
      </c>
      <c r="I18" s="1838">
        <f t="shared" si="2"/>
        <v>-0.5</v>
      </c>
      <c r="J18" s="1838">
        <v>0</v>
      </c>
      <c r="K18" s="1838">
        <v>0</v>
      </c>
      <c r="L18" s="1838">
        <v>0</v>
      </c>
      <c r="M18" s="1838">
        <v>0</v>
      </c>
      <c r="N18" s="1838" t="s">
        <v>3168</v>
      </c>
      <c r="O18" s="1838" t="s">
        <v>3169</v>
      </c>
      <c r="P18" s="1838"/>
    </row>
    <row r="19" spans="2:16" s="1843" customFormat="1">
      <c r="B19" s="1838">
        <f t="shared" si="3"/>
        <v>16</v>
      </c>
      <c r="C19" s="1838" t="s">
        <v>2948</v>
      </c>
      <c r="D19" s="1838" t="s">
        <v>3162</v>
      </c>
      <c r="E19" s="1838" t="s">
        <v>3181</v>
      </c>
      <c r="F19" s="1839">
        <v>45375</v>
      </c>
      <c r="G19" s="1840">
        <v>430509</v>
      </c>
      <c r="H19" s="1841">
        <f t="shared" si="1"/>
        <v>7</v>
      </c>
      <c r="I19" s="1838">
        <f t="shared" si="2"/>
        <v>430509</v>
      </c>
      <c r="J19" s="1838">
        <v>0</v>
      </c>
      <c r="K19" s="1838">
        <v>0</v>
      </c>
      <c r="L19" s="1838">
        <v>0</v>
      </c>
      <c r="M19" s="1838">
        <v>0</v>
      </c>
      <c r="N19" s="1838" t="s">
        <v>3182</v>
      </c>
      <c r="O19" s="1838" t="s">
        <v>3183</v>
      </c>
      <c r="P19" s="1838" t="s">
        <v>3184</v>
      </c>
    </row>
    <row r="20" spans="2:16" s="1843" customFormat="1">
      <c r="B20" s="1838">
        <f t="shared" si="3"/>
        <v>17</v>
      </c>
      <c r="C20" s="1838" t="s">
        <v>3185</v>
      </c>
      <c r="D20" s="1838" t="s">
        <v>3162</v>
      </c>
      <c r="E20" s="1838" t="s">
        <v>3186</v>
      </c>
      <c r="F20" s="1839">
        <v>45379</v>
      </c>
      <c r="G20" s="1840">
        <v>38700</v>
      </c>
      <c r="H20" s="1841">
        <f t="shared" si="1"/>
        <v>3</v>
      </c>
      <c r="I20" s="1838">
        <f t="shared" si="2"/>
        <v>38700</v>
      </c>
      <c r="J20" s="1838">
        <v>0</v>
      </c>
      <c r="K20" s="1838">
        <v>0</v>
      </c>
      <c r="L20" s="1838">
        <v>0</v>
      </c>
      <c r="M20" s="1838">
        <v>0</v>
      </c>
      <c r="N20" s="1838" t="s">
        <v>3182</v>
      </c>
      <c r="O20" s="1838" t="s">
        <v>3183</v>
      </c>
      <c r="P20" s="1838" t="s">
        <v>3184</v>
      </c>
    </row>
    <row r="21" spans="2:16" s="1843" customFormat="1">
      <c r="B21" s="1838">
        <f t="shared" si="3"/>
        <v>18</v>
      </c>
      <c r="C21" s="1838" t="s">
        <v>60</v>
      </c>
      <c r="D21" s="1838" t="s">
        <v>3162</v>
      </c>
      <c r="E21" s="1838" t="s">
        <v>3187</v>
      </c>
      <c r="F21" s="1839">
        <v>45300</v>
      </c>
      <c r="G21" s="1840">
        <v>50292</v>
      </c>
      <c r="H21" s="1841">
        <f t="shared" si="1"/>
        <v>82</v>
      </c>
      <c r="I21" s="1838">
        <f t="shared" si="2"/>
        <v>50292</v>
      </c>
      <c r="J21" s="1838">
        <v>0</v>
      </c>
      <c r="K21" s="1838">
        <v>0</v>
      </c>
      <c r="L21" s="1838">
        <v>0</v>
      </c>
      <c r="M21" s="1838">
        <v>0</v>
      </c>
      <c r="N21" s="1838" t="s">
        <v>3188</v>
      </c>
      <c r="O21" s="1838" t="s">
        <v>3189</v>
      </c>
      <c r="P21" s="1838"/>
    </row>
    <row r="22" spans="2:16" s="1843" customFormat="1">
      <c r="B22" s="1838">
        <f t="shared" si="3"/>
        <v>19</v>
      </c>
      <c r="C22" s="1838" t="s">
        <v>60</v>
      </c>
      <c r="D22" s="1838" t="s">
        <v>3162</v>
      </c>
      <c r="E22" s="1838" t="s">
        <v>3190</v>
      </c>
      <c r="F22" s="1839">
        <v>45311</v>
      </c>
      <c r="G22" s="1840">
        <v>17643</v>
      </c>
      <c r="H22" s="1841">
        <f t="shared" si="1"/>
        <v>71</v>
      </c>
      <c r="I22" s="1838">
        <f t="shared" si="2"/>
        <v>17643</v>
      </c>
      <c r="J22" s="1838">
        <v>0</v>
      </c>
      <c r="K22" s="1838">
        <v>0</v>
      </c>
      <c r="L22" s="1838">
        <v>0</v>
      </c>
      <c r="M22" s="1838">
        <v>0</v>
      </c>
      <c r="N22" s="1838" t="s">
        <v>3188</v>
      </c>
      <c r="O22" s="1838" t="s">
        <v>3189</v>
      </c>
      <c r="P22" s="1838"/>
    </row>
    <row r="23" spans="2:16" s="1843" customFormat="1">
      <c r="B23" s="1838">
        <f t="shared" si="3"/>
        <v>20</v>
      </c>
      <c r="C23" s="1838" t="s">
        <v>60</v>
      </c>
      <c r="D23" s="1838" t="s">
        <v>3162</v>
      </c>
      <c r="E23" s="1838" t="s">
        <v>3191</v>
      </c>
      <c r="F23" s="1839">
        <v>45323</v>
      </c>
      <c r="G23" s="1840">
        <v>14857</v>
      </c>
      <c r="H23" s="1841">
        <f t="shared" si="1"/>
        <v>59</v>
      </c>
      <c r="I23" s="1838">
        <f t="shared" si="2"/>
        <v>14857</v>
      </c>
      <c r="J23" s="1838">
        <v>0</v>
      </c>
      <c r="K23" s="1838">
        <v>0</v>
      </c>
      <c r="L23" s="1838">
        <v>0</v>
      </c>
      <c r="M23" s="1838">
        <v>0</v>
      </c>
      <c r="N23" s="1838" t="s">
        <v>3188</v>
      </c>
      <c r="O23" s="1838" t="s">
        <v>3189</v>
      </c>
      <c r="P23" s="1838"/>
    </row>
    <row r="24" spans="2:16" s="1843" customFormat="1">
      <c r="B24" s="1838">
        <f t="shared" si="3"/>
        <v>21</v>
      </c>
      <c r="C24" s="1838" t="s">
        <v>60</v>
      </c>
      <c r="D24" s="1838" t="s">
        <v>3162</v>
      </c>
      <c r="E24" s="1838" t="s">
        <v>3192</v>
      </c>
      <c r="F24" s="1839">
        <v>45324</v>
      </c>
      <c r="G24" s="1840">
        <v>46517</v>
      </c>
      <c r="H24" s="1841">
        <f t="shared" si="1"/>
        <v>58</v>
      </c>
      <c r="I24" s="1838">
        <f t="shared" si="2"/>
        <v>46517</v>
      </c>
      <c r="J24" s="1838">
        <v>0</v>
      </c>
      <c r="K24" s="1838">
        <v>0</v>
      </c>
      <c r="L24" s="1838">
        <v>0</v>
      </c>
      <c r="M24" s="1838">
        <v>0</v>
      </c>
      <c r="N24" s="1838" t="s">
        <v>3188</v>
      </c>
      <c r="O24" s="1838" t="s">
        <v>3189</v>
      </c>
      <c r="P24" s="1838"/>
    </row>
    <row r="25" spans="2:16" s="1843" customFormat="1">
      <c r="B25" s="1838">
        <f t="shared" si="3"/>
        <v>22</v>
      </c>
      <c r="C25" s="1838" t="s">
        <v>60</v>
      </c>
      <c r="D25" s="1838" t="s">
        <v>3162</v>
      </c>
      <c r="E25" s="1838" t="s">
        <v>3193</v>
      </c>
      <c r="F25" s="1839">
        <v>45342</v>
      </c>
      <c r="G25" s="1840">
        <v>12500</v>
      </c>
      <c r="H25" s="1841">
        <f t="shared" si="1"/>
        <v>40</v>
      </c>
      <c r="I25" s="1838">
        <f t="shared" si="2"/>
        <v>12500</v>
      </c>
      <c r="J25" s="1838">
        <v>0</v>
      </c>
      <c r="K25" s="1838">
        <v>0</v>
      </c>
      <c r="L25" s="1838">
        <v>0</v>
      </c>
      <c r="M25" s="1838">
        <v>0</v>
      </c>
      <c r="N25" s="1838" t="s">
        <v>3188</v>
      </c>
      <c r="O25" s="1838" t="s">
        <v>3189</v>
      </c>
      <c r="P25" s="1838"/>
    </row>
    <row r="26" spans="2:16" s="1843" customFormat="1">
      <c r="B26" s="1838">
        <f t="shared" si="3"/>
        <v>23</v>
      </c>
      <c r="C26" s="1838" t="s">
        <v>60</v>
      </c>
      <c r="D26" s="1838" t="s">
        <v>3162</v>
      </c>
      <c r="E26" s="1838" t="s">
        <v>3194</v>
      </c>
      <c r="F26" s="1839">
        <v>45342</v>
      </c>
      <c r="G26" s="1840">
        <v>700</v>
      </c>
      <c r="H26" s="1841">
        <f t="shared" si="1"/>
        <v>40</v>
      </c>
      <c r="I26" s="1838">
        <f t="shared" si="2"/>
        <v>700</v>
      </c>
      <c r="J26" s="1838">
        <v>0</v>
      </c>
      <c r="K26" s="1838">
        <v>0</v>
      </c>
      <c r="L26" s="1838">
        <v>0</v>
      </c>
      <c r="M26" s="1838">
        <v>0</v>
      </c>
      <c r="N26" s="1838" t="s">
        <v>3188</v>
      </c>
      <c r="O26" s="1838" t="s">
        <v>3189</v>
      </c>
      <c r="P26" s="1838"/>
    </row>
    <row r="27" spans="2:16" s="1843" customFormat="1">
      <c r="B27" s="1838">
        <f t="shared" si="3"/>
        <v>24</v>
      </c>
      <c r="C27" s="1838" t="s">
        <v>60</v>
      </c>
      <c r="D27" s="1838" t="s">
        <v>3162</v>
      </c>
      <c r="E27" s="1838" t="s">
        <v>3195</v>
      </c>
      <c r="F27" s="1839">
        <v>45345</v>
      </c>
      <c r="G27" s="1840">
        <v>12764</v>
      </c>
      <c r="H27" s="1841">
        <f t="shared" si="1"/>
        <v>37</v>
      </c>
      <c r="I27" s="1838">
        <f t="shared" si="2"/>
        <v>12764</v>
      </c>
      <c r="J27" s="1838">
        <v>0</v>
      </c>
      <c r="K27" s="1838">
        <v>0</v>
      </c>
      <c r="L27" s="1838">
        <v>0</v>
      </c>
      <c r="M27" s="1838">
        <v>0</v>
      </c>
      <c r="N27" s="1838" t="s">
        <v>3188</v>
      </c>
      <c r="O27" s="1838" t="s">
        <v>3189</v>
      </c>
      <c r="P27" s="1838"/>
    </row>
    <row r="28" spans="2:16" s="1843" customFormat="1">
      <c r="B28" s="1838">
        <f t="shared" si="3"/>
        <v>25</v>
      </c>
      <c r="C28" s="1838" t="s">
        <v>60</v>
      </c>
      <c r="D28" s="1838" t="s">
        <v>3162</v>
      </c>
      <c r="E28" s="1838" t="s">
        <v>3196</v>
      </c>
      <c r="F28" s="1839">
        <v>45348</v>
      </c>
      <c r="G28" s="1840">
        <v>4320</v>
      </c>
      <c r="H28" s="1841">
        <f t="shared" si="1"/>
        <v>34</v>
      </c>
      <c r="I28" s="1838">
        <f t="shared" si="2"/>
        <v>4320</v>
      </c>
      <c r="J28" s="1838">
        <v>0</v>
      </c>
      <c r="K28" s="1838">
        <v>0</v>
      </c>
      <c r="L28" s="1838">
        <v>0</v>
      </c>
      <c r="M28" s="1838">
        <v>0</v>
      </c>
      <c r="N28" s="1838" t="s">
        <v>3188</v>
      </c>
      <c r="O28" s="1838" t="s">
        <v>3189</v>
      </c>
      <c r="P28" s="1838"/>
    </row>
    <row r="29" spans="2:16" s="1843" customFormat="1">
      <c r="B29" s="1838">
        <f t="shared" si="3"/>
        <v>26</v>
      </c>
      <c r="C29" s="1838" t="s">
        <v>60</v>
      </c>
      <c r="D29" s="1838" t="s">
        <v>3162</v>
      </c>
      <c r="E29" s="1838" t="s">
        <v>3197</v>
      </c>
      <c r="F29" s="1839">
        <v>45348</v>
      </c>
      <c r="G29" s="1840">
        <v>12153</v>
      </c>
      <c r="H29" s="1841">
        <f t="shared" si="1"/>
        <v>34</v>
      </c>
      <c r="I29" s="1838">
        <f t="shared" si="2"/>
        <v>12153</v>
      </c>
      <c r="J29" s="1838">
        <v>0</v>
      </c>
      <c r="K29" s="1838">
        <v>0</v>
      </c>
      <c r="L29" s="1838">
        <v>0</v>
      </c>
      <c r="M29" s="1838">
        <v>0</v>
      </c>
      <c r="N29" s="1838" t="s">
        <v>3188</v>
      </c>
      <c r="O29" s="1838" t="s">
        <v>3189</v>
      </c>
      <c r="P29" s="1838"/>
    </row>
    <row r="30" spans="2:16" s="1843" customFormat="1">
      <c r="B30" s="1838">
        <f t="shared" si="3"/>
        <v>27</v>
      </c>
      <c r="C30" s="1838" t="s">
        <v>60</v>
      </c>
      <c r="D30" s="1838" t="s">
        <v>3162</v>
      </c>
      <c r="E30" s="1838" t="s">
        <v>3198</v>
      </c>
      <c r="F30" s="1839">
        <v>45352</v>
      </c>
      <c r="G30" s="1840">
        <v>15165</v>
      </c>
      <c r="H30" s="1841">
        <f t="shared" si="1"/>
        <v>30</v>
      </c>
      <c r="I30" s="1838">
        <f t="shared" si="2"/>
        <v>15165</v>
      </c>
      <c r="J30" s="1838">
        <v>0</v>
      </c>
      <c r="K30" s="1838">
        <v>0</v>
      </c>
      <c r="L30" s="1838">
        <v>0</v>
      </c>
      <c r="M30" s="1838">
        <v>0</v>
      </c>
      <c r="N30" s="1838" t="s">
        <v>3188</v>
      </c>
      <c r="O30" s="1838" t="s">
        <v>3189</v>
      </c>
      <c r="P30" s="1838"/>
    </row>
    <row r="31" spans="2:16" s="1843" customFormat="1">
      <c r="B31" s="1838">
        <f t="shared" si="3"/>
        <v>28</v>
      </c>
      <c r="C31" s="1838" t="s">
        <v>60</v>
      </c>
      <c r="D31" s="1838" t="s">
        <v>3162</v>
      </c>
      <c r="E31" s="1838" t="s">
        <v>3199</v>
      </c>
      <c r="F31" s="1839">
        <v>45362</v>
      </c>
      <c r="G31" s="1840">
        <v>24636</v>
      </c>
      <c r="H31" s="1841">
        <f t="shared" si="1"/>
        <v>20</v>
      </c>
      <c r="I31" s="1838">
        <f t="shared" si="2"/>
        <v>24636</v>
      </c>
      <c r="J31" s="1838">
        <v>0</v>
      </c>
      <c r="K31" s="1838">
        <v>0</v>
      </c>
      <c r="L31" s="1838">
        <v>0</v>
      </c>
      <c r="M31" s="1838">
        <v>0</v>
      </c>
      <c r="N31" s="1838" t="s">
        <v>3188</v>
      </c>
      <c r="O31" s="1838" t="s">
        <v>3189</v>
      </c>
      <c r="P31" s="1838"/>
    </row>
    <row r="32" spans="2:16" s="1843" customFormat="1">
      <c r="B32" s="1838">
        <f t="shared" si="3"/>
        <v>29</v>
      </c>
      <c r="C32" s="1838" t="s">
        <v>60</v>
      </c>
      <c r="D32" s="1838" t="s">
        <v>3162</v>
      </c>
      <c r="E32" s="1838" t="s">
        <v>3200</v>
      </c>
      <c r="F32" s="1839">
        <v>45373</v>
      </c>
      <c r="G32" s="1840">
        <v>4438</v>
      </c>
      <c r="H32" s="1841">
        <f t="shared" si="1"/>
        <v>9</v>
      </c>
      <c r="I32" s="1838">
        <f t="shared" si="2"/>
        <v>4438</v>
      </c>
      <c r="J32" s="1838">
        <v>0</v>
      </c>
      <c r="K32" s="1838">
        <v>0</v>
      </c>
      <c r="L32" s="1838">
        <v>0</v>
      </c>
      <c r="M32" s="1838">
        <v>0</v>
      </c>
      <c r="N32" s="1838" t="s">
        <v>3188</v>
      </c>
      <c r="O32" s="1838" t="s">
        <v>3189</v>
      </c>
      <c r="P32" s="1838"/>
    </row>
    <row r="33" spans="2:16" s="1843" customFormat="1">
      <c r="B33" s="1838">
        <f t="shared" si="3"/>
        <v>30</v>
      </c>
      <c r="C33" s="1838" t="s">
        <v>60</v>
      </c>
      <c r="D33" s="1838" t="s">
        <v>3162</v>
      </c>
      <c r="E33" s="1838" t="s">
        <v>3201</v>
      </c>
      <c r="F33" s="1839">
        <v>45377</v>
      </c>
      <c r="G33" s="1840">
        <v>17417</v>
      </c>
      <c r="H33" s="1841">
        <f t="shared" si="1"/>
        <v>5</v>
      </c>
      <c r="I33" s="1838">
        <f t="shared" si="2"/>
        <v>17417</v>
      </c>
      <c r="J33" s="1838">
        <v>0</v>
      </c>
      <c r="K33" s="1838">
        <v>0</v>
      </c>
      <c r="L33" s="1838">
        <v>0</v>
      </c>
      <c r="M33" s="1838">
        <v>0</v>
      </c>
      <c r="N33" s="1838" t="s">
        <v>3188</v>
      </c>
      <c r="O33" s="1838" t="s">
        <v>3189</v>
      </c>
      <c r="P33" s="1838"/>
    </row>
    <row r="34" spans="2:16" s="1843" customFormat="1">
      <c r="B34" s="1838">
        <f t="shared" si="3"/>
        <v>31</v>
      </c>
      <c r="C34" s="1838" t="s">
        <v>2949</v>
      </c>
      <c r="D34" s="1838" t="s">
        <v>3162</v>
      </c>
      <c r="E34" s="1838" t="s">
        <v>3202</v>
      </c>
      <c r="F34" s="1839">
        <v>45336</v>
      </c>
      <c r="G34" s="1840">
        <v>80234</v>
      </c>
      <c r="H34" s="1841">
        <f t="shared" si="1"/>
        <v>46</v>
      </c>
      <c r="I34" s="1838">
        <f t="shared" si="2"/>
        <v>80234</v>
      </c>
      <c r="J34" s="1838">
        <v>0</v>
      </c>
      <c r="K34" s="1838">
        <v>0</v>
      </c>
      <c r="L34" s="1838">
        <v>0</v>
      </c>
      <c r="M34" s="1838">
        <v>0</v>
      </c>
      <c r="N34" s="1838" t="s">
        <v>3182</v>
      </c>
      <c r="O34" s="1838" t="s">
        <v>3183</v>
      </c>
      <c r="P34" s="1838" t="s">
        <v>3184</v>
      </c>
    </row>
    <row r="35" spans="2:16" s="1843" customFormat="1">
      <c r="B35" s="1838">
        <f t="shared" si="3"/>
        <v>32</v>
      </c>
      <c r="C35" s="1838" t="s">
        <v>2949</v>
      </c>
      <c r="D35" s="1838" t="s">
        <v>3162</v>
      </c>
      <c r="E35" s="1838" t="s">
        <v>3203</v>
      </c>
      <c r="F35" s="1839">
        <v>45337</v>
      </c>
      <c r="G35" s="1840">
        <v>21483</v>
      </c>
      <c r="H35" s="1841">
        <f t="shared" si="1"/>
        <v>45</v>
      </c>
      <c r="I35" s="1838">
        <f t="shared" si="2"/>
        <v>21483</v>
      </c>
      <c r="J35" s="1838">
        <v>0</v>
      </c>
      <c r="K35" s="1838">
        <v>0</v>
      </c>
      <c r="L35" s="1838">
        <v>0</v>
      </c>
      <c r="M35" s="1838">
        <v>0</v>
      </c>
      <c r="N35" s="1838" t="s">
        <v>3182</v>
      </c>
      <c r="O35" s="1838" t="s">
        <v>3183</v>
      </c>
      <c r="P35" s="1838" t="s">
        <v>3184</v>
      </c>
    </row>
    <row r="36" spans="2:16" s="1843" customFormat="1">
      <c r="B36" s="1838">
        <f t="shared" si="3"/>
        <v>33</v>
      </c>
      <c r="C36" s="1838" t="s">
        <v>2949</v>
      </c>
      <c r="D36" s="1838" t="s">
        <v>3162</v>
      </c>
      <c r="E36" s="1838" t="s">
        <v>3204</v>
      </c>
      <c r="F36" s="1839">
        <v>45337</v>
      </c>
      <c r="G36" s="1840">
        <v>22330</v>
      </c>
      <c r="H36" s="1841">
        <f t="shared" si="1"/>
        <v>45</v>
      </c>
      <c r="I36" s="1838">
        <f t="shared" si="2"/>
        <v>22330</v>
      </c>
      <c r="J36" s="1838">
        <v>0</v>
      </c>
      <c r="K36" s="1838">
        <v>0</v>
      </c>
      <c r="L36" s="1838">
        <v>0</v>
      </c>
      <c r="M36" s="1838">
        <v>0</v>
      </c>
      <c r="N36" s="1838" t="s">
        <v>3182</v>
      </c>
      <c r="O36" s="1838" t="s">
        <v>3183</v>
      </c>
      <c r="P36" s="1838" t="s">
        <v>3184</v>
      </c>
    </row>
    <row r="37" spans="2:16" s="1843" customFormat="1">
      <c r="B37" s="1838">
        <f t="shared" si="3"/>
        <v>34</v>
      </c>
      <c r="C37" s="1838" t="s">
        <v>2949</v>
      </c>
      <c r="D37" s="1838" t="s">
        <v>3162</v>
      </c>
      <c r="E37" s="1838" t="s">
        <v>3205</v>
      </c>
      <c r="F37" s="1839">
        <v>45337</v>
      </c>
      <c r="G37" s="1840">
        <v>15862</v>
      </c>
      <c r="H37" s="1841">
        <f t="shared" si="1"/>
        <v>45</v>
      </c>
      <c r="I37" s="1838">
        <f t="shared" si="2"/>
        <v>15862</v>
      </c>
      <c r="J37" s="1838">
        <v>0</v>
      </c>
      <c r="K37" s="1838">
        <v>0</v>
      </c>
      <c r="L37" s="1838">
        <v>0</v>
      </c>
      <c r="M37" s="1838">
        <v>0</v>
      </c>
      <c r="N37" s="1838" t="s">
        <v>3182</v>
      </c>
      <c r="O37" s="1838" t="s">
        <v>3183</v>
      </c>
      <c r="P37" s="1838" t="s">
        <v>3184</v>
      </c>
    </row>
    <row r="38" spans="2:16" s="1843" customFormat="1">
      <c r="B38" s="1838">
        <f t="shared" si="3"/>
        <v>35</v>
      </c>
      <c r="C38" s="1838" t="s">
        <v>2949</v>
      </c>
      <c r="D38" s="1838" t="s">
        <v>3162</v>
      </c>
      <c r="E38" s="1838" t="s">
        <v>3206</v>
      </c>
      <c r="F38" s="1839">
        <v>45338</v>
      </c>
      <c r="G38" s="1840">
        <v>47628</v>
      </c>
      <c r="H38" s="1841">
        <f t="shared" si="1"/>
        <v>44</v>
      </c>
      <c r="I38" s="1838">
        <f t="shared" si="2"/>
        <v>47628</v>
      </c>
      <c r="J38" s="1838">
        <v>0</v>
      </c>
      <c r="K38" s="1838">
        <v>0</v>
      </c>
      <c r="L38" s="1838">
        <v>0</v>
      </c>
      <c r="M38" s="1838">
        <v>0</v>
      </c>
      <c r="N38" s="1838" t="s">
        <v>3182</v>
      </c>
      <c r="O38" s="1838" t="s">
        <v>3183</v>
      </c>
      <c r="P38" s="1838" t="s">
        <v>3184</v>
      </c>
    </row>
    <row r="39" spans="2:16" s="1843" customFormat="1">
      <c r="B39" s="1838">
        <f t="shared" si="3"/>
        <v>36</v>
      </c>
      <c r="C39" s="1838" t="s">
        <v>2949</v>
      </c>
      <c r="D39" s="1838" t="s">
        <v>3162</v>
      </c>
      <c r="E39" s="1838" t="s">
        <v>3207</v>
      </c>
      <c r="F39" s="1839">
        <v>45339</v>
      </c>
      <c r="G39" s="1840">
        <v>14700</v>
      </c>
      <c r="H39" s="1841">
        <f t="shared" si="1"/>
        <v>43</v>
      </c>
      <c r="I39" s="1838">
        <f t="shared" si="2"/>
        <v>14700</v>
      </c>
      <c r="J39" s="1838">
        <v>0</v>
      </c>
      <c r="K39" s="1838">
        <v>0</v>
      </c>
      <c r="L39" s="1838">
        <v>0</v>
      </c>
      <c r="M39" s="1838">
        <v>0</v>
      </c>
      <c r="N39" s="1838" t="s">
        <v>3182</v>
      </c>
      <c r="O39" s="1838" t="s">
        <v>3183</v>
      </c>
      <c r="P39" s="1838" t="s">
        <v>3184</v>
      </c>
    </row>
    <row r="40" spans="2:16" s="1843" customFormat="1">
      <c r="B40" s="1838">
        <f t="shared" si="3"/>
        <v>37</v>
      </c>
      <c r="C40" s="1838" t="s">
        <v>2949</v>
      </c>
      <c r="D40" s="1838" t="s">
        <v>3162</v>
      </c>
      <c r="E40" s="1838" t="s">
        <v>3208</v>
      </c>
      <c r="F40" s="1839">
        <v>45339</v>
      </c>
      <c r="G40" s="1840">
        <v>33896</v>
      </c>
      <c r="H40" s="1841">
        <f t="shared" si="1"/>
        <v>43</v>
      </c>
      <c r="I40" s="1838">
        <f t="shared" si="2"/>
        <v>33896</v>
      </c>
      <c r="J40" s="1838">
        <v>0</v>
      </c>
      <c r="K40" s="1838">
        <v>0</v>
      </c>
      <c r="L40" s="1838">
        <v>0</v>
      </c>
      <c r="M40" s="1838">
        <v>0</v>
      </c>
      <c r="N40" s="1838" t="s">
        <v>3182</v>
      </c>
      <c r="O40" s="1838" t="s">
        <v>3183</v>
      </c>
      <c r="P40" s="1838" t="s">
        <v>3184</v>
      </c>
    </row>
    <row r="41" spans="2:16" s="1843" customFormat="1">
      <c r="B41" s="1838">
        <f t="shared" si="3"/>
        <v>38</v>
      </c>
      <c r="C41" s="1838" t="s">
        <v>2949</v>
      </c>
      <c r="D41" s="1838" t="s">
        <v>3162</v>
      </c>
      <c r="E41" s="1838" t="s">
        <v>3209</v>
      </c>
      <c r="F41" s="1839">
        <v>45340</v>
      </c>
      <c r="G41" s="1840">
        <v>19250</v>
      </c>
      <c r="H41" s="1841">
        <f t="shared" si="1"/>
        <v>42</v>
      </c>
      <c r="I41" s="1838">
        <f t="shared" si="2"/>
        <v>19250</v>
      </c>
      <c r="J41" s="1838">
        <v>0</v>
      </c>
      <c r="K41" s="1838">
        <v>0</v>
      </c>
      <c r="L41" s="1838">
        <v>0</v>
      </c>
      <c r="M41" s="1838">
        <v>0</v>
      </c>
      <c r="N41" s="1838" t="s">
        <v>3182</v>
      </c>
      <c r="O41" s="1838" t="s">
        <v>3183</v>
      </c>
      <c r="P41" s="1838" t="s">
        <v>3184</v>
      </c>
    </row>
    <row r="42" spans="2:16" s="1843" customFormat="1">
      <c r="B42" s="1838">
        <f t="shared" si="3"/>
        <v>39</v>
      </c>
      <c r="C42" s="1838" t="s">
        <v>2949</v>
      </c>
      <c r="D42" s="1838" t="s">
        <v>3162</v>
      </c>
      <c r="E42" s="1838" t="s">
        <v>3210</v>
      </c>
      <c r="F42" s="1839">
        <v>45341</v>
      </c>
      <c r="G42" s="1840">
        <v>7420</v>
      </c>
      <c r="H42" s="1841">
        <f t="shared" si="1"/>
        <v>41</v>
      </c>
      <c r="I42" s="1838">
        <f t="shared" si="2"/>
        <v>7420</v>
      </c>
      <c r="J42" s="1838">
        <v>0</v>
      </c>
      <c r="K42" s="1838">
        <v>0</v>
      </c>
      <c r="L42" s="1838">
        <v>0</v>
      </c>
      <c r="M42" s="1838">
        <v>0</v>
      </c>
      <c r="N42" s="1838" t="s">
        <v>3182</v>
      </c>
      <c r="O42" s="1838" t="s">
        <v>3183</v>
      </c>
      <c r="P42" s="1838" t="s">
        <v>3184</v>
      </c>
    </row>
    <row r="43" spans="2:16" s="1843" customFormat="1">
      <c r="B43" s="1838">
        <f t="shared" si="3"/>
        <v>40</v>
      </c>
      <c r="C43" s="1838" t="s">
        <v>2949</v>
      </c>
      <c r="D43" s="1838" t="s">
        <v>3162</v>
      </c>
      <c r="E43" s="1838" t="s">
        <v>3211</v>
      </c>
      <c r="F43" s="1839">
        <v>45341</v>
      </c>
      <c r="G43" s="1840">
        <v>7840</v>
      </c>
      <c r="H43" s="1841">
        <f t="shared" si="1"/>
        <v>41</v>
      </c>
      <c r="I43" s="1838">
        <f t="shared" si="2"/>
        <v>7840</v>
      </c>
      <c r="J43" s="1838">
        <v>0</v>
      </c>
      <c r="K43" s="1838">
        <v>0</v>
      </c>
      <c r="L43" s="1838">
        <v>0</v>
      </c>
      <c r="M43" s="1838">
        <v>0</v>
      </c>
      <c r="N43" s="1838" t="s">
        <v>3182</v>
      </c>
      <c r="O43" s="1838" t="s">
        <v>3183</v>
      </c>
      <c r="P43" s="1838" t="s">
        <v>3184</v>
      </c>
    </row>
    <row r="44" spans="2:16" s="1843" customFormat="1">
      <c r="B44" s="1838">
        <f t="shared" si="3"/>
        <v>41</v>
      </c>
      <c r="C44" s="1838" t="s">
        <v>2949</v>
      </c>
      <c r="D44" s="1838" t="s">
        <v>3162</v>
      </c>
      <c r="E44" s="1838" t="s">
        <v>3212</v>
      </c>
      <c r="F44" s="1839">
        <v>45342</v>
      </c>
      <c r="G44" s="1840">
        <v>4550</v>
      </c>
      <c r="H44" s="1841">
        <f t="shared" si="1"/>
        <v>40</v>
      </c>
      <c r="I44" s="1838">
        <f t="shared" si="2"/>
        <v>4550</v>
      </c>
      <c r="J44" s="1838">
        <v>0</v>
      </c>
      <c r="K44" s="1838">
        <v>0</v>
      </c>
      <c r="L44" s="1838">
        <v>0</v>
      </c>
      <c r="M44" s="1838">
        <v>0</v>
      </c>
      <c r="N44" s="1838" t="s">
        <v>3182</v>
      </c>
      <c r="O44" s="1838" t="s">
        <v>3183</v>
      </c>
      <c r="P44" s="1838" t="s">
        <v>3184</v>
      </c>
    </row>
    <row r="45" spans="2:16" s="1843" customFormat="1">
      <c r="B45" s="1838">
        <f t="shared" si="3"/>
        <v>42</v>
      </c>
      <c r="C45" s="1838" t="s">
        <v>2949</v>
      </c>
      <c r="D45" s="1838" t="s">
        <v>3162</v>
      </c>
      <c r="E45" s="1838" t="s">
        <v>3213</v>
      </c>
      <c r="F45" s="1839">
        <v>45342</v>
      </c>
      <c r="G45" s="1840">
        <v>37450</v>
      </c>
      <c r="H45" s="1841">
        <f t="shared" si="1"/>
        <v>40</v>
      </c>
      <c r="I45" s="1838">
        <f t="shared" si="2"/>
        <v>37450</v>
      </c>
      <c r="J45" s="1838">
        <v>0</v>
      </c>
      <c r="K45" s="1838">
        <v>0</v>
      </c>
      <c r="L45" s="1838">
        <v>0</v>
      </c>
      <c r="M45" s="1838">
        <v>0</v>
      </c>
      <c r="N45" s="1838" t="s">
        <v>3182</v>
      </c>
      <c r="O45" s="1838" t="s">
        <v>3183</v>
      </c>
      <c r="P45" s="1838" t="s">
        <v>3184</v>
      </c>
    </row>
    <row r="46" spans="2:16" s="1843" customFormat="1">
      <c r="B46" s="1838">
        <f t="shared" si="3"/>
        <v>43</v>
      </c>
      <c r="C46" s="1838" t="s">
        <v>2949</v>
      </c>
      <c r="D46" s="1838" t="s">
        <v>3162</v>
      </c>
      <c r="E46" s="1838" t="s">
        <v>3214</v>
      </c>
      <c r="F46" s="1839">
        <v>45343</v>
      </c>
      <c r="G46" s="1840">
        <v>10010</v>
      </c>
      <c r="H46" s="1841">
        <f t="shared" si="1"/>
        <v>39</v>
      </c>
      <c r="I46" s="1838">
        <f t="shared" si="2"/>
        <v>10010</v>
      </c>
      <c r="J46" s="1838">
        <v>0</v>
      </c>
      <c r="K46" s="1838">
        <v>0</v>
      </c>
      <c r="L46" s="1838">
        <v>0</v>
      </c>
      <c r="M46" s="1838">
        <v>0</v>
      </c>
      <c r="N46" s="1838" t="s">
        <v>3182</v>
      </c>
      <c r="O46" s="1838" t="s">
        <v>3183</v>
      </c>
      <c r="P46" s="1838" t="s">
        <v>3184</v>
      </c>
    </row>
    <row r="47" spans="2:16" s="1843" customFormat="1">
      <c r="B47" s="1838">
        <f t="shared" si="3"/>
        <v>44</v>
      </c>
      <c r="C47" s="1838" t="s">
        <v>2949</v>
      </c>
      <c r="D47" s="1838" t="s">
        <v>3162</v>
      </c>
      <c r="E47" s="1838" t="s">
        <v>3215</v>
      </c>
      <c r="F47" s="1839">
        <v>45344</v>
      </c>
      <c r="G47" s="1840">
        <v>16450</v>
      </c>
      <c r="H47" s="1841">
        <f t="shared" si="1"/>
        <v>38</v>
      </c>
      <c r="I47" s="1838">
        <f t="shared" si="2"/>
        <v>16450</v>
      </c>
      <c r="J47" s="1838">
        <v>0</v>
      </c>
      <c r="K47" s="1838">
        <v>0</v>
      </c>
      <c r="L47" s="1838">
        <v>0</v>
      </c>
      <c r="M47" s="1838">
        <v>0</v>
      </c>
      <c r="N47" s="1838" t="s">
        <v>3182</v>
      </c>
      <c r="O47" s="1838" t="s">
        <v>3183</v>
      </c>
      <c r="P47" s="1838" t="s">
        <v>3184</v>
      </c>
    </row>
    <row r="48" spans="2:16" s="1843" customFormat="1">
      <c r="B48" s="1838">
        <f t="shared" si="3"/>
        <v>45</v>
      </c>
      <c r="C48" s="1838" t="s">
        <v>2949</v>
      </c>
      <c r="D48" s="1838" t="s">
        <v>3162</v>
      </c>
      <c r="E48" s="1838" t="s">
        <v>3216</v>
      </c>
      <c r="F48" s="1839">
        <v>45344</v>
      </c>
      <c r="G48" s="1840">
        <v>5600</v>
      </c>
      <c r="H48" s="1841">
        <f t="shared" si="1"/>
        <v>38</v>
      </c>
      <c r="I48" s="1838">
        <f t="shared" si="2"/>
        <v>5600</v>
      </c>
      <c r="J48" s="1838">
        <v>0</v>
      </c>
      <c r="K48" s="1838">
        <v>0</v>
      </c>
      <c r="L48" s="1838">
        <v>0</v>
      </c>
      <c r="M48" s="1838">
        <v>0</v>
      </c>
      <c r="N48" s="1838" t="s">
        <v>3182</v>
      </c>
      <c r="O48" s="1838" t="s">
        <v>3183</v>
      </c>
      <c r="P48" s="1838" t="s">
        <v>3184</v>
      </c>
    </row>
    <row r="49" spans="2:16" s="1843" customFormat="1">
      <c r="B49" s="1838">
        <f t="shared" si="3"/>
        <v>46</v>
      </c>
      <c r="C49" s="1838" t="s">
        <v>2949</v>
      </c>
      <c r="D49" s="1838" t="s">
        <v>3162</v>
      </c>
      <c r="E49" s="1838" t="s">
        <v>3217</v>
      </c>
      <c r="F49" s="1839">
        <v>45344</v>
      </c>
      <c r="G49" s="1840">
        <v>10164</v>
      </c>
      <c r="H49" s="1841">
        <f t="shared" si="1"/>
        <v>38</v>
      </c>
      <c r="I49" s="1838">
        <f t="shared" si="2"/>
        <v>10164</v>
      </c>
      <c r="J49" s="1838">
        <v>0</v>
      </c>
      <c r="K49" s="1838">
        <v>0</v>
      </c>
      <c r="L49" s="1838">
        <v>0</v>
      </c>
      <c r="M49" s="1838">
        <v>0</v>
      </c>
      <c r="N49" s="1838" t="s">
        <v>3182</v>
      </c>
      <c r="O49" s="1838" t="s">
        <v>3183</v>
      </c>
      <c r="P49" s="1838" t="s">
        <v>3184</v>
      </c>
    </row>
    <row r="50" spans="2:16" s="1843" customFormat="1">
      <c r="B50" s="1838">
        <f t="shared" si="3"/>
        <v>47</v>
      </c>
      <c r="C50" s="1838" t="s">
        <v>2949</v>
      </c>
      <c r="D50" s="1838" t="s">
        <v>3162</v>
      </c>
      <c r="E50" s="1838" t="s">
        <v>3218</v>
      </c>
      <c r="F50" s="1839">
        <v>45344</v>
      </c>
      <c r="G50" s="1840">
        <v>20798</v>
      </c>
      <c r="H50" s="1841">
        <f t="shared" si="1"/>
        <v>38</v>
      </c>
      <c r="I50" s="1838">
        <f t="shared" si="2"/>
        <v>20798</v>
      </c>
      <c r="J50" s="1838">
        <v>0</v>
      </c>
      <c r="K50" s="1838">
        <v>0</v>
      </c>
      <c r="L50" s="1838">
        <v>0</v>
      </c>
      <c r="M50" s="1838">
        <v>0</v>
      </c>
      <c r="N50" s="1838" t="s">
        <v>3182</v>
      </c>
      <c r="O50" s="1838" t="s">
        <v>3183</v>
      </c>
      <c r="P50" s="1838" t="s">
        <v>3184</v>
      </c>
    </row>
    <row r="51" spans="2:16" s="1843" customFormat="1">
      <c r="B51" s="1838">
        <f t="shared" si="3"/>
        <v>48</v>
      </c>
      <c r="C51" s="1838" t="s">
        <v>2949</v>
      </c>
      <c r="D51" s="1838" t="s">
        <v>3162</v>
      </c>
      <c r="E51" s="1838" t="s">
        <v>3219</v>
      </c>
      <c r="F51" s="1839">
        <v>45345</v>
      </c>
      <c r="G51" s="1840">
        <v>12600</v>
      </c>
      <c r="H51" s="1841">
        <f t="shared" si="1"/>
        <v>37</v>
      </c>
      <c r="I51" s="1838">
        <f t="shared" si="2"/>
        <v>12600</v>
      </c>
      <c r="J51" s="1838">
        <v>0</v>
      </c>
      <c r="K51" s="1838">
        <v>0</v>
      </c>
      <c r="L51" s="1838">
        <v>0</v>
      </c>
      <c r="M51" s="1838">
        <v>0</v>
      </c>
      <c r="N51" s="1838" t="s">
        <v>3182</v>
      </c>
      <c r="O51" s="1838" t="s">
        <v>3183</v>
      </c>
      <c r="P51" s="1838" t="s">
        <v>3184</v>
      </c>
    </row>
    <row r="52" spans="2:16" s="1843" customFormat="1">
      <c r="B52" s="1838">
        <f t="shared" si="3"/>
        <v>49</v>
      </c>
      <c r="C52" s="1838" t="s">
        <v>2949</v>
      </c>
      <c r="D52" s="1838" t="s">
        <v>3162</v>
      </c>
      <c r="E52" s="1838" t="s">
        <v>3220</v>
      </c>
      <c r="F52" s="1839">
        <v>45347</v>
      </c>
      <c r="G52" s="1840">
        <v>54600</v>
      </c>
      <c r="H52" s="1841">
        <f t="shared" si="1"/>
        <v>35</v>
      </c>
      <c r="I52" s="1838">
        <f t="shared" si="2"/>
        <v>54600</v>
      </c>
      <c r="J52" s="1838">
        <v>0</v>
      </c>
      <c r="K52" s="1838">
        <v>0</v>
      </c>
      <c r="L52" s="1838">
        <v>0</v>
      </c>
      <c r="M52" s="1838">
        <v>0</v>
      </c>
      <c r="N52" s="1838" t="s">
        <v>3182</v>
      </c>
      <c r="O52" s="1838" t="s">
        <v>3183</v>
      </c>
      <c r="P52" s="1838" t="s">
        <v>3184</v>
      </c>
    </row>
    <row r="53" spans="2:16" s="1843" customFormat="1">
      <c r="B53" s="1838">
        <f t="shared" si="3"/>
        <v>50</v>
      </c>
      <c r="C53" s="1838" t="s">
        <v>2949</v>
      </c>
      <c r="D53" s="1838" t="s">
        <v>3162</v>
      </c>
      <c r="E53" s="1838" t="s">
        <v>3221</v>
      </c>
      <c r="F53" s="1839">
        <v>45347</v>
      </c>
      <c r="G53" s="1840">
        <v>14840</v>
      </c>
      <c r="H53" s="1841">
        <f t="shared" si="1"/>
        <v>35</v>
      </c>
      <c r="I53" s="1838">
        <f t="shared" si="2"/>
        <v>14840</v>
      </c>
      <c r="J53" s="1838">
        <v>0</v>
      </c>
      <c r="K53" s="1838">
        <v>0</v>
      </c>
      <c r="L53" s="1838">
        <v>0</v>
      </c>
      <c r="M53" s="1838">
        <v>0</v>
      </c>
      <c r="N53" s="1838" t="s">
        <v>3182</v>
      </c>
      <c r="O53" s="1838" t="s">
        <v>3183</v>
      </c>
      <c r="P53" s="1838" t="s">
        <v>3184</v>
      </c>
    </row>
    <row r="54" spans="2:16" s="1843" customFormat="1">
      <c r="B54" s="1838">
        <f t="shared" si="3"/>
        <v>51</v>
      </c>
      <c r="C54" s="1838" t="s">
        <v>2949</v>
      </c>
      <c r="D54" s="1838" t="s">
        <v>3162</v>
      </c>
      <c r="E54" s="1838" t="s">
        <v>3222</v>
      </c>
      <c r="F54" s="1839">
        <v>45347</v>
      </c>
      <c r="G54" s="1840">
        <v>3640</v>
      </c>
      <c r="H54" s="1841">
        <f t="shared" si="1"/>
        <v>35</v>
      </c>
      <c r="I54" s="1838">
        <f t="shared" si="2"/>
        <v>3640</v>
      </c>
      <c r="J54" s="1838">
        <v>0</v>
      </c>
      <c r="K54" s="1838">
        <v>0</v>
      </c>
      <c r="L54" s="1838">
        <v>0</v>
      </c>
      <c r="M54" s="1838">
        <v>0</v>
      </c>
      <c r="N54" s="1838" t="s">
        <v>3182</v>
      </c>
      <c r="O54" s="1838" t="s">
        <v>3183</v>
      </c>
      <c r="P54" s="1838" t="s">
        <v>3184</v>
      </c>
    </row>
    <row r="55" spans="2:16" s="1843" customFormat="1">
      <c r="B55" s="1838">
        <f t="shared" si="3"/>
        <v>52</v>
      </c>
      <c r="C55" s="1838" t="s">
        <v>2949</v>
      </c>
      <c r="D55" s="1838" t="s">
        <v>3162</v>
      </c>
      <c r="E55" s="1838" t="s">
        <v>3223</v>
      </c>
      <c r="F55" s="1839">
        <v>45347</v>
      </c>
      <c r="G55" s="1840">
        <v>9380</v>
      </c>
      <c r="H55" s="1841">
        <f t="shared" si="1"/>
        <v>35</v>
      </c>
      <c r="I55" s="1838">
        <f t="shared" si="2"/>
        <v>9380</v>
      </c>
      <c r="J55" s="1838">
        <v>0</v>
      </c>
      <c r="K55" s="1838">
        <v>0</v>
      </c>
      <c r="L55" s="1838">
        <v>0</v>
      </c>
      <c r="M55" s="1838">
        <v>0</v>
      </c>
      <c r="N55" s="1838" t="s">
        <v>3182</v>
      </c>
      <c r="O55" s="1838" t="s">
        <v>3183</v>
      </c>
      <c r="P55" s="1838" t="s">
        <v>3184</v>
      </c>
    </row>
    <row r="56" spans="2:16" s="1843" customFormat="1">
      <c r="B56" s="1838">
        <f t="shared" si="3"/>
        <v>53</v>
      </c>
      <c r="C56" s="1838" t="s">
        <v>2949</v>
      </c>
      <c r="D56" s="1838" t="s">
        <v>3162</v>
      </c>
      <c r="E56" s="1838" t="s">
        <v>3224</v>
      </c>
      <c r="F56" s="1839">
        <v>45348</v>
      </c>
      <c r="G56" s="1840">
        <v>4200</v>
      </c>
      <c r="H56" s="1841">
        <f t="shared" si="1"/>
        <v>34</v>
      </c>
      <c r="I56" s="1838">
        <f t="shared" si="2"/>
        <v>4200</v>
      </c>
      <c r="J56" s="1838">
        <v>0</v>
      </c>
      <c r="K56" s="1838">
        <v>0</v>
      </c>
      <c r="L56" s="1838">
        <v>0</v>
      </c>
      <c r="M56" s="1838">
        <v>0</v>
      </c>
      <c r="N56" s="1838" t="s">
        <v>3182</v>
      </c>
      <c r="O56" s="1838" t="s">
        <v>3183</v>
      </c>
      <c r="P56" s="1838" t="s">
        <v>3184</v>
      </c>
    </row>
    <row r="57" spans="2:16" s="1843" customFormat="1">
      <c r="B57" s="1838">
        <f t="shared" si="3"/>
        <v>54</v>
      </c>
      <c r="C57" s="1838" t="s">
        <v>2949</v>
      </c>
      <c r="D57" s="1838" t="s">
        <v>3162</v>
      </c>
      <c r="E57" s="1838" t="s">
        <v>3225</v>
      </c>
      <c r="F57" s="1839">
        <v>45348</v>
      </c>
      <c r="G57" s="1840">
        <v>3780</v>
      </c>
      <c r="H57" s="1841">
        <f t="shared" si="1"/>
        <v>34</v>
      </c>
      <c r="I57" s="1838">
        <f t="shared" si="2"/>
        <v>3780</v>
      </c>
      <c r="J57" s="1838">
        <v>0</v>
      </c>
      <c r="K57" s="1838">
        <v>0</v>
      </c>
      <c r="L57" s="1838">
        <v>0</v>
      </c>
      <c r="M57" s="1838">
        <v>0</v>
      </c>
      <c r="N57" s="1838" t="s">
        <v>3182</v>
      </c>
      <c r="O57" s="1838" t="s">
        <v>3183</v>
      </c>
      <c r="P57" s="1838" t="s">
        <v>3184</v>
      </c>
    </row>
    <row r="58" spans="2:16" s="1843" customFormat="1">
      <c r="B58" s="1838">
        <f t="shared" si="3"/>
        <v>55</v>
      </c>
      <c r="C58" s="1838" t="s">
        <v>2949</v>
      </c>
      <c r="D58" s="1838" t="s">
        <v>3162</v>
      </c>
      <c r="E58" s="1838" t="s">
        <v>3226</v>
      </c>
      <c r="F58" s="1839">
        <v>45348</v>
      </c>
      <c r="G58" s="1840">
        <v>8260</v>
      </c>
      <c r="H58" s="1841">
        <f t="shared" si="1"/>
        <v>34</v>
      </c>
      <c r="I58" s="1838">
        <f t="shared" si="2"/>
        <v>8260</v>
      </c>
      <c r="J58" s="1838">
        <v>0</v>
      </c>
      <c r="K58" s="1838">
        <v>0</v>
      </c>
      <c r="L58" s="1838">
        <v>0</v>
      </c>
      <c r="M58" s="1838">
        <v>0</v>
      </c>
      <c r="N58" s="1838" t="s">
        <v>3182</v>
      </c>
      <c r="O58" s="1838" t="s">
        <v>3183</v>
      </c>
      <c r="P58" s="1838" t="s">
        <v>3184</v>
      </c>
    </row>
    <row r="59" spans="2:16" s="1843" customFormat="1">
      <c r="B59" s="1838">
        <f t="shared" si="3"/>
        <v>56</v>
      </c>
      <c r="C59" s="1838" t="s">
        <v>2949</v>
      </c>
      <c r="D59" s="1838" t="s">
        <v>3162</v>
      </c>
      <c r="E59" s="1838" t="s">
        <v>3227</v>
      </c>
      <c r="F59" s="1839">
        <v>45348</v>
      </c>
      <c r="G59" s="1840">
        <v>1400</v>
      </c>
      <c r="H59" s="1841">
        <f t="shared" si="1"/>
        <v>34</v>
      </c>
      <c r="I59" s="1838">
        <f t="shared" si="2"/>
        <v>1400</v>
      </c>
      <c r="J59" s="1838">
        <v>0</v>
      </c>
      <c r="K59" s="1838">
        <v>0</v>
      </c>
      <c r="L59" s="1838">
        <v>0</v>
      </c>
      <c r="M59" s="1838">
        <v>0</v>
      </c>
      <c r="N59" s="1838" t="s">
        <v>3182</v>
      </c>
      <c r="O59" s="1838" t="s">
        <v>3183</v>
      </c>
      <c r="P59" s="1838" t="s">
        <v>3184</v>
      </c>
    </row>
    <row r="60" spans="2:16" s="1843" customFormat="1">
      <c r="B60" s="1838">
        <f t="shared" si="3"/>
        <v>57</v>
      </c>
      <c r="C60" s="1838" t="s">
        <v>2949</v>
      </c>
      <c r="D60" s="1838" t="s">
        <v>3162</v>
      </c>
      <c r="E60" s="1838" t="s">
        <v>3228</v>
      </c>
      <c r="F60" s="1839">
        <v>45350</v>
      </c>
      <c r="G60" s="1840">
        <v>7140</v>
      </c>
      <c r="H60" s="1841">
        <f t="shared" si="1"/>
        <v>32</v>
      </c>
      <c r="I60" s="1838">
        <f t="shared" si="2"/>
        <v>7140</v>
      </c>
      <c r="J60" s="1838">
        <v>0</v>
      </c>
      <c r="K60" s="1838">
        <v>0</v>
      </c>
      <c r="L60" s="1838">
        <v>0</v>
      </c>
      <c r="M60" s="1838">
        <v>0</v>
      </c>
      <c r="N60" s="1838" t="s">
        <v>3182</v>
      </c>
      <c r="O60" s="1838" t="s">
        <v>3183</v>
      </c>
      <c r="P60" s="1838" t="s">
        <v>3184</v>
      </c>
    </row>
    <row r="61" spans="2:16" s="1843" customFormat="1">
      <c r="B61" s="1838">
        <f t="shared" si="3"/>
        <v>58</v>
      </c>
      <c r="C61" s="1838" t="s">
        <v>2949</v>
      </c>
      <c r="D61" s="1838" t="s">
        <v>3162</v>
      </c>
      <c r="E61" s="1838" t="s">
        <v>3229</v>
      </c>
      <c r="F61" s="1839">
        <v>45350</v>
      </c>
      <c r="G61" s="1840">
        <v>2660</v>
      </c>
      <c r="H61" s="1841">
        <f t="shared" si="1"/>
        <v>32</v>
      </c>
      <c r="I61" s="1838">
        <f t="shared" si="2"/>
        <v>2660</v>
      </c>
      <c r="J61" s="1838">
        <v>0</v>
      </c>
      <c r="K61" s="1838">
        <v>0</v>
      </c>
      <c r="L61" s="1838">
        <v>0</v>
      </c>
      <c r="M61" s="1838">
        <v>0</v>
      </c>
      <c r="N61" s="1838" t="s">
        <v>3182</v>
      </c>
      <c r="O61" s="1838" t="s">
        <v>3183</v>
      </c>
      <c r="P61" s="1838" t="s">
        <v>3184</v>
      </c>
    </row>
    <row r="62" spans="2:16" s="1843" customFormat="1">
      <c r="B62" s="1838">
        <f t="shared" si="3"/>
        <v>59</v>
      </c>
      <c r="C62" s="1838" t="s">
        <v>2949</v>
      </c>
      <c r="D62" s="1838" t="s">
        <v>3162</v>
      </c>
      <c r="E62" s="1838" t="s">
        <v>3230</v>
      </c>
      <c r="F62" s="1839">
        <v>45351</v>
      </c>
      <c r="G62" s="1840">
        <v>19320</v>
      </c>
      <c r="H62" s="1841">
        <f t="shared" si="1"/>
        <v>31</v>
      </c>
      <c r="I62" s="1838">
        <f t="shared" si="2"/>
        <v>19320</v>
      </c>
      <c r="J62" s="1838">
        <v>0</v>
      </c>
      <c r="K62" s="1838">
        <v>0</v>
      </c>
      <c r="L62" s="1838">
        <v>0</v>
      </c>
      <c r="M62" s="1838">
        <v>0</v>
      </c>
      <c r="N62" s="1838" t="s">
        <v>3182</v>
      </c>
      <c r="O62" s="1838" t="s">
        <v>3183</v>
      </c>
      <c r="P62" s="1838" t="s">
        <v>3184</v>
      </c>
    </row>
    <row r="63" spans="2:16" s="1843" customFormat="1">
      <c r="B63" s="1838">
        <f t="shared" si="3"/>
        <v>60</v>
      </c>
      <c r="C63" s="1838" t="s">
        <v>2949</v>
      </c>
      <c r="D63" s="1838" t="s">
        <v>3162</v>
      </c>
      <c r="E63" s="1838" t="s">
        <v>3231</v>
      </c>
      <c r="F63" s="1839">
        <v>45351</v>
      </c>
      <c r="G63" s="1840">
        <v>18970</v>
      </c>
      <c r="H63" s="1841">
        <f t="shared" si="1"/>
        <v>31</v>
      </c>
      <c r="I63" s="1838">
        <f t="shared" si="2"/>
        <v>18970</v>
      </c>
      <c r="J63" s="1838">
        <v>0</v>
      </c>
      <c r="K63" s="1838">
        <v>0</v>
      </c>
      <c r="L63" s="1838">
        <v>0</v>
      </c>
      <c r="M63" s="1838">
        <v>0</v>
      </c>
      <c r="N63" s="1838" t="s">
        <v>3182</v>
      </c>
      <c r="O63" s="1838" t="s">
        <v>3183</v>
      </c>
      <c r="P63" s="1838" t="s">
        <v>3184</v>
      </c>
    </row>
    <row r="64" spans="2:16" s="1843" customFormat="1">
      <c r="B64" s="1838">
        <f t="shared" si="3"/>
        <v>61</v>
      </c>
      <c r="C64" s="1838" t="s">
        <v>2949</v>
      </c>
      <c r="D64" s="1838" t="s">
        <v>3162</v>
      </c>
      <c r="E64" s="1838" t="s">
        <v>3232</v>
      </c>
      <c r="F64" s="1839">
        <v>45352</v>
      </c>
      <c r="G64" s="1840">
        <v>39900</v>
      </c>
      <c r="H64" s="1841">
        <f t="shared" si="1"/>
        <v>30</v>
      </c>
      <c r="I64" s="1838">
        <f t="shared" si="2"/>
        <v>39900</v>
      </c>
      <c r="J64" s="1838">
        <v>0</v>
      </c>
      <c r="K64" s="1838">
        <v>0</v>
      </c>
      <c r="L64" s="1838">
        <v>0</v>
      </c>
      <c r="M64" s="1838">
        <v>0</v>
      </c>
      <c r="N64" s="1838" t="s">
        <v>3182</v>
      </c>
      <c r="O64" s="1838" t="s">
        <v>3183</v>
      </c>
      <c r="P64" s="1838" t="s">
        <v>3184</v>
      </c>
    </row>
    <row r="65" spans="2:16" s="1843" customFormat="1">
      <c r="B65" s="1838">
        <f t="shared" si="3"/>
        <v>62</v>
      </c>
      <c r="C65" s="1838" t="s">
        <v>2949</v>
      </c>
      <c r="D65" s="1838" t="s">
        <v>3162</v>
      </c>
      <c r="E65" s="1838" t="s">
        <v>3233</v>
      </c>
      <c r="F65" s="1839">
        <v>45352</v>
      </c>
      <c r="G65" s="1840">
        <v>4550</v>
      </c>
      <c r="H65" s="1841">
        <f t="shared" si="1"/>
        <v>30</v>
      </c>
      <c r="I65" s="1838">
        <f t="shared" si="2"/>
        <v>4550</v>
      </c>
      <c r="J65" s="1838">
        <v>0</v>
      </c>
      <c r="K65" s="1838">
        <v>0</v>
      </c>
      <c r="L65" s="1838">
        <v>0</v>
      </c>
      <c r="M65" s="1838">
        <v>0</v>
      </c>
      <c r="N65" s="1838" t="s">
        <v>3182</v>
      </c>
      <c r="O65" s="1838" t="s">
        <v>3183</v>
      </c>
      <c r="P65" s="1838" t="s">
        <v>3184</v>
      </c>
    </row>
    <row r="66" spans="2:16" s="1843" customFormat="1">
      <c r="B66" s="1838">
        <f t="shared" si="3"/>
        <v>63</v>
      </c>
      <c r="C66" s="1838" t="s">
        <v>2949</v>
      </c>
      <c r="D66" s="1838" t="s">
        <v>3162</v>
      </c>
      <c r="E66" s="1838" t="s">
        <v>3234</v>
      </c>
      <c r="F66" s="1839">
        <v>45352</v>
      </c>
      <c r="G66" s="1840">
        <v>19109</v>
      </c>
      <c r="H66" s="1841">
        <f t="shared" si="1"/>
        <v>30</v>
      </c>
      <c r="I66" s="1838">
        <f t="shared" si="2"/>
        <v>19109</v>
      </c>
      <c r="J66" s="1838">
        <v>0</v>
      </c>
      <c r="K66" s="1838">
        <v>0</v>
      </c>
      <c r="L66" s="1838">
        <v>0</v>
      </c>
      <c r="M66" s="1838">
        <v>0</v>
      </c>
      <c r="N66" s="1838" t="s">
        <v>3182</v>
      </c>
      <c r="O66" s="1838" t="s">
        <v>3183</v>
      </c>
      <c r="P66" s="1838" t="s">
        <v>3184</v>
      </c>
    </row>
    <row r="67" spans="2:16" s="1843" customFormat="1">
      <c r="B67" s="1838">
        <f t="shared" si="3"/>
        <v>64</v>
      </c>
      <c r="C67" s="1838" t="s">
        <v>2949</v>
      </c>
      <c r="D67" s="1838" t="s">
        <v>3162</v>
      </c>
      <c r="E67" s="1838" t="s">
        <v>3235</v>
      </c>
      <c r="F67" s="1839">
        <v>45353</v>
      </c>
      <c r="G67" s="1840">
        <v>18900</v>
      </c>
      <c r="H67" s="1841">
        <f t="shared" si="1"/>
        <v>29</v>
      </c>
      <c r="I67" s="1838">
        <f t="shared" si="2"/>
        <v>18900</v>
      </c>
      <c r="J67" s="1838">
        <v>0</v>
      </c>
      <c r="K67" s="1838">
        <v>0</v>
      </c>
      <c r="L67" s="1838">
        <v>0</v>
      </c>
      <c r="M67" s="1838">
        <v>0</v>
      </c>
      <c r="N67" s="1838" t="s">
        <v>3182</v>
      </c>
      <c r="O67" s="1838" t="s">
        <v>3183</v>
      </c>
      <c r="P67" s="1838" t="s">
        <v>3184</v>
      </c>
    </row>
    <row r="68" spans="2:16" s="1843" customFormat="1">
      <c r="B68" s="1838">
        <f t="shared" si="3"/>
        <v>65</v>
      </c>
      <c r="C68" s="1838" t="s">
        <v>2949</v>
      </c>
      <c r="D68" s="1838" t="s">
        <v>3162</v>
      </c>
      <c r="E68" s="1838" t="s">
        <v>3236</v>
      </c>
      <c r="F68" s="1839">
        <v>45353</v>
      </c>
      <c r="G68" s="1840">
        <v>10640</v>
      </c>
      <c r="H68" s="1841">
        <f t="shared" si="1"/>
        <v>29</v>
      </c>
      <c r="I68" s="1838">
        <f t="shared" si="2"/>
        <v>10640</v>
      </c>
      <c r="J68" s="1838">
        <v>0</v>
      </c>
      <c r="K68" s="1838">
        <v>0</v>
      </c>
      <c r="L68" s="1838">
        <v>0</v>
      </c>
      <c r="M68" s="1838">
        <v>0</v>
      </c>
      <c r="N68" s="1838" t="s">
        <v>3182</v>
      </c>
      <c r="O68" s="1838" t="s">
        <v>3183</v>
      </c>
      <c r="P68" s="1838" t="s">
        <v>3184</v>
      </c>
    </row>
    <row r="69" spans="2:16" s="1843" customFormat="1">
      <c r="B69" s="1838">
        <f t="shared" si="3"/>
        <v>66</v>
      </c>
      <c r="C69" s="1838" t="s">
        <v>2949</v>
      </c>
      <c r="D69" s="1838" t="s">
        <v>3162</v>
      </c>
      <c r="E69" s="1838" t="s">
        <v>3237</v>
      </c>
      <c r="F69" s="1839">
        <v>45354</v>
      </c>
      <c r="G69" s="1840">
        <v>45432</v>
      </c>
      <c r="H69" s="1841">
        <f t="shared" ref="H69:H132" si="4">+$H$2-F69</f>
        <v>28</v>
      </c>
      <c r="I69" s="1838">
        <f t="shared" ref="I69:I132" si="5">+G69</f>
        <v>45432</v>
      </c>
      <c r="J69" s="1838">
        <v>0</v>
      </c>
      <c r="K69" s="1838">
        <v>0</v>
      </c>
      <c r="L69" s="1838">
        <v>0</v>
      </c>
      <c r="M69" s="1838">
        <v>0</v>
      </c>
      <c r="N69" s="1838" t="s">
        <v>3182</v>
      </c>
      <c r="O69" s="1838" t="s">
        <v>3183</v>
      </c>
      <c r="P69" s="1838" t="s">
        <v>3184</v>
      </c>
    </row>
    <row r="70" spans="2:16" s="1843" customFormat="1">
      <c r="B70" s="1838">
        <f t="shared" ref="B70:B133" si="6">+B69+1</f>
        <v>67</v>
      </c>
      <c r="C70" s="1838" t="s">
        <v>2949</v>
      </c>
      <c r="D70" s="1838" t="s">
        <v>3162</v>
      </c>
      <c r="E70" s="1838" t="s">
        <v>3238</v>
      </c>
      <c r="F70" s="1839">
        <v>45355</v>
      </c>
      <c r="G70" s="1840">
        <v>8352</v>
      </c>
      <c r="H70" s="1841">
        <f t="shared" si="4"/>
        <v>27</v>
      </c>
      <c r="I70" s="1838">
        <f t="shared" si="5"/>
        <v>8352</v>
      </c>
      <c r="J70" s="1838">
        <v>0</v>
      </c>
      <c r="K70" s="1838">
        <v>0</v>
      </c>
      <c r="L70" s="1838">
        <v>0</v>
      </c>
      <c r="M70" s="1838">
        <v>0</v>
      </c>
      <c r="N70" s="1838" t="s">
        <v>3182</v>
      </c>
      <c r="O70" s="1838" t="s">
        <v>3183</v>
      </c>
      <c r="P70" s="1838" t="s">
        <v>3184</v>
      </c>
    </row>
    <row r="71" spans="2:16" s="1843" customFormat="1">
      <c r="B71" s="1838">
        <f t="shared" si="6"/>
        <v>68</v>
      </c>
      <c r="C71" s="1838" t="s">
        <v>2949</v>
      </c>
      <c r="D71" s="1838" t="s">
        <v>3162</v>
      </c>
      <c r="E71" s="1838" t="s">
        <v>3239</v>
      </c>
      <c r="F71" s="1839">
        <v>45357</v>
      </c>
      <c r="G71" s="1840">
        <v>20880</v>
      </c>
      <c r="H71" s="1841">
        <f t="shared" si="4"/>
        <v>25</v>
      </c>
      <c r="I71" s="1838">
        <f t="shared" si="5"/>
        <v>20880</v>
      </c>
      <c r="J71" s="1838">
        <v>0</v>
      </c>
      <c r="K71" s="1838">
        <v>0</v>
      </c>
      <c r="L71" s="1838">
        <v>0</v>
      </c>
      <c r="M71" s="1838">
        <v>0</v>
      </c>
      <c r="N71" s="1838" t="s">
        <v>3182</v>
      </c>
      <c r="O71" s="1838" t="s">
        <v>3183</v>
      </c>
      <c r="P71" s="1838" t="s">
        <v>3184</v>
      </c>
    </row>
    <row r="72" spans="2:16" s="1843" customFormat="1">
      <c r="B72" s="1838">
        <f t="shared" si="6"/>
        <v>69</v>
      </c>
      <c r="C72" s="1838" t="s">
        <v>2949</v>
      </c>
      <c r="D72" s="1838" t="s">
        <v>3162</v>
      </c>
      <c r="E72" s="1838" t="s">
        <v>3240</v>
      </c>
      <c r="F72" s="1839">
        <v>45357</v>
      </c>
      <c r="G72" s="1840">
        <v>22320</v>
      </c>
      <c r="H72" s="1841">
        <f t="shared" si="4"/>
        <v>25</v>
      </c>
      <c r="I72" s="1838">
        <f t="shared" si="5"/>
        <v>22320</v>
      </c>
      <c r="J72" s="1838">
        <v>0</v>
      </c>
      <c r="K72" s="1838">
        <v>0</v>
      </c>
      <c r="L72" s="1838">
        <v>0</v>
      </c>
      <c r="M72" s="1838">
        <v>0</v>
      </c>
      <c r="N72" s="1838" t="s">
        <v>3182</v>
      </c>
      <c r="O72" s="1838" t="s">
        <v>3183</v>
      </c>
      <c r="P72" s="1838" t="s">
        <v>3184</v>
      </c>
    </row>
    <row r="73" spans="2:16" s="1843" customFormat="1">
      <c r="B73" s="1838">
        <f t="shared" si="6"/>
        <v>70</v>
      </c>
      <c r="C73" s="1838" t="s">
        <v>2949</v>
      </c>
      <c r="D73" s="1838" t="s">
        <v>3162</v>
      </c>
      <c r="E73" s="1838" t="s">
        <v>3241</v>
      </c>
      <c r="F73" s="1839">
        <v>45357</v>
      </c>
      <c r="G73" s="1840">
        <v>21600</v>
      </c>
      <c r="H73" s="1841">
        <f t="shared" si="4"/>
        <v>25</v>
      </c>
      <c r="I73" s="1838">
        <f t="shared" si="5"/>
        <v>21600</v>
      </c>
      <c r="J73" s="1838">
        <v>0</v>
      </c>
      <c r="K73" s="1838">
        <v>0</v>
      </c>
      <c r="L73" s="1838">
        <v>0</v>
      </c>
      <c r="M73" s="1838">
        <v>0</v>
      </c>
      <c r="N73" s="1838" t="s">
        <v>3182</v>
      </c>
      <c r="O73" s="1838" t="s">
        <v>3183</v>
      </c>
      <c r="P73" s="1838" t="s">
        <v>3184</v>
      </c>
    </row>
    <row r="74" spans="2:16" s="1843" customFormat="1">
      <c r="B74" s="1838">
        <f t="shared" si="6"/>
        <v>71</v>
      </c>
      <c r="C74" s="1838" t="s">
        <v>2949</v>
      </c>
      <c r="D74" s="1838" t="s">
        <v>3162</v>
      </c>
      <c r="E74" s="1838" t="s">
        <v>3242</v>
      </c>
      <c r="F74" s="1839">
        <v>45357</v>
      </c>
      <c r="G74" s="1840">
        <v>15408</v>
      </c>
      <c r="H74" s="1841">
        <f t="shared" si="4"/>
        <v>25</v>
      </c>
      <c r="I74" s="1838">
        <f t="shared" si="5"/>
        <v>15408</v>
      </c>
      <c r="J74" s="1838">
        <v>0</v>
      </c>
      <c r="K74" s="1838">
        <v>0</v>
      </c>
      <c r="L74" s="1838">
        <v>0</v>
      </c>
      <c r="M74" s="1838">
        <v>0</v>
      </c>
      <c r="N74" s="1838" t="s">
        <v>3182</v>
      </c>
      <c r="O74" s="1838" t="s">
        <v>3183</v>
      </c>
      <c r="P74" s="1838" t="s">
        <v>3184</v>
      </c>
    </row>
    <row r="75" spans="2:16" s="1843" customFormat="1">
      <c r="B75" s="1838">
        <f t="shared" si="6"/>
        <v>72</v>
      </c>
      <c r="C75" s="1838" t="s">
        <v>2949</v>
      </c>
      <c r="D75" s="1838" t="s">
        <v>3162</v>
      </c>
      <c r="E75" s="1838" t="s">
        <v>3243</v>
      </c>
      <c r="F75" s="1839">
        <v>45358</v>
      </c>
      <c r="G75" s="1840">
        <v>13987</v>
      </c>
      <c r="H75" s="1841">
        <f t="shared" si="4"/>
        <v>24</v>
      </c>
      <c r="I75" s="1838">
        <f t="shared" si="5"/>
        <v>13987</v>
      </c>
      <c r="J75" s="1838">
        <v>0</v>
      </c>
      <c r="K75" s="1838">
        <v>0</v>
      </c>
      <c r="L75" s="1838">
        <v>0</v>
      </c>
      <c r="M75" s="1838">
        <v>0</v>
      </c>
      <c r="N75" s="1838" t="s">
        <v>3182</v>
      </c>
      <c r="O75" s="1838" t="s">
        <v>3183</v>
      </c>
      <c r="P75" s="1838" t="s">
        <v>3184</v>
      </c>
    </row>
    <row r="76" spans="2:16" s="1843" customFormat="1">
      <c r="B76" s="1838">
        <f t="shared" si="6"/>
        <v>73</v>
      </c>
      <c r="C76" s="1838" t="s">
        <v>2949</v>
      </c>
      <c r="D76" s="1838" t="s">
        <v>3162</v>
      </c>
      <c r="E76" s="1838" t="s">
        <v>3244</v>
      </c>
      <c r="F76" s="1839">
        <v>45359</v>
      </c>
      <c r="G76" s="1840">
        <v>21600</v>
      </c>
      <c r="H76" s="1841">
        <f t="shared" si="4"/>
        <v>23</v>
      </c>
      <c r="I76" s="1838">
        <f t="shared" si="5"/>
        <v>21600</v>
      </c>
      <c r="J76" s="1838">
        <v>0</v>
      </c>
      <c r="K76" s="1838">
        <v>0</v>
      </c>
      <c r="L76" s="1838">
        <v>0</v>
      </c>
      <c r="M76" s="1838">
        <v>0</v>
      </c>
      <c r="N76" s="1838" t="s">
        <v>3182</v>
      </c>
      <c r="O76" s="1838" t="s">
        <v>3183</v>
      </c>
      <c r="P76" s="1838" t="s">
        <v>3184</v>
      </c>
    </row>
    <row r="77" spans="2:16" s="1843" customFormat="1">
      <c r="B77" s="1838">
        <f t="shared" si="6"/>
        <v>74</v>
      </c>
      <c r="C77" s="1838" t="s">
        <v>2949</v>
      </c>
      <c r="D77" s="1838" t="s">
        <v>3162</v>
      </c>
      <c r="E77" s="1838" t="s">
        <v>3245</v>
      </c>
      <c r="F77" s="1839">
        <v>45359</v>
      </c>
      <c r="G77" s="1840">
        <v>43200</v>
      </c>
      <c r="H77" s="1841">
        <f t="shared" si="4"/>
        <v>23</v>
      </c>
      <c r="I77" s="1838">
        <f t="shared" si="5"/>
        <v>43200</v>
      </c>
      <c r="J77" s="1838">
        <v>0</v>
      </c>
      <c r="K77" s="1838">
        <v>0</v>
      </c>
      <c r="L77" s="1838">
        <v>0</v>
      </c>
      <c r="M77" s="1838">
        <v>0</v>
      </c>
      <c r="N77" s="1838" t="s">
        <v>3182</v>
      </c>
      <c r="O77" s="1838" t="s">
        <v>3183</v>
      </c>
      <c r="P77" s="1838" t="s">
        <v>3184</v>
      </c>
    </row>
    <row r="78" spans="2:16" s="1843" customFormat="1">
      <c r="B78" s="1838">
        <f t="shared" si="6"/>
        <v>75</v>
      </c>
      <c r="C78" s="1838" t="s">
        <v>2949</v>
      </c>
      <c r="D78" s="1838" t="s">
        <v>3162</v>
      </c>
      <c r="E78" s="1838" t="s">
        <v>3246</v>
      </c>
      <c r="F78" s="1839">
        <v>45359</v>
      </c>
      <c r="G78" s="1840">
        <v>42480</v>
      </c>
      <c r="H78" s="1841">
        <f t="shared" si="4"/>
        <v>23</v>
      </c>
      <c r="I78" s="1838">
        <f t="shared" si="5"/>
        <v>42480</v>
      </c>
      <c r="J78" s="1838">
        <v>0</v>
      </c>
      <c r="K78" s="1838">
        <v>0</v>
      </c>
      <c r="L78" s="1838">
        <v>0</v>
      </c>
      <c r="M78" s="1838">
        <v>0</v>
      </c>
      <c r="N78" s="1838" t="s">
        <v>3182</v>
      </c>
      <c r="O78" s="1838" t="s">
        <v>3183</v>
      </c>
      <c r="P78" s="1838" t="s">
        <v>3184</v>
      </c>
    </row>
    <row r="79" spans="2:16" s="1843" customFormat="1">
      <c r="B79" s="1838">
        <f t="shared" si="6"/>
        <v>76</v>
      </c>
      <c r="C79" s="1838" t="s">
        <v>2949</v>
      </c>
      <c r="D79" s="1838" t="s">
        <v>3162</v>
      </c>
      <c r="E79" s="1838" t="s">
        <v>3247</v>
      </c>
      <c r="F79" s="1839">
        <v>45359</v>
      </c>
      <c r="G79" s="1840">
        <v>12528</v>
      </c>
      <c r="H79" s="1841">
        <f t="shared" si="4"/>
        <v>23</v>
      </c>
      <c r="I79" s="1838">
        <f t="shared" si="5"/>
        <v>12528</v>
      </c>
      <c r="J79" s="1838">
        <v>0</v>
      </c>
      <c r="K79" s="1838">
        <v>0</v>
      </c>
      <c r="L79" s="1838">
        <v>0</v>
      </c>
      <c r="M79" s="1838">
        <v>0</v>
      </c>
      <c r="N79" s="1838" t="s">
        <v>3182</v>
      </c>
      <c r="O79" s="1838" t="s">
        <v>3183</v>
      </c>
      <c r="P79" s="1838" t="s">
        <v>3184</v>
      </c>
    </row>
    <row r="80" spans="2:16" s="1843" customFormat="1">
      <c r="B80" s="1838">
        <f t="shared" si="6"/>
        <v>77</v>
      </c>
      <c r="C80" s="1838" t="s">
        <v>2949</v>
      </c>
      <c r="D80" s="1838" t="s">
        <v>3162</v>
      </c>
      <c r="E80" s="1838" t="s">
        <v>3248</v>
      </c>
      <c r="F80" s="1839">
        <v>45360</v>
      </c>
      <c r="G80" s="1840">
        <v>8424</v>
      </c>
      <c r="H80" s="1841">
        <f t="shared" si="4"/>
        <v>22</v>
      </c>
      <c r="I80" s="1838">
        <f t="shared" si="5"/>
        <v>8424</v>
      </c>
      <c r="J80" s="1838">
        <v>0</v>
      </c>
      <c r="K80" s="1838">
        <v>0</v>
      </c>
      <c r="L80" s="1838">
        <v>0</v>
      </c>
      <c r="M80" s="1838">
        <v>0</v>
      </c>
      <c r="N80" s="1838" t="s">
        <v>3182</v>
      </c>
      <c r="O80" s="1838" t="s">
        <v>3183</v>
      </c>
      <c r="P80" s="1838" t="s">
        <v>3184</v>
      </c>
    </row>
    <row r="81" spans="2:16" s="1843" customFormat="1">
      <c r="B81" s="1838">
        <f t="shared" si="6"/>
        <v>78</v>
      </c>
      <c r="C81" s="1838" t="s">
        <v>2949</v>
      </c>
      <c r="D81" s="1838" t="s">
        <v>3162</v>
      </c>
      <c r="E81" s="1838" t="s">
        <v>3249</v>
      </c>
      <c r="F81" s="1839">
        <v>45360</v>
      </c>
      <c r="G81" s="1840">
        <v>8064</v>
      </c>
      <c r="H81" s="1841">
        <f t="shared" si="4"/>
        <v>22</v>
      </c>
      <c r="I81" s="1838">
        <f t="shared" si="5"/>
        <v>8064</v>
      </c>
      <c r="J81" s="1838">
        <v>0</v>
      </c>
      <c r="K81" s="1838">
        <v>0</v>
      </c>
      <c r="L81" s="1838">
        <v>0</v>
      </c>
      <c r="M81" s="1838">
        <v>0</v>
      </c>
      <c r="N81" s="1838" t="s">
        <v>3182</v>
      </c>
      <c r="O81" s="1838" t="s">
        <v>3183</v>
      </c>
      <c r="P81" s="1838" t="s">
        <v>3184</v>
      </c>
    </row>
    <row r="82" spans="2:16" s="1843" customFormat="1">
      <c r="B82" s="1838">
        <f t="shared" si="6"/>
        <v>79</v>
      </c>
      <c r="C82" s="1838" t="s">
        <v>2949</v>
      </c>
      <c r="D82" s="1838" t="s">
        <v>3162</v>
      </c>
      <c r="E82" s="1838" t="s">
        <v>3250</v>
      </c>
      <c r="F82" s="1839">
        <v>45360</v>
      </c>
      <c r="G82" s="1840">
        <v>12600</v>
      </c>
      <c r="H82" s="1841">
        <f t="shared" si="4"/>
        <v>22</v>
      </c>
      <c r="I82" s="1838">
        <f t="shared" si="5"/>
        <v>12600</v>
      </c>
      <c r="J82" s="1838">
        <v>0</v>
      </c>
      <c r="K82" s="1838">
        <v>0</v>
      </c>
      <c r="L82" s="1838">
        <v>0</v>
      </c>
      <c r="M82" s="1838">
        <v>0</v>
      </c>
      <c r="N82" s="1838" t="s">
        <v>3182</v>
      </c>
      <c r="O82" s="1838" t="s">
        <v>3183</v>
      </c>
      <c r="P82" s="1838" t="s">
        <v>3184</v>
      </c>
    </row>
    <row r="83" spans="2:16" s="1843" customFormat="1">
      <c r="B83" s="1838">
        <f t="shared" si="6"/>
        <v>80</v>
      </c>
      <c r="C83" s="1838" t="s">
        <v>2949</v>
      </c>
      <c r="D83" s="1838" t="s">
        <v>3162</v>
      </c>
      <c r="E83" s="1838" t="s">
        <v>3251</v>
      </c>
      <c r="F83" s="1839">
        <v>45361</v>
      </c>
      <c r="G83" s="1840">
        <v>15264</v>
      </c>
      <c r="H83" s="1841">
        <f t="shared" si="4"/>
        <v>21</v>
      </c>
      <c r="I83" s="1838">
        <f t="shared" si="5"/>
        <v>15264</v>
      </c>
      <c r="J83" s="1838">
        <v>0</v>
      </c>
      <c r="K83" s="1838">
        <v>0</v>
      </c>
      <c r="L83" s="1838">
        <v>0</v>
      </c>
      <c r="M83" s="1838">
        <v>0</v>
      </c>
      <c r="N83" s="1838" t="s">
        <v>3182</v>
      </c>
      <c r="O83" s="1838" t="s">
        <v>3183</v>
      </c>
      <c r="P83" s="1838" t="s">
        <v>3184</v>
      </c>
    </row>
    <row r="84" spans="2:16" s="1843" customFormat="1">
      <c r="B84" s="1838">
        <f t="shared" si="6"/>
        <v>81</v>
      </c>
      <c r="C84" s="1838" t="s">
        <v>2949</v>
      </c>
      <c r="D84" s="1838" t="s">
        <v>3162</v>
      </c>
      <c r="E84" s="1838" t="s">
        <v>3252</v>
      </c>
      <c r="F84" s="1839">
        <v>45362</v>
      </c>
      <c r="G84" s="1840">
        <v>7560</v>
      </c>
      <c r="H84" s="1841">
        <f t="shared" si="4"/>
        <v>20</v>
      </c>
      <c r="I84" s="1838">
        <f t="shared" si="5"/>
        <v>7560</v>
      </c>
      <c r="J84" s="1838">
        <v>0</v>
      </c>
      <c r="K84" s="1838">
        <v>0</v>
      </c>
      <c r="L84" s="1838">
        <v>0</v>
      </c>
      <c r="M84" s="1838">
        <v>0</v>
      </c>
      <c r="N84" s="1838" t="s">
        <v>3182</v>
      </c>
      <c r="O84" s="1838" t="s">
        <v>3183</v>
      </c>
      <c r="P84" s="1838" t="s">
        <v>3184</v>
      </c>
    </row>
    <row r="85" spans="2:16" s="1843" customFormat="1">
      <c r="B85" s="1838">
        <f t="shared" si="6"/>
        <v>82</v>
      </c>
      <c r="C85" s="1838" t="s">
        <v>2949</v>
      </c>
      <c r="D85" s="1838" t="s">
        <v>3162</v>
      </c>
      <c r="E85" s="1838" t="s">
        <v>3253</v>
      </c>
      <c r="F85" s="1839">
        <v>45364</v>
      </c>
      <c r="G85" s="1840">
        <v>5184</v>
      </c>
      <c r="H85" s="1841">
        <f t="shared" si="4"/>
        <v>18</v>
      </c>
      <c r="I85" s="1838">
        <f t="shared" si="5"/>
        <v>5184</v>
      </c>
      <c r="J85" s="1838">
        <v>0</v>
      </c>
      <c r="K85" s="1838">
        <v>0</v>
      </c>
      <c r="L85" s="1838">
        <v>0</v>
      </c>
      <c r="M85" s="1838">
        <v>0</v>
      </c>
      <c r="N85" s="1838" t="s">
        <v>3182</v>
      </c>
      <c r="O85" s="1838" t="s">
        <v>3183</v>
      </c>
      <c r="P85" s="1838" t="s">
        <v>3184</v>
      </c>
    </row>
    <row r="86" spans="2:16" s="1843" customFormat="1">
      <c r="B86" s="1838">
        <f t="shared" si="6"/>
        <v>83</v>
      </c>
      <c r="C86" s="1838" t="s">
        <v>2949</v>
      </c>
      <c r="D86" s="1838" t="s">
        <v>3162</v>
      </c>
      <c r="E86" s="1838" t="s">
        <v>3254</v>
      </c>
      <c r="F86" s="1839">
        <v>45364</v>
      </c>
      <c r="G86" s="1840">
        <v>21016</v>
      </c>
      <c r="H86" s="1841">
        <f t="shared" si="4"/>
        <v>18</v>
      </c>
      <c r="I86" s="1838">
        <f t="shared" si="5"/>
        <v>21016</v>
      </c>
      <c r="J86" s="1838">
        <v>0</v>
      </c>
      <c r="K86" s="1838">
        <v>0</v>
      </c>
      <c r="L86" s="1838">
        <v>0</v>
      </c>
      <c r="M86" s="1838">
        <v>0</v>
      </c>
      <c r="N86" s="1838" t="s">
        <v>3182</v>
      </c>
      <c r="O86" s="1838" t="s">
        <v>3183</v>
      </c>
      <c r="P86" s="1838" t="s">
        <v>3184</v>
      </c>
    </row>
    <row r="87" spans="2:16" s="1843" customFormat="1">
      <c r="B87" s="1838">
        <f t="shared" si="6"/>
        <v>84</v>
      </c>
      <c r="C87" s="1838" t="s">
        <v>2949</v>
      </c>
      <c r="D87" s="1838" t="s">
        <v>3162</v>
      </c>
      <c r="E87" s="1838" t="s">
        <v>3255</v>
      </c>
      <c r="F87" s="1839">
        <v>45364</v>
      </c>
      <c r="G87" s="1840">
        <v>3034</v>
      </c>
      <c r="H87" s="1841">
        <f t="shared" si="4"/>
        <v>18</v>
      </c>
      <c r="I87" s="1838">
        <f t="shared" si="5"/>
        <v>3034</v>
      </c>
      <c r="J87" s="1838">
        <v>0</v>
      </c>
      <c r="K87" s="1838">
        <v>0</v>
      </c>
      <c r="L87" s="1838">
        <v>0</v>
      </c>
      <c r="M87" s="1838">
        <v>0</v>
      </c>
      <c r="N87" s="1838" t="s">
        <v>3182</v>
      </c>
      <c r="O87" s="1838" t="s">
        <v>3183</v>
      </c>
      <c r="P87" s="1838" t="s">
        <v>3184</v>
      </c>
    </row>
    <row r="88" spans="2:16" s="1843" customFormat="1">
      <c r="B88" s="1838">
        <f t="shared" si="6"/>
        <v>85</v>
      </c>
      <c r="C88" s="1838" t="s">
        <v>2949</v>
      </c>
      <c r="D88" s="1838" t="s">
        <v>3162</v>
      </c>
      <c r="E88" s="1838" t="s">
        <v>3256</v>
      </c>
      <c r="F88" s="1839">
        <v>45365</v>
      </c>
      <c r="G88" s="1840">
        <v>5624</v>
      </c>
      <c r="H88" s="1841">
        <f t="shared" si="4"/>
        <v>17</v>
      </c>
      <c r="I88" s="1838">
        <f t="shared" si="5"/>
        <v>5624</v>
      </c>
      <c r="J88" s="1838">
        <v>0</v>
      </c>
      <c r="K88" s="1838">
        <v>0</v>
      </c>
      <c r="L88" s="1838">
        <v>0</v>
      </c>
      <c r="M88" s="1838">
        <v>0</v>
      </c>
      <c r="N88" s="1838" t="s">
        <v>3182</v>
      </c>
      <c r="O88" s="1838" t="s">
        <v>3183</v>
      </c>
      <c r="P88" s="1838" t="s">
        <v>3184</v>
      </c>
    </row>
    <row r="89" spans="2:16" s="1843" customFormat="1">
      <c r="B89" s="1838">
        <f t="shared" si="6"/>
        <v>86</v>
      </c>
      <c r="C89" s="1838" t="s">
        <v>2949</v>
      </c>
      <c r="D89" s="1838" t="s">
        <v>3162</v>
      </c>
      <c r="E89" s="1838" t="s">
        <v>3257</v>
      </c>
      <c r="F89" s="1839">
        <v>45365</v>
      </c>
      <c r="G89" s="1840">
        <v>35520</v>
      </c>
      <c r="H89" s="1841">
        <f t="shared" si="4"/>
        <v>17</v>
      </c>
      <c r="I89" s="1838">
        <f t="shared" si="5"/>
        <v>35520</v>
      </c>
      <c r="J89" s="1838">
        <v>0</v>
      </c>
      <c r="K89" s="1838">
        <v>0</v>
      </c>
      <c r="L89" s="1838">
        <v>0</v>
      </c>
      <c r="M89" s="1838">
        <v>0</v>
      </c>
      <c r="N89" s="1838" t="s">
        <v>3182</v>
      </c>
      <c r="O89" s="1838" t="s">
        <v>3183</v>
      </c>
      <c r="P89" s="1838" t="s">
        <v>3184</v>
      </c>
    </row>
    <row r="90" spans="2:16" s="1843" customFormat="1">
      <c r="B90" s="1838">
        <f t="shared" si="6"/>
        <v>87</v>
      </c>
      <c r="C90" s="1838" t="s">
        <v>2949</v>
      </c>
      <c r="D90" s="1838" t="s">
        <v>3162</v>
      </c>
      <c r="E90" s="1838" t="s">
        <v>3258</v>
      </c>
      <c r="F90" s="1839">
        <v>45366</v>
      </c>
      <c r="G90" s="1840">
        <v>42476</v>
      </c>
      <c r="H90" s="1841">
        <f t="shared" si="4"/>
        <v>16</v>
      </c>
      <c r="I90" s="1838">
        <f t="shared" si="5"/>
        <v>42476</v>
      </c>
      <c r="J90" s="1838">
        <v>0</v>
      </c>
      <c r="K90" s="1838">
        <v>0</v>
      </c>
      <c r="L90" s="1838">
        <v>0</v>
      </c>
      <c r="M90" s="1838">
        <v>0</v>
      </c>
      <c r="N90" s="1838" t="s">
        <v>3182</v>
      </c>
      <c r="O90" s="1838" t="s">
        <v>3183</v>
      </c>
      <c r="P90" s="1838" t="s">
        <v>3184</v>
      </c>
    </row>
    <row r="91" spans="2:16" s="1843" customFormat="1">
      <c r="B91" s="1838">
        <f t="shared" si="6"/>
        <v>88</v>
      </c>
      <c r="C91" s="1838" t="s">
        <v>2949</v>
      </c>
      <c r="D91" s="1838" t="s">
        <v>3162</v>
      </c>
      <c r="E91" s="1838" t="s">
        <v>3259</v>
      </c>
      <c r="F91" s="1839">
        <v>45367</v>
      </c>
      <c r="G91" s="1840">
        <v>31672</v>
      </c>
      <c r="H91" s="1841">
        <f t="shared" si="4"/>
        <v>15</v>
      </c>
      <c r="I91" s="1838">
        <f t="shared" si="5"/>
        <v>31672</v>
      </c>
      <c r="J91" s="1838">
        <v>0</v>
      </c>
      <c r="K91" s="1838">
        <v>0</v>
      </c>
      <c r="L91" s="1838">
        <v>0</v>
      </c>
      <c r="M91" s="1838">
        <v>0</v>
      </c>
      <c r="N91" s="1838" t="s">
        <v>3182</v>
      </c>
      <c r="O91" s="1838" t="s">
        <v>3183</v>
      </c>
      <c r="P91" s="1838" t="s">
        <v>3184</v>
      </c>
    </row>
    <row r="92" spans="2:16" s="1843" customFormat="1">
      <c r="B92" s="1838">
        <f t="shared" si="6"/>
        <v>89</v>
      </c>
      <c r="C92" s="1838" t="s">
        <v>2949</v>
      </c>
      <c r="D92" s="1838" t="s">
        <v>3162</v>
      </c>
      <c r="E92" s="1838" t="s">
        <v>3260</v>
      </c>
      <c r="F92" s="1839">
        <v>45368</v>
      </c>
      <c r="G92" s="1840">
        <v>3552</v>
      </c>
      <c r="H92" s="1841">
        <f t="shared" si="4"/>
        <v>14</v>
      </c>
      <c r="I92" s="1838">
        <f t="shared" si="5"/>
        <v>3552</v>
      </c>
      <c r="J92" s="1838">
        <v>0</v>
      </c>
      <c r="K92" s="1838">
        <v>0</v>
      </c>
      <c r="L92" s="1838">
        <v>0</v>
      </c>
      <c r="M92" s="1838">
        <v>0</v>
      </c>
      <c r="N92" s="1838" t="s">
        <v>3182</v>
      </c>
      <c r="O92" s="1838" t="s">
        <v>3183</v>
      </c>
      <c r="P92" s="1838" t="s">
        <v>3184</v>
      </c>
    </row>
    <row r="93" spans="2:16" s="1843" customFormat="1">
      <c r="B93" s="1838">
        <f t="shared" si="6"/>
        <v>90</v>
      </c>
      <c r="C93" s="1838" t="s">
        <v>2949</v>
      </c>
      <c r="D93" s="1838" t="s">
        <v>3162</v>
      </c>
      <c r="E93" s="1838" t="s">
        <v>3261</v>
      </c>
      <c r="F93" s="1839">
        <v>45368</v>
      </c>
      <c r="G93" s="1840">
        <v>16724</v>
      </c>
      <c r="H93" s="1841">
        <f t="shared" si="4"/>
        <v>14</v>
      </c>
      <c r="I93" s="1838">
        <f t="shared" si="5"/>
        <v>16724</v>
      </c>
      <c r="J93" s="1838">
        <v>0</v>
      </c>
      <c r="K93" s="1838">
        <v>0</v>
      </c>
      <c r="L93" s="1838">
        <v>0</v>
      </c>
      <c r="M93" s="1838">
        <v>0</v>
      </c>
      <c r="N93" s="1838" t="s">
        <v>3182</v>
      </c>
      <c r="O93" s="1838" t="s">
        <v>3183</v>
      </c>
      <c r="P93" s="1838" t="s">
        <v>3184</v>
      </c>
    </row>
    <row r="94" spans="2:16" s="1843" customFormat="1">
      <c r="B94" s="1838">
        <f t="shared" si="6"/>
        <v>91</v>
      </c>
      <c r="C94" s="1838" t="s">
        <v>2949</v>
      </c>
      <c r="D94" s="1838" t="s">
        <v>3162</v>
      </c>
      <c r="E94" s="1838" t="s">
        <v>3262</v>
      </c>
      <c r="F94" s="1839">
        <v>45368</v>
      </c>
      <c r="G94" s="1840">
        <v>9472</v>
      </c>
      <c r="H94" s="1841">
        <f t="shared" si="4"/>
        <v>14</v>
      </c>
      <c r="I94" s="1838">
        <f t="shared" si="5"/>
        <v>9472</v>
      </c>
      <c r="J94" s="1838">
        <v>0</v>
      </c>
      <c r="K94" s="1838">
        <v>0</v>
      </c>
      <c r="L94" s="1838">
        <v>0</v>
      </c>
      <c r="M94" s="1838">
        <v>0</v>
      </c>
      <c r="N94" s="1838" t="s">
        <v>3182</v>
      </c>
      <c r="O94" s="1838" t="s">
        <v>3183</v>
      </c>
      <c r="P94" s="1838" t="s">
        <v>3184</v>
      </c>
    </row>
    <row r="95" spans="2:16" s="1843" customFormat="1">
      <c r="B95" s="1838">
        <f t="shared" si="6"/>
        <v>92</v>
      </c>
      <c r="C95" s="1838" t="s">
        <v>2949</v>
      </c>
      <c r="D95" s="1838" t="s">
        <v>3162</v>
      </c>
      <c r="E95" s="1838" t="s">
        <v>3263</v>
      </c>
      <c r="F95" s="1839">
        <v>45369</v>
      </c>
      <c r="G95" s="1840">
        <v>48692</v>
      </c>
      <c r="H95" s="1841">
        <f t="shared" si="4"/>
        <v>13</v>
      </c>
      <c r="I95" s="1838">
        <f t="shared" si="5"/>
        <v>48692</v>
      </c>
      <c r="J95" s="1838">
        <v>0</v>
      </c>
      <c r="K95" s="1838">
        <v>0</v>
      </c>
      <c r="L95" s="1838">
        <v>0</v>
      </c>
      <c r="M95" s="1838">
        <v>0</v>
      </c>
      <c r="N95" s="1838" t="s">
        <v>3182</v>
      </c>
      <c r="O95" s="1838" t="s">
        <v>3183</v>
      </c>
      <c r="P95" s="1838" t="s">
        <v>3184</v>
      </c>
    </row>
    <row r="96" spans="2:16" s="1843" customFormat="1">
      <c r="B96" s="1838">
        <f t="shared" si="6"/>
        <v>93</v>
      </c>
      <c r="C96" s="1838" t="s">
        <v>2949</v>
      </c>
      <c r="D96" s="1838" t="s">
        <v>3162</v>
      </c>
      <c r="E96" s="1838" t="s">
        <v>3264</v>
      </c>
      <c r="F96" s="1839">
        <v>45370</v>
      </c>
      <c r="G96" s="1840">
        <v>25456</v>
      </c>
      <c r="H96" s="1841">
        <f t="shared" si="4"/>
        <v>12</v>
      </c>
      <c r="I96" s="1838">
        <f t="shared" si="5"/>
        <v>25456</v>
      </c>
      <c r="J96" s="1838">
        <v>0</v>
      </c>
      <c r="K96" s="1838">
        <v>0</v>
      </c>
      <c r="L96" s="1838">
        <v>0</v>
      </c>
      <c r="M96" s="1838">
        <v>0</v>
      </c>
      <c r="N96" s="1838" t="s">
        <v>3182</v>
      </c>
      <c r="O96" s="1838" t="s">
        <v>3183</v>
      </c>
      <c r="P96" s="1838" t="s">
        <v>3184</v>
      </c>
    </row>
    <row r="97" spans="2:16" s="1843" customFormat="1">
      <c r="B97" s="1838">
        <f t="shared" si="6"/>
        <v>94</v>
      </c>
      <c r="C97" s="1838" t="s">
        <v>2949</v>
      </c>
      <c r="D97" s="1838" t="s">
        <v>3162</v>
      </c>
      <c r="E97" s="1838" t="s">
        <v>3265</v>
      </c>
      <c r="F97" s="1839">
        <v>45371</v>
      </c>
      <c r="G97" s="1840">
        <v>8436</v>
      </c>
      <c r="H97" s="1841">
        <f t="shared" si="4"/>
        <v>11</v>
      </c>
      <c r="I97" s="1838">
        <f t="shared" si="5"/>
        <v>8436</v>
      </c>
      <c r="J97" s="1838">
        <v>0</v>
      </c>
      <c r="K97" s="1838">
        <v>0</v>
      </c>
      <c r="L97" s="1838">
        <v>0</v>
      </c>
      <c r="M97" s="1838">
        <v>0</v>
      </c>
      <c r="N97" s="1838" t="s">
        <v>3182</v>
      </c>
      <c r="O97" s="1838" t="s">
        <v>3183</v>
      </c>
      <c r="P97" s="1838" t="s">
        <v>3184</v>
      </c>
    </row>
    <row r="98" spans="2:16" s="1843" customFormat="1">
      <c r="B98" s="1838">
        <f t="shared" si="6"/>
        <v>95</v>
      </c>
      <c r="C98" s="1838" t="s">
        <v>2949</v>
      </c>
      <c r="D98" s="1838" t="s">
        <v>3162</v>
      </c>
      <c r="E98" s="1838" t="s">
        <v>3266</v>
      </c>
      <c r="F98" s="1839">
        <v>45372</v>
      </c>
      <c r="G98" s="1840">
        <v>12210</v>
      </c>
      <c r="H98" s="1841">
        <f t="shared" si="4"/>
        <v>10</v>
      </c>
      <c r="I98" s="1838">
        <f t="shared" si="5"/>
        <v>12210</v>
      </c>
      <c r="J98" s="1838">
        <v>0</v>
      </c>
      <c r="K98" s="1838">
        <v>0</v>
      </c>
      <c r="L98" s="1838">
        <v>0</v>
      </c>
      <c r="M98" s="1838">
        <v>0</v>
      </c>
      <c r="N98" s="1838" t="s">
        <v>3182</v>
      </c>
      <c r="O98" s="1838" t="s">
        <v>3183</v>
      </c>
      <c r="P98" s="1838" t="s">
        <v>3184</v>
      </c>
    </row>
    <row r="99" spans="2:16" s="1843" customFormat="1">
      <c r="B99" s="1838">
        <f t="shared" si="6"/>
        <v>96</v>
      </c>
      <c r="C99" s="1838" t="s">
        <v>2949</v>
      </c>
      <c r="D99" s="1838" t="s">
        <v>3162</v>
      </c>
      <c r="E99" s="1838" t="s">
        <v>3267</v>
      </c>
      <c r="F99" s="1839">
        <v>45373</v>
      </c>
      <c r="G99" s="1840">
        <v>20572</v>
      </c>
      <c r="H99" s="1841">
        <f t="shared" si="4"/>
        <v>9</v>
      </c>
      <c r="I99" s="1838">
        <f t="shared" si="5"/>
        <v>20572</v>
      </c>
      <c r="J99" s="1838">
        <v>0</v>
      </c>
      <c r="K99" s="1838">
        <v>0</v>
      </c>
      <c r="L99" s="1838">
        <v>0</v>
      </c>
      <c r="M99" s="1838">
        <v>0</v>
      </c>
      <c r="N99" s="1838" t="s">
        <v>3182</v>
      </c>
      <c r="O99" s="1838" t="s">
        <v>3183</v>
      </c>
      <c r="P99" s="1838" t="s">
        <v>3184</v>
      </c>
    </row>
    <row r="100" spans="2:16" s="1843" customFormat="1">
      <c r="B100" s="1838">
        <f t="shared" si="6"/>
        <v>97</v>
      </c>
      <c r="C100" s="1838" t="s">
        <v>2949</v>
      </c>
      <c r="D100" s="1838" t="s">
        <v>3162</v>
      </c>
      <c r="E100" s="1838" t="s">
        <v>3268</v>
      </c>
      <c r="F100" s="1839">
        <v>45373</v>
      </c>
      <c r="G100" s="1840">
        <v>5624</v>
      </c>
      <c r="H100" s="1841">
        <f t="shared" si="4"/>
        <v>9</v>
      </c>
      <c r="I100" s="1838">
        <f t="shared" si="5"/>
        <v>5624</v>
      </c>
      <c r="J100" s="1838">
        <v>0</v>
      </c>
      <c r="K100" s="1838">
        <v>0</v>
      </c>
      <c r="L100" s="1838">
        <v>0</v>
      </c>
      <c r="M100" s="1838">
        <v>0</v>
      </c>
      <c r="N100" s="1838" t="s">
        <v>3182</v>
      </c>
      <c r="O100" s="1838" t="s">
        <v>3183</v>
      </c>
      <c r="P100" s="1838" t="s">
        <v>3184</v>
      </c>
    </row>
    <row r="101" spans="2:16" s="1843" customFormat="1">
      <c r="B101" s="1838">
        <f t="shared" si="6"/>
        <v>98</v>
      </c>
      <c r="C101" s="1838" t="s">
        <v>2949</v>
      </c>
      <c r="D101" s="1838" t="s">
        <v>3162</v>
      </c>
      <c r="E101" s="1838" t="s">
        <v>3269</v>
      </c>
      <c r="F101" s="1839">
        <v>45373</v>
      </c>
      <c r="G101" s="1840">
        <v>26640</v>
      </c>
      <c r="H101" s="1841">
        <f t="shared" si="4"/>
        <v>9</v>
      </c>
      <c r="I101" s="1838">
        <f t="shared" si="5"/>
        <v>26640</v>
      </c>
      <c r="J101" s="1838">
        <v>0</v>
      </c>
      <c r="K101" s="1838">
        <v>0</v>
      </c>
      <c r="L101" s="1838">
        <v>0</v>
      </c>
      <c r="M101" s="1838">
        <v>0</v>
      </c>
      <c r="N101" s="1838" t="s">
        <v>3182</v>
      </c>
      <c r="O101" s="1838" t="s">
        <v>3183</v>
      </c>
      <c r="P101" s="1838" t="s">
        <v>3184</v>
      </c>
    </row>
    <row r="102" spans="2:16" s="1843" customFormat="1">
      <c r="B102" s="1838">
        <f t="shared" si="6"/>
        <v>99</v>
      </c>
      <c r="C102" s="1838" t="s">
        <v>2949</v>
      </c>
      <c r="D102" s="1838" t="s">
        <v>3162</v>
      </c>
      <c r="E102" s="1838" t="s">
        <v>3270</v>
      </c>
      <c r="F102" s="1839">
        <v>45374</v>
      </c>
      <c r="G102" s="1840">
        <v>6536</v>
      </c>
      <c r="H102" s="1841">
        <f t="shared" si="4"/>
        <v>8</v>
      </c>
      <c r="I102" s="1838">
        <f t="shared" si="5"/>
        <v>6536</v>
      </c>
      <c r="J102" s="1838">
        <v>0</v>
      </c>
      <c r="K102" s="1838">
        <v>0</v>
      </c>
      <c r="L102" s="1838">
        <v>0</v>
      </c>
      <c r="M102" s="1838">
        <v>0</v>
      </c>
      <c r="N102" s="1838" t="s">
        <v>3182</v>
      </c>
      <c r="O102" s="1838" t="s">
        <v>3183</v>
      </c>
      <c r="P102" s="1838" t="s">
        <v>3184</v>
      </c>
    </row>
    <row r="103" spans="2:16" s="1843" customFormat="1">
      <c r="B103" s="1838">
        <f t="shared" si="6"/>
        <v>100</v>
      </c>
      <c r="C103" s="1838" t="s">
        <v>2949</v>
      </c>
      <c r="D103" s="1838" t="s">
        <v>3162</v>
      </c>
      <c r="E103" s="1838" t="s">
        <v>3271</v>
      </c>
      <c r="F103" s="1839">
        <v>45374</v>
      </c>
      <c r="G103" s="1840">
        <v>21128</v>
      </c>
      <c r="H103" s="1841">
        <f t="shared" si="4"/>
        <v>8</v>
      </c>
      <c r="I103" s="1838">
        <f t="shared" si="5"/>
        <v>21128</v>
      </c>
      <c r="J103" s="1838">
        <v>0</v>
      </c>
      <c r="K103" s="1838">
        <v>0</v>
      </c>
      <c r="L103" s="1838">
        <v>0</v>
      </c>
      <c r="M103" s="1838">
        <v>0</v>
      </c>
      <c r="N103" s="1838" t="s">
        <v>3182</v>
      </c>
      <c r="O103" s="1838" t="s">
        <v>3183</v>
      </c>
      <c r="P103" s="1838" t="s">
        <v>3184</v>
      </c>
    </row>
    <row r="104" spans="2:16" s="1843" customFormat="1">
      <c r="B104" s="1838">
        <f t="shared" si="6"/>
        <v>101</v>
      </c>
      <c r="C104" s="1838" t="s">
        <v>2949</v>
      </c>
      <c r="D104" s="1838" t="s">
        <v>3162</v>
      </c>
      <c r="E104" s="1838" t="s">
        <v>3272</v>
      </c>
      <c r="F104" s="1839">
        <v>45374</v>
      </c>
      <c r="G104" s="1840">
        <v>7400</v>
      </c>
      <c r="H104" s="1841">
        <f t="shared" si="4"/>
        <v>8</v>
      </c>
      <c r="I104" s="1838">
        <f t="shared" si="5"/>
        <v>7400</v>
      </c>
      <c r="J104" s="1838">
        <v>0</v>
      </c>
      <c r="K104" s="1838">
        <v>0</v>
      </c>
      <c r="L104" s="1838">
        <v>0</v>
      </c>
      <c r="M104" s="1838">
        <v>0</v>
      </c>
      <c r="N104" s="1838" t="s">
        <v>3182</v>
      </c>
      <c r="O104" s="1838" t="s">
        <v>3183</v>
      </c>
      <c r="P104" s="1838" t="s">
        <v>3184</v>
      </c>
    </row>
    <row r="105" spans="2:16" s="1843" customFormat="1">
      <c r="B105" s="1838">
        <f t="shared" si="6"/>
        <v>102</v>
      </c>
      <c r="C105" s="1838" t="s">
        <v>2949</v>
      </c>
      <c r="D105" s="1838" t="s">
        <v>3162</v>
      </c>
      <c r="E105" s="1838" t="s">
        <v>3273</v>
      </c>
      <c r="F105" s="1839">
        <v>45375</v>
      </c>
      <c r="G105" s="1840">
        <v>56240</v>
      </c>
      <c r="H105" s="1841">
        <f t="shared" si="4"/>
        <v>7</v>
      </c>
      <c r="I105" s="1838">
        <f t="shared" si="5"/>
        <v>56240</v>
      </c>
      <c r="J105" s="1838">
        <v>0</v>
      </c>
      <c r="K105" s="1838">
        <v>0</v>
      </c>
      <c r="L105" s="1838">
        <v>0</v>
      </c>
      <c r="M105" s="1838">
        <v>0</v>
      </c>
      <c r="N105" s="1838" t="s">
        <v>3182</v>
      </c>
      <c r="O105" s="1838" t="s">
        <v>3183</v>
      </c>
      <c r="P105" s="1838" t="s">
        <v>3184</v>
      </c>
    </row>
    <row r="106" spans="2:16" s="1843" customFormat="1">
      <c r="B106" s="1838">
        <f t="shared" si="6"/>
        <v>103</v>
      </c>
      <c r="C106" s="1838" t="s">
        <v>2949</v>
      </c>
      <c r="D106" s="1838" t="s">
        <v>3162</v>
      </c>
      <c r="E106" s="1838" t="s">
        <v>3274</v>
      </c>
      <c r="F106" s="1839">
        <v>45375</v>
      </c>
      <c r="G106" s="1840">
        <v>11780</v>
      </c>
      <c r="H106" s="1841">
        <f t="shared" si="4"/>
        <v>7</v>
      </c>
      <c r="I106" s="1838">
        <f t="shared" si="5"/>
        <v>11780</v>
      </c>
      <c r="J106" s="1838">
        <v>0</v>
      </c>
      <c r="K106" s="1838">
        <v>0</v>
      </c>
      <c r="L106" s="1838">
        <v>0</v>
      </c>
      <c r="M106" s="1838">
        <v>0</v>
      </c>
      <c r="N106" s="1838" t="s">
        <v>3182</v>
      </c>
      <c r="O106" s="1838" t="s">
        <v>3183</v>
      </c>
      <c r="P106" s="1838" t="s">
        <v>3184</v>
      </c>
    </row>
    <row r="107" spans="2:16" s="1843" customFormat="1">
      <c r="B107" s="1838">
        <f t="shared" si="6"/>
        <v>104</v>
      </c>
      <c r="C107" s="1838" t="s">
        <v>2949</v>
      </c>
      <c r="D107" s="1838" t="s">
        <v>3162</v>
      </c>
      <c r="E107" s="1838" t="s">
        <v>3275</v>
      </c>
      <c r="F107" s="1839">
        <v>45375</v>
      </c>
      <c r="G107" s="1840">
        <v>25840</v>
      </c>
      <c r="H107" s="1841">
        <f t="shared" si="4"/>
        <v>7</v>
      </c>
      <c r="I107" s="1838">
        <f t="shared" si="5"/>
        <v>25840</v>
      </c>
      <c r="J107" s="1838">
        <v>0</v>
      </c>
      <c r="K107" s="1838">
        <v>0</v>
      </c>
      <c r="L107" s="1838">
        <v>0</v>
      </c>
      <c r="M107" s="1838">
        <v>0</v>
      </c>
      <c r="N107" s="1838" t="s">
        <v>3182</v>
      </c>
      <c r="O107" s="1838" t="s">
        <v>3183</v>
      </c>
      <c r="P107" s="1838" t="s">
        <v>3184</v>
      </c>
    </row>
    <row r="108" spans="2:16" s="1843" customFormat="1">
      <c r="B108" s="1838">
        <f t="shared" si="6"/>
        <v>105</v>
      </c>
      <c r="C108" s="1838" t="s">
        <v>2949</v>
      </c>
      <c r="D108" s="1838" t="s">
        <v>3162</v>
      </c>
      <c r="E108" s="1838" t="s">
        <v>3276</v>
      </c>
      <c r="F108" s="1839">
        <v>45375</v>
      </c>
      <c r="G108" s="1840">
        <v>6460</v>
      </c>
      <c r="H108" s="1841">
        <f t="shared" si="4"/>
        <v>7</v>
      </c>
      <c r="I108" s="1838">
        <f t="shared" si="5"/>
        <v>6460</v>
      </c>
      <c r="J108" s="1838">
        <v>0</v>
      </c>
      <c r="K108" s="1838">
        <v>0</v>
      </c>
      <c r="L108" s="1838">
        <v>0</v>
      </c>
      <c r="M108" s="1838">
        <v>0</v>
      </c>
      <c r="N108" s="1838" t="s">
        <v>3182</v>
      </c>
      <c r="O108" s="1838" t="s">
        <v>3183</v>
      </c>
      <c r="P108" s="1838" t="s">
        <v>3184</v>
      </c>
    </row>
    <row r="109" spans="2:16" s="1843" customFormat="1">
      <c r="B109" s="1838">
        <f t="shared" si="6"/>
        <v>106</v>
      </c>
      <c r="C109" s="1838" t="s">
        <v>2949</v>
      </c>
      <c r="D109" s="1838" t="s">
        <v>3162</v>
      </c>
      <c r="E109" s="1838" t="s">
        <v>3277</v>
      </c>
      <c r="F109" s="1839">
        <v>45375</v>
      </c>
      <c r="G109" s="1840">
        <v>7600</v>
      </c>
      <c r="H109" s="1841">
        <f t="shared" si="4"/>
        <v>7</v>
      </c>
      <c r="I109" s="1838">
        <f t="shared" si="5"/>
        <v>7600</v>
      </c>
      <c r="J109" s="1838">
        <v>0</v>
      </c>
      <c r="K109" s="1838">
        <v>0</v>
      </c>
      <c r="L109" s="1838">
        <v>0</v>
      </c>
      <c r="M109" s="1838">
        <v>0</v>
      </c>
      <c r="N109" s="1838" t="s">
        <v>3182</v>
      </c>
      <c r="O109" s="1838" t="s">
        <v>3183</v>
      </c>
      <c r="P109" s="1838" t="s">
        <v>3184</v>
      </c>
    </row>
    <row r="110" spans="2:16" s="1843" customFormat="1">
      <c r="B110" s="1838">
        <f t="shared" si="6"/>
        <v>107</v>
      </c>
      <c r="C110" s="1838" t="s">
        <v>2949</v>
      </c>
      <c r="D110" s="1838" t="s">
        <v>3162</v>
      </c>
      <c r="E110" s="1838" t="s">
        <v>3278</v>
      </c>
      <c r="F110" s="1839">
        <v>45375</v>
      </c>
      <c r="G110" s="1840">
        <v>4712</v>
      </c>
      <c r="H110" s="1841">
        <f t="shared" si="4"/>
        <v>7</v>
      </c>
      <c r="I110" s="1838">
        <f t="shared" si="5"/>
        <v>4712</v>
      </c>
      <c r="J110" s="1838">
        <v>0</v>
      </c>
      <c r="K110" s="1838">
        <v>0</v>
      </c>
      <c r="L110" s="1838">
        <v>0</v>
      </c>
      <c r="M110" s="1838">
        <v>0</v>
      </c>
      <c r="N110" s="1838" t="s">
        <v>3182</v>
      </c>
      <c r="O110" s="1838" t="s">
        <v>3183</v>
      </c>
      <c r="P110" s="1838" t="s">
        <v>3184</v>
      </c>
    </row>
    <row r="111" spans="2:16" s="1843" customFormat="1">
      <c r="B111" s="1838">
        <f t="shared" si="6"/>
        <v>108</v>
      </c>
      <c r="C111" s="1838" t="s">
        <v>2949</v>
      </c>
      <c r="D111" s="1838" t="s">
        <v>3162</v>
      </c>
      <c r="E111" s="1838" t="s">
        <v>3279</v>
      </c>
      <c r="F111" s="1839">
        <v>45375</v>
      </c>
      <c r="G111" s="1840">
        <v>14136</v>
      </c>
      <c r="H111" s="1841">
        <f t="shared" si="4"/>
        <v>7</v>
      </c>
      <c r="I111" s="1838">
        <f t="shared" si="5"/>
        <v>14136</v>
      </c>
      <c r="J111" s="1838">
        <v>0</v>
      </c>
      <c r="K111" s="1838">
        <v>0</v>
      </c>
      <c r="L111" s="1838">
        <v>0</v>
      </c>
      <c r="M111" s="1838">
        <v>0</v>
      </c>
      <c r="N111" s="1838" t="s">
        <v>3182</v>
      </c>
      <c r="O111" s="1838" t="s">
        <v>3183</v>
      </c>
      <c r="P111" s="1838" t="s">
        <v>3184</v>
      </c>
    </row>
    <row r="112" spans="2:16" s="1843" customFormat="1">
      <c r="B112" s="1838">
        <f t="shared" si="6"/>
        <v>109</v>
      </c>
      <c r="C112" s="1838" t="s">
        <v>2949</v>
      </c>
      <c r="D112" s="1838" t="s">
        <v>3162</v>
      </c>
      <c r="E112" s="1838" t="s">
        <v>3280</v>
      </c>
      <c r="F112" s="1839">
        <v>45377</v>
      </c>
      <c r="G112" s="1840">
        <v>8740</v>
      </c>
      <c r="H112" s="1841">
        <f t="shared" si="4"/>
        <v>5</v>
      </c>
      <c r="I112" s="1838">
        <f t="shared" si="5"/>
        <v>8740</v>
      </c>
      <c r="J112" s="1838">
        <v>0</v>
      </c>
      <c r="K112" s="1838">
        <v>0</v>
      </c>
      <c r="L112" s="1838">
        <v>0</v>
      </c>
      <c r="M112" s="1838">
        <v>0</v>
      </c>
      <c r="N112" s="1838" t="s">
        <v>3182</v>
      </c>
      <c r="O112" s="1838" t="s">
        <v>3183</v>
      </c>
      <c r="P112" s="1838" t="s">
        <v>3184</v>
      </c>
    </row>
    <row r="113" spans="2:16" s="1843" customFormat="1">
      <c r="B113" s="1838">
        <f t="shared" si="6"/>
        <v>110</v>
      </c>
      <c r="C113" s="1838" t="s">
        <v>2949</v>
      </c>
      <c r="D113" s="1838" t="s">
        <v>3162</v>
      </c>
      <c r="E113" s="1838" t="s">
        <v>3281</v>
      </c>
      <c r="F113" s="1839">
        <v>45377</v>
      </c>
      <c r="G113" s="1840">
        <v>4940</v>
      </c>
      <c r="H113" s="1841">
        <f t="shared" si="4"/>
        <v>5</v>
      </c>
      <c r="I113" s="1838">
        <f t="shared" si="5"/>
        <v>4940</v>
      </c>
      <c r="J113" s="1838">
        <v>0</v>
      </c>
      <c r="K113" s="1838">
        <v>0</v>
      </c>
      <c r="L113" s="1838">
        <v>0</v>
      </c>
      <c r="M113" s="1838">
        <v>0</v>
      </c>
      <c r="N113" s="1838" t="s">
        <v>3182</v>
      </c>
      <c r="O113" s="1838" t="s">
        <v>3183</v>
      </c>
      <c r="P113" s="1838" t="s">
        <v>3184</v>
      </c>
    </row>
    <row r="114" spans="2:16" s="1843" customFormat="1">
      <c r="B114" s="1838">
        <f t="shared" si="6"/>
        <v>111</v>
      </c>
      <c r="C114" s="1838" t="s">
        <v>2949</v>
      </c>
      <c r="D114" s="1838" t="s">
        <v>3162</v>
      </c>
      <c r="E114" s="1838" t="s">
        <v>3282</v>
      </c>
      <c r="F114" s="1839">
        <v>45379</v>
      </c>
      <c r="G114" s="1840">
        <v>20520</v>
      </c>
      <c r="H114" s="1841">
        <f t="shared" si="4"/>
        <v>3</v>
      </c>
      <c r="I114" s="1838">
        <f t="shared" si="5"/>
        <v>20520</v>
      </c>
      <c r="J114" s="1838">
        <v>0</v>
      </c>
      <c r="K114" s="1838">
        <v>0</v>
      </c>
      <c r="L114" s="1838">
        <v>0</v>
      </c>
      <c r="M114" s="1838">
        <v>0</v>
      </c>
      <c r="N114" s="1838" t="s">
        <v>3182</v>
      </c>
      <c r="O114" s="1838" t="s">
        <v>3183</v>
      </c>
      <c r="P114" s="1838" t="s">
        <v>3184</v>
      </c>
    </row>
    <row r="115" spans="2:16" s="1843" customFormat="1">
      <c r="B115" s="1838">
        <f t="shared" si="6"/>
        <v>112</v>
      </c>
      <c r="C115" s="1838" t="s">
        <v>2949</v>
      </c>
      <c r="D115" s="1838" t="s">
        <v>3162</v>
      </c>
      <c r="E115" s="1838" t="s">
        <v>3283</v>
      </c>
      <c r="F115" s="1839">
        <v>45379</v>
      </c>
      <c r="G115" s="1840">
        <v>50685</v>
      </c>
      <c r="H115" s="1841">
        <f t="shared" si="4"/>
        <v>3</v>
      </c>
      <c r="I115" s="1838">
        <f t="shared" si="5"/>
        <v>50685</v>
      </c>
      <c r="J115" s="1838">
        <v>0</v>
      </c>
      <c r="K115" s="1838">
        <v>0</v>
      </c>
      <c r="L115" s="1838">
        <v>0</v>
      </c>
      <c r="M115" s="1838">
        <v>0</v>
      </c>
      <c r="N115" s="1838" t="s">
        <v>3182</v>
      </c>
      <c r="O115" s="1838" t="s">
        <v>3183</v>
      </c>
      <c r="P115" s="1838" t="s">
        <v>3184</v>
      </c>
    </row>
    <row r="116" spans="2:16" s="1843" customFormat="1">
      <c r="B116" s="1838">
        <f t="shared" si="6"/>
        <v>113</v>
      </c>
      <c r="C116" s="1838" t="s">
        <v>2949</v>
      </c>
      <c r="D116" s="1838" t="s">
        <v>3162</v>
      </c>
      <c r="E116" s="1838" t="s">
        <v>3284</v>
      </c>
      <c r="F116" s="1839">
        <v>45379</v>
      </c>
      <c r="G116" s="1840">
        <v>24568</v>
      </c>
      <c r="H116" s="1841">
        <f t="shared" si="4"/>
        <v>3</v>
      </c>
      <c r="I116" s="1838">
        <f t="shared" si="5"/>
        <v>24568</v>
      </c>
      <c r="J116" s="1838">
        <v>0</v>
      </c>
      <c r="K116" s="1838">
        <v>0</v>
      </c>
      <c r="L116" s="1838">
        <v>0</v>
      </c>
      <c r="M116" s="1838">
        <v>0</v>
      </c>
      <c r="N116" s="1838" t="s">
        <v>3182</v>
      </c>
      <c r="O116" s="1838" t="s">
        <v>3183</v>
      </c>
      <c r="P116" s="1838" t="s">
        <v>3184</v>
      </c>
    </row>
    <row r="117" spans="2:16" s="1843" customFormat="1">
      <c r="B117" s="1838">
        <f t="shared" si="6"/>
        <v>114</v>
      </c>
      <c r="C117" s="1838" t="s">
        <v>2949</v>
      </c>
      <c r="D117" s="1838" t="s">
        <v>3162</v>
      </c>
      <c r="E117" s="1838" t="s">
        <v>3285</v>
      </c>
      <c r="F117" s="1839">
        <v>45379</v>
      </c>
      <c r="G117" s="1840">
        <v>57273</v>
      </c>
      <c r="H117" s="1841">
        <f t="shared" si="4"/>
        <v>3</v>
      </c>
      <c r="I117" s="1838">
        <f t="shared" si="5"/>
        <v>57273</v>
      </c>
      <c r="J117" s="1838">
        <v>0</v>
      </c>
      <c r="K117" s="1838">
        <v>0</v>
      </c>
      <c r="L117" s="1838">
        <v>0</v>
      </c>
      <c r="M117" s="1838">
        <v>0</v>
      </c>
      <c r="N117" s="1838" t="s">
        <v>3182</v>
      </c>
      <c r="O117" s="1838" t="s">
        <v>3183</v>
      </c>
      <c r="P117" s="1838" t="s">
        <v>3184</v>
      </c>
    </row>
    <row r="118" spans="2:16" s="1843" customFormat="1">
      <c r="B118" s="1838">
        <f t="shared" si="6"/>
        <v>115</v>
      </c>
      <c r="C118" s="1838" t="s">
        <v>2949</v>
      </c>
      <c r="D118" s="1838" t="s">
        <v>3162</v>
      </c>
      <c r="E118" s="1838" t="s">
        <v>3286</v>
      </c>
      <c r="F118" s="1839">
        <v>45381</v>
      </c>
      <c r="G118" s="1840">
        <v>48825</v>
      </c>
      <c r="H118" s="1841">
        <f t="shared" si="4"/>
        <v>1</v>
      </c>
      <c r="I118" s="1838">
        <f t="shared" si="5"/>
        <v>48825</v>
      </c>
      <c r="J118" s="1838">
        <v>0</v>
      </c>
      <c r="K118" s="1838">
        <v>0</v>
      </c>
      <c r="L118" s="1838">
        <v>0</v>
      </c>
      <c r="M118" s="1838">
        <v>0</v>
      </c>
      <c r="N118" s="1838" t="s">
        <v>3182</v>
      </c>
      <c r="O118" s="1838" t="s">
        <v>3183</v>
      </c>
      <c r="P118" s="1838" t="s">
        <v>3184</v>
      </c>
    </row>
    <row r="119" spans="2:16" s="1843" customFormat="1">
      <c r="B119" s="1838">
        <f t="shared" si="6"/>
        <v>116</v>
      </c>
      <c r="C119" s="1838" t="s">
        <v>2949</v>
      </c>
      <c r="D119" s="1838" t="s">
        <v>3162</v>
      </c>
      <c r="E119" s="1838" t="s">
        <v>3287</v>
      </c>
      <c r="F119" s="1839">
        <v>45381</v>
      </c>
      <c r="G119" s="1840">
        <v>22010</v>
      </c>
      <c r="H119" s="1841">
        <f t="shared" si="4"/>
        <v>1</v>
      </c>
      <c r="I119" s="1838">
        <f t="shared" si="5"/>
        <v>22010</v>
      </c>
      <c r="J119" s="1838">
        <v>0</v>
      </c>
      <c r="K119" s="1838">
        <v>0</v>
      </c>
      <c r="L119" s="1838">
        <v>0</v>
      </c>
      <c r="M119" s="1838">
        <v>0</v>
      </c>
      <c r="N119" s="1838" t="s">
        <v>3182</v>
      </c>
      <c r="O119" s="1838" t="s">
        <v>3183</v>
      </c>
      <c r="P119" s="1838" t="s">
        <v>3184</v>
      </c>
    </row>
    <row r="120" spans="2:16" s="1843" customFormat="1">
      <c r="B120" s="1838">
        <f t="shared" si="6"/>
        <v>117</v>
      </c>
      <c r="C120" s="1838" t="s">
        <v>2949</v>
      </c>
      <c r="D120" s="1838" t="s">
        <v>3162</v>
      </c>
      <c r="E120" s="1838" t="s">
        <v>3288</v>
      </c>
      <c r="F120" s="1839">
        <v>45381</v>
      </c>
      <c r="G120" s="1840">
        <v>7518</v>
      </c>
      <c r="H120" s="1841">
        <f t="shared" si="4"/>
        <v>1</v>
      </c>
      <c r="I120" s="1838">
        <f t="shared" si="5"/>
        <v>7518</v>
      </c>
      <c r="J120" s="1838">
        <v>0</v>
      </c>
      <c r="K120" s="1838">
        <v>0</v>
      </c>
      <c r="L120" s="1838">
        <v>0</v>
      </c>
      <c r="M120" s="1838">
        <v>0</v>
      </c>
      <c r="N120" s="1838" t="s">
        <v>3182</v>
      </c>
      <c r="O120" s="1838" t="s">
        <v>3183</v>
      </c>
      <c r="P120" s="1838" t="s">
        <v>3184</v>
      </c>
    </row>
    <row r="121" spans="2:16" s="1843" customFormat="1">
      <c r="B121" s="1838">
        <f t="shared" si="6"/>
        <v>118</v>
      </c>
      <c r="C121" s="1838" t="s">
        <v>2949</v>
      </c>
      <c r="D121" s="1838" t="s">
        <v>3162</v>
      </c>
      <c r="E121" s="1838" t="s">
        <v>3289</v>
      </c>
      <c r="F121" s="1839">
        <v>45381</v>
      </c>
      <c r="G121" s="1840">
        <v>12865</v>
      </c>
      <c r="H121" s="1841">
        <f t="shared" si="4"/>
        <v>1</v>
      </c>
      <c r="I121" s="1838">
        <f t="shared" si="5"/>
        <v>12865</v>
      </c>
      <c r="J121" s="1838">
        <v>0</v>
      </c>
      <c r="K121" s="1838">
        <v>0</v>
      </c>
      <c r="L121" s="1838">
        <v>0</v>
      </c>
      <c r="M121" s="1838">
        <v>0</v>
      </c>
      <c r="N121" s="1838" t="s">
        <v>3182</v>
      </c>
      <c r="O121" s="1838" t="s">
        <v>3183</v>
      </c>
      <c r="P121" s="1838" t="s">
        <v>3184</v>
      </c>
    </row>
    <row r="122" spans="2:16" s="1843" customFormat="1">
      <c r="B122" s="1838">
        <f t="shared" si="6"/>
        <v>119</v>
      </c>
      <c r="C122" s="1838" t="s">
        <v>2949</v>
      </c>
      <c r="D122" s="1838" t="s">
        <v>3162</v>
      </c>
      <c r="E122" s="1838" t="s">
        <v>3290</v>
      </c>
      <c r="F122" s="1839">
        <v>45382</v>
      </c>
      <c r="G122" s="1840">
        <v>20615</v>
      </c>
      <c r="H122" s="1841">
        <f t="shared" si="4"/>
        <v>0</v>
      </c>
      <c r="I122" s="1838">
        <f t="shared" si="5"/>
        <v>20615</v>
      </c>
      <c r="J122" s="1838">
        <v>0</v>
      </c>
      <c r="K122" s="1838">
        <v>0</v>
      </c>
      <c r="L122" s="1838">
        <v>0</v>
      </c>
      <c r="M122" s="1838">
        <v>0</v>
      </c>
      <c r="N122" s="1838" t="s">
        <v>3182</v>
      </c>
      <c r="O122" s="1838" t="s">
        <v>3183</v>
      </c>
      <c r="P122" s="1838" t="s">
        <v>3184</v>
      </c>
    </row>
    <row r="123" spans="2:16" s="1843" customFormat="1">
      <c r="B123" s="1838">
        <f t="shared" si="6"/>
        <v>120</v>
      </c>
      <c r="C123" s="1838" t="s">
        <v>2949</v>
      </c>
      <c r="D123" s="1838" t="s">
        <v>3162</v>
      </c>
      <c r="E123" s="1838" t="s">
        <v>3291</v>
      </c>
      <c r="F123" s="1839">
        <v>45382</v>
      </c>
      <c r="G123" s="1840">
        <v>7053</v>
      </c>
      <c r="H123" s="1841">
        <f t="shared" si="4"/>
        <v>0</v>
      </c>
      <c r="I123" s="1838">
        <f t="shared" si="5"/>
        <v>7053</v>
      </c>
      <c r="J123" s="1838">
        <v>0</v>
      </c>
      <c r="K123" s="1838">
        <v>0</v>
      </c>
      <c r="L123" s="1838">
        <v>0</v>
      </c>
      <c r="M123" s="1838">
        <v>0</v>
      </c>
      <c r="N123" s="1838" t="s">
        <v>3182</v>
      </c>
      <c r="O123" s="1838" t="s">
        <v>3183</v>
      </c>
      <c r="P123" s="1838" t="s">
        <v>3184</v>
      </c>
    </row>
    <row r="124" spans="2:16" s="1843" customFormat="1">
      <c r="B124" s="1838">
        <f t="shared" si="6"/>
        <v>121</v>
      </c>
      <c r="C124" s="1838" t="s">
        <v>2949</v>
      </c>
      <c r="D124" s="1838" t="s">
        <v>3162</v>
      </c>
      <c r="E124" s="1838" t="s">
        <v>3292</v>
      </c>
      <c r="F124" s="1839">
        <v>45382</v>
      </c>
      <c r="G124" s="1840">
        <v>6200</v>
      </c>
      <c r="H124" s="1841">
        <f t="shared" si="4"/>
        <v>0</v>
      </c>
      <c r="I124" s="1838">
        <f t="shared" si="5"/>
        <v>6200</v>
      </c>
      <c r="J124" s="1838">
        <v>0</v>
      </c>
      <c r="K124" s="1838">
        <v>0</v>
      </c>
      <c r="L124" s="1838">
        <v>0</v>
      </c>
      <c r="M124" s="1838">
        <v>0</v>
      </c>
      <c r="N124" s="1838" t="s">
        <v>3182</v>
      </c>
      <c r="O124" s="1838" t="s">
        <v>3183</v>
      </c>
      <c r="P124" s="1838" t="s">
        <v>3184</v>
      </c>
    </row>
    <row r="125" spans="2:16" s="1843" customFormat="1">
      <c r="B125" s="1838">
        <f t="shared" si="6"/>
        <v>122</v>
      </c>
      <c r="C125" s="1838" t="s">
        <v>2949</v>
      </c>
      <c r="D125" s="1838" t="s">
        <v>3162</v>
      </c>
      <c r="E125" s="1838" t="s">
        <v>3293</v>
      </c>
      <c r="F125" s="1839">
        <v>45382</v>
      </c>
      <c r="G125" s="1840">
        <v>7983</v>
      </c>
      <c r="H125" s="1841">
        <f t="shared" si="4"/>
        <v>0</v>
      </c>
      <c r="I125" s="1838">
        <f t="shared" si="5"/>
        <v>7983</v>
      </c>
      <c r="J125" s="1838">
        <v>0</v>
      </c>
      <c r="K125" s="1838">
        <v>0</v>
      </c>
      <c r="L125" s="1838">
        <v>0</v>
      </c>
      <c r="M125" s="1838">
        <v>0</v>
      </c>
      <c r="N125" s="1838" t="s">
        <v>3182</v>
      </c>
      <c r="O125" s="1838" t="s">
        <v>3183</v>
      </c>
      <c r="P125" s="1838" t="s">
        <v>3184</v>
      </c>
    </row>
    <row r="126" spans="2:16" s="1843" customFormat="1">
      <c r="B126" s="1838">
        <f t="shared" si="6"/>
        <v>123</v>
      </c>
      <c r="C126" s="1838" t="s">
        <v>2949</v>
      </c>
      <c r="D126" s="1838" t="s">
        <v>3162</v>
      </c>
      <c r="E126" s="1838" t="s">
        <v>3294</v>
      </c>
      <c r="F126" s="1839">
        <v>45382</v>
      </c>
      <c r="G126" s="1840">
        <v>29550</v>
      </c>
      <c r="H126" s="1841">
        <f t="shared" si="4"/>
        <v>0</v>
      </c>
      <c r="I126" s="1838">
        <f t="shared" si="5"/>
        <v>29550</v>
      </c>
      <c r="J126" s="1838">
        <v>0</v>
      </c>
      <c r="K126" s="1838">
        <v>0</v>
      </c>
      <c r="L126" s="1838">
        <v>0</v>
      </c>
      <c r="M126" s="1838">
        <v>0</v>
      </c>
      <c r="N126" s="1838" t="s">
        <v>3182</v>
      </c>
      <c r="O126" s="1838" t="s">
        <v>3183</v>
      </c>
      <c r="P126" s="1838" t="s">
        <v>3184</v>
      </c>
    </row>
    <row r="127" spans="2:16" s="1843" customFormat="1">
      <c r="B127" s="1838">
        <f t="shared" si="6"/>
        <v>124</v>
      </c>
      <c r="C127" s="1838" t="s">
        <v>151</v>
      </c>
      <c r="D127" s="1838" t="s">
        <v>3162</v>
      </c>
      <c r="E127" s="1838" t="s">
        <v>3295</v>
      </c>
      <c r="F127" s="1839">
        <v>45296</v>
      </c>
      <c r="G127" s="1840">
        <v>5377</v>
      </c>
      <c r="H127" s="1841">
        <f t="shared" si="4"/>
        <v>86</v>
      </c>
      <c r="I127" s="1838">
        <f t="shared" si="5"/>
        <v>5377</v>
      </c>
      <c r="J127" s="1838">
        <v>0</v>
      </c>
      <c r="K127" s="1838">
        <v>0</v>
      </c>
      <c r="L127" s="1838">
        <v>0</v>
      </c>
      <c r="M127" s="1838">
        <v>0</v>
      </c>
      <c r="N127" s="1838" t="s">
        <v>3296</v>
      </c>
      <c r="O127" s="1838" t="s">
        <v>3297</v>
      </c>
      <c r="P127" s="1838"/>
    </row>
    <row r="128" spans="2:16" s="1843" customFormat="1">
      <c r="B128" s="1838">
        <f t="shared" si="6"/>
        <v>125</v>
      </c>
      <c r="C128" s="1838" t="s">
        <v>151</v>
      </c>
      <c r="D128" s="1838" t="s">
        <v>3162</v>
      </c>
      <c r="E128" s="1838" t="s">
        <v>3298</v>
      </c>
      <c r="F128" s="1839">
        <v>45306</v>
      </c>
      <c r="G128" s="1840">
        <v>61661</v>
      </c>
      <c r="H128" s="1841">
        <f t="shared" si="4"/>
        <v>76</v>
      </c>
      <c r="I128" s="1838">
        <f t="shared" si="5"/>
        <v>61661</v>
      </c>
      <c r="J128" s="1838">
        <v>0</v>
      </c>
      <c r="K128" s="1838">
        <v>0</v>
      </c>
      <c r="L128" s="1838">
        <v>0</v>
      </c>
      <c r="M128" s="1838">
        <v>0</v>
      </c>
      <c r="N128" s="1838" t="s">
        <v>3296</v>
      </c>
      <c r="O128" s="1838" t="s">
        <v>3297</v>
      </c>
      <c r="P128" s="1838"/>
    </row>
    <row r="129" spans="2:16" s="1843" customFormat="1">
      <c r="B129" s="1838">
        <f t="shared" si="6"/>
        <v>126</v>
      </c>
      <c r="C129" s="1838" t="s">
        <v>151</v>
      </c>
      <c r="D129" s="1838" t="s">
        <v>3162</v>
      </c>
      <c r="E129" s="1838" t="s">
        <v>3299</v>
      </c>
      <c r="F129" s="1839">
        <v>45310</v>
      </c>
      <c r="G129" s="1840">
        <v>65363</v>
      </c>
      <c r="H129" s="1841">
        <f t="shared" si="4"/>
        <v>72</v>
      </c>
      <c r="I129" s="1838">
        <f t="shared" si="5"/>
        <v>65363</v>
      </c>
      <c r="J129" s="1838">
        <v>0</v>
      </c>
      <c r="K129" s="1838">
        <v>0</v>
      </c>
      <c r="L129" s="1838">
        <v>0</v>
      </c>
      <c r="M129" s="1838">
        <v>0</v>
      </c>
      <c r="N129" s="1838" t="s">
        <v>3296</v>
      </c>
      <c r="O129" s="1838" t="s">
        <v>3297</v>
      </c>
      <c r="P129" s="1838"/>
    </row>
    <row r="130" spans="2:16" s="1843" customFormat="1">
      <c r="B130" s="1838">
        <f t="shared" si="6"/>
        <v>127</v>
      </c>
      <c r="C130" s="1838" t="s">
        <v>151</v>
      </c>
      <c r="D130" s="1838" t="s">
        <v>3162</v>
      </c>
      <c r="E130" s="1838" t="s">
        <v>3300</v>
      </c>
      <c r="F130" s="1839">
        <v>45316</v>
      </c>
      <c r="G130" s="1840">
        <v>66728</v>
      </c>
      <c r="H130" s="1841">
        <f t="shared" si="4"/>
        <v>66</v>
      </c>
      <c r="I130" s="1838">
        <f t="shared" si="5"/>
        <v>66728</v>
      </c>
      <c r="J130" s="1838">
        <v>0</v>
      </c>
      <c r="K130" s="1838">
        <v>0</v>
      </c>
      <c r="L130" s="1838">
        <v>0</v>
      </c>
      <c r="M130" s="1838">
        <v>0</v>
      </c>
      <c r="N130" s="1838" t="s">
        <v>3296</v>
      </c>
      <c r="O130" s="1838" t="s">
        <v>3297</v>
      </c>
      <c r="P130" s="1838"/>
    </row>
    <row r="131" spans="2:16" s="1843" customFormat="1">
      <c r="B131" s="1838">
        <f t="shared" si="6"/>
        <v>128</v>
      </c>
      <c r="C131" s="1838" t="s">
        <v>151</v>
      </c>
      <c r="D131" s="1838" t="s">
        <v>3162</v>
      </c>
      <c r="E131" s="1838" t="s">
        <v>3301</v>
      </c>
      <c r="F131" s="1839">
        <v>45320</v>
      </c>
      <c r="G131" s="1840">
        <v>59136</v>
      </c>
      <c r="H131" s="1841">
        <f t="shared" si="4"/>
        <v>62</v>
      </c>
      <c r="I131" s="1838">
        <f t="shared" si="5"/>
        <v>59136</v>
      </c>
      <c r="J131" s="1838">
        <v>0</v>
      </c>
      <c r="K131" s="1838">
        <v>0</v>
      </c>
      <c r="L131" s="1838">
        <v>0</v>
      </c>
      <c r="M131" s="1838">
        <v>0</v>
      </c>
      <c r="N131" s="1838" t="s">
        <v>3296</v>
      </c>
      <c r="O131" s="1838" t="s">
        <v>3297</v>
      </c>
      <c r="P131" s="1838"/>
    </row>
    <row r="132" spans="2:16" s="1843" customFormat="1">
      <c r="B132" s="1838">
        <f t="shared" si="6"/>
        <v>129</v>
      </c>
      <c r="C132" s="1838" t="s">
        <v>151</v>
      </c>
      <c r="D132" s="1838" t="s">
        <v>3162</v>
      </c>
      <c r="E132" s="1838" t="s">
        <v>3302</v>
      </c>
      <c r="F132" s="1839">
        <v>45322</v>
      </c>
      <c r="G132" s="1840">
        <v>69552</v>
      </c>
      <c r="H132" s="1841">
        <f t="shared" si="4"/>
        <v>60</v>
      </c>
      <c r="I132" s="1838">
        <f t="shared" si="5"/>
        <v>69552</v>
      </c>
      <c r="J132" s="1838">
        <v>0</v>
      </c>
      <c r="K132" s="1838">
        <v>0</v>
      </c>
      <c r="L132" s="1838">
        <v>0</v>
      </c>
      <c r="M132" s="1838">
        <v>0</v>
      </c>
      <c r="N132" s="1838" t="s">
        <v>3296</v>
      </c>
      <c r="O132" s="1838" t="s">
        <v>3297</v>
      </c>
      <c r="P132" s="1838"/>
    </row>
    <row r="133" spans="2:16" s="1843" customFormat="1">
      <c r="B133" s="1838">
        <f t="shared" si="6"/>
        <v>130</v>
      </c>
      <c r="C133" s="1838" t="s">
        <v>151</v>
      </c>
      <c r="D133" s="1838" t="s">
        <v>3162</v>
      </c>
      <c r="E133" s="1838" t="s">
        <v>3303</v>
      </c>
      <c r="F133" s="1839">
        <v>45322</v>
      </c>
      <c r="G133" s="1840">
        <v>-328</v>
      </c>
      <c r="H133" s="1841">
        <f t="shared" ref="H133:H196" si="7">+$H$2-F133</f>
        <v>60</v>
      </c>
      <c r="I133" s="1838">
        <f t="shared" ref="I133:I196" si="8">+G133</f>
        <v>-328</v>
      </c>
      <c r="J133" s="1838">
        <v>0</v>
      </c>
      <c r="K133" s="1838">
        <v>0</v>
      </c>
      <c r="L133" s="1838">
        <v>0</v>
      </c>
      <c r="M133" s="1838">
        <v>0</v>
      </c>
      <c r="N133" s="1838" t="s">
        <v>3296</v>
      </c>
      <c r="O133" s="1838" t="s">
        <v>3297</v>
      </c>
      <c r="P133" s="1838"/>
    </row>
    <row r="134" spans="2:16" s="1843" customFormat="1">
      <c r="B134" s="1838">
        <f t="shared" ref="B134:B197" si="9">+B133+1</f>
        <v>131</v>
      </c>
      <c r="C134" s="1838" t="s">
        <v>151</v>
      </c>
      <c r="D134" s="1838" t="s">
        <v>3162</v>
      </c>
      <c r="E134" s="1838" t="s">
        <v>3304</v>
      </c>
      <c r="F134" s="1839">
        <v>45323</v>
      </c>
      <c r="G134" s="1840">
        <v>38472</v>
      </c>
      <c r="H134" s="1841">
        <f t="shared" si="7"/>
        <v>59</v>
      </c>
      <c r="I134" s="1838">
        <f t="shared" si="8"/>
        <v>38472</v>
      </c>
      <c r="J134" s="1838">
        <v>0</v>
      </c>
      <c r="K134" s="1838">
        <v>0</v>
      </c>
      <c r="L134" s="1838">
        <v>0</v>
      </c>
      <c r="M134" s="1838">
        <v>0</v>
      </c>
      <c r="N134" s="1838" t="s">
        <v>3296</v>
      </c>
      <c r="O134" s="1838" t="s">
        <v>3297</v>
      </c>
      <c r="P134" s="1838"/>
    </row>
    <row r="135" spans="2:16" s="1843" customFormat="1">
      <c r="B135" s="1838">
        <f t="shared" si="9"/>
        <v>132</v>
      </c>
      <c r="C135" s="1838" t="s">
        <v>151</v>
      </c>
      <c r="D135" s="1838" t="s">
        <v>3162</v>
      </c>
      <c r="E135" s="1838" t="s">
        <v>3305</v>
      </c>
      <c r="F135" s="1839">
        <v>45324</v>
      </c>
      <c r="G135" s="1840">
        <v>73920</v>
      </c>
      <c r="H135" s="1841">
        <f t="shared" si="7"/>
        <v>58</v>
      </c>
      <c r="I135" s="1838">
        <f t="shared" si="8"/>
        <v>73920</v>
      </c>
      <c r="J135" s="1838">
        <v>0</v>
      </c>
      <c r="K135" s="1838">
        <v>0</v>
      </c>
      <c r="L135" s="1838">
        <v>0</v>
      </c>
      <c r="M135" s="1838">
        <v>0</v>
      </c>
      <c r="N135" s="1838" t="s">
        <v>3296</v>
      </c>
      <c r="O135" s="1838" t="s">
        <v>3297</v>
      </c>
      <c r="P135" s="1838"/>
    </row>
    <row r="136" spans="2:16" s="1843" customFormat="1">
      <c r="B136" s="1838">
        <f t="shared" si="9"/>
        <v>133</v>
      </c>
      <c r="C136" s="1838" t="s">
        <v>151</v>
      </c>
      <c r="D136" s="1838" t="s">
        <v>3162</v>
      </c>
      <c r="E136" s="1838" t="s">
        <v>3306</v>
      </c>
      <c r="F136" s="1839">
        <v>45327</v>
      </c>
      <c r="G136" s="1840">
        <v>42840</v>
      </c>
      <c r="H136" s="1841">
        <f t="shared" si="7"/>
        <v>55</v>
      </c>
      <c r="I136" s="1838">
        <f t="shared" si="8"/>
        <v>42840</v>
      </c>
      <c r="J136" s="1838">
        <v>0</v>
      </c>
      <c r="K136" s="1838">
        <v>0</v>
      </c>
      <c r="L136" s="1838">
        <v>0</v>
      </c>
      <c r="M136" s="1838">
        <v>0</v>
      </c>
      <c r="N136" s="1838" t="s">
        <v>3296</v>
      </c>
      <c r="O136" s="1838" t="s">
        <v>3297</v>
      </c>
      <c r="P136" s="1838"/>
    </row>
    <row r="137" spans="2:16" s="1843" customFormat="1">
      <c r="B137" s="1838">
        <f t="shared" si="9"/>
        <v>134</v>
      </c>
      <c r="C137" s="1838" t="s">
        <v>151</v>
      </c>
      <c r="D137" s="1838" t="s">
        <v>3162</v>
      </c>
      <c r="E137" s="1838" t="s">
        <v>3307</v>
      </c>
      <c r="F137" s="1839">
        <v>45329</v>
      </c>
      <c r="G137" s="1840">
        <v>67872</v>
      </c>
      <c r="H137" s="1841">
        <f t="shared" si="7"/>
        <v>53</v>
      </c>
      <c r="I137" s="1838">
        <f t="shared" si="8"/>
        <v>67872</v>
      </c>
      <c r="J137" s="1838">
        <v>0</v>
      </c>
      <c r="K137" s="1838">
        <v>0</v>
      </c>
      <c r="L137" s="1838">
        <v>0</v>
      </c>
      <c r="M137" s="1838">
        <v>0</v>
      </c>
      <c r="N137" s="1838" t="s">
        <v>3296</v>
      </c>
      <c r="O137" s="1838" t="s">
        <v>3297</v>
      </c>
      <c r="P137" s="1838"/>
    </row>
    <row r="138" spans="2:16" s="1843" customFormat="1">
      <c r="B138" s="1838">
        <f t="shared" si="9"/>
        <v>135</v>
      </c>
      <c r="C138" s="1838" t="s">
        <v>151</v>
      </c>
      <c r="D138" s="1838" t="s">
        <v>3162</v>
      </c>
      <c r="E138" s="1838" t="s">
        <v>3308</v>
      </c>
      <c r="F138" s="1839">
        <v>45331</v>
      </c>
      <c r="G138" s="1840">
        <v>17892</v>
      </c>
      <c r="H138" s="1841">
        <f t="shared" si="7"/>
        <v>51</v>
      </c>
      <c r="I138" s="1838">
        <f t="shared" si="8"/>
        <v>17892</v>
      </c>
      <c r="J138" s="1838">
        <v>0</v>
      </c>
      <c r="K138" s="1838">
        <v>0</v>
      </c>
      <c r="L138" s="1838">
        <v>0</v>
      </c>
      <c r="M138" s="1838">
        <v>0</v>
      </c>
      <c r="N138" s="1838" t="s">
        <v>3296</v>
      </c>
      <c r="O138" s="1838" t="s">
        <v>3297</v>
      </c>
      <c r="P138" s="1838"/>
    </row>
    <row r="139" spans="2:16" s="1843" customFormat="1">
      <c r="B139" s="1838">
        <f t="shared" si="9"/>
        <v>136</v>
      </c>
      <c r="C139" s="1838" t="s">
        <v>151</v>
      </c>
      <c r="D139" s="1838" t="s">
        <v>3162</v>
      </c>
      <c r="E139" s="1838" t="s">
        <v>3309</v>
      </c>
      <c r="F139" s="1839">
        <v>45332</v>
      </c>
      <c r="G139" s="1840">
        <v>15960</v>
      </c>
      <c r="H139" s="1841">
        <f t="shared" si="7"/>
        <v>50</v>
      </c>
      <c r="I139" s="1838">
        <f t="shared" si="8"/>
        <v>15960</v>
      </c>
      <c r="J139" s="1838">
        <v>0</v>
      </c>
      <c r="K139" s="1838">
        <v>0</v>
      </c>
      <c r="L139" s="1838">
        <v>0</v>
      </c>
      <c r="M139" s="1838">
        <v>0</v>
      </c>
      <c r="N139" s="1838" t="s">
        <v>3296</v>
      </c>
      <c r="O139" s="1838" t="s">
        <v>3297</v>
      </c>
      <c r="P139" s="1838"/>
    </row>
    <row r="140" spans="2:16" s="1843" customFormat="1">
      <c r="B140" s="1838">
        <f t="shared" si="9"/>
        <v>137</v>
      </c>
      <c r="C140" s="1838" t="s">
        <v>151</v>
      </c>
      <c r="D140" s="1838" t="s">
        <v>3162</v>
      </c>
      <c r="E140" s="1838" t="s">
        <v>3310</v>
      </c>
      <c r="F140" s="1839">
        <v>45333</v>
      </c>
      <c r="G140" s="1840">
        <v>18480</v>
      </c>
      <c r="H140" s="1841">
        <f t="shared" si="7"/>
        <v>49</v>
      </c>
      <c r="I140" s="1838">
        <f t="shared" si="8"/>
        <v>18480</v>
      </c>
      <c r="J140" s="1838">
        <v>0</v>
      </c>
      <c r="K140" s="1838">
        <v>0</v>
      </c>
      <c r="L140" s="1838">
        <v>0</v>
      </c>
      <c r="M140" s="1838">
        <v>0</v>
      </c>
      <c r="N140" s="1838" t="s">
        <v>3296</v>
      </c>
      <c r="O140" s="1838" t="s">
        <v>3297</v>
      </c>
      <c r="P140" s="1838"/>
    </row>
    <row r="141" spans="2:16" s="1843" customFormat="1">
      <c r="B141" s="1838">
        <f t="shared" si="9"/>
        <v>138</v>
      </c>
      <c r="C141" s="1838" t="s">
        <v>151</v>
      </c>
      <c r="D141" s="1838" t="s">
        <v>3162</v>
      </c>
      <c r="E141" s="1838" t="s">
        <v>3311</v>
      </c>
      <c r="F141" s="1839">
        <v>45334</v>
      </c>
      <c r="G141" s="1840">
        <v>6384</v>
      </c>
      <c r="H141" s="1841">
        <f t="shared" si="7"/>
        <v>48</v>
      </c>
      <c r="I141" s="1838">
        <f t="shared" si="8"/>
        <v>6384</v>
      </c>
      <c r="J141" s="1838">
        <v>0</v>
      </c>
      <c r="K141" s="1838">
        <v>0</v>
      </c>
      <c r="L141" s="1838">
        <v>0</v>
      </c>
      <c r="M141" s="1838">
        <v>0</v>
      </c>
      <c r="N141" s="1838" t="s">
        <v>3296</v>
      </c>
      <c r="O141" s="1838" t="s">
        <v>3297</v>
      </c>
      <c r="P141" s="1838"/>
    </row>
    <row r="142" spans="2:16" s="1843" customFormat="1">
      <c r="B142" s="1838">
        <f t="shared" si="9"/>
        <v>139</v>
      </c>
      <c r="C142" s="1838" t="s">
        <v>151</v>
      </c>
      <c r="D142" s="1838" t="s">
        <v>3162</v>
      </c>
      <c r="E142" s="1838" t="s">
        <v>3312</v>
      </c>
      <c r="F142" s="1839">
        <v>45335</v>
      </c>
      <c r="G142" s="1840">
        <v>20507</v>
      </c>
      <c r="H142" s="1841">
        <f t="shared" si="7"/>
        <v>47</v>
      </c>
      <c r="I142" s="1838">
        <f t="shared" si="8"/>
        <v>20507</v>
      </c>
      <c r="J142" s="1838">
        <v>0</v>
      </c>
      <c r="K142" s="1838">
        <v>0</v>
      </c>
      <c r="L142" s="1838">
        <v>0</v>
      </c>
      <c r="M142" s="1838">
        <v>0</v>
      </c>
      <c r="N142" s="1838" t="s">
        <v>3296</v>
      </c>
      <c r="O142" s="1838" t="s">
        <v>3297</v>
      </c>
      <c r="P142" s="1838"/>
    </row>
    <row r="143" spans="2:16" s="1843" customFormat="1">
      <c r="B143" s="1838">
        <f t="shared" si="9"/>
        <v>140</v>
      </c>
      <c r="C143" s="1838" t="s">
        <v>151</v>
      </c>
      <c r="D143" s="1838" t="s">
        <v>3162</v>
      </c>
      <c r="E143" s="1838" t="s">
        <v>3313</v>
      </c>
      <c r="F143" s="1839">
        <v>45337</v>
      </c>
      <c r="G143" s="1840">
        <v>43698</v>
      </c>
      <c r="H143" s="1841">
        <f t="shared" si="7"/>
        <v>45</v>
      </c>
      <c r="I143" s="1838">
        <f t="shared" si="8"/>
        <v>43698</v>
      </c>
      <c r="J143" s="1838">
        <v>0</v>
      </c>
      <c r="K143" s="1838">
        <v>0</v>
      </c>
      <c r="L143" s="1838">
        <v>0</v>
      </c>
      <c r="M143" s="1838">
        <v>0</v>
      </c>
      <c r="N143" s="1838" t="s">
        <v>3296</v>
      </c>
      <c r="O143" s="1838" t="s">
        <v>3297</v>
      </c>
      <c r="P143" s="1838"/>
    </row>
    <row r="144" spans="2:16" s="1843" customFormat="1">
      <c r="B144" s="1838">
        <f t="shared" si="9"/>
        <v>141</v>
      </c>
      <c r="C144" s="1838" t="s">
        <v>151</v>
      </c>
      <c r="D144" s="1838" t="s">
        <v>3162</v>
      </c>
      <c r="E144" s="1838" t="s">
        <v>3314</v>
      </c>
      <c r="F144" s="1839">
        <v>45337</v>
      </c>
      <c r="G144" s="1840">
        <v>67541</v>
      </c>
      <c r="H144" s="1841">
        <f t="shared" si="7"/>
        <v>45</v>
      </c>
      <c r="I144" s="1838">
        <f t="shared" si="8"/>
        <v>67541</v>
      </c>
      <c r="J144" s="1838">
        <v>0</v>
      </c>
      <c r="K144" s="1838">
        <v>0</v>
      </c>
      <c r="L144" s="1838">
        <v>0</v>
      </c>
      <c r="M144" s="1838">
        <v>0</v>
      </c>
      <c r="N144" s="1838" t="s">
        <v>3296</v>
      </c>
      <c r="O144" s="1838" t="s">
        <v>3297</v>
      </c>
      <c r="P144" s="1838"/>
    </row>
    <row r="145" spans="2:16" s="1843" customFormat="1">
      <c r="B145" s="1838">
        <f t="shared" si="9"/>
        <v>142</v>
      </c>
      <c r="C145" s="1838" t="s">
        <v>151</v>
      </c>
      <c r="D145" s="1838" t="s">
        <v>3162</v>
      </c>
      <c r="E145" s="1838" t="s">
        <v>3315</v>
      </c>
      <c r="F145" s="1839">
        <v>45339</v>
      </c>
      <c r="G145" s="1840">
        <v>64025</v>
      </c>
      <c r="H145" s="1841">
        <f t="shared" si="7"/>
        <v>43</v>
      </c>
      <c r="I145" s="1838">
        <f t="shared" si="8"/>
        <v>64025</v>
      </c>
      <c r="J145" s="1838">
        <v>0</v>
      </c>
      <c r="K145" s="1838">
        <v>0</v>
      </c>
      <c r="L145" s="1838">
        <v>0</v>
      </c>
      <c r="M145" s="1838">
        <v>0</v>
      </c>
      <c r="N145" s="1838" t="s">
        <v>3296</v>
      </c>
      <c r="O145" s="1838" t="s">
        <v>3297</v>
      </c>
      <c r="P145" s="1838"/>
    </row>
    <row r="146" spans="2:16" s="1843" customFormat="1">
      <c r="B146" s="1838">
        <f t="shared" si="9"/>
        <v>143</v>
      </c>
      <c r="C146" s="1838" t="s">
        <v>151</v>
      </c>
      <c r="D146" s="1838" t="s">
        <v>3162</v>
      </c>
      <c r="E146" s="1838" t="s">
        <v>3316</v>
      </c>
      <c r="F146" s="1839">
        <v>45343</v>
      </c>
      <c r="G146" s="1840">
        <v>55519</v>
      </c>
      <c r="H146" s="1841">
        <f t="shared" si="7"/>
        <v>39</v>
      </c>
      <c r="I146" s="1838">
        <f t="shared" si="8"/>
        <v>55519</v>
      </c>
      <c r="J146" s="1838">
        <v>0</v>
      </c>
      <c r="K146" s="1838">
        <v>0</v>
      </c>
      <c r="L146" s="1838">
        <v>0</v>
      </c>
      <c r="M146" s="1838">
        <v>0</v>
      </c>
      <c r="N146" s="1838" t="s">
        <v>3296</v>
      </c>
      <c r="O146" s="1838" t="s">
        <v>3297</v>
      </c>
      <c r="P146" s="1838"/>
    </row>
    <row r="147" spans="2:16" s="1843" customFormat="1">
      <c r="B147" s="1838">
        <f t="shared" si="9"/>
        <v>144</v>
      </c>
      <c r="C147" s="1838" t="s">
        <v>151</v>
      </c>
      <c r="D147" s="1838" t="s">
        <v>3162</v>
      </c>
      <c r="E147" s="1838" t="s">
        <v>3317</v>
      </c>
      <c r="F147" s="1839">
        <v>45349</v>
      </c>
      <c r="G147" s="1840">
        <v>9771</v>
      </c>
      <c r="H147" s="1841">
        <f t="shared" si="7"/>
        <v>33</v>
      </c>
      <c r="I147" s="1838">
        <f t="shared" si="8"/>
        <v>9771</v>
      </c>
      <c r="J147" s="1838">
        <v>0</v>
      </c>
      <c r="K147" s="1838">
        <v>0</v>
      </c>
      <c r="L147" s="1838">
        <v>0</v>
      </c>
      <c r="M147" s="1838">
        <v>0</v>
      </c>
      <c r="N147" s="1838" t="s">
        <v>3296</v>
      </c>
      <c r="O147" s="1838" t="s">
        <v>3297</v>
      </c>
      <c r="P147" s="1838"/>
    </row>
    <row r="148" spans="2:16" s="1843" customFormat="1">
      <c r="B148" s="1838">
        <f t="shared" si="9"/>
        <v>145</v>
      </c>
      <c r="C148" s="1838" t="s">
        <v>151</v>
      </c>
      <c r="D148" s="1838" t="s">
        <v>3162</v>
      </c>
      <c r="E148" s="1838" t="s">
        <v>3318</v>
      </c>
      <c r="F148" s="1839">
        <v>45350</v>
      </c>
      <c r="G148" s="1840">
        <v>44119</v>
      </c>
      <c r="H148" s="1841">
        <f t="shared" si="7"/>
        <v>32</v>
      </c>
      <c r="I148" s="1838">
        <f t="shared" si="8"/>
        <v>44119</v>
      </c>
      <c r="J148" s="1838">
        <v>0</v>
      </c>
      <c r="K148" s="1838">
        <v>0</v>
      </c>
      <c r="L148" s="1838">
        <v>0</v>
      </c>
      <c r="M148" s="1838">
        <v>0</v>
      </c>
      <c r="N148" s="1838" t="s">
        <v>3296</v>
      </c>
      <c r="O148" s="1838" t="s">
        <v>3297</v>
      </c>
      <c r="P148" s="1838"/>
    </row>
    <row r="149" spans="2:16" s="1843" customFormat="1">
      <c r="B149" s="1838">
        <f t="shared" si="9"/>
        <v>146</v>
      </c>
      <c r="C149" s="1838" t="s">
        <v>151</v>
      </c>
      <c r="D149" s="1838" t="s">
        <v>3162</v>
      </c>
      <c r="E149" s="1838" t="s">
        <v>3319</v>
      </c>
      <c r="F149" s="1839">
        <v>45350</v>
      </c>
      <c r="G149" s="1840">
        <v>-587</v>
      </c>
      <c r="H149" s="1841">
        <f t="shared" si="7"/>
        <v>32</v>
      </c>
      <c r="I149" s="1838">
        <f t="shared" si="8"/>
        <v>-587</v>
      </c>
      <c r="J149" s="1838">
        <v>0</v>
      </c>
      <c r="K149" s="1838">
        <v>0</v>
      </c>
      <c r="L149" s="1838">
        <v>0</v>
      </c>
      <c r="M149" s="1838">
        <v>0</v>
      </c>
      <c r="N149" s="1838" t="s">
        <v>3296</v>
      </c>
      <c r="O149" s="1838" t="s">
        <v>3297</v>
      </c>
      <c r="P149" s="1838"/>
    </row>
    <row r="150" spans="2:16" s="1843" customFormat="1">
      <c r="B150" s="1838">
        <f t="shared" si="9"/>
        <v>147</v>
      </c>
      <c r="C150" s="1838" t="s">
        <v>151</v>
      </c>
      <c r="D150" s="1838" t="s">
        <v>3162</v>
      </c>
      <c r="E150" s="1838" t="s">
        <v>3320</v>
      </c>
      <c r="F150" s="1839">
        <v>45352</v>
      </c>
      <c r="G150" s="1840">
        <v>51077</v>
      </c>
      <c r="H150" s="1841">
        <f t="shared" si="7"/>
        <v>30</v>
      </c>
      <c r="I150" s="1838">
        <f t="shared" si="8"/>
        <v>51077</v>
      </c>
      <c r="J150" s="1838">
        <v>0</v>
      </c>
      <c r="K150" s="1838">
        <v>0</v>
      </c>
      <c r="L150" s="1838">
        <v>0</v>
      </c>
      <c r="M150" s="1838">
        <v>0</v>
      </c>
      <c r="N150" s="1838" t="s">
        <v>3296</v>
      </c>
      <c r="O150" s="1838" t="s">
        <v>3297</v>
      </c>
      <c r="P150" s="1838"/>
    </row>
    <row r="151" spans="2:16" s="1843" customFormat="1">
      <c r="B151" s="1838">
        <f t="shared" si="9"/>
        <v>148</v>
      </c>
      <c r="C151" s="1838" t="s">
        <v>151</v>
      </c>
      <c r="D151" s="1838" t="s">
        <v>3162</v>
      </c>
      <c r="E151" s="1838" t="s">
        <v>3321</v>
      </c>
      <c r="F151" s="1839">
        <v>45352</v>
      </c>
      <c r="G151" s="1840">
        <v>13325</v>
      </c>
      <c r="H151" s="1841">
        <f t="shared" si="7"/>
        <v>30</v>
      </c>
      <c r="I151" s="1838">
        <f t="shared" si="8"/>
        <v>13325</v>
      </c>
      <c r="J151" s="1838">
        <v>0</v>
      </c>
      <c r="K151" s="1838">
        <v>0</v>
      </c>
      <c r="L151" s="1838">
        <v>0</v>
      </c>
      <c r="M151" s="1838">
        <v>0</v>
      </c>
      <c r="N151" s="1838" t="s">
        <v>3296</v>
      </c>
      <c r="O151" s="1838" t="s">
        <v>3297</v>
      </c>
      <c r="P151" s="1838"/>
    </row>
    <row r="152" spans="2:16" s="1843" customFormat="1">
      <c r="B152" s="1838">
        <f t="shared" si="9"/>
        <v>149</v>
      </c>
      <c r="C152" s="1838" t="s">
        <v>151</v>
      </c>
      <c r="D152" s="1838" t="s">
        <v>3162</v>
      </c>
      <c r="E152" s="1838" t="s">
        <v>3322</v>
      </c>
      <c r="F152" s="1839">
        <v>45354</v>
      </c>
      <c r="G152" s="1840">
        <v>24817</v>
      </c>
      <c r="H152" s="1841">
        <f t="shared" si="7"/>
        <v>28</v>
      </c>
      <c r="I152" s="1838">
        <f t="shared" si="8"/>
        <v>24817</v>
      </c>
      <c r="J152" s="1838">
        <v>0</v>
      </c>
      <c r="K152" s="1838">
        <v>0</v>
      </c>
      <c r="L152" s="1838">
        <v>0</v>
      </c>
      <c r="M152" s="1838">
        <v>0</v>
      </c>
      <c r="N152" s="1838" t="s">
        <v>3296</v>
      </c>
      <c r="O152" s="1838" t="s">
        <v>3297</v>
      </c>
      <c r="P152" s="1838"/>
    </row>
    <row r="153" spans="2:16" s="1843" customFormat="1">
      <c r="B153" s="1838">
        <f t="shared" si="9"/>
        <v>150</v>
      </c>
      <c r="C153" s="1838" t="s">
        <v>151</v>
      </c>
      <c r="D153" s="1838" t="s">
        <v>3162</v>
      </c>
      <c r="E153" s="1838" t="s">
        <v>3323</v>
      </c>
      <c r="F153" s="1839">
        <v>45356</v>
      </c>
      <c r="G153" s="1840">
        <v>57094</v>
      </c>
      <c r="H153" s="1841">
        <f t="shared" si="7"/>
        <v>26</v>
      </c>
      <c r="I153" s="1838">
        <f t="shared" si="8"/>
        <v>57094</v>
      </c>
      <c r="J153" s="1838">
        <v>0</v>
      </c>
      <c r="K153" s="1838">
        <v>0</v>
      </c>
      <c r="L153" s="1838">
        <v>0</v>
      </c>
      <c r="M153" s="1838">
        <v>0</v>
      </c>
      <c r="N153" s="1838" t="s">
        <v>3296</v>
      </c>
      <c r="O153" s="1838" t="s">
        <v>3297</v>
      </c>
      <c r="P153" s="1838"/>
    </row>
    <row r="154" spans="2:16" s="1843" customFormat="1">
      <c r="B154" s="1838">
        <f t="shared" si="9"/>
        <v>151</v>
      </c>
      <c r="C154" s="1838" t="s">
        <v>151</v>
      </c>
      <c r="D154" s="1838" t="s">
        <v>3162</v>
      </c>
      <c r="E154" s="1838" t="s">
        <v>3324</v>
      </c>
      <c r="F154" s="1839">
        <v>45357</v>
      </c>
      <c r="G154" s="1840">
        <v>33876</v>
      </c>
      <c r="H154" s="1841">
        <f t="shared" si="7"/>
        <v>25</v>
      </c>
      <c r="I154" s="1838">
        <f t="shared" si="8"/>
        <v>33876</v>
      </c>
      <c r="J154" s="1838">
        <v>0</v>
      </c>
      <c r="K154" s="1838">
        <v>0</v>
      </c>
      <c r="L154" s="1838">
        <v>0</v>
      </c>
      <c r="M154" s="1838">
        <v>0</v>
      </c>
      <c r="N154" s="1838" t="s">
        <v>3296</v>
      </c>
      <c r="O154" s="1838" t="s">
        <v>3297</v>
      </c>
      <c r="P154" s="1838"/>
    </row>
    <row r="155" spans="2:16" s="1843" customFormat="1">
      <c r="B155" s="1838">
        <f t="shared" si="9"/>
        <v>152</v>
      </c>
      <c r="C155" s="1838" t="s">
        <v>151</v>
      </c>
      <c r="D155" s="1838" t="s">
        <v>3162</v>
      </c>
      <c r="E155" s="1838" t="s">
        <v>3325</v>
      </c>
      <c r="F155" s="1839">
        <v>45360</v>
      </c>
      <c r="G155" s="1840">
        <v>35779</v>
      </c>
      <c r="H155" s="1841">
        <f t="shared" si="7"/>
        <v>22</v>
      </c>
      <c r="I155" s="1838">
        <f t="shared" si="8"/>
        <v>35779</v>
      </c>
      <c r="J155" s="1838">
        <v>0</v>
      </c>
      <c r="K155" s="1838">
        <v>0</v>
      </c>
      <c r="L155" s="1838">
        <v>0</v>
      </c>
      <c r="M155" s="1838">
        <v>0</v>
      </c>
      <c r="N155" s="1838" t="s">
        <v>3296</v>
      </c>
      <c r="O155" s="1838" t="s">
        <v>3297</v>
      </c>
      <c r="P155" s="1838"/>
    </row>
    <row r="156" spans="2:16" s="1843" customFormat="1">
      <c r="B156" s="1838">
        <f t="shared" si="9"/>
        <v>153</v>
      </c>
      <c r="C156" s="1838" t="s">
        <v>151</v>
      </c>
      <c r="D156" s="1838" t="s">
        <v>3162</v>
      </c>
      <c r="E156" s="1838" t="s">
        <v>3326</v>
      </c>
      <c r="F156" s="1839">
        <v>45362</v>
      </c>
      <c r="G156" s="1840">
        <v>52070</v>
      </c>
      <c r="H156" s="1841">
        <f t="shared" si="7"/>
        <v>20</v>
      </c>
      <c r="I156" s="1838">
        <f t="shared" si="8"/>
        <v>52070</v>
      </c>
      <c r="J156" s="1838">
        <v>0</v>
      </c>
      <c r="K156" s="1838">
        <v>0</v>
      </c>
      <c r="L156" s="1838">
        <v>0</v>
      </c>
      <c r="M156" s="1838">
        <v>0</v>
      </c>
      <c r="N156" s="1838" t="s">
        <v>3296</v>
      </c>
      <c r="O156" s="1838" t="s">
        <v>3297</v>
      </c>
      <c r="P156" s="1838"/>
    </row>
    <row r="157" spans="2:16" s="1843" customFormat="1">
      <c r="B157" s="1838">
        <f t="shared" si="9"/>
        <v>154</v>
      </c>
      <c r="C157" s="1838" t="s">
        <v>151</v>
      </c>
      <c r="D157" s="1838" t="s">
        <v>3162</v>
      </c>
      <c r="E157" s="1838" t="s">
        <v>3327</v>
      </c>
      <c r="F157" s="1839">
        <v>45364</v>
      </c>
      <c r="G157" s="1840">
        <v>29256</v>
      </c>
      <c r="H157" s="1841">
        <f t="shared" si="7"/>
        <v>18</v>
      </c>
      <c r="I157" s="1838">
        <f t="shared" si="8"/>
        <v>29256</v>
      </c>
      <c r="J157" s="1838">
        <v>0</v>
      </c>
      <c r="K157" s="1838">
        <v>0</v>
      </c>
      <c r="L157" s="1838">
        <v>0</v>
      </c>
      <c r="M157" s="1838">
        <v>0</v>
      </c>
      <c r="N157" s="1838" t="s">
        <v>3296</v>
      </c>
      <c r="O157" s="1838" t="s">
        <v>3297</v>
      </c>
      <c r="P157" s="1838"/>
    </row>
    <row r="158" spans="2:16" s="1843" customFormat="1">
      <c r="B158" s="1838">
        <f t="shared" si="9"/>
        <v>155</v>
      </c>
      <c r="C158" s="1838" t="s">
        <v>151</v>
      </c>
      <c r="D158" s="1838" t="s">
        <v>3162</v>
      </c>
      <c r="E158" s="1838" t="s">
        <v>3328</v>
      </c>
      <c r="F158" s="1839">
        <v>45369</v>
      </c>
      <c r="G158" s="1840">
        <v>32542</v>
      </c>
      <c r="H158" s="1841">
        <f t="shared" si="7"/>
        <v>13</v>
      </c>
      <c r="I158" s="1838">
        <f t="shared" si="8"/>
        <v>32542</v>
      </c>
      <c r="J158" s="1838">
        <v>0</v>
      </c>
      <c r="K158" s="1838">
        <v>0</v>
      </c>
      <c r="L158" s="1838">
        <v>0</v>
      </c>
      <c r="M158" s="1838">
        <v>0</v>
      </c>
      <c r="N158" s="1838" t="s">
        <v>3296</v>
      </c>
      <c r="O158" s="1838" t="s">
        <v>3297</v>
      </c>
      <c r="P158" s="1838"/>
    </row>
    <row r="159" spans="2:16" s="1843" customFormat="1">
      <c r="B159" s="1838">
        <f t="shared" si="9"/>
        <v>156</v>
      </c>
      <c r="C159" s="1838" t="s">
        <v>151</v>
      </c>
      <c r="D159" s="1838" t="s">
        <v>3162</v>
      </c>
      <c r="E159" s="1838" t="s">
        <v>3329</v>
      </c>
      <c r="F159" s="1839">
        <v>45369</v>
      </c>
      <c r="G159" s="1840">
        <v>21903</v>
      </c>
      <c r="H159" s="1841">
        <f t="shared" si="7"/>
        <v>13</v>
      </c>
      <c r="I159" s="1838">
        <f t="shared" si="8"/>
        <v>21903</v>
      </c>
      <c r="J159" s="1838">
        <v>0</v>
      </c>
      <c r="K159" s="1838">
        <v>0</v>
      </c>
      <c r="L159" s="1838">
        <v>0</v>
      </c>
      <c r="M159" s="1838">
        <v>0</v>
      </c>
      <c r="N159" s="1838" t="s">
        <v>3296</v>
      </c>
      <c r="O159" s="1838" t="s">
        <v>3297</v>
      </c>
      <c r="P159" s="1838"/>
    </row>
    <row r="160" spans="2:16" s="1843" customFormat="1">
      <c r="B160" s="1838">
        <f t="shared" si="9"/>
        <v>157</v>
      </c>
      <c r="C160" s="1838" t="s">
        <v>151</v>
      </c>
      <c r="D160" s="1838" t="s">
        <v>3162</v>
      </c>
      <c r="E160" s="1838" t="s">
        <v>3330</v>
      </c>
      <c r="F160" s="1839">
        <v>45370</v>
      </c>
      <c r="G160" s="1840">
        <v>25423</v>
      </c>
      <c r="H160" s="1841">
        <f t="shared" si="7"/>
        <v>12</v>
      </c>
      <c r="I160" s="1838">
        <f t="shared" si="8"/>
        <v>25423</v>
      </c>
      <c r="J160" s="1838">
        <v>0</v>
      </c>
      <c r="K160" s="1838">
        <v>0</v>
      </c>
      <c r="L160" s="1838">
        <v>0</v>
      </c>
      <c r="M160" s="1838">
        <v>0</v>
      </c>
      <c r="N160" s="1838" t="s">
        <v>3296</v>
      </c>
      <c r="O160" s="1838" t="s">
        <v>3297</v>
      </c>
      <c r="P160" s="1838"/>
    </row>
    <row r="161" spans="2:16" s="1843" customFormat="1">
      <c r="B161" s="1838">
        <f t="shared" si="9"/>
        <v>158</v>
      </c>
      <c r="C161" s="1838" t="s">
        <v>151</v>
      </c>
      <c r="D161" s="1838" t="s">
        <v>3162</v>
      </c>
      <c r="E161" s="1838" t="s">
        <v>3331</v>
      </c>
      <c r="F161" s="1839">
        <v>45371</v>
      </c>
      <c r="G161" s="1840">
        <v>34888</v>
      </c>
      <c r="H161" s="1841">
        <f t="shared" si="7"/>
        <v>11</v>
      </c>
      <c r="I161" s="1838">
        <f t="shared" si="8"/>
        <v>34888</v>
      </c>
      <c r="J161" s="1838">
        <v>0</v>
      </c>
      <c r="K161" s="1838">
        <v>0</v>
      </c>
      <c r="L161" s="1838">
        <v>0</v>
      </c>
      <c r="M161" s="1838">
        <v>0</v>
      </c>
      <c r="N161" s="1838" t="s">
        <v>3296</v>
      </c>
      <c r="O161" s="1838" t="s">
        <v>3297</v>
      </c>
      <c r="P161" s="1838"/>
    </row>
    <row r="162" spans="2:16" s="1843" customFormat="1">
      <c r="B162" s="1838">
        <f t="shared" si="9"/>
        <v>159</v>
      </c>
      <c r="C162" s="1838" t="s">
        <v>151</v>
      </c>
      <c r="D162" s="1838" t="s">
        <v>3162</v>
      </c>
      <c r="E162" s="1838" t="s">
        <v>3332</v>
      </c>
      <c r="F162" s="1839">
        <v>45373</v>
      </c>
      <c r="G162" s="1840">
        <v>28435</v>
      </c>
      <c r="H162" s="1841">
        <f t="shared" si="7"/>
        <v>9</v>
      </c>
      <c r="I162" s="1838">
        <f t="shared" si="8"/>
        <v>28435</v>
      </c>
      <c r="J162" s="1838">
        <v>0</v>
      </c>
      <c r="K162" s="1838">
        <v>0</v>
      </c>
      <c r="L162" s="1838">
        <v>0</v>
      </c>
      <c r="M162" s="1838">
        <v>0</v>
      </c>
      <c r="N162" s="1838" t="s">
        <v>3296</v>
      </c>
      <c r="O162" s="1838" t="s">
        <v>3297</v>
      </c>
      <c r="P162" s="1838"/>
    </row>
    <row r="163" spans="2:16" s="1843" customFormat="1">
      <c r="B163" s="1838">
        <f t="shared" si="9"/>
        <v>160</v>
      </c>
      <c r="C163" s="1838" t="s">
        <v>151</v>
      </c>
      <c r="D163" s="1838" t="s">
        <v>3162</v>
      </c>
      <c r="E163" s="1838" t="s">
        <v>3333</v>
      </c>
      <c r="F163" s="1839">
        <v>45377</v>
      </c>
      <c r="G163" s="1840">
        <v>71489</v>
      </c>
      <c r="H163" s="1841">
        <f t="shared" si="7"/>
        <v>5</v>
      </c>
      <c r="I163" s="1838">
        <f t="shared" si="8"/>
        <v>71489</v>
      </c>
      <c r="J163" s="1838">
        <v>0</v>
      </c>
      <c r="K163" s="1838">
        <v>0</v>
      </c>
      <c r="L163" s="1838">
        <v>0</v>
      </c>
      <c r="M163" s="1838">
        <v>0</v>
      </c>
      <c r="N163" s="1838" t="s">
        <v>3296</v>
      </c>
      <c r="O163" s="1838" t="s">
        <v>3297</v>
      </c>
      <c r="P163" s="1838"/>
    </row>
    <row r="164" spans="2:16" s="1843" customFormat="1">
      <c r="B164" s="1838">
        <f t="shared" si="9"/>
        <v>161</v>
      </c>
      <c r="C164" s="1838" t="s">
        <v>151</v>
      </c>
      <c r="D164" s="1838" t="s">
        <v>3162</v>
      </c>
      <c r="E164" s="1838" t="s">
        <v>3334</v>
      </c>
      <c r="F164" s="1839">
        <v>45379</v>
      </c>
      <c r="G164" s="1840">
        <v>24570</v>
      </c>
      <c r="H164" s="1841">
        <f t="shared" si="7"/>
        <v>3</v>
      </c>
      <c r="I164" s="1838">
        <f t="shared" si="8"/>
        <v>24570</v>
      </c>
      <c r="J164" s="1838">
        <v>0</v>
      </c>
      <c r="K164" s="1838">
        <v>0</v>
      </c>
      <c r="L164" s="1838">
        <v>0</v>
      </c>
      <c r="M164" s="1838">
        <v>0</v>
      </c>
      <c r="N164" s="1838" t="s">
        <v>3296</v>
      </c>
      <c r="O164" s="1838" t="s">
        <v>3297</v>
      </c>
      <c r="P164" s="1838"/>
    </row>
    <row r="165" spans="2:16" s="1843" customFormat="1">
      <c r="B165" s="1838">
        <f t="shared" si="9"/>
        <v>162</v>
      </c>
      <c r="C165" s="1838" t="s">
        <v>151</v>
      </c>
      <c r="D165" s="1838" t="s">
        <v>3162</v>
      </c>
      <c r="E165" s="1838" t="s">
        <v>3335</v>
      </c>
      <c r="F165" s="1839">
        <v>45381</v>
      </c>
      <c r="G165" s="1840">
        <v>27150</v>
      </c>
      <c r="H165" s="1841">
        <f t="shared" si="7"/>
        <v>1</v>
      </c>
      <c r="I165" s="1838">
        <f t="shared" si="8"/>
        <v>27150</v>
      </c>
      <c r="J165" s="1838">
        <v>0</v>
      </c>
      <c r="K165" s="1838">
        <v>0</v>
      </c>
      <c r="L165" s="1838">
        <v>0</v>
      </c>
      <c r="M165" s="1838">
        <v>0</v>
      </c>
      <c r="N165" s="1838" t="s">
        <v>3296</v>
      </c>
      <c r="O165" s="1838" t="s">
        <v>3297</v>
      </c>
      <c r="P165" s="1838"/>
    </row>
    <row r="166" spans="2:16" s="1843" customFormat="1">
      <c r="B166" s="1838">
        <f t="shared" si="9"/>
        <v>163</v>
      </c>
      <c r="C166" s="1838" t="s">
        <v>151</v>
      </c>
      <c r="D166" s="1838" t="s">
        <v>3162</v>
      </c>
      <c r="E166" s="1838" t="s">
        <v>3336</v>
      </c>
      <c r="F166" s="1839">
        <v>45382</v>
      </c>
      <c r="G166" s="1840">
        <v>25061</v>
      </c>
      <c r="H166" s="1841">
        <f t="shared" si="7"/>
        <v>0</v>
      </c>
      <c r="I166" s="1838">
        <f t="shared" si="8"/>
        <v>25061</v>
      </c>
      <c r="J166" s="1838">
        <v>0</v>
      </c>
      <c r="K166" s="1838">
        <v>0</v>
      </c>
      <c r="L166" s="1838">
        <v>0</v>
      </c>
      <c r="M166" s="1838">
        <v>0</v>
      </c>
      <c r="N166" s="1838" t="s">
        <v>3296</v>
      </c>
      <c r="O166" s="1838" t="s">
        <v>3297</v>
      </c>
      <c r="P166" s="1838"/>
    </row>
    <row r="167" spans="2:16" s="1843" customFormat="1">
      <c r="B167" s="1838">
        <f t="shared" si="9"/>
        <v>164</v>
      </c>
      <c r="C167" s="1838" t="s">
        <v>151</v>
      </c>
      <c r="D167" s="1838" t="s">
        <v>3162</v>
      </c>
      <c r="E167" s="1838" t="s">
        <v>3337</v>
      </c>
      <c r="F167" s="1839">
        <v>45382</v>
      </c>
      <c r="G167" s="1840">
        <v>-589</v>
      </c>
      <c r="H167" s="1841">
        <f t="shared" si="7"/>
        <v>0</v>
      </c>
      <c r="I167" s="1838">
        <f t="shared" si="8"/>
        <v>-589</v>
      </c>
      <c r="J167" s="1838">
        <v>0</v>
      </c>
      <c r="K167" s="1838">
        <v>0</v>
      </c>
      <c r="L167" s="1838">
        <v>0</v>
      </c>
      <c r="M167" s="1838">
        <v>0</v>
      </c>
      <c r="N167" s="1838" t="s">
        <v>3296</v>
      </c>
      <c r="O167" s="1838" t="s">
        <v>3297</v>
      </c>
      <c r="P167" s="1838"/>
    </row>
    <row r="168" spans="2:16" s="1843" customFormat="1">
      <c r="B168" s="1838">
        <f t="shared" si="9"/>
        <v>165</v>
      </c>
      <c r="C168" s="1838" t="s">
        <v>151</v>
      </c>
      <c r="D168" s="1838" t="s">
        <v>3162</v>
      </c>
      <c r="E168" s="1838" t="s">
        <v>3180</v>
      </c>
      <c r="F168" s="1839">
        <v>45382</v>
      </c>
      <c r="G168" s="1840">
        <v>-1</v>
      </c>
      <c r="H168" s="1841">
        <f t="shared" si="7"/>
        <v>0</v>
      </c>
      <c r="I168" s="1838">
        <f t="shared" si="8"/>
        <v>-1</v>
      </c>
      <c r="J168" s="1838">
        <v>0</v>
      </c>
      <c r="K168" s="1838">
        <v>0</v>
      </c>
      <c r="L168" s="1838">
        <v>0</v>
      </c>
      <c r="M168" s="1838">
        <v>0</v>
      </c>
      <c r="N168" s="1838" t="s">
        <v>3296</v>
      </c>
      <c r="O168" s="1838" t="s">
        <v>3297</v>
      </c>
      <c r="P168" s="1838"/>
    </row>
    <row r="169" spans="2:16" s="1843" customFormat="1">
      <c r="B169" s="1838">
        <f t="shared" si="9"/>
        <v>166</v>
      </c>
      <c r="C169" s="1838" t="s">
        <v>113</v>
      </c>
      <c r="D169" s="1838" t="s">
        <v>3162</v>
      </c>
      <c r="E169" s="1838" t="s">
        <v>3338</v>
      </c>
      <c r="F169" s="1839">
        <v>45276</v>
      </c>
      <c r="G169" s="1840">
        <v>193711</v>
      </c>
      <c r="H169" s="1841">
        <f t="shared" si="7"/>
        <v>106</v>
      </c>
      <c r="I169" s="1838">
        <f t="shared" si="8"/>
        <v>193711</v>
      </c>
      <c r="J169" s="1838">
        <v>0</v>
      </c>
      <c r="K169" s="1838">
        <v>0</v>
      </c>
      <c r="L169" s="1838">
        <v>0</v>
      </c>
      <c r="M169" s="1838">
        <v>0</v>
      </c>
      <c r="N169" s="1838" t="s">
        <v>3339</v>
      </c>
      <c r="O169" s="1838" t="s">
        <v>3340</v>
      </c>
      <c r="P169" s="1838"/>
    </row>
    <row r="170" spans="2:16" s="1843" customFormat="1">
      <c r="B170" s="1838">
        <f t="shared" si="9"/>
        <v>167</v>
      </c>
      <c r="C170" s="1838" t="s">
        <v>113</v>
      </c>
      <c r="D170" s="1838" t="s">
        <v>3162</v>
      </c>
      <c r="E170" s="1838" t="s">
        <v>3341</v>
      </c>
      <c r="F170" s="1839">
        <v>45276</v>
      </c>
      <c r="G170" s="1840">
        <v>167376</v>
      </c>
      <c r="H170" s="1841">
        <f t="shared" si="7"/>
        <v>106</v>
      </c>
      <c r="I170" s="1838">
        <f t="shared" si="8"/>
        <v>167376</v>
      </c>
      <c r="J170" s="1838">
        <v>0</v>
      </c>
      <c r="K170" s="1838">
        <v>0</v>
      </c>
      <c r="L170" s="1838">
        <v>0</v>
      </c>
      <c r="M170" s="1838">
        <v>0</v>
      </c>
      <c r="N170" s="1838" t="s">
        <v>3339</v>
      </c>
      <c r="O170" s="1838" t="s">
        <v>3340</v>
      </c>
      <c r="P170" s="1838"/>
    </row>
    <row r="171" spans="2:16" s="1843" customFormat="1">
      <c r="B171" s="1838">
        <f t="shared" si="9"/>
        <v>168</v>
      </c>
      <c r="C171" s="1838" t="s">
        <v>113</v>
      </c>
      <c r="D171" s="1838" t="s">
        <v>3162</v>
      </c>
      <c r="E171" s="1838" t="s">
        <v>3342</v>
      </c>
      <c r="F171" s="1839">
        <v>45277</v>
      </c>
      <c r="G171" s="1840">
        <v>166848</v>
      </c>
      <c r="H171" s="1841">
        <f t="shared" si="7"/>
        <v>105</v>
      </c>
      <c r="I171" s="1838">
        <f t="shared" si="8"/>
        <v>166848</v>
      </c>
      <c r="J171" s="1838">
        <v>0</v>
      </c>
      <c r="K171" s="1838">
        <v>0</v>
      </c>
      <c r="L171" s="1838">
        <v>0</v>
      </c>
      <c r="M171" s="1838">
        <v>0</v>
      </c>
      <c r="N171" s="1838" t="s">
        <v>3339</v>
      </c>
      <c r="O171" s="1838" t="s">
        <v>3340</v>
      </c>
      <c r="P171" s="1838"/>
    </row>
    <row r="172" spans="2:16" s="1843" customFormat="1">
      <c r="B172" s="1838">
        <f t="shared" si="9"/>
        <v>169</v>
      </c>
      <c r="C172" s="1838" t="s">
        <v>113</v>
      </c>
      <c r="D172" s="1838" t="s">
        <v>3162</v>
      </c>
      <c r="E172" s="1838" t="s">
        <v>3343</v>
      </c>
      <c r="F172" s="1839">
        <v>45277</v>
      </c>
      <c r="G172" s="1840">
        <v>152064</v>
      </c>
      <c r="H172" s="1841">
        <f t="shared" si="7"/>
        <v>105</v>
      </c>
      <c r="I172" s="1838">
        <f t="shared" si="8"/>
        <v>152064</v>
      </c>
      <c r="J172" s="1838">
        <v>0</v>
      </c>
      <c r="K172" s="1838">
        <v>0</v>
      </c>
      <c r="L172" s="1838">
        <v>0</v>
      </c>
      <c r="M172" s="1838">
        <v>0</v>
      </c>
      <c r="N172" s="1838" t="s">
        <v>3339</v>
      </c>
      <c r="O172" s="1838" t="s">
        <v>3340</v>
      </c>
      <c r="P172" s="1838"/>
    </row>
    <row r="173" spans="2:16" s="1843" customFormat="1">
      <c r="B173" s="1838">
        <f t="shared" si="9"/>
        <v>170</v>
      </c>
      <c r="C173" s="1838" t="s">
        <v>113</v>
      </c>
      <c r="D173" s="1838" t="s">
        <v>3162</v>
      </c>
      <c r="E173" s="1838" t="s">
        <v>3344</v>
      </c>
      <c r="F173" s="1839">
        <v>45277</v>
      </c>
      <c r="G173" s="1840">
        <v>190080</v>
      </c>
      <c r="H173" s="1841">
        <f t="shared" si="7"/>
        <v>105</v>
      </c>
      <c r="I173" s="1838">
        <f t="shared" si="8"/>
        <v>190080</v>
      </c>
      <c r="J173" s="1838">
        <v>0</v>
      </c>
      <c r="K173" s="1838">
        <v>0</v>
      </c>
      <c r="L173" s="1838">
        <v>0</v>
      </c>
      <c r="M173" s="1838">
        <v>0</v>
      </c>
      <c r="N173" s="1838" t="s">
        <v>3339</v>
      </c>
      <c r="O173" s="1838" t="s">
        <v>3340</v>
      </c>
      <c r="P173" s="1838"/>
    </row>
    <row r="174" spans="2:16" s="1843" customFormat="1">
      <c r="B174" s="1838">
        <f t="shared" si="9"/>
        <v>171</v>
      </c>
      <c r="C174" s="1838" t="s">
        <v>113</v>
      </c>
      <c r="D174" s="1838" t="s">
        <v>3162</v>
      </c>
      <c r="E174" s="1838" t="s">
        <v>3345</v>
      </c>
      <c r="F174" s="1839">
        <v>45278</v>
      </c>
      <c r="G174" s="1840">
        <v>195822</v>
      </c>
      <c r="H174" s="1841">
        <f t="shared" si="7"/>
        <v>104</v>
      </c>
      <c r="I174" s="1838">
        <f t="shared" si="8"/>
        <v>195822</v>
      </c>
      <c r="J174" s="1838">
        <v>0</v>
      </c>
      <c r="K174" s="1838">
        <v>0</v>
      </c>
      <c r="L174" s="1838">
        <v>0</v>
      </c>
      <c r="M174" s="1838">
        <v>0</v>
      </c>
      <c r="N174" s="1838" t="s">
        <v>3339</v>
      </c>
      <c r="O174" s="1838" t="s">
        <v>3340</v>
      </c>
      <c r="P174" s="1838"/>
    </row>
    <row r="175" spans="2:16" s="1843" customFormat="1">
      <c r="B175" s="1838">
        <f t="shared" si="9"/>
        <v>172</v>
      </c>
      <c r="C175" s="1838" t="s">
        <v>113</v>
      </c>
      <c r="D175" s="1838" t="s">
        <v>3162</v>
      </c>
      <c r="E175" s="1838" t="s">
        <v>3346</v>
      </c>
      <c r="F175" s="1839">
        <v>45278</v>
      </c>
      <c r="G175" s="1840">
        <v>202224</v>
      </c>
      <c r="H175" s="1841">
        <f t="shared" si="7"/>
        <v>104</v>
      </c>
      <c r="I175" s="1838">
        <f t="shared" si="8"/>
        <v>202224</v>
      </c>
      <c r="J175" s="1838">
        <v>0</v>
      </c>
      <c r="K175" s="1838">
        <v>0</v>
      </c>
      <c r="L175" s="1838">
        <v>0</v>
      </c>
      <c r="M175" s="1838">
        <v>0</v>
      </c>
      <c r="N175" s="1838" t="s">
        <v>3339</v>
      </c>
      <c r="O175" s="1838" t="s">
        <v>3340</v>
      </c>
      <c r="P175" s="1838"/>
    </row>
    <row r="176" spans="2:16" s="1843" customFormat="1">
      <c r="B176" s="1838">
        <f t="shared" si="9"/>
        <v>173</v>
      </c>
      <c r="C176" s="1838" t="s">
        <v>113</v>
      </c>
      <c r="D176" s="1838" t="s">
        <v>3162</v>
      </c>
      <c r="E176" s="1838" t="s">
        <v>3347</v>
      </c>
      <c r="F176" s="1839">
        <v>45278</v>
      </c>
      <c r="G176" s="1840">
        <v>168432</v>
      </c>
      <c r="H176" s="1841">
        <f t="shared" si="7"/>
        <v>104</v>
      </c>
      <c r="I176" s="1838">
        <f t="shared" si="8"/>
        <v>168432</v>
      </c>
      <c r="J176" s="1838">
        <v>0</v>
      </c>
      <c r="K176" s="1838">
        <v>0</v>
      </c>
      <c r="L176" s="1838">
        <v>0</v>
      </c>
      <c r="M176" s="1838">
        <v>0</v>
      </c>
      <c r="N176" s="1838" t="s">
        <v>3339</v>
      </c>
      <c r="O176" s="1838" t="s">
        <v>3340</v>
      </c>
      <c r="P176" s="1838"/>
    </row>
    <row r="177" spans="2:16" s="1843" customFormat="1">
      <c r="B177" s="1838">
        <f t="shared" si="9"/>
        <v>174</v>
      </c>
      <c r="C177" s="1838" t="s">
        <v>113</v>
      </c>
      <c r="D177" s="1838" t="s">
        <v>3162</v>
      </c>
      <c r="E177" s="1838" t="s">
        <v>3348</v>
      </c>
      <c r="F177" s="1839">
        <v>45281</v>
      </c>
      <c r="G177" s="1840">
        <v>171006</v>
      </c>
      <c r="H177" s="1841">
        <f t="shared" si="7"/>
        <v>101</v>
      </c>
      <c r="I177" s="1838">
        <f t="shared" si="8"/>
        <v>171006</v>
      </c>
      <c r="J177" s="1838">
        <v>0</v>
      </c>
      <c r="K177" s="1838">
        <v>0</v>
      </c>
      <c r="L177" s="1838">
        <v>0</v>
      </c>
      <c r="M177" s="1838">
        <v>0</v>
      </c>
      <c r="N177" s="1838" t="s">
        <v>3339</v>
      </c>
      <c r="O177" s="1838" t="s">
        <v>3340</v>
      </c>
      <c r="P177" s="1838"/>
    </row>
    <row r="178" spans="2:16" s="1843" customFormat="1">
      <c r="B178" s="1838">
        <f t="shared" si="9"/>
        <v>175</v>
      </c>
      <c r="C178" s="1838" t="s">
        <v>113</v>
      </c>
      <c r="D178" s="1838" t="s">
        <v>3162</v>
      </c>
      <c r="E178" s="1838" t="s">
        <v>3349</v>
      </c>
      <c r="F178" s="1839">
        <v>45281</v>
      </c>
      <c r="G178" s="1840">
        <v>160974</v>
      </c>
      <c r="H178" s="1841">
        <f t="shared" si="7"/>
        <v>101</v>
      </c>
      <c r="I178" s="1838">
        <f t="shared" si="8"/>
        <v>160974</v>
      </c>
      <c r="J178" s="1838">
        <v>0</v>
      </c>
      <c r="K178" s="1838">
        <v>0</v>
      </c>
      <c r="L178" s="1838">
        <v>0</v>
      </c>
      <c r="M178" s="1838">
        <v>0</v>
      </c>
      <c r="N178" s="1838" t="s">
        <v>3339</v>
      </c>
      <c r="O178" s="1838" t="s">
        <v>3340</v>
      </c>
      <c r="P178" s="1838"/>
    </row>
    <row r="179" spans="2:16" s="1843" customFormat="1">
      <c r="B179" s="1838">
        <f t="shared" si="9"/>
        <v>176</v>
      </c>
      <c r="C179" s="1838" t="s">
        <v>113</v>
      </c>
      <c r="D179" s="1838" t="s">
        <v>3162</v>
      </c>
      <c r="E179" s="1838" t="s">
        <v>3350</v>
      </c>
      <c r="F179" s="1839">
        <v>45283</v>
      </c>
      <c r="G179" s="1840">
        <v>192522</v>
      </c>
      <c r="H179" s="1841">
        <f t="shared" si="7"/>
        <v>99</v>
      </c>
      <c r="I179" s="1838">
        <f t="shared" si="8"/>
        <v>192522</v>
      </c>
      <c r="J179" s="1838">
        <v>0</v>
      </c>
      <c r="K179" s="1838">
        <v>0</v>
      </c>
      <c r="L179" s="1838">
        <v>0</v>
      </c>
      <c r="M179" s="1838">
        <v>0</v>
      </c>
      <c r="N179" s="1838" t="s">
        <v>3339</v>
      </c>
      <c r="O179" s="1838" t="s">
        <v>3340</v>
      </c>
      <c r="P179" s="1838"/>
    </row>
    <row r="180" spans="2:16" s="1843" customFormat="1">
      <c r="B180" s="1838">
        <f t="shared" si="9"/>
        <v>177</v>
      </c>
      <c r="C180" s="1838" t="s">
        <v>113</v>
      </c>
      <c r="D180" s="1838" t="s">
        <v>3162</v>
      </c>
      <c r="E180" s="1838" t="s">
        <v>3351</v>
      </c>
      <c r="F180" s="1839">
        <v>45284</v>
      </c>
      <c r="G180" s="1840">
        <v>168168</v>
      </c>
      <c r="H180" s="1841">
        <f t="shared" si="7"/>
        <v>98</v>
      </c>
      <c r="I180" s="1838">
        <f t="shared" si="8"/>
        <v>168168</v>
      </c>
      <c r="J180" s="1838">
        <v>0</v>
      </c>
      <c r="K180" s="1838">
        <v>0</v>
      </c>
      <c r="L180" s="1838">
        <v>0</v>
      </c>
      <c r="M180" s="1838">
        <v>0</v>
      </c>
      <c r="N180" s="1838" t="s">
        <v>3339</v>
      </c>
      <c r="O180" s="1838" t="s">
        <v>3340</v>
      </c>
      <c r="P180" s="1838"/>
    </row>
    <row r="181" spans="2:16" s="1843" customFormat="1">
      <c r="B181" s="1838">
        <f t="shared" si="9"/>
        <v>178</v>
      </c>
      <c r="C181" s="1838" t="s">
        <v>113</v>
      </c>
      <c r="D181" s="1838" t="s">
        <v>3162</v>
      </c>
      <c r="E181" s="1838" t="s">
        <v>3352</v>
      </c>
      <c r="F181" s="1839">
        <v>45285</v>
      </c>
      <c r="G181" s="1840">
        <v>163746</v>
      </c>
      <c r="H181" s="1841">
        <f t="shared" si="7"/>
        <v>97</v>
      </c>
      <c r="I181" s="1838">
        <f t="shared" si="8"/>
        <v>163746</v>
      </c>
      <c r="J181" s="1838">
        <v>0</v>
      </c>
      <c r="K181" s="1838">
        <v>0</v>
      </c>
      <c r="L181" s="1838">
        <v>0</v>
      </c>
      <c r="M181" s="1838">
        <v>0</v>
      </c>
      <c r="N181" s="1838" t="s">
        <v>3339</v>
      </c>
      <c r="O181" s="1838" t="s">
        <v>3340</v>
      </c>
      <c r="P181" s="1838"/>
    </row>
    <row r="182" spans="2:16" s="1843" customFormat="1">
      <c r="B182" s="1838">
        <f t="shared" si="9"/>
        <v>179</v>
      </c>
      <c r="C182" s="1838" t="s">
        <v>113</v>
      </c>
      <c r="D182" s="1838" t="s">
        <v>3162</v>
      </c>
      <c r="E182" s="1838" t="s">
        <v>3353</v>
      </c>
      <c r="F182" s="1839">
        <v>45286</v>
      </c>
      <c r="G182" s="1840">
        <v>198924</v>
      </c>
      <c r="H182" s="1841">
        <f t="shared" si="7"/>
        <v>96</v>
      </c>
      <c r="I182" s="1838">
        <f t="shared" si="8"/>
        <v>198924</v>
      </c>
      <c r="J182" s="1838">
        <v>0</v>
      </c>
      <c r="K182" s="1838">
        <v>0</v>
      </c>
      <c r="L182" s="1838">
        <v>0</v>
      </c>
      <c r="M182" s="1838">
        <v>0</v>
      </c>
      <c r="N182" s="1838" t="s">
        <v>3339</v>
      </c>
      <c r="O182" s="1838" t="s">
        <v>3340</v>
      </c>
      <c r="P182" s="1838"/>
    </row>
    <row r="183" spans="2:16" s="1843" customFormat="1">
      <c r="B183" s="1838">
        <f t="shared" si="9"/>
        <v>180</v>
      </c>
      <c r="C183" s="1838" t="s">
        <v>113</v>
      </c>
      <c r="D183" s="1838" t="s">
        <v>3162</v>
      </c>
      <c r="E183" s="1838" t="s">
        <v>3354</v>
      </c>
      <c r="F183" s="1839">
        <v>45288</v>
      </c>
      <c r="G183" s="1840">
        <v>191862</v>
      </c>
      <c r="H183" s="1841">
        <f t="shared" si="7"/>
        <v>94</v>
      </c>
      <c r="I183" s="1838">
        <f t="shared" si="8"/>
        <v>191862</v>
      </c>
      <c r="J183" s="1838">
        <v>0</v>
      </c>
      <c r="K183" s="1838">
        <v>0</v>
      </c>
      <c r="L183" s="1838">
        <v>0</v>
      </c>
      <c r="M183" s="1838">
        <v>0</v>
      </c>
      <c r="N183" s="1838" t="s">
        <v>3339</v>
      </c>
      <c r="O183" s="1838" t="s">
        <v>3340</v>
      </c>
      <c r="P183" s="1838"/>
    </row>
    <row r="184" spans="2:16" s="1843" customFormat="1">
      <c r="B184" s="1838">
        <f t="shared" si="9"/>
        <v>181</v>
      </c>
      <c r="C184" s="1838" t="s">
        <v>113</v>
      </c>
      <c r="D184" s="1838" t="s">
        <v>3162</v>
      </c>
      <c r="E184" s="1838" t="s">
        <v>3355</v>
      </c>
      <c r="F184" s="1839">
        <v>45288</v>
      </c>
      <c r="G184" s="1840">
        <v>198198</v>
      </c>
      <c r="H184" s="1841">
        <f t="shared" si="7"/>
        <v>94</v>
      </c>
      <c r="I184" s="1838">
        <f t="shared" si="8"/>
        <v>198198</v>
      </c>
      <c r="J184" s="1838">
        <v>0</v>
      </c>
      <c r="K184" s="1838">
        <v>0</v>
      </c>
      <c r="L184" s="1838">
        <v>0</v>
      </c>
      <c r="M184" s="1838">
        <v>0</v>
      </c>
      <c r="N184" s="1838" t="s">
        <v>3339</v>
      </c>
      <c r="O184" s="1838" t="s">
        <v>3340</v>
      </c>
      <c r="P184" s="1838"/>
    </row>
    <row r="185" spans="2:16" s="1843" customFormat="1">
      <c r="B185" s="1838">
        <f t="shared" si="9"/>
        <v>182</v>
      </c>
      <c r="C185" s="1838" t="s">
        <v>113</v>
      </c>
      <c r="D185" s="1838" t="s">
        <v>3162</v>
      </c>
      <c r="E185" s="1838" t="s">
        <v>3356</v>
      </c>
      <c r="F185" s="1839">
        <v>45289</v>
      </c>
      <c r="G185" s="1840">
        <v>199254</v>
      </c>
      <c r="H185" s="1841">
        <f t="shared" si="7"/>
        <v>93</v>
      </c>
      <c r="I185" s="1838">
        <f t="shared" si="8"/>
        <v>199254</v>
      </c>
      <c r="J185" s="1838">
        <v>0</v>
      </c>
      <c r="K185" s="1838">
        <v>0</v>
      </c>
      <c r="L185" s="1838">
        <v>0</v>
      </c>
      <c r="M185" s="1838">
        <v>0</v>
      </c>
      <c r="N185" s="1838" t="s">
        <v>3339</v>
      </c>
      <c r="O185" s="1838" t="s">
        <v>3340</v>
      </c>
      <c r="P185" s="1838"/>
    </row>
    <row r="186" spans="2:16" s="1843" customFormat="1">
      <c r="B186" s="1838">
        <f t="shared" si="9"/>
        <v>183</v>
      </c>
      <c r="C186" s="1838" t="s">
        <v>113</v>
      </c>
      <c r="D186" s="1838" t="s">
        <v>3162</v>
      </c>
      <c r="E186" s="1838" t="s">
        <v>3357</v>
      </c>
      <c r="F186" s="1839">
        <v>45289</v>
      </c>
      <c r="G186" s="1840">
        <v>194304</v>
      </c>
      <c r="H186" s="1841">
        <f t="shared" si="7"/>
        <v>93</v>
      </c>
      <c r="I186" s="1838">
        <f t="shared" si="8"/>
        <v>194304</v>
      </c>
      <c r="J186" s="1838">
        <v>0</v>
      </c>
      <c r="K186" s="1838">
        <v>0</v>
      </c>
      <c r="L186" s="1838">
        <v>0</v>
      </c>
      <c r="M186" s="1838">
        <v>0</v>
      </c>
      <c r="N186" s="1838" t="s">
        <v>3339</v>
      </c>
      <c r="O186" s="1838" t="s">
        <v>3340</v>
      </c>
      <c r="P186" s="1838"/>
    </row>
    <row r="187" spans="2:16" s="1843" customFormat="1">
      <c r="B187" s="1838">
        <f t="shared" si="9"/>
        <v>184</v>
      </c>
      <c r="C187" s="1838" t="s">
        <v>113</v>
      </c>
      <c r="D187" s="1838" t="s">
        <v>3162</v>
      </c>
      <c r="E187" s="1838" t="s">
        <v>3358</v>
      </c>
      <c r="F187" s="1839">
        <v>45290</v>
      </c>
      <c r="G187" s="1840">
        <v>169290</v>
      </c>
      <c r="H187" s="1841">
        <f t="shared" si="7"/>
        <v>92</v>
      </c>
      <c r="I187" s="1838">
        <f t="shared" si="8"/>
        <v>169290</v>
      </c>
      <c r="J187" s="1838">
        <v>0</v>
      </c>
      <c r="K187" s="1838">
        <v>0</v>
      </c>
      <c r="L187" s="1838">
        <v>0</v>
      </c>
      <c r="M187" s="1838">
        <v>0</v>
      </c>
      <c r="N187" s="1838" t="s">
        <v>3339</v>
      </c>
      <c r="O187" s="1838" t="s">
        <v>3340</v>
      </c>
      <c r="P187" s="1838"/>
    </row>
    <row r="188" spans="2:16" s="1843" customFormat="1">
      <c r="B188" s="1838">
        <f t="shared" si="9"/>
        <v>185</v>
      </c>
      <c r="C188" s="1838" t="s">
        <v>113</v>
      </c>
      <c r="D188" s="1838" t="s">
        <v>3162</v>
      </c>
      <c r="E188" s="1838" t="s">
        <v>3359</v>
      </c>
      <c r="F188" s="1839">
        <v>45290</v>
      </c>
      <c r="G188" s="1840">
        <v>164670</v>
      </c>
      <c r="H188" s="1841">
        <f t="shared" si="7"/>
        <v>92</v>
      </c>
      <c r="I188" s="1838">
        <f t="shared" si="8"/>
        <v>164670</v>
      </c>
      <c r="J188" s="1838">
        <v>0</v>
      </c>
      <c r="K188" s="1838">
        <v>0</v>
      </c>
      <c r="L188" s="1838">
        <v>0</v>
      </c>
      <c r="M188" s="1838">
        <v>0</v>
      </c>
      <c r="N188" s="1838" t="s">
        <v>3339</v>
      </c>
      <c r="O188" s="1838" t="s">
        <v>3340</v>
      </c>
      <c r="P188" s="1838"/>
    </row>
    <row r="189" spans="2:16" s="1843" customFormat="1">
      <c r="B189" s="1838">
        <f t="shared" si="9"/>
        <v>186</v>
      </c>
      <c r="C189" s="1838" t="s">
        <v>113</v>
      </c>
      <c r="D189" s="1838" t="s">
        <v>3162</v>
      </c>
      <c r="E189" s="1838" t="s">
        <v>3360</v>
      </c>
      <c r="F189" s="1839">
        <v>45291</v>
      </c>
      <c r="G189" s="1840">
        <v>161964</v>
      </c>
      <c r="H189" s="1841">
        <f t="shared" si="7"/>
        <v>91</v>
      </c>
      <c r="I189" s="1838">
        <f t="shared" si="8"/>
        <v>161964</v>
      </c>
      <c r="J189" s="1838">
        <v>0</v>
      </c>
      <c r="K189" s="1838">
        <v>0</v>
      </c>
      <c r="L189" s="1838">
        <v>0</v>
      </c>
      <c r="M189" s="1838">
        <v>0</v>
      </c>
      <c r="N189" s="1838" t="s">
        <v>3339</v>
      </c>
      <c r="O189" s="1838" t="s">
        <v>3340</v>
      </c>
      <c r="P189" s="1838"/>
    </row>
    <row r="190" spans="2:16" s="1843" customFormat="1">
      <c r="B190" s="1838">
        <f t="shared" si="9"/>
        <v>187</v>
      </c>
      <c r="C190" s="1838" t="s">
        <v>113</v>
      </c>
      <c r="D190" s="1838" t="s">
        <v>3162</v>
      </c>
      <c r="E190" s="1838" t="s">
        <v>3361</v>
      </c>
      <c r="F190" s="1839">
        <v>45291</v>
      </c>
      <c r="G190" s="1840">
        <v>193974</v>
      </c>
      <c r="H190" s="1841">
        <f t="shared" si="7"/>
        <v>91</v>
      </c>
      <c r="I190" s="1838">
        <f t="shared" si="8"/>
        <v>193974</v>
      </c>
      <c r="J190" s="1838">
        <v>0</v>
      </c>
      <c r="K190" s="1838">
        <v>0</v>
      </c>
      <c r="L190" s="1838">
        <v>0</v>
      </c>
      <c r="M190" s="1838">
        <v>0</v>
      </c>
      <c r="N190" s="1838" t="s">
        <v>3339</v>
      </c>
      <c r="O190" s="1838" t="s">
        <v>3340</v>
      </c>
      <c r="P190" s="1838"/>
    </row>
    <row r="191" spans="2:16" s="1843" customFormat="1">
      <c r="B191" s="1838">
        <f t="shared" si="9"/>
        <v>188</v>
      </c>
      <c r="C191" s="1838" t="s">
        <v>113</v>
      </c>
      <c r="D191" s="1838" t="s">
        <v>3162</v>
      </c>
      <c r="E191" s="1838" t="s">
        <v>3362</v>
      </c>
      <c r="F191" s="1839">
        <v>45291</v>
      </c>
      <c r="G191" s="1840">
        <v>167970</v>
      </c>
      <c r="H191" s="1841">
        <f t="shared" si="7"/>
        <v>91</v>
      </c>
      <c r="I191" s="1838">
        <f t="shared" si="8"/>
        <v>167970</v>
      </c>
      <c r="J191" s="1838">
        <v>0</v>
      </c>
      <c r="K191" s="1838">
        <v>0</v>
      </c>
      <c r="L191" s="1838">
        <v>0</v>
      </c>
      <c r="M191" s="1838">
        <v>0</v>
      </c>
      <c r="N191" s="1838" t="s">
        <v>3339</v>
      </c>
      <c r="O191" s="1838" t="s">
        <v>3340</v>
      </c>
      <c r="P191" s="1838"/>
    </row>
    <row r="192" spans="2:16" s="1843" customFormat="1">
      <c r="B192" s="1838">
        <f t="shared" si="9"/>
        <v>189</v>
      </c>
      <c r="C192" s="1838" t="s">
        <v>113</v>
      </c>
      <c r="D192" s="1838" t="s">
        <v>3162</v>
      </c>
      <c r="E192" s="1838" t="s">
        <v>3363</v>
      </c>
      <c r="F192" s="1839">
        <v>45291</v>
      </c>
      <c r="G192" s="1840">
        <v>-7730</v>
      </c>
      <c r="H192" s="1841">
        <f t="shared" si="7"/>
        <v>91</v>
      </c>
      <c r="I192" s="1838">
        <f t="shared" si="8"/>
        <v>-7730</v>
      </c>
      <c r="J192" s="1838">
        <v>0</v>
      </c>
      <c r="K192" s="1838">
        <v>0</v>
      </c>
      <c r="L192" s="1838">
        <v>0</v>
      </c>
      <c r="M192" s="1838">
        <v>0</v>
      </c>
      <c r="N192" s="1838" t="s">
        <v>3339</v>
      </c>
      <c r="O192" s="1838" t="s">
        <v>3340</v>
      </c>
      <c r="P192" s="1838"/>
    </row>
    <row r="193" spans="2:16" s="1843" customFormat="1">
      <c r="B193" s="1838">
        <f t="shared" si="9"/>
        <v>190</v>
      </c>
      <c r="C193" s="1838" t="s">
        <v>113</v>
      </c>
      <c r="D193" s="1838" t="s">
        <v>3162</v>
      </c>
      <c r="E193" s="1838" t="s">
        <v>3364</v>
      </c>
      <c r="F193" s="1839">
        <v>45294</v>
      </c>
      <c r="G193" s="1840">
        <v>196152</v>
      </c>
      <c r="H193" s="1841">
        <f t="shared" si="7"/>
        <v>88</v>
      </c>
      <c r="I193" s="1838">
        <f t="shared" si="8"/>
        <v>196152</v>
      </c>
      <c r="J193" s="1838">
        <v>0</v>
      </c>
      <c r="K193" s="1838">
        <v>0</v>
      </c>
      <c r="L193" s="1838">
        <v>0</v>
      </c>
      <c r="M193" s="1838">
        <v>0</v>
      </c>
      <c r="N193" s="1838" t="s">
        <v>3339</v>
      </c>
      <c r="O193" s="1838" t="s">
        <v>3340</v>
      </c>
      <c r="P193" s="1838"/>
    </row>
    <row r="194" spans="2:16" s="1843" customFormat="1">
      <c r="B194" s="1838">
        <f t="shared" si="9"/>
        <v>191</v>
      </c>
      <c r="C194" s="1838" t="s">
        <v>113</v>
      </c>
      <c r="D194" s="1838" t="s">
        <v>3162</v>
      </c>
      <c r="E194" s="1838" t="s">
        <v>3365</v>
      </c>
      <c r="F194" s="1839">
        <v>45295</v>
      </c>
      <c r="G194" s="1840">
        <v>200442</v>
      </c>
      <c r="H194" s="1841">
        <f t="shared" si="7"/>
        <v>87</v>
      </c>
      <c r="I194" s="1838">
        <f t="shared" si="8"/>
        <v>200442</v>
      </c>
      <c r="J194" s="1838">
        <v>0</v>
      </c>
      <c r="K194" s="1838">
        <v>0</v>
      </c>
      <c r="L194" s="1838">
        <v>0</v>
      </c>
      <c r="M194" s="1838">
        <v>0</v>
      </c>
      <c r="N194" s="1838" t="s">
        <v>3339</v>
      </c>
      <c r="O194" s="1838" t="s">
        <v>3340</v>
      </c>
      <c r="P194" s="1838"/>
    </row>
    <row r="195" spans="2:16" s="1843" customFormat="1">
      <c r="B195" s="1838">
        <f t="shared" si="9"/>
        <v>192</v>
      </c>
      <c r="C195" s="1838" t="s">
        <v>113</v>
      </c>
      <c r="D195" s="1838" t="s">
        <v>3162</v>
      </c>
      <c r="E195" s="1838" t="s">
        <v>3366</v>
      </c>
      <c r="F195" s="1839">
        <v>45295</v>
      </c>
      <c r="G195" s="1840">
        <v>199452</v>
      </c>
      <c r="H195" s="1841">
        <f t="shared" si="7"/>
        <v>87</v>
      </c>
      <c r="I195" s="1838">
        <f t="shared" si="8"/>
        <v>199452</v>
      </c>
      <c r="J195" s="1838">
        <v>0</v>
      </c>
      <c r="K195" s="1838">
        <v>0</v>
      </c>
      <c r="L195" s="1838">
        <v>0</v>
      </c>
      <c r="M195" s="1838">
        <v>0</v>
      </c>
      <c r="N195" s="1838" t="s">
        <v>3339</v>
      </c>
      <c r="O195" s="1838" t="s">
        <v>3340</v>
      </c>
      <c r="P195" s="1838"/>
    </row>
    <row r="196" spans="2:16" s="1843" customFormat="1">
      <c r="B196" s="1838">
        <f t="shared" si="9"/>
        <v>193</v>
      </c>
      <c r="C196" s="1838" t="s">
        <v>113</v>
      </c>
      <c r="D196" s="1838" t="s">
        <v>3162</v>
      </c>
      <c r="E196" s="1838" t="s">
        <v>3367</v>
      </c>
      <c r="F196" s="1839">
        <v>45296</v>
      </c>
      <c r="G196" s="1840">
        <v>164802</v>
      </c>
      <c r="H196" s="1841">
        <f t="shared" si="7"/>
        <v>86</v>
      </c>
      <c r="I196" s="1838">
        <f t="shared" si="8"/>
        <v>164802</v>
      </c>
      <c r="J196" s="1838">
        <v>0</v>
      </c>
      <c r="K196" s="1838">
        <v>0</v>
      </c>
      <c r="L196" s="1838">
        <v>0</v>
      </c>
      <c r="M196" s="1838">
        <v>0</v>
      </c>
      <c r="N196" s="1838" t="s">
        <v>3339</v>
      </c>
      <c r="O196" s="1838" t="s">
        <v>3340</v>
      </c>
      <c r="P196" s="1838"/>
    </row>
    <row r="197" spans="2:16" s="1843" customFormat="1">
      <c r="B197" s="1838">
        <f t="shared" si="9"/>
        <v>194</v>
      </c>
      <c r="C197" s="1838" t="s">
        <v>113</v>
      </c>
      <c r="D197" s="1838" t="s">
        <v>3162</v>
      </c>
      <c r="E197" s="1838" t="s">
        <v>3368</v>
      </c>
      <c r="F197" s="1839">
        <v>45296</v>
      </c>
      <c r="G197" s="1840">
        <v>169818</v>
      </c>
      <c r="H197" s="1841">
        <f t="shared" ref="H197:H260" si="10">+$H$2-F197</f>
        <v>86</v>
      </c>
      <c r="I197" s="1838">
        <f t="shared" ref="I197:I260" si="11">+G197</f>
        <v>169818</v>
      </c>
      <c r="J197" s="1838">
        <v>0</v>
      </c>
      <c r="K197" s="1838">
        <v>0</v>
      </c>
      <c r="L197" s="1838">
        <v>0</v>
      </c>
      <c r="M197" s="1838">
        <v>0</v>
      </c>
      <c r="N197" s="1838" t="s">
        <v>3339</v>
      </c>
      <c r="O197" s="1838" t="s">
        <v>3340</v>
      </c>
      <c r="P197" s="1838"/>
    </row>
    <row r="198" spans="2:16" s="1843" customFormat="1">
      <c r="B198" s="1838">
        <f t="shared" ref="B198:B261" si="12">+B197+1</f>
        <v>195</v>
      </c>
      <c r="C198" s="1838" t="s">
        <v>113</v>
      </c>
      <c r="D198" s="1838" t="s">
        <v>3162</v>
      </c>
      <c r="E198" s="1838" t="s">
        <v>3369</v>
      </c>
      <c r="F198" s="1839">
        <v>45298</v>
      </c>
      <c r="G198" s="1840">
        <v>196020</v>
      </c>
      <c r="H198" s="1841">
        <f t="shared" si="10"/>
        <v>84</v>
      </c>
      <c r="I198" s="1838">
        <f t="shared" si="11"/>
        <v>196020</v>
      </c>
      <c r="J198" s="1838">
        <v>0</v>
      </c>
      <c r="K198" s="1838">
        <v>0</v>
      </c>
      <c r="L198" s="1838">
        <v>0</v>
      </c>
      <c r="M198" s="1838">
        <v>0</v>
      </c>
      <c r="N198" s="1838" t="s">
        <v>3339</v>
      </c>
      <c r="O198" s="1838" t="s">
        <v>3340</v>
      </c>
      <c r="P198" s="1838"/>
    </row>
    <row r="199" spans="2:16" s="1843" customFormat="1">
      <c r="B199" s="1838">
        <f t="shared" si="12"/>
        <v>196</v>
      </c>
      <c r="C199" s="1838" t="s">
        <v>113</v>
      </c>
      <c r="D199" s="1838" t="s">
        <v>3162</v>
      </c>
      <c r="E199" s="1838" t="s">
        <v>3370</v>
      </c>
      <c r="F199" s="1839">
        <v>45298</v>
      </c>
      <c r="G199" s="1840">
        <v>200772</v>
      </c>
      <c r="H199" s="1841">
        <f t="shared" si="10"/>
        <v>84</v>
      </c>
      <c r="I199" s="1838">
        <f t="shared" si="11"/>
        <v>200772</v>
      </c>
      <c r="J199" s="1838">
        <v>0</v>
      </c>
      <c r="K199" s="1838">
        <v>0</v>
      </c>
      <c r="L199" s="1838">
        <v>0</v>
      </c>
      <c r="M199" s="1838">
        <v>0</v>
      </c>
      <c r="N199" s="1838" t="s">
        <v>3339</v>
      </c>
      <c r="O199" s="1838" t="s">
        <v>3340</v>
      </c>
      <c r="P199" s="1838"/>
    </row>
    <row r="200" spans="2:16" s="1843" customFormat="1">
      <c r="B200" s="1838">
        <f t="shared" si="12"/>
        <v>197</v>
      </c>
      <c r="C200" s="1838" t="s">
        <v>113</v>
      </c>
      <c r="D200" s="1838" t="s">
        <v>3162</v>
      </c>
      <c r="E200" s="1838" t="s">
        <v>3371</v>
      </c>
      <c r="F200" s="1839">
        <v>45301</v>
      </c>
      <c r="G200" s="1840">
        <v>199254</v>
      </c>
      <c r="H200" s="1841">
        <f t="shared" si="10"/>
        <v>81</v>
      </c>
      <c r="I200" s="1838">
        <f t="shared" si="11"/>
        <v>199254</v>
      </c>
      <c r="J200" s="1838">
        <v>0</v>
      </c>
      <c r="K200" s="1838">
        <v>0</v>
      </c>
      <c r="L200" s="1838">
        <v>0</v>
      </c>
      <c r="M200" s="1838">
        <v>0</v>
      </c>
      <c r="N200" s="1838" t="s">
        <v>3339</v>
      </c>
      <c r="O200" s="1838" t="s">
        <v>3340</v>
      </c>
      <c r="P200" s="1838"/>
    </row>
    <row r="201" spans="2:16" s="1843" customFormat="1">
      <c r="B201" s="1838">
        <f t="shared" si="12"/>
        <v>198</v>
      </c>
      <c r="C201" s="1838" t="s">
        <v>113</v>
      </c>
      <c r="D201" s="1838" t="s">
        <v>3162</v>
      </c>
      <c r="E201" s="1838" t="s">
        <v>3372</v>
      </c>
      <c r="F201" s="1839">
        <v>45301</v>
      </c>
      <c r="G201" s="1840">
        <v>195096</v>
      </c>
      <c r="H201" s="1841">
        <f t="shared" si="10"/>
        <v>81</v>
      </c>
      <c r="I201" s="1838">
        <f t="shared" si="11"/>
        <v>195096</v>
      </c>
      <c r="J201" s="1838">
        <v>0</v>
      </c>
      <c r="K201" s="1838">
        <v>0</v>
      </c>
      <c r="L201" s="1838">
        <v>0</v>
      </c>
      <c r="M201" s="1838">
        <v>0</v>
      </c>
      <c r="N201" s="1838" t="s">
        <v>3339</v>
      </c>
      <c r="O201" s="1838" t="s">
        <v>3340</v>
      </c>
      <c r="P201" s="1838"/>
    </row>
    <row r="202" spans="2:16" s="1843" customFormat="1">
      <c r="B202" s="1838">
        <f t="shared" si="12"/>
        <v>199</v>
      </c>
      <c r="C202" s="1838" t="s">
        <v>113</v>
      </c>
      <c r="D202" s="1838" t="s">
        <v>3162</v>
      </c>
      <c r="E202" s="1838" t="s">
        <v>3373</v>
      </c>
      <c r="F202" s="1839">
        <v>45301</v>
      </c>
      <c r="G202" s="1840">
        <v>169686</v>
      </c>
      <c r="H202" s="1841">
        <f t="shared" si="10"/>
        <v>81</v>
      </c>
      <c r="I202" s="1838">
        <f t="shared" si="11"/>
        <v>169686</v>
      </c>
      <c r="J202" s="1838">
        <v>0</v>
      </c>
      <c r="K202" s="1838">
        <v>0</v>
      </c>
      <c r="L202" s="1838">
        <v>0</v>
      </c>
      <c r="M202" s="1838">
        <v>0</v>
      </c>
      <c r="N202" s="1838" t="s">
        <v>3339</v>
      </c>
      <c r="O202" s="1838" t="s">
        <v>3340</v>
      </c>
      <c r="P202" s="1838"/>
    </row>
    <row r="203" spans="2:16" s="1843" customFormat="1">
      <c r="B203" s="1838">
        <f t="shared" si="12"/>
        <v>200</v>
      </c>
      <c r="C203" s="1838" t="s">
        <v>113</v>
      </c>
      <c r="D203" s="1838" t="s">
        <v>3162</v>
      </c>
      <c r="E203" s="1838" t="s">
        <v>3374</v>
      </c>
      <c r="F203" s="1839">
        <v>45301</v>
      </c>
      <c r="G203" s="1840">
        <v>160908</v>
      </c>
      <c r="H203" s="1841">
        <f t="shared" si="10"/>
        <v>81</v>
      </c>
      <c r="I203" s="1838">
        <f t="shared" si="11"/>
        <v>160908</v>
      </c>
      <c r="J203" s="1838">
        <v>0</v>
      </c>
      <c r="K203" s="1838">
        <v>0</v>
      </c>
      <c r="L203" s="1838">
        <v>0</v>
      </c>
      <c r="M203" s="1838">
        <v>0</v>
      </c>
      <c r="N203" s="1838" t="s">
        <v>3339</v>
      </c>
      <c r="O203" s="1838" t="s">
        <v>3340</v>
      </c>
      <c r="P203" s="1838"/>
    </row>
    <row r="204" spans="2:16" s="1843" customFormat="1">
      <c r="B204" s="1838">
        <f t="shared" si="12"/>
        <v>201</v>
      </c>
      <c r="C204" s="1838" t="s">
        <v>113</v>
      </c>
      <c r="D204" s="1838" t="s">
        <v>3162</v>
      </c>
      <c r="E204" s="1838" t="s">
        <v>3375</v>
      </c>
      <c r="F204" s="1839">
        <v>45303</v>
      </c>
      <c r="G204" s="1840">
        <v>168762</v>
      </c>
      <c r="H204" s="1841">
        <f t="shared" si="10"/>
        <v>79</v>
      </c>
      <c r="I204" s="1838">
        <f t="shared" si="11"/>
        <v>168762</v>
      </c>
      <c r="J204" s="1838">
        <v>0</v>
      </c>
      <c r="K204" s="1838">
        <v>0</v>
      </c>
      <c r="L204" s="1838">
        <v>0</v>
      </c>
      <c r="M204" s="1838">
        <v>0</v>
      </c>
      <c r="N204" s="1838" t="s">
        <v>3339</v>
      </c>
      <c r="O204" s="1838" t="s">
        <v>3340</v>
      </c>
      <c r="P204" s="1838"/>
    </row>
    <row r="205" spans="2:16" s="1843" customFormat="1">
      <c r="B205" s="1838">
        <f t="shared" si="12"/>
        <v>202</v>
      </c>
      <c r="C205" s="1838" t="s">
        <v>113</v>
      </c>
      <c r="D205" s="1838" t="s">
        <v>3162</v>
      </c>
      <c r="E205" s="1838" t="s">
        <v>3376</v>
      </c>
      <c r="F205" s="1839">
        <v>45308</v>
      </c>
      <c r="G205" s="1840">
        <v>166254</v>
      </c>
      <c r="H205" s="1841">
        <f t="shared" si="10"/>
        <v>74</v>
      </c>
      <c r="I205" s="1838">
        <f t="shared" si="11"/>
        <v>166254</v>
      </c>
      <c r="J205" s="1838">
        <v>0</v>
      </c>
      <c r="K205" s="1838">
        <v>0</v>
      </c>
      <c r="L205" s="1838">
        <v>0</v>
      </c>
      <c r="M205" s="1838">
        <v>0</v>
      </c>
      <c r="N205" s="1838" t="s">
        <v>3339</v>
      </c>
      <c r="O205" s="1838" t="s">
        <v>3340</v>
      </c>
      <c r="P205" s="1838"/>
    </row>
    <row r="206" spans="2:16" s="1843" customFormat="1">
      <c r="B206" s="1838">
        <f t="shared" si="12"/>
        <v>203</v>
      </c>
      <c r="C206" s="1838" t="s">
        <v>113</v>
      </c>
      <c r="D206" s="1838" t="s">
        <v>3162</v>
      </c>
      <c r="E206" s="1838" t="s">
        <v>3377</v>
      </c>
      <c r="F206" s="1839">
        <v>45309</v>
      </c>
      <c r="G206" s="1840">
        <v>197406</v>
      </c>
      <c r="H206" s="1841">
        <f t="shared" si="10"/>
        <v>73</v>
      </c>
      <c r="I206" s="1838">
        <f t="shared" si="11"/>
        <v>197406</v>
      </c>
      <c r="J206" s="1838">
        <v>0</v>
      </c>
      <c r="K206" s="1838">
        <v>0</v>
      </c>
      <c r="L206" s="1838">
        <v>0</v>
      </c>
      <c r="M206" s="1838">
        <v>0</v>
      </c>
      <c r="N206" s="1838" t="s">
        <v>3339</v>
      </c>
      <c r="O206" s="1838" t="s">
        <v>3340</v>
      </c>
      <c r="P206" s="1838"/>
    </row>
    <row r="207" spans="2:16" s="1843" customFormat="1">
      <c r="B207" s="1838">
        <f t="shared" si="12"/>
        <v>204</v>
      </c>
      <c r="C207" s="1838" t="s">
        <v>113</v>
      </c>
      <c r="D207" s="1838" t="s">
        <v>3162</v>
      </c>
      <c r="E207" s="1838" t="s">
        <v>3378</v>
      </c>
      <c r="F207" s="1839">
        <v>45309</v>
      </c>
      <c r="G207" s="1840">
        <v>170148</v>
      </c>
      <c r="H207" s="1841">
        <f t="shared" si="10"/>
        <v>73</v>
      </c>
      <c r="I207" s="1838">
        <f t="shared" si="11"/>
        <v>170148</v>
      </c>
      <c r="J207" s="1838">
        <v>0</v>
      </c>
      <c r="K207" s="1838">
        <v>0</v>
      </c>
      <c r="L207" s="1838">
        <v>0</v>
      </c>
      <c r="M207" s="1838">
        <v>0</v>
      </c>
      <c r="N207" s="1838" t="s">
        <v>3339</v>
      </c>
      <c r="O207" s="1838" t="s">
        <v>3340</v>
      </c>
      <c r="P207" s="1838"/>
    </row>
    <row r="208" spans="2:16" s="1843" customFormat="1">
      <c r="B208" s="1838">
        <f t="shared" si="12"/>
        <v>205</v>
      </c>
      <c r="C208" s="1838" t="s">
        <v>113</v>
      </c>
      <c r="D208" s="1838" t="s">
        <v>3162</v>
      </c>
      <c r="E208" s="1838" t="s">
        <v>3379</v>
      </c>
      <c r="F208" s="1839">
        <v>45310</v>
      </c>
      <c r="G208" s="1840">
        <v>184536</v>
      </c>
      <c r="H208" s="1841">
        <f t="shared" si="10"/>
        <v>72</v>
      </c>
      <c r="I208" s="1838">
        <f t="shared" si="11"/>
        <v>184536</v>
      </c>
      <c r="J208" s="1838">
        <v>0</v>
      </c>
      <c r="K208" s="1838">
        <v>0</v>
      </c>
      <c r="L208" s="1838">
        <v>0</v>
      </c>
      <c r="M208" s="1838">
        <v>0</v>
      </c>
      <c r="N208" s="1838" t="s">
        <v>3339</v>
      </c>
      <c r="O208" s="1838" t="s">
        <v>3340</v>
      </c>
      <c r="P208" s="1838"/>
    </row>
    <row r="209" spans="2:16" s="1843" customFormat="1">
      <c r="B209" s="1838">
        <f t="shared" si="12"/>
        <v>206</v>
      </c>
      <c r="C209" s="1838" t="s">
        <v>113</v>
      </c>
      <c r="D209" s="1838" t="s">
        <v>3162</v>
      </c>
      <c r="E209" s="1838" t="s">
        <v>3380</v>
      </c>
      <c r="F209" s="1839">
        <v>45310</v>
      </c>
      <c r="G209" s="1840">
        <v>194766</v>
      </c>
      <c r="H209" s="1841">
        <f t="shared" si="10"/>
        <v>72</v>
      </c>
      <c r="I209" s="1838">
        <f t="shared" si="11"/>
        <v>194766</v>
      </c>
      <c r="J209" s="1838">
        <v>0</v>
      </c>
      <c r="K209" s="1838">
        <v>0</v>
      </c>
      <c r="L209" s="1838">
        <v>0</v>
      </c>
      <c r="M209" s="1838">
        <v>0</v>
      </c>
      <c r="N209" s="1838" t="s">
        <v>3339</v>
      </c>
      <c r="O209" s="1838" t="s">
        <v>3340</v>
      </c>
      <c r="P209" s="1838"/>
    </row>
    <row r="210" spans="2:16" s="1843" customFormat="1">
      <c r="B210" s="1838">
        <f t="shared" si="12"/>
        <v>207</v>
      </c>
      <c r="C210" s="1838" t="s">
        <v>113</v>
      </c>
      <c r="D210" s="1838" t="s">
        <v>3162</v>
      </c>
      <c r="E210" s="1838" t="s">
        <v>3381</v>
      </c>
      <c r="F210" s="1839">
        <v>45311</v>
      </c>
      <c r="G210" s="1840">
        <v>195228</v>
      </c>
      <c r="H210" s="1841">
        <f t="shared" si="10"/>
        <v>71</v>
      </c>
      <c r="I210" s="1838">
        <f t="shared" si="11"/>
        <v>195228</v>
      </c>
      <c r="J210" s="1838">
        <v>0</v>
      </c>
      <c r="K210" s="1838">
        <v>0</v>
      </c>
      <c r="L210" s="1838">
        <v>0</v>
      </c>
      <c r="M210" s="1838">
        <v>0</v>
      </c>
      <c r="N210" s="1838" t="s">
        <v>3339</v>
      </c>
      <c r="O210" s="1838" t="s">
        <v>3340</v>
      </c>
      <c r="P210" s="1838"/>
    </row>
    <row r="211" spans="2:16" s="1843" customFormat="1">
      <c r="B211" s="1838">
        <f t="shared" si="12"/>
        <v>208</v>
      </c>
      <c r="C211" s="1838" t="s">
        <v>113</v>
      </c>
      <c r="D211" s="1838" t="s">
        <v>3162</v>
      </c>
      <c r="E211" s="1838" t="s">
        <v>3382</v>
      </c>
      <c r="F211" s="1839">
        <v>45311</v>
      </c>
      <c r="G211" s="1840">
        <v>182448</v>
      </c>
      <c r="H211" s="1841">
        <f t="shared" si="10"/>
        <v>71</v>
      </c>
      <c r="I211" s="1838">
        <f t="shared" si="11"/>
        <v>182448</v>
      </c>
      <c r="J211" s="1838">
        <v>0</v>
      </c>
      <c r="K211" s="1838">
        <v>0</v>
      </c>
      <c r="L211" s="1838">
        <v>0</v>
      </c>
      <c r="M211" s="1838">
        <v>0</v>
      </c>
      <c r="N211" s="1838" t="s">
        <v>3339</v>
      </c>
      <c r="O211" s="1838" t="s">
        <v>3340</v>
      </c>
      <c r="P211" s="1838"/>
    </row>
    <row r="212" spans="2:16" s="1843" customFormat="1">
      <c r="B212" s="1838">
        <f t="shared" si="12"/>
        <v>209</v>
      </c>
      <c r="C212" s="1838" t="s">
        <v>113</v>
      </c>
      <c r="D212" s="1838" t="s">
        <v>3162</v>
      </c>
      <c r="E212" s="1838" t="s">
        <v>3383</v>
      </c>
      <c r="F212" s="1839">
        <v>45312</v>
      </c>
      <c r="G212" s="1840">
        <v>192024</v>
      </c>
      <c r="H212" s="1841">
        <f t="shared" si="10"/>
        <v>70</v>
      </c>
      <c r="I212" s="1838">
        <f t="shared" si="11"/>
        <v>192024</v>
      </c>
      <c r="J212" s="1838">
        <v>0</v>
      </c>
      <c r="K212" s="1838">
        <v>0</v>
      </c>
      <c r="L212" s="1838">
        <v>0</v>
      </c>
      <c r="M212" s="1838">
        <v>0</v>
      </c>
      <c r="N212" s="1838" t="s">
        <v>3339</v>
      </c>
      <c r="O212" s="1838" t="s">
        <v>3340</v>
      </c>
      <c r="P212" s="1838"/>
    </row>
    <row r="213" spans="2:16" s="1843" customFormat="1">
      <c r="B213" s="1838">
        <f t="shared" si="12"/>
        <v>210</v>
      </c>
      <c r="C213" s="1838" t="s">
        <v>113</v>
      </c>
      <c r="D213" s="1838" t="s">
        <v>3162</v>
      </c>
      <c r="E213" s="1838" t="s">
        <v>3384</v>
      </c>
      <c r="F213" s="1839">
        <v>45312</v>
      </c>
      <c r="G213" s="1840">
        <v>189441</v>
      </c>
      <c r="H213" s="1841">
        <f t="shared" si="10"/>
        <v>70</v>
      </c>
      <c r="I213" s="1838">
        <f t="shared" si="11"/>
        <v>189441</v>
      </c>
      <c r="J213" s="1838">
        <v>0</v>
      </c>
      <c r="K213" s="1838">
        <v>0</v>
      </c>
      <c r="L213" s="1838">
        <v>0</v>
      </c>
      <c r="M213" s="1838">
        <v>0</v>
      </c>
      <c r="N213" s="1838" t="s">
        <v>3339</v>
      </c>
      <c r="O213" s="1838" t="s">
        <v>3340</v>
      </c>
      <c r="P213" s="1838"/>
    </row>
    <row r="214" spans="2:16" s="1843" customFormat="1">
      <c r="B214" s="1838">
        <f t="shared" si="12"/>
        <v>211</v>
      </c>
      <c r="C214" s="1838" t="s">
        <v>113</v>
      </c>
      <c r="D214" s="1838" t="s">
        <v>3162</v>
      </c>
      <c r="E214" s="1838" t="s">
        <v>3385</v>
      </c>
      <c r="F214" s="1839">
        <v>45313</v>
      </c>
      <c r="G214" s="1840">
        <v>186606</v>
      </c>
      <c r="H214" s="1841">
        <f t="shared" si="10"/>
        <v>69</v>
      </c>
      <c r="I214" s="1838">
        <f t="shared" si="11"/>
        <v>186606</v>
      </c>
      <c r="J214" s="1838">
        <v>0</v>
      </c>
      <c r="K214" s="1838">
        <v>0</v>
      </c>
      <c r="L214" s="1838">
        <v>0</v>
      </c>
      <c r="M214" s="1838">
        <v>0</v>
      </c>
      <c r="N214" s="1838" t="s">
        <v>3339</v>
      </c>
      <c r="O214" s="1838" t="s">
        <v>3340</v>
      </c>
      <c r="P214" s="1838"/>
    </row>
    <row r="215" spans="2:16" s="1843" customFormat="1">
      <c r="B215" s="1838">
        <f t="shared" si="12"/>
        <v>212</v>
      </c>
      <c r="C215" s="1838" t="s">
        <v>113</v>
      </c>
      <c r="D215" s="1838" t="s">
        <v>3162</v>
      </c>
      <c r="E215" s="1838" t="s">
        <v>3386</v>
      </c>
      <c r="F215" s="1839">
        <v>45313</v>
      </c>
      <c r="G215" s="1840">
        <v>184905</v>
      </c>
      <c r="H215" s="1841">
        <f t="shared" si="10"/>
        <v>69</v>
      </c>
      <c r="I215" s="1838">
        <f t="shared" si="11"/>
        <v>184905</v>
      </c>
      <c r="J215" s="1838">
        <v>0</v>
      </c>
      <c r="K215" s="1838">
        <v>0</v>
      </c>
      <c r="L215" s="1838">
        <v>0</v>
      </c>
      <c r="M215" s="1838">
        <v>0</v>
      </c>
      <c r="N215" s="1838" t="s">
        <v>3339</v>
      </c>
      <c r="O215" s="1838" t="s">
        <v>3340</v>
      </c>
      <c r="P215" s="1838"/>
    </row>
    <row r="216" spans="2:16" s="1843" customFormat="1">
      <c r="B216" s="1838">
        <f t="shared" si="12"/>
        <v>213</v>
      </c>
      <c r="C216" s="1838" t="s">
        <v>113</v>
      </c>
      <c r="D216" s="1838" t="s">
        <v>3162</v>
      </c>
      <c r="E216" s="1838" t="s">
        <v>3387</v>
      </c>
      <c r="F216" s="1839">
        <v>45313</v>
      </c>
      <c r="G216" s="1840">
        <v>182574</v>
      </c>
      <c r="H216" s="1841">
        <f t="shared" si="10"/>
        <v>69</v>
      </c>
      <c r="I216" s="1838">
        <f t="shared" si="11"/>
        <v>182574</v>
      </c>
      <c r="J216" s="1838">
        <v>0</v>
      </c>
      <c r="K216" s="1838">
        <v>0</v>
      </c>
      <c r="L216" s="1838">
        <v>0</v>
      </c>
      <c r="M216" s="1838">
        <v>0</v>
      </c>
      <c r="N216" s="1838" t="s">
        <v>3339</v>
      </c>
      <c r="O216" s="1838" t="s">
        <v>3340</v>
      </c>
      <c r="P216" s="1838"/>
    </row>
    <row r="217" spans="2:16" s="1843" customFormat="1">
      <c r="B217" s="1838">
        <f t="shared" si="12"/>
        <v>214</v>
      </c>
      <c r="C217" s="1838" t="s">
        <v>113</v>
      </c>
      <c r="D217" s="1838" t="s">
        <v>3162</v>
      </c>
      <c r="E217" s="1838" t="s">
        <v>3388</v>
      </c>
      <c r="F217" s="1839">
        <v>45314</v>
      </c>
      <c r="G217" s="1840">
        <v>189567</v>
      </c>
      <c r="H217" s="1841">
        <f t="shared" si="10"/>
        <v>68</v>
      </c>
      <c r="I217" s="1838">
        <f t="shared" si="11"/>
        <v>189567</v>
      </c>
      <c r="J217" s="1838">
        <v>0</v>
      </c>
      <c r="K217" s="1838">
        <v>0</v>
      </c>
      <c r="L217" s="1838">
        <v>0</v>
      </c>
      <c r="M217" s="1838">
        <v>0</v>
      </c>
      <c r="N217" s="1838" t="s">
        <v>3339</v>
      </c>
      <c r="O217" s="1838" t="s">
        <v>3340</v>
      </c>
      <c r="P217" s="1838"/>
    </row>
    <row r="218" spans="2:16" s="1843" customFormat="1">
      <c r="B218" s="1838">
        <f t="shared" si="12"/>
        <v>215</v>
      </c>
      <c r="C218" s="1838" t="s">
        <v>113</v>
      </c>
      <c r="D218" s="1838" t="s">
        <v>3162</v>
      </c>
      <c r="E218" s="1838" t="s">
        <v>3389</v>
      </c>
      <c r="F218" s="1839">
        <v>45314</v>
      </c>
      <c r="G218" s="1840">
        <v>189315</v>
      </c>
      <c r="H218" s="1841">
        <f t="shared" si="10"/>
        <v>68</v>
      </c>
      <c r="I218" s="1838">
        <f t="shared" si="11"/>
        <v>189315</v>
      </c>
      <c r="J218" s="1838">
        <v>0</v>
      </c>
      <c r="K218" s="1838">
        <v>0</v>
      </c>
      <c r="L218" s="1838">
        <v>0</v>
      </c>
      <c r="M218" s="1838">
        <v>0</v>
      </c>
      <c r="N218" s="1838" t="s">
        <v>3339</v>
      </c>
      <c r="O218" s="1838" t="s">
        <v>3340</v>
      </c>
      <c r="P218" s="1838"/>
    </row>
    <row r="219" spans="2:16" s="1843" customFormat="1">
      <c r="B219" s="1838">
        <f t="shared" si="12"/>
        <v>216</v>
      </c>
      <c r="C219" s="1838" t="s">
        <v>113</v>
      </c>
      <c r="D219" s="1838" t="s">
        <v>3162</v>
      </c>
      <c r="E219" s="1838" t="s">
        <v>3390</v>
      </c>
      <c r="F219" s="1839">
        <v>45314</v>
      </c>
      <c r="G219" s="1840">
        <v>189504</v>
      </c>
      <c r="H219" s="1841">
        <f t="shared" si="10"/>
        <v>68</v>
      </c>
      <c r="I219" s="1838">
        <f t="shared" si="11"/>
        <v>189504</v>
      </c>
      <c r="J219" s="1838">
        <v>0</v>
      </c>
      <c r="K219" s="1838">
        <v>0</v>
      </c>
      <c r="L219" s="1838">
        <v>0</v>
      </c>
      <c r="M219" s="1838">
        <v>0</v>
      </c>
      <c r="N219" s="1838" t="s">
        <v>3339</v>
      </c>
      <c r="O219" s="1838" t="s">
        <v>3340</v>
      </c>
      <c r="P219" s="1838"/>
    </row>
    <row r="220" spans="2:16" s="1843" customFormat="1">
      <c r="B220" s="1838">
        <f t="shared" si="12"/>
        <v>217</v>
      </c>
      <c r="C220" s="1838" t="s">
        <v>113</v>
      </c>
      <c r="D220" s="1838" t="s">
        <v>3162</v>
      </c>
      <c r="E220" s="1838" t="s">
        <v>3391</v>
      </c>
      <c r="F220" s="1839">
        <v>45315</v>
      </c>
      <c r="G220" s="1840">
        <v>181755</v>
      </c>
      <c r="H220" s="1841">
        <f t="shared" si="10"/>
        <v>67</v>
      </c>
      <c r="I220" s="1838">
        <f t="shared" si="11"/>
        <v>181755</v>
      </c>
      <c r="J220" s="1838">
        <v>0</v>
      </c>
      <c r="K220" s="1838">
        <v>0</v>
      </c>
      <c r="L220" s="1838">
        <v>0</v>
      </c>
      <c r="M220" s="1838">
        <v>0</v>
      </c>
      <c r="N220" s="1838" t="s">
        <v>3339</v>
      </c>
      <c r="O220" s="1838" t="s">
        <v>3340</v>
      </c>
      <c r="P220" s="1838"/>
    </row>
    <row r="221" spans="2:16" s="1843" customFormat="1">
      <c r="B221" s="1838">
        <f t="shared" si="12"/>
        <v>218</v>
      </c>
      <c r="C221" s="1838" t="s">
        <v>113</v>
      </c>
      <c r="D221" s="1838" t="s">
        <v>3162</v>
      </c>
      <c r="E221" s="1838" t="s">
        <v>3392</v>
      </c>
      <c r="F221" s="1839">
        <v>45315</v>
      </c>
      <c r="G221" s="1840">
        <v>187551</v>
      </c>
      <c r="H221" s="1841">
        <f t="shared" si="10"/>
        <v>67</v>
      </c>
      <c r="I221" s="1838">
        <f t="shared" si="11"/>
        <v>187551</v>
      </c>
      <c r="J221" s="1838">
        <v>0</v>
      </c>
      <c r="K221" s="1838">
        <v>0</v>
      </c>
      <c r="L221" s="1838">
        <v>0</v>
      </c>
      <c r="M221" s="1838">
        <v>0</v>
      </c>
      <c r="N221" s="1838" t="s">
        <v>3339</v>
      </c>
      <c r="O221" s="1838" t="s">
        <v>3340</v>
      </c>
      <c r="P221" s="1838"/>
    </row>
    <row r="222" spans="2:16" s="1843" customFormat="1">
      <c r="B222" s="1838">
        <f t="shared" si="12"/>
        <v>219</v>
      </c>
      <c r="C222" s="1838" t="s">
        <v>113</v>
      </c>
      <c r="D222" s="1838" t="s">
        <v>3162</v>
      </c>
      <c r="E222" s="1838" t="s">
        <v>3393</v>
      </c>
      <c r="F222" s="1839">
        <v>45315</v>
      </c>
      <c r="G222" s="1840">
        <v>190512</v>
      </c>
      <c r="H222" s="1841">
        <f t="shared" si="10"/>
        <v>67</v>
      </c>
      <c r="I222" s="1838">
        <f t="shared" si="11"/>
        <v>190512</v>
      </c>
      <c r="J222" s="1838">
        <v>0</v>
      </c>
      <c r="K222" s="1838">
        <v>0</v>
      </c>
      <c r="L222" s="1838">
        <v>0</v>
      </c>
      <c r="M222" s="1838">
        <v>0</v>
      </c>
      <c r="N222" s="1838" t="s">
        <v>3339</v>
      </c>
      <c r="O222" s="1838" t="s">
        <v>3340</v>
      </c>
      <c r="P222" s="1838"/>
    </row>
    <row r="223" spans="2:16" s="1843" customFormat="1">
      <c r="B223" s="1838">
        <f t="shared" si="12"/>
        <v>220</v>
      </c>
      <c r="C223" s="1838" t="s">
        <v>113</v>
      </c>
      <c r="D223" s="1838" t="s">
        <v>3162</v>
      </c>
      <c r="E223" s="1838" t="s">
        <v>3394</v>
      </c>
      <c r="F223" s="1839">
        <v>45315</v>
      </c>
      <c r="G223" s="1840">
        <v>190197</v>
      </c>
      <c r="H223" s="1841">
        <f t="shared" si="10"/>
        <v>67</v>
      </c>
      <c r="I223" s="1838">
        <f t="shared" si="11"/>
        <v>190197</v>
      </c>
      <c r="J223" s="1838">
        <v>0</v>
      </c>
      <c r="K223" s="1838">
        <v>0</v>
      </c>
      <c r="L223" s="1838">
        <v>0</v>
      </c>
      <c r="M223" s="1838">
        <v>0</v>
      </c>
      <c r="N223" s="1838" t="s">
        <v>3339</v>
      </c>
      <c r="O223" s="1838" t="s">
        <v>3340</v>
      </c>
      <c r="P223" s="1838"/>
    </row>
    <row r="224" spans="2:16" s="1843" customFormat="1">
      <c r="B224" s="1838">
        <f t="shared" si="12"/>
        <v>221</v>
      </c>
      <c r="C224" s="1838" t="s">
        <v>113</v>
      </c>
      <c r="D224" s="1838" t="s">
        <v>3162</v>
      </c>
      <c r="E224" s="1838" t="s">
        <v>3395</v>
      </c>
      <c r="F224" s="1839">
        <v>45322</v>
      </c>
      <c r="G224" s="1840">
        <v>185220</v>
      </c>
      <c r="H224" s="1841">
        <f t="shared" si="10"/>
        <v>60</v>
      </c>
      <c r="I224" s="1838">
        <f t="shared" si="11"/>
        <v>185220</v>
      </c>
      <c r="J224" s="1838">
        <v>0</v>
      </c>
      <c r="K224" s="1838">
        <v>0</v>
      </c>
      <c r="L224" s="1838">
        <v>0</v>
      </c>
      <c r="M224" s="1838">
        <v>0</v>
      </c>
      <c r="N224" s="1838" t="s">
        <v>3339</v>
      </c>
      <c r="O224" s="1838" t="s">
        <v>3340</v>
      </c>
      <c r="P224" s="1838"/>
    </row>
    <row r="225" spans="2:16" s="1843" customFormat="1">
      <c r="B225" s="1838">
        <f t="shared" si="12"/>
        <v>222</v>
      </c>
      <c r="C225" s="1838" t="s">
        <v>113</v>
      </c>
      <c r="D225" s="1838" t="s">
        <v>3162</v>
      </c>
      <c r="E225" s="1838" t="s">
        <v>3396</v>
      </c>
      <c r="F225" s="1839">
        <v>45322</v>
      </c>
      <c r="G225" s="1840">
        <v>191646</v>
      </c>
      <c r="H225" s="1841">
        <f t="shared" si="10"/>
        <v>60</v>
      </c>
      <c r="I225" s="1838">
        <f t="shared" si="11"/>
        <v>191646</v>
      </c>
      <c r="J225" s="1838">
        <v>0</v>
      </c>
      <c r="K225" s="1838">
        <v>0</v>
      </c>
      <c r="L225" s="1838">
        <v>0</v>
      </c>
      <c r="M225" s="1838">
        <v>0</v>
      </c>
      <c r="N225" s="1838" t="s">
        <v>3339</v>
      </c>
      <c r="O225" s="1838" t="s">
        <v>3340</v>
      </c>
      <c r="P225" s="1838"/>
    </row>
    <row r="226" spans="2:16" s="1843" customFormat="1">
      <c r="B226" s="1838">
        <f t="shared" si="12"/>
        <v>223</v>
      </c>
      <c r="C226" s="1838" t="s">
        <v>113</v>
      </c>
      <c r="D226" s="1838" t="s">
        <v>3162</v>
      </c>
      <c r="E226" s="1838" t="s">
        <v>3303</v>
      </c>
      <c r="F226" s="1839">
        <v>45322</v>
      </c>
      <c r="G226" s="1840">
        <v>-6143</v>
      </c>
      <c r="H226" s="1841">
        <f t="shared" si="10"/>
        <v>60</v>
      </c>
      <c r="I226" s="1838">
        <f t="shared" si="11"/>
        <v>-6143</v>
      </c>
      <c r="J226" s="1838">
        <v>0</v>
      </c>
      <c r="K226" s="1838">
        <v>0</v>
      </c>
      <c r="L226" s="1838">
        <v>0</v>
      </c>
      <c r="M226" s="1838">
        <v>0</v>
      </c>
      <c r="N226" s="1838" t="s">
        <v>3339</v>
      </c>
      <c r="O226" s="1838" t="s">
        <v>3340</v>
      </c>
      <c r="P226" s="1838"/>
    </row>
    <row r="227" spans="2:16" s="1843" customFormat="1">
      <c r="B227" s="1838">
        <f t="shared" si="12"/>
        <v>224</v>
      </c>
      <c r="C227" s="1838" t="s">
        <v>113</v>
      </c>
      <c r="D227" s="1838" t="s">
        <v>3162</v>
      </c>
      <c r="E227" s="1838" t="s">
        <v>3397</v>
      </c>
      <c r="F227" s="1839">
        <v>45323</v>
      </c>
      <c r="G227" s="1840">
        <v>183582</v>
      </c>
      <c r="H227" s="1841">
        <f t="shared" si="10"/>
        <v>59</v>
      </c>
      <c r="I227" s="1838">
        <f t="shared" si="11"/>
        <v>183582</v>
      </c>
      <c r="J227" s="1838">
        <v>0</v>
      </c>
      <c r="K227" s="1838">
        <v>0</v>
      </c>
      <c r="L227" s="1838">
        <v>0</v>
      </c>
      <c r="M227" s="1838">
        <v>0</v>
      </c>
      <c r="N227" s="1838" t="s">
        <v>3339</v>
      </c>
      <c r="O227" s="1838" t="s">
        <v>3340</v>
      </c>
      <c r="P227" s="1838"/>
    </row>
    <row r="228" spans="2:16" s="1843" customFormat="1">
      <c r="B228" s="1838">
        <f t="shared" si="12"/>
        <v>225</v>
      </c>
      <c r="C228" s="1838" t="s">
        <v>113</v>
      </c>
      <c r="D228" s="1838" t="s">
        <v>3162</v>
      </c>
      <c r="E228" s="1838" t="s">
        <v>3398</v>
      </c>
      <c r="F228" s="1839">
        <v>45323</v>
      </c>
      <c r="G228" s="1840">
        <v>187236</v>
      </c>
      <c r="H228" s="1841">
        <f t="shared" si="10"/>
        <v>59</v>
      </c>
      <c r="I228" s="1838">
        <f t="shared" si="11"/>
        <v>187236</v>
      </c>
      <c r="J228" s="1838">
        <v>0</v>
      </c>
      <c r="K228" s="1838">
        <v>0</v>
      </c>
      <c r="L228" s="1838">
        <v>0</v>
      </c>
      <c r="M228" s="1838">
        <v>0</v>
      </c>
      <c r="N228" s="1838" t="s">
        <v>3339</v>
      </c>
      <c r="O228" s="1838" t="s">
        <v>3340</v>
      </c>
      <c r="P228" s="1838"/>
    </row>
    <row r="229" spans="2:16" s="1843" customFormat="1">
      <c r="B229" s="1838">
        <f t="shared" si="12"/>
        <v>226</v>
      </c>
      <c r="C229" s="1838" t="s">
        <v>113</v>
      </c>
      <c r="D229" s="1838" t="s">
        <v>3162</v>
      </c>
      <c r="E229" s="1838" t="s">
        <v>3399</v>
      </c>
      <c r="F229" s="1839">
        <v>45324</v>
      </c>
      <c r="G229" s="1840">
        <v>191268</v>
      </c>
      <c r="H229" s="1841">
        <f t="shared" si="10"/>
        <v>58</v>
      </c>
      <c r="I229" s="1838">
        <f t="shared" si="11"/>
        <v>191268</v>
      </c>
      <c r="J229" s="1838">
        <v>0</v>
      </c>
      <c r="K229" s="1838">
        <v>0</v>
      </c>
      <c r="L229" s="1838">
        <v>0</v>
      </c>
      <c r="M229" s="1838">
        <v>0</v>
      </c>
      <c r="N229" s="1838" t="s">
        <v>3339</v>
      </c>
      <c r="O229" s="1838" t="s">
        <v>3340</v>
      </c>
      <c r="P229" s="1838"/>
    </row>
    <row r="230" spans="2:16" s="1843" customFormat="1">
      <c r="B230" s="1838">
        <f t="shared" si="12"/>
        <v>227</v>
      </c>
      <c r="C230" s="1838" t="s">
        <v>113</v>
      </c>
      <c r="D230" s="1838" t="s">
        <v>3162</v>
      </c>
      <c r="E230" s="1838" t="s">
        <v>3400</v>
      </c>
      <c r="F230" s="1839">
        <v>45324</v>
      </c>
      <c r="G230" s="1840">
        <v>192528</v>
      </c>
      <c r="H230" s="1841">
        <f t="shared" si="10"/>
        <v>58</v>
      </c>
      <c r="I230" s="1838">
        <f t="shared" si="11"/>
        <v>192528</v>
      </c>
      <c r="J230" s="1838">
        <v>0</v>
      </c>
      <c r="K230" s="1838">
        <v>0</v>
      </c>
      <c r="L230" s="1838">
        <v>0</v>
      </c>
      <c r="M230" s="1838">
        <v>0</v>
      </c>
      <c r="N230" s="1838" t="s">
        <v>3339</v>
      </c>
      <c r="O230" s="1838" t="s">
        <v>3340</v>
      </c>
      <c r="P230" s="1838"/>
    </row>
    <row r="231" spans="2:16" s="1843" customFormat="1">
      <c r="B231" s="1838">
        <f t="shared" si="12"/>
        <v>228</v>
      </c>
      <c r="C231" s="1838" t="s">
        <v>113</v>
      </c>
      <c r="D231" s="1838" t="s">
        <v>3162</v>
      </c>
      <c r="E231" s="1838" t="s">
        <v>3401</v>
      </c>
      <c r="F231" s="1839">
        <v>45325</v>
      </c>
      <c r="G231" s="1840">
        <v>192213</v>
      </c>
      <c r="H231" s="1841">
        <f t="shared" si="10"/>
        <v>57</v>
      </c>
      <c r="I231" s="1838">
        <f t="shared" si="11"/>
        <v>192213</v>
      </c>
      <c r="J231" s="1838">
        <v>0</v>
      </c>
      <c r="K231" s="1838">
        <v>0</v>
      </c>
      <c r="L231" s="1838">
        <v>0</v>
      </c>
      <c r="M231" s="1838">
        <v>0</v>
      </c>
      <c r="N231" s="1838" t="s">
        <v>3339</v>
      </c>
      <c r="O231" s="1838" t="s">
        <v>3340</v>
      </c>
      <c r="P231" s="1838"/>
    </row>
    <row r="232" spans="2:16" s="1843" customFormat="1">
      <c r="B232" s="1838">
        <f t="shared" si="12"/>
        <v>229</v>
      </c>
      <c r="C232" s="1838" t="s">
        <v>113</v>
      </c>
      <c r="D232" s="1838" t="s">
        <v>3162</v>
      </c>
      <c r="E232" s="1838" t="s">
        <v>3402</v>
      </c>
      <c r="F232" s="1839">
        <v>45325</v>
      </c>
      <c r="G232" s="1840">
        <v>187866</v>
      </c>
      <c r="H232" s="1841">
        <f t="shared" si="10"/>
        <v>57</v>
      </c>
      <c r="I232" s="1838">
        <f t="shared" si="11"/>
        <v>187866</v>
      </c>
      <c r="J232" s="1838">
        <v>0</v>
      </c>
      <c r="K232" s="1838">
        <v>0</v>
      </c>
      <c r="L232" s="1838">
        <v>0</v>
      </c>
      <c r="M232" s="1838">
        <v>0</v>
      </c>
      <c r="N232" s="1838" t="s">
        <v>3339</v>
      </c>
      <c r="O232" s="1838" t="s">
        <v>3340</v>
      </c>
      <c r="P232" s="1838"/>
    </row>
    <row r="233" spans="2:16" s="1843" customFormat="1">
      <c r="B233" s="1838">
        <f t="shared" si="12"/>
        <v>230</v>
      </c>
      <c r="C233" s="1838" t="s">
        <v>113</v>
      </c>
      <c r="D233" s="1838" t="s">
        <v>3162</v>
      </c>
      <c r="E233" s="1838" t="s">
        <v>3403</v>
      </c>
      <c r="F233" s="1839">
        <v>45326</v>
      </c>
      <c r="G233" s="1840">
        <v>188244</v>
      </c>
      <c r="H233" s="1841">
        <f t="shared" si="10"/>
        <v>56</v>
      </c>
      <c r="I233" s="1838">
        <f t="shared" si="11"/>
        <v>188244</v>
      </c>
      <c r="J233" s="1838">
        <v>0</v>
      </c>
      <c r="K233" s="1838">
        <v>0</v>
      </c>
      <c r="L233" s="1838">
        <v>0</v>
      </c>
      <c r="M233" s="1838">
        <v>0</v>
      </c>
      <c r="N233" s="1838" t="s">
        <v>3339</v>
      </c>
      <c r="O233" s="1838" t="s">
        <v>3340</v>
      </c>
      <c r="P233" s="1838"/>
    </row>
    <row r="234" spans="2:16" s="1843" customFormat="1">
      <c r="B234" s="1838">
        <f t="shared" si="12"/>
        <v>231</v>
      </c>
      <c r="C234" s="1838" t="s">
        <v>113</v>
      </c>
      <c r="D234" s="1838" t="s">
        <v>3162</v>
      </c>
      <c r="E234" s="1838" t="s">
        <v>3404</v>
      </c>
      <c r="F234" s="1839">
        <v>45326</v>
      </c>
      <c r="G234" s="1840">
        <v>188055</v>
      </c>
      <c r="H234" s="1841">
        <f t="shared" si="10"/>
        <v>56</v>
      </c>
      <c r="I234" s="1838">
        <f t="shared" si="11"/>
        <v>188055</v>
      </c>
      <c r="J234" s="1838">
        <v>0</v>
      </c>
      <c r="K234" s="1838">
        <v>0</v>
      </c>
      <c r="L234" s="1838">
        <v>0</v>
      </c>
      <c r="M234" s="1838">
        <v>0</v>
      </c>
      <c r="N234" s="1838" t="s">
        <v>3339</v>
      </c>
      <c r="O234" s="1838" t="s">
        <v>3340</v>
      </c>
      <c r="P234" s="1838"/>
    </row>
    <row r="235" spans="2:16" s="1843" customFormat="1">
      <c r="B235" s="1838">
        <f t="shared" si="12"/>
        <v>232</v>
      </c>
      <c r="C235" s="1838" t="s">
        <v>113</v>
      </c>
      <c r="D235" s="1838" t="s">
        <v>3162</v>
      </c>
      <c r="E235" s="1838" t="s">
        <v>3405</v>
      </c>
      <c r="F235" s="1839">
        <v>45326</v>
      </c>
      <c r="G235" s="1840">
        <v>182070</v>
      </c>
      <c r="H235" s="1841">
        <f t="shared" si="10"/>
        <v>56</v>
      </c>
      <c r="I235" s="1838">
        <f t="shared" si="11"/>
        <v>182070</v>
      </c>
      <c r="J235" s="1838">
        <v>0</v>
      </c>
      <c r="K235" s="1838">
        <v>0</v>
      </c>
      <c r="L235" s="1838">
        <v>0</v>
      </c>
      <c r="M235" s="1838">
        <v>0</v>
      </c>
      <c r="N235" s="1838" t="s">
        <v>3339</v>
      </c>
      <c r="O235" s="1838" t="s">
        <v>3340</v>
      </c>
      <c r="P235" s="1838"/>
    </row>
    <row r="236" spans="2:16" s="1843" customFormat="1">
      <c r="B236" s="1838">
        <f t="shared" si="12"/>
        <v>233</v>
      </c>
      <c r="C236" s="1838" t="s">
        <v>113</v>
      </c>
      <c r="D236" s="1838" t="s">
        <v>3162</v>
      </c>
      <c r="E236" s="1838" t="s">
        <v>3406</v>
      </c>
      <c r="F236" s="1839">
        <v>45327</v>
      </c>
      <c r="G236" s="1840">
        <v>161091</v>
      </c>
      <c r="H236" s="1841">
        <f t="shared" si="10"/>
        <v>55</v>
      </c>
      <c r="I236" s="1838">
        <f t="shared" si="11"/>
        <v>161091</v>
      </c>
      <c r="J236" s="1838">
        <v>0</v>
      </c>
      <c r="K236" s="1838">
        <v>0</v>
      </c>
      <c r="L236" s="1838">
        <v>0</v>
      </c>
      <c r="M236" s="1838">
        <v>0</v>
      </c>
      <c r="N236" s="1838" t="s">
        <v>3339</v>
      </c>
      <c r="O236" s="1838" t="s">
        <v>3340</v>
      </c>
      <c r="P236" s="1838"/>
    </row>
    <row r="237" spans="2:16" s="1843" customFormat="1">
      <c r="B237" s="1838">
        <f t="shared" si="12"/>
        <v>234</v>
      </c>
      <c r="C237" s="1838" t="s">
        <v>113</v>
      </c>
      <c r="D237" s="1838" t="s">
        <v>3162</v>
      </c>
      <c r="E237" s="1838" t="s">
        <v>3407</v>
      </c>
      <c r="F237" s="1839">
        <v>45327</v>
      </c>
      <c r="G237" s="1840">
        <v>191709</v>
      </c>
      <c r="H237" s="1841">
        <f t="shared" si="10"/>
        <v>55</v>
      </c>
      <c r="I237" s="1838">
        <f t="shared" si="11"/>
        <v>191709</v>
      </c>
      <c r="J237" s="1838">
        <v>0</v>
      </c>
      <c r="K237" s="1838">
        <v>0</v>
      </c>
      <c r="L237" s="1838">
        <v>0</v>
      </c>
      <c r="M237" s="1838">
        <v>0</v>
      </c>
      <c r="N237" s="1838" t="s">
        <v>3339</v>
      </c>
      <c r="O237" s="1838" t="s">
        <v>3340</v>
      </c>
      <c r="P237" s="1838"/>
    </row>
    <row r="238" spans="2:16" s="1843" customFormat="1">
      <c r="B238" s="1838">
        <f t="shared" si="12"/>
        <v>235</v>
      </c>
      <c r="C238" s="1838" t="s">
        <v>113</v>
      </c>
      <c r="D238" s="1838" t="s">
        <v>3162</v>
      </c>
      <c r="E238" s="1838" t="s">
        <v>3408</v>
      </c>
      <c r="F238" s="1839">
        <v>45327</v>
      </c>
      <c r="G238" s="1840">
        <v>186732</v>
      </c>
      <c r="H238" s="1841">
        <f t="shared" si="10"/>
        <v>55</v>
      </c>
      <c r="I238" s="1838">
        <f t="shared" si="11"/>
        <v>186732</v>
      </c>
      <c r="J238" s="1838">
        <v>0</v>
      </c>
      <c r="K238" s="1838">
        <v>0</v>
      </c>
      <c r="L238" s="1838">
        <v>0</v>
      </c>
      <c r="M238" s="1838">
        <v>0</v>
      </c>
      <c r="N238" s="1838" t="s">
        <v>3339</v>
      </c>
      <c r="O238" s="1838" t="s">
        <v>3340</v>
      </c>
      <c r="P238" s="1838"/>
    </row>
    <row r="239" spans="2:16" s="1843" customFormat="1">
      <c r="B239" s="1838">
        <f t="shared" si="12"/>
        <v>236</v>
      </c>
      <c r="C239" s="1838" t="s">
        <v>113</v>
      </c>
      <c r="D239" s="1838" t="s">
        <v>3162</v>
      </c>
      <c r="E239" s="1838" t="s">
        <v>3409</v>
      </c>
      <c r="F239" s="1839">
        <v>45327</v>
      </c>
      <c r="G239" s="1840">
        <v>187614</v>
      </c>
      <c r="H239" s="1841">
        <f t="shared" si="10"/>
        <v>55</v>
      </c>
      <c r="I239" s="1838">
        <f t="shared" si="11"/>
        <v>187614</v>
      </c>
      <c r="J239" s="1838">
        <v>0</v>
      </c>
      <c r="K239" s="1838">
        <v>0</v>
      </c>
      <c r="L239" s="1838">
        <v>0</v>
      </c>
      <c r="M239" s="1838">
        <v>0</v>
      </c>
      <c r="N239" s="1838" t="s">
        <v>3339</v>
      </c>
      <c r="O239" s="1838" t="s">
        <v>3340</v>
      </c>
      <c r="P239" s="1838"/>
    </row>
    <row r="240" spans="2:16" s="1843" customFormat="1">
      <c r="B240" s="1838">
        <f t="shared" si="12"/>
        <v>237</v>
      </c>
      <c r="C240" s="1838" t="s">
        <v>113</v>
      </c>
      <c r="D240" s="1838" t="s">
        <v>3162</v>
      </c>
      <c r="E240" s="1838" t="s">
        <v>3410</v>
      </c>
      <c r="F240" s="1839">
        <v>45328</v>
      </c>
      <c r="G240" s="1840">
        <v>187677</v>
      </c>
      <c r="H240" s="1841">
        <f t="shared" si="10"/>
        <v>54</v>
      </c>
      <c r="I240" s="1838">
        <f t="shared" si="11"/>
        <v>187677</v>
      </c>
      <c r="J240" s="1838">
        <v>0</v>
      </c>
      <c r="K240" s="1838">
        <v>0</v>
      </c>
      <c r="L240" s="1838">
        <v>0</v>
      </c>
      <c r="M240" s="1838">
        <v>0</v>
      </c>
      <c r="N240" s="1838" t="s">
        <v>3339</v>
      </c>
      <c r="O240" s="1838" t="s">
        <v>3340</v>
      </c>
      <c r="P240" s="1838"/>
    </row>
    <row r="241" spans="2:16" s="1843" customFormat="1">
      <c r="B241" s="1838">
        <f t="shared" si="12"/>
        <v>238</v>
      </c>
      <c r="C241" s="1838" t="s">
        <v>113</v>
      </c>
      <c r="D241" s="1838" t="s">
        <v>3162</v>
      </c>
      <c r="E241" s="1838" t="s">
        <v>3411</v>
      </c>
      <c r="F241" s="1839">
        <v>45328</v>
      </c>
      <c r="G241" s="1840">
        <v>189063</v>
      </c>
      <c r="H241" s="1841">
        <f t="shared" si="10"/>
        <v>54</v>
      </c>
      <c r="I241" s="1838">
        <f t="shared" si="11"/>
        <v>189063</v>
      </c>
      <c r="J241" s="1838">
        <v>0</v>
      </c>
      <c r="K241" s="1838">
        <v>0</v>
      </c>
      <c r="L241" s="1838">
        <v>0</v>
      </c>
      <c r="M241" s="1838">
        <v>0</v>
      </c>
      <c r="N241" s="1838" t="s">
        <v>3339</v>
      </c>
      <c r="O241" s="1838" t="s">
        <v>3340</v>
      </c>
      <c r="P241" s="1838"/>
    </row>
    <row r="242" spans="2:16" s="1843" customFormat="1">
      <c r="B242" s="1838">
        <f t="shared" si="12"/>
        <v>239</v>
      </c>
      <c r="C242" s="1838" t="s">
        <v>113</v>
      </c>
      <c r="D242" s="1838" t="s">
        <v>3162</v>
      </c>
      <c r="E242" s="1838" t="s">
        <v>3412</v>
      </c>
      <c r="F242" s="1839">
        <v>45328</v>
      </c>
      <c r="G242" s="1840">
        <v>185661</v>
      </c>
      <c r="H242" s="1841">
        <f t="shared" si="10"/>
        <v>54</v>
      </c>
      <c r="I242" s="1838">
        <f t="shared" si="11"/>
        <v>185661</v>
      </c>
      <c r="J242" s="1838">
        <v>0</v>
      </c>
      <c r="K242" s="1838">
        <v>0</v>
      </c>
      <c r="L242" s="1838">
        <v>0</v>
      </c>
      <c r="M242" s="1838">
        <v>0</v>
      </c>
      <c r="N242" s="1838" t="s">
        <v>3339</v>
      </c>
      <c r="O242" s="1838" t="s">
        <v>3340</v>
      </c>
      <c r="P242" s="1838"/>
    </row>
    <row r="243" spans="2:16" s="1843" customFormat="1">
      <c r="B243" s="1838">
        <f t="shared" si="12"/>
        <v>240</v>
      </c>
      <c r="C243" s="1838" t="s">
        <v>113</v>
      </c>
      <c r="D243" s="1838" t="s">
        <v>3162</v>
      </c>
      <c r="E243" s="1838" t="s">
        <v>3413</v>
      </c>
      <c r="F243" s="1839">
        <v>45329</v>
      </c>
      <c r="G243" s="1840">
        <v>155421</v>
      </c>
      <c r="H243" s="1841">
        <f t="shared" si="10"/>
        <v>53</v>
      </c>
      <c r="I243" s="1838">
        <f t="shared" si="11"/>
        <v>155421</v>
      </c>
      <c r="J243" s="1838">
        <v>0</v>
      </c>
      <c r="K243" s="1838">
        <v>0</v>
      </c>
      <c r="L243" s="1838">
        <v>0</v>
      </c>
      <c r="M243" s="1838">
        <v>0</v>
      </c>
      <c r="N243" s="1838" t="s">
        <v>3339</v>
      </c>
      <c r="O243" s="1838" t="s">
        <v>3340</v>
      </c>
      <c r="P243" s="1838"/>
    </row>
    <row r="244" spans="2:16" s="1843" customFormat="1">
      <c r="B244" s="1838">
        <f t="shared" si="12"/>
        <v>241</v>
      </c>
      <c r="C244" s="1838" t="s">
        <v>113</v>
      </c>
      <c r="D244" s="1838" t="s">
        <v>3162</v>
      </c>
      <c r="E244" s="1838" t="s">
        <v>3414</v>
      </c>
      <c r="F244" s="1839">
        <v>45329</v>
      </c>
      <c r="G244" s="1840">
        <v>176526</v>
      </c>
      <c r="H244" s="1841">
        <f t="shared" si="10"/>
        <v>53</v>
      </c>
      <c r="I244" s="1838">
        <f t="shared" si="11"/>
        <v>176526</v>
      </c>
      <c r="J244" s="1838">
        <v>0</v>
      </c>
      <c r="K244" s="1838">
        <v>0</v>
      </c>
      <c r="L244" s="1838">
        <v>0</v>
      </c>
      <c r="M244" s="1838">
        <v>0</v>
      </c>
      <c r="N244" s="1838" t="s">
        <v>3339</v>
      </c>
      <c r="O244" s="1838" t="s">
        <v>3340</v>
      </c>
      <c r="P244" s="1838"/>
    </row>
    <row r="245" spans="2:16" s="1843" customFormat="1">
      <c r="B245" s="1838">
        <f t="shared" si="12"/>
        <v>242</v>
      </c>
      <c r="C245" s="1838" t="s">
        <v>113</v>
      </c>
      <c r="D245" s="1838" t="s">
        <v>3162</v>
      </c>
      <c r="E245" s="1838" t="s">
        <v>3415</v>
      </c>
      <c r="F245" s="1839">
        <v>45329</v>
      </c>
      <c r="G245" s="1840">
        <v>190953</v>
      </c>
      <c r="H245" s="1841">
        <f t="shared" si="10"/>
        <v>53</v>
      </c>
      <c r="I245" s="1838">
        <f t="shared" si="11"/>
        <v>190953</v>
      </c>
      <c r="J245" s="1838">
        <v>0</v>
      </c>
      <c r="K245" s="1838">
        <v>0</v>
      </c>
      <c r="L245" s="1838">
        <v>0</v>
      </c>
      <c r="M245" s="1838">
        <v>0</v>
      </c>
      <c r="N245" s="1838" t="s">
        <v>3339</v>
      </c>
      <c r="O245" s="1838" t="s">
        <v>3340</v>
      </c>
      <c r="P245" s="1838"/>
    </row>
    <row r="246" spans="2:16" s="1843" customFormat="1">
      <c r="B246" s="1838">
        <f t="shared" si="12"/>
        <v>243</v>
      </c>
      <c r="C246" s="1838" t="s">
        <v>113</v>
      </c>
      <c r="D246" s="1838" t="s">
        <v>3162</v>
      </c>
      <c r="E246" s="1838" t="s">
        <v>3416</v>
      </c>
      <c r="F246" s="1839">
        <v>45330</v>
      </c>
      <c r="G246" s="1840">
        <v>187803</v>
      </c>
      <c r="H246" s="1841">
        <f t="shared" si="10"/>
        <v>52</v>
      </c>
      <c r="I246" s="1838">
        <f t="shared" si="11"/>
        <v>187803</v>
      </c>
      <c r="J246" s="1838">
        <v>0</v>
      </c>
      <c r="K246" s="1838">
        <v>0</v>
      </c>
      <c r="L246" s="1838">
        <v>0</v>
      </c>
      <c r="M246" s="1838">
        <v>0</v>
      </c>
      <c r="N246" s="1838" t="s">
        <v>3339</v>
      </c>
      <c r="O246" s="1838" t="s">
        <v>3340</v>
      </c>
      <c r="P246" s="1838"/>
    </row>
    <row r="247" spans="2:16" s="1843" customFormat="1">
      <c r="B247" s="1838">
        <f t="shared" si="12"/>
        <v>244</v>
      </c>
      <c r="C247" s="1838" t="s">
        <v>113</v>
      </c>
      <c r="D247" s="1838" t="s">
        <v>3162</v>
      </c>
      <c r="E247" s="1838" t="s">
        <v>3417</v>
      </c>
      <c r="F247" s="1839">
        <v>45330</v>
      </c>
      <c r="G247" s="1840">
        <v>184338</v>
      </c>
      <c r="H247" s="1841">
        <f t="shared" si="10"/>
        <v>52</v>
      </c>
      <c r="I247" s="1838">
        <f t="shared" si="11"/>
        <v>184338</v>
      </c>
      <c r="J247" s="1838">
        <v>0</v>
      </c>
      <c r="K247" s="1838">
        <v>0</v>
      </c>
      <c r="L247" s="1838">
        <v>0</v>
      </c>
      <c r="M247" s="1838">
        <v>0</v>
      </c>
      <c r="N247" s="1838" t="s">
        <v>3339</v>
      </c>
      <c r="O247" s="1838" t="s">
        <v>3340</v>
      </c>
      <c r="P247" s="1838"/>
    </row>
    <row r="248" spans="2:16" s="1843" customFormat="1">
      <c r="B248" s="1838">
        <f t="shared" si="12"/>
        <v>245</v>
      </c>
      <c r="C248" s="1838" t="s">
        <v>113</v>
      </c>
      <c r="D248" s="1838" t="s">
        <v>3162</v>
      </c>
      <c r="E248" s="1838" t="s">
        <v>3418</v>
      </c>
      <c r="F248" s="1839">
        <v>45331</v>
      </c>
      <c r="G248" s="1840">
        <v>185157</v>
      </c>
      <c r="H248" s="1841">
        <f t="shared" si="10"/>
        <v>51</v>
      </c>
      <c r="I248" s="1838">
        <f t="shared" si="11"/>
        <v>185157</v>
      </c>
      <c r="J248" s="1838">
        <v>0</v>
      </c>
      <c r="K248" s="1838">
        <v>0</v>
      </c>
      <c r="L248" s="1838">
        <v>0</v>
      </c>
      <c r="M248" s="1838">
        <v>0</v>
      </c>
      <c r="N248" s="1838" t="s">
        <v>3339</v>
      </c>
      <c r="O248" s="1838" t="s">
        <v>3340</v>
      </c>
      <c r="P248" s="1838"/>
    </row>
    <row r="249" spans="2:16" s="1843" customFormat="1">
      <c r="B249" s="1838">
        <f t="shared" si="12"/>
        <v>246</v>
      </c>
      <c r="C249" s="1838" t="s">
        <v>113</v>
      </c>
      <c r="D249" s="1838" t="s">
        <v>3162</v>
      </c>
      <c r="E249" s="1838" t="s">
        <v>3419</v>
      </c>
      <c r="F249" s="1839">
        <v>45331</v>
      </c>
      <c r="G249" s="1840">
        <v>184842</v>
      </c>
      <c r="H249" s="1841">
        <f t="shared" si="10"/>
        <v>51</v>
      </c>
      <c r="I249" s="1838">
        <f t="shared" si="11"/>
        <v>184842</v>
      </c>
      <c r="J249" s="1838">
        <v>0</v>
      </c>
      <c r="K249" s="1838">
        <v>0</v>
      </c>
      <c r="L249" s="1838">
        <v>0</v>
      </c>
      <c r="M249" s="1838">
        <v>0</v>
      </c>
      <c r="N249" s="1838" t="s">
        <v>3339</v>
      </c>
      <c r="O249" s="1838" t="s">
        <v>3340</v>
      </c>
      <c r="P249" s="1838"/>
    </row>
    <row r="250" spans="2:16" s="1843" customFormat="1">
      <c r="B250" s="1838">
        <f t="shared" si="12"/>
        <v>247</v>
      </c>
      <c r="C250" s="1838" t="s">
        <v>113</v>
      </c>
      <c r="D250" s="1838" t="s">
        <v>3162</v>
      </c>
      <c r="E250" s="1838" t="s">
        <v>3420</v>
      </c>
      <c r="F250" s="1839">
        <v>45332</v>
      </c>
      <c r="G250" s="1840">
        <v>186669</v>
      </c>
      <c r="H250" s="1841">
        <f t="shared" si="10"/>
        <v>50</v>
      </c>
      <c r="I250" s="1838">
        <f t="shared" si="11"/>
        <v>186669</v>
      </c>
      <c r="J250" s="1838">
        <v>0</v>
      </c>
      <c r="K250" s="1838">
        <v>0</v>
      </c>
      <c r="L250" s="1838">
        <v>0</v>
      </c>
      <c r="M250" s="1838">
        <v>0</v>
      </c>
      <c r="N250" s="1838" t="s">
        <v>3339</v>
      </c>
      <c r="O250" s="1838" t="s">
        <v>3340</v>
      </c>
      <c r="P250" s="1838"/>
    </row>
    <row r="251" spans="2:16" s="1843" customFormat="1">
      <c r="B251" s="1838">
        <f t="shared" si="12"/>
        <v>248</v>
      </c>
      <c r="C251" s="1838" t="s">
        <v>113</v>
      </c>
      <c r="D251" s="1838" t="s">
        <v>3162</v>
      </c>
      <c r="E251" s="1838" t="s">
        <v>3421</v>
      </c>
      <c r="F251" s="1839">
        <v>45332</v>
      </c>
      <c r="G251" s="1840">
        <v>189693</v>
      </c>
      <c r="H251" s="1841">
        <f t="shared" si="10"/>
        <v>50</v>
      </c>
      <c r="I251" s="1838">
        <f t="shared" si="11"/>
        <v>189693</v>
      </c>
      <c r="J251" s="1838">
        <v>0</v>
      </c>
      <c r="K251" s="1838">
        <v>0</v>
      </c>
      <c r="L251" s="1838">
        <v>0</v>
      </c>
      <c r="M251" s="1838">
        <v>0</v>
      </c>
      <c r="N251" s="1838" t="s">
        <v>3339</v>
      </c>
      <c r="O251" s="1838" t="s">
        <v>3340</v>
      </c>
      <c r="P251" s="1838"/>
    </row>
    <row r="252" spans="2:16" s="1843" customFormat="1">
      <c r="B252" s="1838">
        <f t="shared" si="12"/>
        <v>249</v>
      </c>
      <c r="C252" s="1838" t="s">
        <v>113</v>
      </c>
      <c r="D252" s="1838" t="s">
        <v>3162</v>
      </c>
      <c r="E252" s="1838" t="s">
        <v>3422</v>
      </c>
      <c r="F252" s="1839">
        <v>45335</v>
      </c>
      <c r="G252" s="1840">
        <v>184968</v>
      </c>
      <c r="H252" s="1841">
        <f t="shared" si="10"/>
        <v>47</v>
      </c>
      <c r="I252" s="1838">
        <f t="shared" si="11"/>
        <v>184968</v>
      </c>
      <c r="J252" s="1838">
        <v>0</v>
      </c>
      <c r="K252" s="1838">
        <v>0</v>
      </c>
      <c r="L252" s="1838">
        <v>0</v>
      </c>
      <c r="M252" s="1838">
        <v>0</v>
      </c>
      <c r="N252" s="1838" t="s">
        <v>3339</v>
      </c>
      <c r="O252" s="1838" t="s">
        <v>3340</v>
      </c>
      <c r="P252" s="1838"/>
    </row>
    <row r="253" spans="2:16" s="1843" customFormat="1">
      <c r="B253" s="1838">
        <f t="shared" si="12"/>
        <v>250</v>
      </c>
      <c r="C253" s="1838" t="s">
        <v>113</v>
      </c>
      <c r="D253" s="1838" t="s">
        <v>3162</v>
      </c>
      <c r="E253" s="1838" t="s">
        <v>3423</v>
      </c>
      <c r="F253" s="1839">
        <v>45335</v>
      </c>
      <c r="G253" s="1840">
        <v>187110</v>
      </c>
      <c r="H253" s="1841">
        <f t="shared" si="10"/>
        <v>47</v>
      </c>
      <c r="I253" s="1838">
        <f t="shared" si="11"/>
        <v>187110</v>
      </c>
      <c r="J253" s="1838">
        <v>0</v>
      </c>
      <c r="K253" s="1838">
        <v>0</v>
      </c>
      <c r="L253" s="1838">
        <v>0</v>
      </c>
      <c r="M253" s="1838">
        <v>0</v>
      </c>
      <c r="N253" s="1838" t="s">
        <v>3339</v>
      </c>
      <c r="O253" s="1838" t="s">
        <v>3340</v>
      </c>
      <c r="P253" s="1838"/>
    </row>
    <row r="254" spans="2:16" s="1843" customFormat="1">
      <c r="B254" s="1838">
        <f t="shared" si="12"/>
        <v>251</v>
      </c>
      <c r="C254" s="1838" t="s">
        <v>113</v>
      </c>
      <c r="D254" s="1838" t="s">
        <v>3162</v>
      </c>
      <c r="E254" s="1838" t="s">
        <v>3424</v>
      </c>
      <c r="F254" s="1839">
        <v>45336</v>
      </c>
      <c r="G254" s="1840">
        <v>185661</v>
      </c>
      <c r="H254" s="1841">
        <f t="shared" si="10"/>
        <v>46</v>
      </c>
      <c r="I254" s="1838">
        <f t="shared" si="11"/>
        <v>185661</v>
      </c>
      <c r="J254" s="1838">
        <v>0</v>
      </c>
      <c r="K254" s="1838">
        <v>0</v>
      </c>
      <c r="L254" s="1838">
        <v>0</v>
      </c>
      <c r="M254" s="1838">
        <v>0</v>
      </c>
      <c r="N254" s="1838" t="s">
        <v>3339</v>
      </c>
      <c r="O254" s="1838" t="s">
        <v>3340</v>
      </c>
      <c r="P254" s="1838"/>
    </row>
    <row r="255" spans="2:16" s="1843" customFormat="1">
      <c r="B255" s="1838">
        <f t="shared" si="12"/>
        <v>252</v>
      </c>
      <c r="C255" s="1838" t="s">
        <v>113</v>
      </c>
      <c r="D255" s="1838" t="s">
        <v>3162</v>
      </c>
      <c r="E255" s="1838" t="s">
        <v>3425</v>
      </c>
      <c r="F255" s="1839">
        <v>45336</v>
      </c>
      <c r="G255" s="1840">
        <v>187488</v>
      </c>
      <c r="H255" s="1841">
        <f t="shared" si="10"/>
        <v>46</v>
      </c>
      <c r="I255" s="1838">
        <f t="shared" si="11"/>
        <v>187488</v>
      </c>
      <c r="J255" s="1838">
        <v>0</v>
      </c>
      <c r="K255" s="1838">
        <v>0</v>
      </c>
      <c r="L255" s="1838">
        <v>0</v>
      </c>
      <c r="M255" s="1838">
        <v>0</v>
      </c>
      <c r="N255" s="1838" t="s">
        <v>3339</v>
      </c>
      <c r="O255" s="1838" t="s">
        <v>3340</v>
      </c>
      <c r="P255" s="1838"/>
    </row>
    <row r="256" spans="2:16" s="1843" customFormat="1">
      <c r="B256" s="1838">
        <f t="shared" si="12"/>
        <v>253</v>
      </c>
      <c r="C256" s="1838" t="s">
        <v>113</v>
      </c>
      <c r="D256" s="1838" t="s">
        <v>3162</v>
      </c>
      <c r="E256" s="1838" t="s">
        <v>3426</v>
      </c>
      <c r="F256" s="1839">
        <v>45337</v>
      </c>
      <c r="G256" s="1840">
        <v>184779</v>
      </c>
      <c r="H256" s="1841">
        <f t="shared" si="10"/>
        <v>45</v>
      </c>
      <c r="I256" s="1838">
        <f t="shared" si="11"/>
        <v>184779</v>
      </c>
      <c r="J256" s="1838">
        <v>0</v>
      </c>
      <c r="K256" s="1838">
        <v>0</v>
      </c>
      <c r="L256" s="1838">
        <v>0</v>
      </c>
      <c r="M256" s="1838">
        <v>0</v>
      </c>
      <c r="N256" s="1838" t="s">
        <v>3339</v>
      </c>
      <c r="O256" s="1838" t="s">
        <v>3340</v>
      </c>
      <c r="P256" s="1838"/>
    </row>
    <row r="257" spans="2:16" s="1843" customFormat="1">
      <c r="B257" s="1838">
        <f t="shared" si="12"/>
        <v>254</v>
      </c>
      <c r="C257" s="1838" t="s">
        <v>113</v>
      </c>
      <c r="D257" s="1838" t="s">
        <v>3162</v>
      </c>
      <c r="E257" s="1838" t="s">
        <v>3427</v>
      </c>
      <c r="F257" s="1839">
        <v>45337</v>
      </c>
      <c r="G257" s="1840">
        <v>187803</v>
      </c>
      <c r="H257" s="1841">
        <f t="shared" si="10"/>
        <v>45</v>
      </c>
      <c r="I257" s="1838">
        <f t="shared" si="11"/>
        <v>187803</v>
      </c>
      <c r="J257" s="1838">
        <v>0</v>
      </c>
      <c r="K257" s="1838">
        <v>0</v>
      </c>
      <c r="L257" s="1838">
        <v>0</v>
      </c>
      <c r="M257" s="1838">
        <v>0</v>
      </c>
      <c r="N257" s="1838" t="s">
        <v>3339</v>
      </c>
      <c r="O257" s="1838" t="s">
        <v>3340</v>
      </c>
      <c r="P257" s="1838"/>
    </row>
    <row r="258" spans="2:16" s="1843" customFormat="1">
      <c r="B258" s="1838">
        <f t="shared" si="12"/>
        <v>255</v>
      </c>
      <c r="C258" s="1838" t="s">
        <v>113</v>
      </c>
      <c r="D258" s="1838" t="s">
        <v>3162</v>
      </c>
      <c r="E258" s="1838" t="s">
        <v>3428</v>
      </c>
      <c r="F258" s="1839">
        <v>45338</v>
      </c>
      <c r="G258" s="1840">
        <v>182763</v>
      </c>
      <c r="H258" s="1841">
        <f t="shared" si="10"/>
        <v>44</v>
      </c>
      <c r="I258" s="1838">
        <f t="shared" si="11"/>
        <v>182763</v>
      </c>
      <c r="J258" s="1838">
        <v>0</v>
      </c>
      <c r="K258" s="1838">
        <v>0</v>
      </c>
      <c r="L258" s="1838">
        <v>0</v>
      </c>
      <c r="M258" s="1838">
        <v>0</v>
      </c>
      <c r="N258" s="1838" t="s">
        <v>3339</v>
      </c>
      <c r="O258" s="1838" t="s">
        <v>3340</v>
      </c>
      <c r="P258" s="1838"/>
    </row>
    <row r="259" spans="2:16" s="1843" customFormat="1">
      <c r="B259" s="1838">
        <f t="shared" si="12"/>
        <v>256</v>
      </c>
      <c r="C259" s="1838" t="s">
        <v>113</v>
      </c>
      <c r="D259" s="1838" t="s">
        <v>3162</v>
      </c>
      <c r="E259" s="1838" t="s">
        <v>3429</v>
      </c>
      <c r="F259" s="1839">
        <v>45339</v>
      </c>
      <c r="G259" s="1840">
        <v>189693</v>
      </c>
      <c r="H259" s="1841">
        <f t="shared" si="10"/>
        <v>43</v>
      </c>
      <c r="I259" s="1838">
        <f t="shared" si="11"/>
        <v>189693</v>
      </c>
      <c r="J259" s="1838">
        <v>0</v>
      </c>
      <c r="K259" s="1838">
        <v>0</v>
      </c>
      <c r="L259" s="1838">
        <v>0</v>
      </c>
      <c r="M259" s="1838">
        <v>0</v>
      </c>
      <c r="N259" s="1838" t="s">
        <v>3339</v>
      </c>
      <c r="O259" s="1838" t="s">
        <v>3340</v>
      </c>
      <c r="P259" s="1838"/>
    </row>
    <row r="260" spans="2:16" s="1843" customFormat="1">
      <c r="B260" s="1838">
        <f t="shared" si="12"/>
        <v>257</v>
      </c>
      <c r="C260" s="1838" t="s">
        <v>113</v>
      </c>
      <c r="D260" s="1838" t="s">
        <v>3162</v>
      </c>
      <c r="E260" s="1838" t="s">
        <v>3430</v>
      </c>
      <c r="F260" s="1839">
        <v>45339</v>
      </c>
      <c r="G260" s="1840">
        <v>179613</v>
      </c>
      <c r="H260" s="1841">
        <f t="shared" si="10"/>
        <v>43</v>
      </c>
      <c r="I260" s="1838">
        <f t="shared" si="11"/>
        <v>179613</v>
      </c>
      <c r="J260" s="1838">
        <v>0</v>
      </c>
      <c r="K260" s="1838">
        <v>0</v>
      </c>
      <c r="L260" s="1838">
        <v>0</v>
      </c>
      <c r="M260" s="1838">
        <v>0</v>
      </c>
      <c r="N260" s="1838" t="s">
        <v>3339</v>
      </c>
      <c r="O260" s="1838" t="s">
        <v>3340</v>
      </c>
      <c r="P260" s="1838"/>
    </row>
    <row r="261" spans="2:16" s="1843" customFormat="1">
      <c r="B261" s="1838">
        <f t="shared" si="12"/>
        <v>258</v>
      </c>
      <c r="C261" s="1838" t="s">
        <v>113</v>
      </c>
      <c r="D261" s="1838" t="s">
        <v>3162</v>
      </c>
      <c r="E261" s="1838" t="s">
        <v>3431</v>
      </c>
      <c r="F261" s="1839">
        <v>45340</v>
      </c>
      <c r="G261" s="1840">
        <v>190638</v>
      </c>
      <c r="H261" s="1841">
        <f t="shared" ref="H261:H324" si="13">+$H$2-F261</f>
        <v>42</v>
      </c>
      <c r="I261" s="1838">
        <f t="shared" ref="I261:I324" si="14">+G261</f>
        <v>190638</v>
      </c>
      <c r="J261" s="1838">
        <v>0</v>
      </c>
      <c r="K261" s="1838">
        <v>0</v>
      </c>
      <c r="L261" s="1838">
        <v>0</v>
      </c>
      <c r="M261" s="1838">
        <v>0</v>
      </c>
      <c r="N261" s="1838" t="s">
        <v>3339</v>
      </c>
      <c r="O261" s="1838" t="s">
        <v>3340</v>
      </c>
      <c r="P261" s="1838"/>
    </row>
    <row r="262" spans="2:16" s="1843" customFormat="1">
      <c r="B262" s="1838">
        <f t="shared" ref="B262:B325" si="15">+B261+1</f>
        <v>259</v>
      </c>
      <c r="C262" s="1838" t="s">
        <v>113</v>
      </c>
      <c r="D262" s="1838" t="s">
        <v>3162</v>
      </c>
      <c r="E262" s="1838" t="s">
        <v>3432</v>
      </c>
      <c r="F262" s="1839">
        <v>45340</v>
      </c>
      <c r="G262" s="1840">
        <v>189189</v>
      </c>
      <c r="H262" s="1841">
        <f t="shared" si="13"/>
        <v>42</v>
      </c>
      <c r="I262" s="1838">
        <f t="shared" si="14"/>
        <v>189189</v>
      </c>
      <c r="J262" s="1838">
        <v>0</v>
      </c>
      <c r="K262" s="1838">
        <v>0</v>
      </c>
      <c r="L262" s="1838">
        <v>0</v>
      </c>
      <c r="M262" s="1838">
        <v>0</v>
      </c>
      <c r="N262" s="1838" t="s">
        <v>3339</v>
      </c>
      <c r="O262" s="1838" t="s">
        <v>3340</v>
      </c>
      <c r="P262" s="1838"/>
    </row>
    <row r="263" spans="2:16" s="1843" customFormat="1">
      <c r="B263" s="1838">
        <f t="shared" si="15"/>
        <v>260</v>
      </c>
      <c r="C263" s="1838" t="s">
        <v>113</v>
      </c>
      <c r="D263" s="1838" t="s">
        <v>3162</v>
      </c>
      <c r="E263" s="1838" t="s">
        <v>3433</v>
      </c>
      <c r="F263" s="1839">
        <v>45341</v>
      </c>
      <c r="G263" s="1840">
        <v>187992</v>
      </c>
      <c r="H263" s="1841">
        <f t="shared" si="13"/>
        <v>41</v>
      </c>
      <c r="I263" s="1838">
        <f t="shared" si="14"/>
        <v>187992</v>
      </c>
      <c r="J263" s="1838">
        <v>0</v>
      </c>
      <c r="K263" s="1838">
        <v>0</v>
      </c>
      <c r="L263" s="1838">
        <v>0</v>
      </c>
      <c r="M263" s="1838">
        <v>0</v>
      </c>
      <c r="N263" s="1838" t="s">
        <v>3339</v>
      </c>
      <c r="O263" s="1838" t="s">
        <v>3340</v>
      </c>
      <c r="P263" s="1838"/>
    </row>
    <row r="264" spans="2:16" s="1843" customFormat="1">
      <c r="B264" s="1838">
        <f t="shared" si="15"/>
        <v>261</v>
      </c>
      <c r="C264" s="1838" t="s">
        <v>113</v>
      </c>
      <c r="D264" s="1838" t="s">
        <v>3162</v>
      </c>
      <c r="E264" s="1838" t="s">
        <v>3434</v>
      </c>
      <c r="F264" s="1839">
        <v>45341</v>
      </c>
      <c r="G264" s="1840">
        <v>183267</v>
      </c>
      <c r="H264" s="1841">
        <f t="shared" si="13"/>
        <v>41</v>
      </c>
      <c r="I264" s="1838">
        <f t="shared" si="14"/>
        <v>183267</v>
      </c>
      <c r="J264" s="1838">
        <v>0</v>
      </c>
      <c r="K264" s="1838">
        <v>0</v>
      </c>
      <c r="L264" s="1838">
        <v>0</v>
      </c>
      <c r="M264" s="1838">
        <v>0</v>
      </c>
      <c r="N264" s="1838" t="s">
        <v>3339</v>
      </c>
      <c r="O264" s="1838" t="s">
        <v>3340</v>
      </c>
      <c r="P264" s="1838"/>
    </row>
    <row r="265" spans="2:16" s="1843" customFormat="1">
      <c r="B265" s="1838">
        <f t="shared" si="15"/>
        <v>262</v>
      </c>
      <c r="C265" s="1838" t="s">
        <v>113</v>
      </c>
      <c r="D265" s="1838" t="s">
        <v>3162</v>
      </c>
      <c r="E265" s="1838" t="s">
        <v>3435</v>
      </c>
      <c r="F265" s="1839">
        <v>45350</v>
      </c>
      <c r="G265" s="1840">
        <v>187740</v>
      </c>
      <c r="H265" s="1841">
        <f t="shared" si="13"/>
        <v>32</v>
      </c>
      <c r="I265" s="1838">
        <f t="shared" si="14"/>
        <v>187740</v>
      </c>
      <c r="J265" s="1838">
        <v>0</v>
      </c>
      <c r="K265" s="1838">
        <v>0</v>
      </c>
      <c r="L265" s="1838">
        <v>0</v>
      </c>
      <c r="M265" s="1838">
        <v>0</v>
      </c>
      <c r="N265" s="1838" t="s">
        <v>3339</v>
      </c>
      <c r="O265" s="1838" t="s">
        <v>3340</v>
      </c>
      <c r="P265" s="1838"/>
    </row>
    <row r="266" spans="2:16" s="1843" customFormat="1">
      <c r="B266" s="1838">
        <f t="shared" si="15"/>
        <v>263</v>
      </c>
      <c r="C266" s="1838" t="s">
        <v>113</v>
      </c>
      <c r="D266" s="1838" t="s">
        <v>3162</v>
      </c>
      <c r="E266" s="1838" t="s">
        <v>3436</v>
      </c>
      <c r="F266" s="1839">
        <v>45351</v>
      </c>
      <c r="G266" s="1840">
        <v>189945</v>
      </c>
      <c r="H266" s="1841">
        <f t="shared" si="13"/>
        <v>31</v>
      </c>
      <c r="I266" s="1838">
        <f t="shared" si="14"/>
        <v>189945</v>
      </c>
      <c r="J266" s="1838">
        <v>0</v>
      </c>
      <c r="K266" s="1838">
        <v>0</v>
      </c>
      <c r="L266" s="1838">
        <v>0</v>
      </c>
      <c r="M266" s="1838">
        <v>0</v>
      </c>
      <c r="N266" s="1838" t="s">
        <v>3339</v>
      </c>
      <c r="O266" s="1838" t="s">
        <v>3340</v>
      </c>
      <c r="P266" s="1838"/>
    </row>
    <row r="267" spans="2:16" s="1843" customFormat="1">
      <c r="B267" s="1838">
        <f t="shared" si="15"/>
        <v>264</v>
      </c>
      <c r="C267" s="1838" t="s">
        <v>113</v>
      </c>
      <c r="D267" s="1838" t="s">
        <v>3162</v>
      </c>
      <c r="E267" s="1838" t="s">
        <v>1094</v>
      </c>
      <c r="F267" s="1839">
        <v>45351</v>
      </c>
      <c r="G267" s="1840">
        <v>-7423</v>
      </c>
      <c r="H267" s="1841">
        <f t="shared" si="13"/>
        <v>31</v>
      </c>
      <c r="I267" s="1838">
        <f t="shared" si="14"/>
        <v>-7423</v>
      </c>
      <c r="J267" s="1838">
        <v>0</v>
      </c>
      <c r="K267" s="1838">
        <v>0</v>
      </c>
      <c r="L267" s="1838">
        <v>0</v>
      </c>
      <c r="M267" s="1838">
        <v>0</v>
      </c>
      <c r="N267" s="1838" t="s">
        <v>3339</v>
      </c>
      <c r="O267" s="1838" t="s">
        <v>3340</v>
      </c>
      <c r="P267" s="1838"/>
    </row>
    <row r="268" spans="2:16" s="1843" customFormat="1">
      <c r="B268" s="1838">
        <f t="shared" si="15"/>
        <v>265</v>
      </c>
      <c r="C268" s="1838" t="s">
        <v>113</v>
      </c>
      <c r="D268" s="1838" t="s">
        <v>3162</v>
      </c>
      <c r="E268" s="1838" t="s">
        <v>3437</v>
      </c>
      <c r="F268" s="1839">
        <v>45353</v>
      </c>
      <c r="G268" s="1840">
        <v>181188</v>
      </c>
      <c r="H268" s="1841">
        <f t="shared" si="13"/>
        <v>29</v>
      </c>
      <c r="I268" s="1838">
        <f t="shared" si="14"/>
        <v>181188</v>
      </c>
      <c r="J268" s="1838">
        <v>0</v>
      </c>
      <c r="K268" s="1838">
        <v>0</v>
      </c>
      <c r="L268" s="1838">
        <v>0</v>
      </c>
      <c r="M268" s="1838">
        <v>0</v>
      </c>
      <c r="N268" s="1838" t="s">
        <v>3339</v>
      </c>
      <c r="O268" s="1838" t="s">
        <v>3340</v>
      </c>
      <c r="P268" s="1838"/>
    </row>
    <row r="269" spans="2:16" s="1843" customFormat="1">
      <c r="B269" s="1838">
        <f t="shared" si="15"/>
        <v>266</v>
      </c>
      <c r="C269" s="1838" t="s">
        <v>113</v>
      </c>
      <c r="D269" s="1838" t="s">
        <v>3162</v>
      </c>
      <c r="E269" s="1838" t="s">
        <v>3438</v>
      </c>
      <c r="F269" s="1839">
        <v>45354</v>
      </c>
      <c r="G269" s="1840">
        <v>190323</v>
      </c>
      <c r="H269" s="1841">
        <f t="shared" si="13"/>
        <v>28</v>
      </c>
      <c r="I269" s="1838">
        <f t="shared" si="14"/>
        <v>190323</v>
      </c>
      <c r="J269" s="1838">
        <v>0</v>
      </c>
      <c r="K269" s="1838">
        <v>0</v>
      </c>
      <c r="L269" s="1838">
        <v>0</v>
      </c>
      <c r="M269" s="1838">
        <v>0</v>
      </c>
      <c r="N269" s="1838" t="s">
        <v>3339</v>
      </c>
      <c r="O269" s="1838" t="s">
        <v>3340</v>
      </c>
      <c r="P269" s="1838"/>
    </row>
    <row r="270" spans="2:16" s="1843" customFormat="1">
      <c r="B270" s="1838">
        <f t="shared" si="15"/>
        <v>267</v>
      </c>
      <c r="C270" s="1838" t="s">
        <v>113</v>
      </c>
      <c r="D270" s="1838" t="s">
        <v>3162</v>
      </c>
      <c r="E270" s="1838" t="s">
        <v>3439</v>
      </c>
      <c r="F270" s="1839">
        <v>45355</v>
      </c>
      <c r="G270" s="1840">
        <v>190827</v>
      </c>
      <c r="H270" s="1841">
        <f t="shared" si="13"/>
        <v>27</v>
      </c>
      <c r="I270" s="1838">
        <f t="shared" si="14"/>
        <v>190827</v>
      </c>
      <c r="J270" s="1838">
        <v>0</v>
      </c>
      <c r="K270" s="1838">
        <v>0</v>
      </c>
      <c r="L270" s="1838">
        <v>0</v>
      </c>
      <c r="M270" s="1838">
        <v>0</v>
      </c>
      <c r="N270" s="1838" t="s">
        <v>3339</v>
      </c>
      <c r="O270" s="1838" t="s">
        <v>3340</v>
      </c>
      <c r="P270" s="1838"/>
    </row>
    <row r="271" spans="2:16" s="1843" customFormat="1">
      <c r="B271" s="1838">
        <f t="shared" si="15"/>
        <v>268</v>
      </c>
      <c r="C271" s="1838" t="s">
        <v>113</v>
      </c>
      <c r="D271" s="1838" t="s">
        <v>3162</v>
      </c>
      <c r="E271" s="1838" t="s">
        <v>3440</v>
      </c>
      <c r="F271" s="1839">
        <v>45358</v>
      </c>
      <c r="G271" s="1840">
        <v>183600</v>
      </c>
      <c r="H271" s="1841">
        <f t="shared" si="13"/>
        <v>24</v>
      </c>
      <c r="I271" s="1838">
        <f t="shared" si="14"/>
        <v>183600</v>
      </c>
      <c r="J271" s="1838">
        <v>0</v>
      </c>
      <c r="K271" s="1838">
        <v>0</v>
      </c>
      <c r="L271" s="1838">
        <v>0</v>
      </c>
      <c r="M271" s="1838">
        <v>0</v>
      </c>
      <c r="N271" s="1838" t="s">
        <v>3339</v>
      </c>
      <c r="O271" s="1838" t="s">
        <v>3340</v>
      </c>
      <c r="P271" s="1838"/>
    </row>
    <row r="272" spans="2:16" s="1843" customFormat="1">
      <c r="B272" s="1838">
        <f t="shared" si="15"/>
        <v>269</v>
      </c>
      <c r="C272" s="1838" t="s">
        <v>113</v>
      </c>
      <c r="D272" s="1838" t="s">
        <v>3162</v>
      </c>
      <c r="E272" s="1838" t="s">
        <v>3441</v>
      </c>
      <c r="F272" s="1839">
        <v>45358</v>
      </c>
      <c r="G272" s="1840">
        <v>177720</v>
      </c>
      <c r="H272" s="1841">
        <f t="shared" si="13"/>
        <v>24</v>
      </c>
      <c r="I272" s="1838">
        <f t="shared" si="14"/>
        <v>177720</v>
      </c>
      <c r="J272" s="1838">
        <v>0</v>
      </c>
      <c r="K272" s="1838">
        <v>0</v>
      </c>
      <c r="L272" s="1838">
        <v>0</v>
      </c>
      <c r="M272" s="1838">
        <v>0</v>
      </c>
      <c r="N272" s="1838" t="s">
        <v>3339</v>
      </c>
      <c r="O272" s="1838" t="s">
        <v>3340</v>
      </c>
      <c r="P272" s="1838"/>
    </row>
    <row r="273" spans="2:16" s="1843" customFormat="1">
      <c r="B273" s="1838">
        <f t="shared" si="15"/>
        <v>270</v>
      </c>
      <c r="C273" s="1838" t="s">
        <v>113</v>
      </c>
      <c r="D273" s="1838" t="s">
        <v>3162</v>
      </c>
      <c r="E273" s="1838" t="s">
        <v>3442</v>
      </c>
      <c r="F273" s="1839">
        <v>45360</v>
      </c>
      <c r="G273" s="1840">
        <v>181260</v>
      </c>
      <c r="H273" s="1841">
        <f t="shared" si="13"/>
        <v>22</v>
      </c>
      <c r="I273" s="1838">
        <f t="shared" si="14"/>
        <v>181260</v>
      </c>
      <c r="J273" s="1838">
        <v>0</v>
      </c>
      <c r="K273" s="1838">
        <v>0</v>
      </c>
      <c r="L273" s="1838">
        <v>0</v>
      </c>
      <c r="M273" s="1838">
        <v>0</v>
      </c>
      <c r="N273" s="1838" t="s">
        <v>3339</v>
      </c>
      <c r="O273" s="1838" t="s">
        <v>3340</v>
      </c>
      <c r="P273" s="1838"/>
    </row>
    <row r="274" spans="2:16" s="1843" customFormat="1">
      <c r="B274" s="1838">
        <f t="shared" si="15"/>
        <v>271</v>
      </c>
      <c r="C274" s="1838" t="s">
        <v>113</v>
      </c>
      <c r="D274" s="1838" t="s">
        <v>3162</v>
      </c>
      <c r="E274" s="1838" t="s">
        <v>3443</v>
      </c>
      <c r="F274" s="1839">
        <v>45361</v>
      </c>
      <c r="G274" s="1840">
        <v>178560</v>
      </c>
      <c r="H274" s="1841">
        <f t="shared" si="13"/>
        <v>21</v>
      </c>
      <c r="I274" s="1838">
        <f t="shared" si="14"/>
        <v>178560</v>
      </c>
      <c r="J274" s="1838">
        <v>0</v>
      </c>
      <c r="K274" s="1838">
        <v>0</v>
      </c>
      <c r="L274" s="1838">
        <v>0</v>
      </c>
      <c r="M274" s="1838">
        <v>0</v>
      </c>
      <c r="N274" s="1838" t="s">
        <v>3339</v>
      </c>
      <c r="O274" s="1838" t="s">
        <v>3340</v>
      </c>
      <c r="P274" s="1838"/>
    </row>
    <row r="275" spans="2:16" s="1843" customFormat="1">
      <c r="B275" s="1838">
        <f t="shared" si="15"/>
        <v>272</v>
      </c>
      <c r="C275" s="1838" t="s">
        <v>113</v>
      </c>
      <c r="D275" s="1838" t="s">
        <v>3162</v>
      </c>
      <c r="E275" s="1838" t="s">
        <v>3444</v>
      </c>
      <c r="F275" s="1839">
        <v>45361</v>
      </c>
      <c r="G275" s="1840">
        <v>173100</v>
      </c>
      <c r="H275" s="1841">
        <f t="shared" si="13"/>
        <v>21</v>
      </c>
      <c r="I275" s="1838">
        <f t="shared" si="14"/>
        <v>173100</v>
      </c>
      <c r="J275" s="1838">
        <v>0</v>
      </c>
      <c r="K275" s="1838">
        <v>0</v>
      </c>
      <c r="L275" s="1838">
        <v>0</v>
      </c>
      <c r="M275" s="1838">
        <v>0</v>
      </c>
      <c r="N275" s="1838" t="s">
        <v>3339</v>
      </c>
      <c r="O275" s="1838" t="s">
        <v>3340</v>
      </c>
      <c r="P275" s="1838"/>
    </row>
    <row r="276" spans="2:16" s="1843" customFormat="1">
      <c r="B276" s="1838">
        <f t="shared" si="15"/>
        <v>273</v>
      </c>
      <c r="C276" s="1838" t="s">
        <v>113</v>
      </c>
      <c r="D276" s="1838" t="s">
        <v>3162</v>
      </c>
      <c r="E276" s="1838" t="s">
        <v>3445</v>
      </c>
      <c r="F276" s="1839">
        <v>45364</v>
      </c>
      <c r="G276" s="1840">
        <v>171600</v>
      </c>
      <c r="H276" s="1841">
        <f t="shared" si="13"/>
        <v>18</v>
      </c>
      <c r="I276" s="1838">
        <f t="shared" si="14"/>
        <v>171600</v>
      </c>
      <c r="J276" s="1838">
        <v>0</v>
      </c>
      <c r="K276" s="1838">
        <v>0</v>
      </c>
      <c r="L276" s="1838">
        <v>0</v>
      </c>
      <c r="M276" s="1838">
        <v>0</v>
      </c>
      <c r="N276" s="1838" t="s">
        <v>3339</v>
      </c>
      <c r="O276" s="1838" t="s">
        <v>3340</v>
      </c>
      <c r="P276" s="1838"/>
    </row>
    <row r="277" spans="2:16" s="1843" customFormat="1">
      <c r="B277" s="1838">
        <f t="shared" si="15"/>
        <v>274</v>
      </c>
      <c r="C277" s="1838" t="s">
        <v>113</v>
      </c>
      <c r="D277" s="1838" t="s">
        <v>3162</v>
      </c>
      <c r="E277" s="1838" t="s">
        <v>3446</v>
      </c>
      <c r="F277" s="1839">
        <v>45364</v>
      </c>
      <c r="G277" s="1840">
        <v>177060</v>
      </c>
      <c r="H277" s="1841">
        <f t="shared" si="13"/>
        <v>18</v>
      </c>
      <c r="I277" s="1838">
        <f t="shared" si="14"/>
        <v>177060</v>
      </c>
      <c r="J277" s="1838">
        <v>0</v>
      </c>
      <c r="K277" s="1838">
        <v>0</v>
      </c>
      <c r="L277" s="1838">
        <v>0</v>
      </c>
      <c r="M277" s="1838">
        <v>0</v>
      </c>
      <c r="N277" s="1838" t="s">
        <v>3339</v>
      </c>
      <c r="O277" s="1838" t="s">
        <v>3340</v>
      </c>
      <c r="P277" s="1838"/>
    </row>
    <row r="278" spans="2:16" s="1843" customFormat="1">
      <c r="B278" s="1838">
        <f t="shared" si="15"/>
        <v>275</v>
      </c>
      <c r="C278" s="1838" t="s">
        <v>113</v>
      </c>
      <c r="D278" s="1838" t="s">
        <v>3162</v>
      </c>
      <c r="E278" s="1838" t="s">
        <v>3447</v>
      </c>
      <c r="F278" s="1839">
        <v>45364</v>
      </c>
      <c r="G278" s="1840">
        <v>175440</v>
      </c>
      <c r="H278" s="1841">
        <f t="shared" si="13"/>
        <v>18</v>
      </c>
      <c r="I278" s="1838">
        <f t="shared" si="14"/>
        <v>175440</v>
      </c>
      <c r="J278" s="1838">
        <v>0</v>
      </c>
      <c r="K278" s="1838">
        <v>0</v>
      </c>
      <c r="L278" s="1838">
        <v>0</v>
      </c>
      <c r="M278" s="1838">
        <v>0</v>
      </c>
      <c r="N278" s="1838" t="s">
        <v>3339</v>
      </c>
      <c r="O278" s="1838" t="s">
        <v>3340</v>
      </c>
      <c r="P278" s="1838"/>
    </row>
    <row r="279" spans="2:16" s="1843" customFormat="1">
      <c r="B279" s="1838">
        <f t="shared" si="15"/>
        <v>276</v>
      </c>
      <c r="C279" s="1838" t="s">
        <v>113</v>
      </c>
      <c r="D279" s="1838" t="s">
        <v>3162</v>
      </c>
      <c r="E279" s="1838" t="s">
        <v>3448</v>
      </c>
      <c r="F279" s="1839">
        <v>45364</v>
      </c>
      <c r="G279" s="1840">
        <v>181680</v>
      </c>
      <c r="H279" s="1841">
        <f t="shared" si="13"/>
        <v>18</v>
      </c>
      <c r="I279" s="1838">
        <f t="shared" si="14"/>
        <v>181680</v>
      </c>
      <c r="J279" s="1838">
        <v>0</v>
      </c>
      <c r="K279" s="1838">
        <v>0</v>
      </c>
      <c r="L279" s="1838">
        <v>0</v>
      </c>
      <c r="M279" s="1838">
        <v>0</v>
      </c>
      <c r="N279" s="1838" t="s">
        <v>3339</v>
      </c>
      <c r="O279" s="1838" t="s">
        <v>3340</v>
      </c>
      <c r="P279" s="1838"/>
    </row>
    <row r="280" spans="2:16" s="1843" customFormat="1">
      <c r="B280" s="1838">
        <f t="shared" si="15"/>
        <v>277</v>
      </c>
      <c r="C280" s="1838" t="s">
        <v>113</v>
      </c>
      <c r="D280" s="1838" t="s">
        <v>3162</v>
      </c>
      <c r="E280" s="1838" t="s">
        <v>3449</v>
      </c>
      <c r="F280" s="1839">
        <v>45364</v>
      </c>
      <c r="G280" s="1840">
        <v>145850</v>
      </c>
      <c r="H280" s="1841">
        <f t="shared" si="13"/>
        <v>18</v>
      </c>
      <c r="I280" s="1838">
        <f t="shared" si="14"/>
        <v>145850</v>
      </c>
      <c r="J280" s="1838">
        <v>0</v>
      </c>
      <c r="K280" s="1838">
        <v>0</v>
      </c>
      <c r="L280" s="1838">
        <v>0</v>
      </c>
      <c r="M280" s="1838">
        <v>0</v>
      </c>
      <c r="N280" s="1838" t="s">
        <v>3339</v>
      </c>
      <c r="O280" s="1838" t="s">
        <v>3340</v>
      </c>
      <c r="P280" s="1838"/>
    </row>
    <row r="281" spans="2:16" s="1843" customFormat="1">
      <c r="B281" s="1838">
        <f t="shared" si="15"/>
        <v>278</v>
      </c>
      <c r="C281" s="1838" t="s">
        <v>113</v>
      </c>
      <c r="D281" s="1838" t="s">
        <v>3162</v>
      </c>
      <c r="E281" s="1838" t="s">
        <v>3450</v>
      </c>
      <c r="F281" s="1839">
        <v>45365</v>
      </c>
      <c r="G281" s="1840">
        <v>178740</v>
      </c>
      <c r="H281" s="1841">
        <f t="shared" si="13"/>
        <v>17</v>
      </c>
      <c r="I281" s="1838">
        <f t="shared" si="14"/>
        <v>178740</v>
      </c>
      <c r="J281" s="1838">
        <v>0</v>
      </c>
      <c r="K281" s="1838">
        <v>0</v>
      </c>
      <c r="L281" s="1838">
        <v>0</v>
      </c>
      <c r="M281" s="1838">
        <v>0</v>
      </c>
      <c r="N281" s="1838" t="s">
        <v>3339</v>
      </c>
      <c r="O281" s="1838" t="s">
        <v>3340</v>
      </c>
      <c r="P281" s="1838"/>
    </row>
    <row r="282" spans="2:16" s="1843" customFormat="1">
      <c r="B282" s="1838">
        <f t="shared" si="15"/>
        <v>279</v>
      </c>
      <c r="C282" s="1838" t="s">
        <v>113</v>
      </c>
      <c r="D282" s="1838" t="s">
        <v>3162</v>
      </c>
      <c r="E282" s="1838" t="s">
        <v>3451</v>
      </c>
      <c r="F282" s="1839">
        <v>45367</v>
      </c>
      <c r="G282" s="1840">
        <v>144000</v>
      </c>
      <c r="H282" s="1841">
        <f t="shared" si="13"/>
        <v>15</v>
      </c>
      <c r="I282" s="1838">
        <f t="shared" si="14"/>
        <v>144000</v>
      </c>
      <c r="J282" s="1838">
        <v>0</v>
      </c>
      <c r="K282" s="1838">
        <v>0</v>
      </c>
      <c r="L282" s="1838">
        <v>0</v>
      </c>
      <c r="M282" s="1838">
        <v>0</v>
      </c>
      <c r="N282" s="1838" t="s">
        <v>3339</v>
      </c>
      <c r="O282" s="1838" t="s">
        <v>3340</v>
      </c>
      <c r="P282" s="1838"/>
    </row>
    <row r="283" spans="2:16" s="1843" customFormat="1">
      <c r="B283" s="1838">
        <f t="shared" si="15"/>
        <v>280</v>
      </c>
      <c r="C283" s="1838" t="s">
        <v>113</v>
      </c>
      <c r="D283" s="1838" t="s">
        <v>3162</v>
      </c>
      <c r="E283" s="1838" t="s">
        <v>3452</v>
      </c>
      <c r="F283" s="1839">
        <v>45367</v>
      </c>
      <c r="G283" s="1840">
        <v>146550</v>
      </c>
      <c r="H283" s="1841">
        <f t="shared" si="13"/>
        <v>15</v>
      </c>
      <c r="I283" s="1838">
        <f t="shared" si="14"/>
        <v>146550</v>
      </c>
      <c r="J283" s="1838">
        <v>0</v>
      </c>
      <c r="K283" s="1838">
        <v>0</v>
      </c>
      <c r="L283" s="1838">
        <v>0</v>
      </c>
      <c r="M283" s="1838">
        <v>0</v>
      </c>
      <c r="N283" s="1838" t="s">
        <v>3339</v>
      </c>
      <c r="O283" s="1838" t="s">
        <v>3340</v>
      </c>
      <c r="P283" s="1838"/>
    </row>
    <row r="284" spans="2:16" s="1843" customFormat="1">
      <c r="B284" s="1838">
        <f t="shared" si="15"/>
        <v>281</v>
      </c>
      <c r="C284" s="1838" t="s">
        <v>113</v>
      </c>
      <c r="D284" s="1838" t="s">
        <v>3162</v>
      </c>
      <c r="E284" s="1838" t="s">
        <v>3453</v>
      </c>
      <c r="F284" s="1839">
        <v>45367</v>
      </c>
      <c r="G284" s="1840">
        <v>146200</v>
      </c>
      <c r="H284" s="1841">
        <f t="shared" si="13"/>
        <v>15</v>
      </c>
      <c r="I284" s="1838">
        <f t="shared" si="14"/>
        <v>146200</v>
      </c>
      <c r="J284" s="1838">
        <v>0</v>
      </c>
      <c r="K284" s="1838">
        <v>0</v>
      </c>
      <c r="L284" s="1838">
        <v>0</v>
      </c>
      <c r="M284" s="1838">
        <v>0</v>
      </c>
      <c r="N284" s="1838" t="s">
        <v>3339</v>
      </c>
      <c r="O284" s="1838" t="s">
        <v>3340</v>
      </c>
      <c r="P284" s="1838"/>
    </row>
    <row r="285" spans="2:16" s="1843" customFormat="1">
      <c r="B285" s="1838">
        <f t="shared" si="15"/>
        <v>282</v>
      </c>
      <c r="C285" s="1838" t="s">
        <v>113</v>
      </c>
      <c r="D285" s="1838" t="s">
        <v>3162</v>
      </c>
      <c r="E285" s="1838" t="s">
        <v>3454</v>
      </c>
      <c r="F285" s="1839">
        <v>45367</v>
      </c>
      <c r="G285" s="1840">
        <v>150450</v>
      </c>
      <c r="H285" s="1841">
        <f t="shared" si="13"/>
        <v>15</v>
      </c>
      <c r="I285" s="1838">
        <f t="shared" si="14"/>
        <v>150450</v>
      </c>
      <c r="J285" s="1838">
        <v>0</v>
      </c>
      <c r="K285" s="1838">
        <v>0</v>
      </c>
      <c r="L285" s="1838">
        <v>0</v>
      </c>
      <c r="M285" s="1838">
        <v>0</v>
      </c>
      <c r="N285" s="1838" t="s">
        <v>3339</v>
      </c>
      <c r="O285" s="1838" t="s">
        <v>3340</v>
      </c>
      <c r="P285" s="1838"/>
    </row>
    <row r="286" spans="2:16" s="1843" customFormat="1">
      <c r="B286" s="1838">
        <f t="shared" si="15"/>
        <v>283</v>
      </c>
      <c r="C286" s="1838" t="s">
        <v>113</v>
      </c>
      <c r="D286" s="1838" t="s">
        <v>3162</v>
      </c>
      <c r="E286" s="1838" t="s">
        <v>3455</v>
      </c>
      <c r="F286" s="1839">
        <v>45370</v>
      </c>
      <c r="G286" s="1840">
        <v>146750</v>
      </c>
      <c r="H286" s="1841">
        <f t="shared" si="13"/>
        <v>12</v>
      </c>
      <c r="I286" s="1838">
        <f t="shared" si="14"/>
        <v>146750</v>
      </c>
      <c r="J286" s="1838">
        <v>0</v>
      </c>
      <c r="K286" s="1838">
        <v>0</v>
      </c>
      <c r="L286" s="1838">
        <v>0</v>
      </c>
      <c r="M286" s="1838">
        <v>0</v>
      </c>
      <c r="N286" s="1838" t="s">
        <v>3339</v>
      </c>
      <c r="O286" s="1838" t="s">
        <v>3340</v>
      </c>
      <c r="P286" s="1838"/>
    </row>
    <row r="287" spans="2:16" s="1843" customFormat="1">
      <c r="B287" s="1838">
        <f t="shared" si="15"/>
        <v>284</v>
      </c>
      <c r="C287" s="1838" t="s">
        <v>113</v>
      </c>
      <c r="D287" s="1838" t="s">
        <v>3162</v>
      </c>
      <c r="E287" s="1838" t="s">
        <v>3456</v>
      </c>
      <c r="F287" s="1839">
        <v>45370</v>
      </c>
      <c r="G287" s="1840">
        <v>150850</v>
      </c>
      <c r="H287" s="1841">
        <f t="shared" si="13"/>
        <v>12</v>
      </c>
      <c r="I287" s="1838">
        <f t="shared" si="14"/>
        <v>150850</v>
      </c>
      <c r="J287" s="1838">
        <v>0</v>
      </c>
      <c r="K287" s="1838">
        <v>0</v>
      </c>
      <c r="L287" s="1838">
        <v>0</v>
      </c>
      <c r="M287" s="1838">
        <v>0</v>
      </c>
      <c r="N287" s="1838" t="s">
        <v>3339</v>
      </c>
      <c r="O287" s="1838" t="s">
        <v>3340</v>
      </c>
      <c r="P287" s="1838"/>
    </row>
    <row r="288" spans="2:16" s="1843" customFormat="1">
      <c r="B288" s="1838">
        <f t="shared" si="15"/>
        <v>285</v>
      </c>
      <c r="C288" s="1838" t="s">
        <v>113</v>
      </c>
      <c r="D288" s="1838" t="s">
        <v>3162</v>
      </c>
      <c r="E288" s="1838" t="s">
        <v>3457</v>
      </c>
      <c r="F288" s="1839">
        <v>45370</v>
      </c>
      <c r="G288" s="1840">
        <v>150450</v>
      </c>
      <c r="H288" s="1841">
        <f t="shared" si="13"/>
        <v>12</v>
      </c>
      <c r="I288" s="1838">
        <f t="shared" si="14"/>
        <v>150450</v>
      </c>
      <c r="J288" s="1838">
        <v>0</v>
      </c>
      <c r="K288" s="1838">
        <v>0</v>
      </c>
      <c r="L288" s="1838">
        <v>0</v>
      </c>
      <c r="M288" s="1838">
        <v>0</v>
      </c>
      <c r="N288" s="1838" t="s">
        <v>3339</v>
      </c>
      <c r="O288" s="1838" t="s">
        <v>3340</v>
      </c>
      <c r="P288" s="1838"/>
    </row>
    <row r="289" spans="2:16" s="1843" customFormat="1">
      <c r="B289" s="1838">
        <f t="shared" si="15"/>
        <v>286</v>
      </c>
      <c r="C289" s="1838" t="s">
        <v>113</v>
      </c>
      <c r="D289" s="1838" t="s">
        <v>3162</v>
      </c>
      <c r="E289" s="1838" t="s">
        <v>3458</v>
      </c>
      <c r="F289" s="1839">
        <v>45371</v>
      </c>
      <c r="G289" s="1840">
        <v>148050</v>
      </c>
      <c r="H289" s="1841">
        <f t="shared" si="13"/>
        <v>11</v>
      </c>
      <c r="I289" s="1838">
        <f t="shared" si="14"/>
        <v>148050</v>
      </c>
      <c r="J289" s="1838">
        <v>0</v>
      </c>
      <c r="K289" s="1838">
        <v>0</v>
      </c>
      <c r="L289" s="1838">
        <v>0</v>
      </c>
      <c r="M289" s="1838">
        <v>0</v>
      </c>
      <c r="N289" s="1838" t="s">
        <v>3339</v>
      </c>
      <c r="O289" s="1838" t="s">
        <v>3340</v>
      </c>
      <c r="P289" s="1838"/>
    </row>
    <row r="290" spans="2:16" s="1843" customFormat="1">
      <c r="B290" s="1838">
        <f t="shared" si="15"/>
        <v>287</v>
      </c>
      <c r="C290" s="1838" t="s">
        <v>113</v>
      </c>
      <c r="D290" s="1838" t="s">
        <v>3162</v>
      </c>
      <c r="E290" s="1838" t="s">
        <v>3459</v>
      </c>
      <c r="F290" s="1839">
        <v>45372</v>
      </c>
      <c r="G290" s="1840">
        <v>148750</v>
      </c>
      <c r="H290" s="1841">
        <f t="shared" si="13"/>
        <v>10</v>
      </c>
      <c r="I290" s="1838">
        <f t="shared" si="14"/>
        <v>148750</v>
      </c>
      <c r="J290" s="1838">
        <v>0</v>
      </c>
      <c r="K290" s="1838">
        <v>0</v>
      </c>
      <c r="L290" s="1838">
        <v>0</v>
      </c>
      <c r="M290" s="1838">
        <v>0</v>
      </c>
      <c r="N290" s="1838" t="s">
        <v>3339</v>
      </c>
      <c r="O290" s="1838" t="s">
        <v>3340</v>
      </c>
      <c r="P290" s="1838"/>
    </row>
    <row r="291" spans="2:16" s="1843" customFormat="1">
      <c r="B291" s="1838">
        <f t="shared" si="15"/>
        <v>288</v>
      </c>
      <c r="C291" s="1838" t="s">
        <v>113</v>
      </c>
      <c r="D291" s="1838" t="s">
        <v>3162</v>
      </c>
      <c r="E291" s="1838" t="s">
        <v>3460</v>
      </c>
      <c r="F291" s="1839">
        <v>45372</v>
      </c>
      <c r="G291" s="1840">
        <v>149000</v>
      </c>
      <c r="H291" s="1841">
        <f t="shared" si="13"/>
        <v>10</v>
      </c>
      <c r="I291" s="1838">
        <f t="shared" si="14"/>
        <v>149000</v>
      </c>
      <c r="J291" s="1838">
        <v>0</v>
      </c>
      <c r="K291" s="1838">
        <v>0</v>
      </c>
      <c r="L291" s="1838">
        <v>0</v>
      </c>
      <c r="M291" s="1838">
        <v>0</v>
      </c>
      <c r="N291" s="1838" t="s">
        <v>3339</v>
      </c>
      <c r="O291" s="1838" t="s">
        <v>3340</v>
      </c>
      <c r="P291" s="1838"/>
    </row>
    <row r="292" spans="2:16" s="1843" customFormat="1">
      <c r="B292" s="1838">
        <f t="shared" si="15"/>
        <v>289</v>
      </c>
      <c r="C292" s="1838" t="s">
        <v>113</v>
      </c>
      <c r="D292" s="1838" t="s">
        <v>3162</v>
      </c>
      <c r="E292" s="1838" t="s">
        <v>3461</v>
      </c>
      <c r="F292" s="1839">
        <v>45373</v>
      </c>
      <c r="G292" s="1840">
        <v>150650</v>
      </c>
      <c r="H292" s="1841">
        <f t="shared" si="13"/>
        <v>9</v>
      </c>
      <c r="I292" s="1838">
        <f t="shared" si="14"/>
        <v>150650</v>
      </c>
      <c r="J292" s="1838">
        <v>0</v>
      </c>
      <c r="K292" s="1838">
        <v>0</v>
      </c>
      <c r="L292" s="1838">
        <v>0</v>
      </c>
      <c r="M292" s="1838">
        <v>0</v>
      </c>
      <c r="N292" s="1838" t="s">
        <v>3339</v>
      </c>
      <c r="O292" s="1838" t="s">
        <v>3340</v>
      </c>
      <c r="P292" s="1838"/>
    </row>
    <row r="293" spans="2:16" s="1843" customFormat="1">
      <c r="B293" s="1838">
        <f t="shared" si="15"/>
        <v>290</v>
      </c>
      <c r="C293" s="1838" t="s">
        <v>113</v>
      </c>
      <c r="D293" s="1838" t="s">
        <v>3162</v>
      </c>
      <c r="E293" s="1838" t="s">
        <v>3462</v>
      </c>
      <c r="F293" s="1839">
        <v>45375</v>
      </c>
      <c r="G293" s="1840">
        <v>119800</v>
      </c>
      <c r="H293" s="1841">
        <f t="shared" si="13"/>
        <v>7</v>
      </c>
      <c r="I293" s="1838">
        <f t="shared" si="14"/>
        <v>119800</v>
      </c>
      <c r="J293" s="1838">
        <v>0</v>
      </c>
      <c r="K293" s="1838">
        <v>0</v>
      </c>
      <c r="L293" s="1838">
        <v>0</v>
      </c>
      <c r="M293" s="1838">
        <v>0</v>
      </c>
      <c r="N293" s="1838" t="s">
        <v>3339</v>
      </c>
      <c r="O293" s="1838" t="s">
        <v>3340</v>
      </c>
      <c r="P293" s="1838"/>
    </row>
    <row r="294" spans="2:16" s="1843" customFormat="1">
      <c r="B294" s="1838">
        <f t="shared" si="15"/>
        <v>291</v>
      </c>
      <c r="C294" s="1838" t="s">
        <v>113</v>
      </c>
      <c r="D294" s="1838" t="s">
        <v>3162</v>
      </c>
      <c r="E294" s="1838" t="s">
        <v>3463</v>
      </c>
      <c r="F294" s="1839">
        <v>45375</v>
      </c>
      <c r="G294" s="1840">
        <v>149050</v>
      </c>
      <c r="H294" s="1841">
        <f t="shared" si="13"/>
        <v>7</v>
      </c>
      <c r="I294" s="1838">
        <f t="shared" si="14"/>
        <v>149050</v>
      </c>
      <c r="J294" s="1838">
        <v>0</v>
      </c>
      <c r="K294" s="1838">
        <v>0</v>
      </c>
      <c r="L294" s="1838">
        <v>0</v>
      </c>
      <c r="M294" s="1838">
        <v>0</v>
      </c>
      <c r="N294" s="1838" t="s">
        <v>3339</v>
      </c>
      <c r="O294" s="1838" t="s">
        <v>3340</v>
      </c>
      <c r="P294" s="1838"/>
    </row>
    <row r="295" spans="2:16" s="1843" customFormat="1">
      <c r="B295" s="1838">
        <f t="shared" si="15"/>
        <v>292</v>
      </c>
      <c r="C295" s="1838" t="s">
        <v>113</v>
      </c>
      <c r="D295" s="1838" t="s">
        <v>3162</v>
      </c>
      <c r="E295" s="1838" t="s">
        <v>3464</v>
      </c>
      <c r="F295" s="1839">
        <v>45375</v>
      </c>
      <c r="G295" s="1840">
        <v>151100</v>
      </c>
      <c r="H295" s="1841">
        <f t="shared" si="13"/>
        <v>7</v>
      </c>
      <c r="I295" s="1838">
        <f t="shared" si="14"/>
        <v>151100</v>
      </c>
      <c r="J295" s="1838">
        <v>0</v>
      </c>
      <c r="K295" s="1838">
        <v>0</v>
      </c>
      <c r="L295" s="1838">
        <v>0</v>
      </c>
      <c r="M295" s="1838">
        <v>0</v>
      </c>
      <c r="N295" s="1838" t="s">
        <v>3339</v>
      </c>
      <c r="O295" s="1838" t="s">
        <v>3340</v>
      </c>
      <c r="P295" s="1838"/>
    </row>
    <row r="296" spans="2:16" s="1843" customFormat="1">
      <c r="B296" s="1838">
        <f t="shared" si="15"/>
        <v>293</v>
      </c>
      <c r="C296" s="1838" t="s">
        <v>113</v>
      </c>
      <c r="D296" s="1838" t="s">
        <v>3162</v>
      </c>
      <c r="E296" s="1838" t="s">
        <v>3465</v>
      </c>
      <c r="F296" s="1839">
        <v>45376</v>
      </c>
      <c r="G296" s="1840">
        <v>123050</v>
      </c>
      <c r="H296" s="1841">
        <f t="shared" si="13"/>
        <v>6</v>
      </c>
      <c r="I296" s="1838">
        <f t="shared" si="14"/>
        <v>123050</v>
      </c>
      <c r="J296" s="1838">
        <v>0</v>
      </c>
      <c r="K296" s="1838">
        <v>0</v>
      </c>
      <c r="L296" s="1838">
        <v>0</v>
      </c>
      <c r="M296" s="1838">
        <v>0</v>
      </c>
      <c r="N296" s="1838" t="s">
        <v>3339</v>
      </c>
      <c r="O296" s="1838" t="s">
        <v>3340</v>
      </c>
      <c r="P296" s="1838"/>
    </row>
    <row r="297" spans="2:16" s="1843" customFormat="1">
      <c r="B297" s="1838">
        <f t="shared" si="15"/>
        <v>294</v>
      </c>
      <c r="C297" s="1838" t="s">
        <v>113</v>
      </c>
      <c r="D297" s="1838" t="s">
        <v>3162</v>
      </c>
      <c r="E297" s="1838" t="s">
        <v>3466</v>
      </c>
      <c r="F297" s="1839">
        <v>45376</v>
      </c>
      <c r="G297" s="1840">
        <v>103550</v>
      </c>
      <c r="H297" s="1841">
        <f t="shared" si="13"/>
        <v>6</v>
      </c>
      <c r="I297" s="1838">
        <f t="shared" si="14"/>
        <v>103550</v>
      </c>
      <c r="J297" s="1838">
        <v>0</v>
      </c>
      <c r="K297" s="1838">
        <v>0</v>
      </c>
      <c r="L297" s="1838">
        <v>0</v>
      </c>
      <c r="M297" s="1838">
        <v>0</v>
      </c>
      <c r="N297" s="1838" t="s">
        <v>3339</v>
      </c>
      <c r="O297" s="1838" t="s">
        <v>3340</v>
      </c>
      <c r="P297" s="1838"/>
    </row>
    <row r="298" spans="2:16" s="1843" customFormat="1">
      <c r="B298" s="1838">
        <f t="shared" si="15"/>
        <v>295</v>
      </c>
      <c r="C298" s="1838" t="s">
        <v>113</v>
      </c>
      <c r="D298" s="1838" t="s">
        <v>3162</v>
      </c>
      <c r="E298" s="1838" t="s">
        <v>3467</v>
      </c>
      <c r="F298" s="1839">
        <v>45377</v>
      </c>
      <c r="G298" s="1840">
        <v>145200</v>
      </c>
      <c r="H298" s="1841">
        <f t="shared" si="13"/>
        <v>5</v>
      </c>
      <c r="I298" s="1838">
        <f t="shared" si="14"/>
        <v>145200</v>
      </c>
      <c r="J298" s="1838">
        <v>0</v>
      </c>
      <c r="K298" s="1838">
        <v>0</v>
      </c>
      <c r="L298" s="1838">
        <v>0</v>
      </c>
      <c r="M298" s="1838">
        <v>0</v>
      </c>
      <c r="N298" s="1838" t="s">
        <v>3339</v>
      </c>
      <c r="O298" s="1838" t="s">
        <v>3340</v>
      </c>
      <c r="P298" s="1838"/>
    </row>
    <row r="299" spans="2:16" s="1843" customFormat="1">
      <c r="B299" s="1838">
        <f t="shared" si="15"/>
        <v>296</v>
      </c>
      <c r="C299" s="1838" t="s">
        <v>113</v>
      </c>
      <c r="D299" s="1838" t="s">
        <v>3162</v>
      </c>
      <c r="E299" s="1838" t="s">
        <v>3468</v>
      </c>
      <c r="F299" s="1839">
        <v>45377</v>
      </c>
      <c r="G299" s="1840">
        <v>120500</v>
      </c>
      <c r="H299" s="1841">
        <f t="shared" si="13"/>
        <v>5</v>
      </c>
      <c r="I299" s="1838">
        <f t="shared" si="14"/>
        <v>120500</v>
      </c>
      <c r="J299" s="1838">
        <v>0</v>
      </c>
      <c r="K299" s="1838">
        <v>0</v>
      </c>
      <c r="L299" s="1838">
        <v>0</v>
      </c>
      <c r="M299" s="1838">
        <v>0</v>
      </c>
      <c r="N299" s="1838" t="s">
        <v>3339</v>
      </c>
      <c r="O299" s="1838" t="s">
        <v>3340</v>
      </c>
      <c r="P299" s="1838"/>
    </row>
    <row r="300" spans="2:16" s="1843" customFormat="1">
      <c r="B300" s="1838">
        <f t="shared" si="15"/>
        <v>297</v>
      </c>
      <c r="C300" s="1838" t="s">
        <v>113</v>
      </c>
      <c r="D300" s="1838" t="s">
        <v>3162</v>
      </c>
      <c r="E300" s="1838" t="s">
        <v>3469</v>
      </c>
      <c r="F300" s="1839">
        <v>45377</v>
      </c>
      <c r="G300" s="1840">
        <v>133200</v>
      </c>
      <c r="H300" s="1841">
        <f t="shared" si="13"/>
        <v>5</v>
      </c>
      <c r="I300" s="1838">
        <f t="shared" si="14"/>
        <v>133200</v>
      </c>
      <c r="J300" s="1838">
        <v>0</v>
      </c>
      <c r="K300" s="1838">
        <v>0</v>
      </c>
      <c r="L300" s="1838">
        <v>0</v>
      </c>
      <c r="M300" s="1838">
        <v>0</v>
      </c>
      <c r="N300" s="1838" t="s">
        <v>3339</v>
      </c>
      <c r="O300" s="1838" t="s">
        <v>3340</v>
      </c>
      <c r="P300" s="1838"/>
    </row>
    <row r="301" spans="2:16" s="1843" customFormat="1">
      <c r="B301" s="1838">
        <f t="shared" si="15"/>
        <v>298</v>
      </c>
      <c r="C301" s="1838" t="s">
        <v>113</v>
      </c>
      <c r="D301" s="1838" t="s">
        <v>3162</v>
      </c>
      <c r="E301" s="1838" t="s">
        <v>3470</v>
      </c>
      <c r="F301" s="1839">
        <v>45377</v>
      </c>
      <c r="G301" s="1840">
        <v>175320</v>
      </c>
      <c r="H301" s="1841">
        <f t="shared" si="13"/>
        <v>5</v>
      </c>
      <c r="I301" s="1838">
        <f t="shared" si="14"/>
        <v>175320</v>
      </c>
      <c r="J301" s="1838">
        <v>0</v>
      </c>
      <c r="K301" s="1838">
        <v>0</v>
      </c>
      <c r="L301" s="1838">
        <v>0</v>
      </c>
      <c r="M301" s="1838">
        <v>0</v>
      </c>
      <c r="N301" s="1838" t="s">
        <v>3339</v>
      </c>
      <c r="O301" s="1838" t="s">
        <v>3340</v>
      </c>
      <c r="P301" s="1838"/>
    </row>
    <row r="302" spans="2:16" s="1843" customFormat="1">
      <c r="B302" s="1838">
        <f t="shared" si="15"/>
        <v>299</v>
      </c>
      <c r="C302" s="1838" t="s">
        <v>113</v>
      </c>
      <c r="D302" s="1838" t="s">
        <v>3162</v>
      </c>
      <c r="E302" s="1838" t="s">
        <v>3471</v>
      </c>
      <c r="F302" s="1839">
        <v>45377</v>
      </c>
      <c r="G302" s="1840">
        <v>181440</v>
      </c>
      <c r="H302" s="1841">
        <f t="shared" si="13"/>
        <v>5</v>
      </c>
      <c r="I302" s="1838">
        <f t="shared" si="14"/>
        <v>181440</v>
      </c>
      <c r="J302" s="1838">
        <v>0</v>
      </c>
      <c r="K302" s="1838">
        <v>0</v>
      </c>
      <c r="L302" s="1838">
        <v>0</v>
      </c>
      <c r="M302" s="1838">
        <v>0</v>
      </c>
      <c r="N302" s="1838" t="s">
        <v>3339</v>
      </c>
      <c r="O302" s="1838" t="s">
        <v>3340</v>
      </c>
      <c r="P302" s="1838"/>
    </row>
    <row r="303" spans="2:16" s="1843" customFormat="1">
      <c r="B303" s="1838">
        <f t="shared" si="15"/>
        <v>300</v>
      </c>
      <c r="C303" s="1838" t="s">
        <v>113</v>
      </c>
      <c r="D303" s="1838" t="s">
        <v>3162</v>
      </c>
      <c r="E303" s="1838" t="s">
        <v>3472</v>
      </c>
      <c r="F303" s="1839">
        <v>45378</v>
      </c>
      <c r="G303" s="1840">
        <v>180480</v>
      </c>
      <c r="H303" s="1841">
        <f t="shared" si="13"/>
        <v>4</v>
      </c>
      <c r="I303" s="1838">
        <f t="shared" si="14"/>
        <v>180480</v>
      </c>
      <c r="J303" s="1838">
        <v>0</v>
      </c>
      <c r="K303" s="1838">
        <v>0</v>
      </c>
      <c r="L303" s="1838">
        <v>0</v>
      </c>
      <c r="M303" s="1838">
        <v>0</v>
      </c>
      <c r="N303" s="1838" t="s">
        <v>3339</v>
      </c>
      <c r="O303" s="1838" t="s">
        <v>3340</v>
      </c>
      <c r="P303" s="1838"/>
    </row>
    <row r="304" spans="2:16" s="1843" customFormat="1">
      <c r="B304" s="1838">
        <f t="shared" si="15"/>
        <v>301</v>
      </c>
      <c r="C304" s="1838" t="s">
        <v>113</v>
      </c>
      <c r="D304" s="1838" t="s">
        <v>3162</v>
      </c>
      <c r="E304" s="1838" t="s">
        <v>3473</v>
      </c>
      <c r="F304" s="1839">
        <v>45378</v>
      </c>
      <c r="G304" s="1840">
        <v>181740</v>
      </c>
      <c r="H304" s="1841">
        <f t="shared" si="13"/>
        <v>4</v>
      </c>
      <c r="I304" s="1838">
        <f t="shared" si="14"/>
        <v>181740</v>
      </c>
      <c r="J304" s="1838">
        <v>0</v>
      </c>
      <c r="K304" s="1838">
        <v>0</v>
      </c>
      <c r="L304" s="1838">
        <v>0</v>
      </c>
      <c r="M304" s="1838">
        <v>0</v>
      </c>
      <c r="N304" s="1838" t="s">
        <v>3339</v>
      </c>
      <c r="O304" s="1838" t="s">
        <v>3340</v>
      </c>
      <c r="P304" s="1838"/>
    </row>
    <row r="305" spans="2:16" s="1843" customFormat="1">
      <c r="B305" s="1838">
        <f t="shared" si="15"/>
        <v>302</v>
      </c>
      <c r="C305" s="1838" t="s">
        <v>113</v>
      </c>
      <c r="D305" s="1838" t="s">
        <v>3162</v>
      </c>
      <c r="E305" s="1838" t="s">
        <v>3474</v>
      </c>
      <c r="F305" s="1839">
        <v>45379</v>
      </c>
      <c r="G305" s="1840">
        <v>179460</v>
      </c>
      <c r="H305" s="1841">
        <f t="shared" si="13"/>
        <v>3</v>
      </c>
      <c r="I305" s="1838">
        <f t="shared" si="14"/>
        <v>179460</v>
      </c>
      <c r="J305" s="1838">
        <v>0</v>
      </c>
      <c r="K305" s="1838">
        <v>0</v>
      </c>
      <c r="L305" s="1838">
        <v>0</v>
      </c>
      <c r="M305" s="1838">
        <v>0</v>
      </c>
      <c r="N305" s="1838" t="s">
        <v>3339</v>
      </c>
      <c r="O305" s="1838" t="s">
        <v>3340</v>
      </c>
      <c r="P305" s="1838"/>
    </row>
    <row r="306" spans="2:16" s="1843" customFormat="1">
      <c r="B306" s="1838">
        <f t="shared" si="15"/>
        <v>303</v>
      </c>
      <c r="C306" s="1838" t="s">
        <v>113</v>
      </c>
      <c r="D306" s="1838" t="s">
        <v>3162</v>
      </c>
      <c r="E306" s="1838" t="s">
        <v>3475</v>
      </c>
      <c r="F306" s="1839">
        <v>45379</v>
      </c>
      <c r="G306" s="1840">
        <v>146300</v>
      </c>
      <c r="H306" s="1841">
        <f t="shared" si="13"/>
        <v>3</v>
      </c>
      <c r="I306" s="1838">
        <f t="shared" si="14"/>
        <v>146300</v>
      </c>
      <c r="J306" s="1838">
        <v>0</v>
      </c>
      <c r="K306" s="1838">
        <v>0</v>
      </c>
      <c r="L306" s="1838">
        <v>0</v>
      </c>
      <c r="M306" s="1838">
        <v>0</v>
      </c>
      <c r="N306" s="1838" t="s">
        <v>3339</v>
      </c>
      <c r="O306" s="1838" t="s">
        <v>3340</v>
      </c>
      <c r="P306" s="1838"/>
    </row>
    <row r="307" spans="2:16" s="1843" customFormat="1">
      <c r="B307" s="1838">
        <f t="shared" si="15"/>
        <v>304</v>
      </c>
      <c r="C307" s="1838" t="s">
        <v>113</v>
      </c>
      <c r="D307" s="1838" t="s">
        <v>3162</v>
      </c>
      <c r="E307" s="1838" t="s">
        <v>3476</v>
      </c>
      <c r="F307" s="1839">
        <v>45379</v>
      </c>
      <c r="G307" s="1840">
        <v>134400</v>
      </c>
      <c r="H307" s="1841">
        <f t="shared" si="13"/>
        <v>3</v>
      </c>
      <c r="I307" s="1838">
        <f t="shared" si="14"/>
        <v>134400</v>
      </c>
      <c r="J307" s="1838">
        <v>0</v>
      </c>
      <c r="K307" s="1838">
        <v>0</v>
      </c>
      <c r="L307" s="1838">
        <v>0</v>
      </c>
      <c r="M307" s="1838">
        <v>0</v>
      </c>
      <c r="N307" s="1838" t="s">
        <v>3339</v>
      </c>
      <c r="O307" s="1838" t="s">
        <v>3340</v>
      </c>
      <c r="P307" s="1838"/>
    </row>
    <row r="308" spans="2:16" s="1843" customFormat="1">
      <c r="B308" s="1838">
        <f t="shared" si="15"/>
        <v>305</v>
      </c>
      <c r="C308" s="1838" t="s">
        <v>113</v>
      </c>
      <c r="D308" s="1838" t="s">
        <v>3162</v>
      </c>
      <c r="E308" s="1838" t="s">
        <v>3477</v>
      </c>
      <c r="F308" s="1839">
        <v>45379</v>
      </c>
      <c r="G308" s="1840">
        <v>152750</v>
      </c>
      <c r="H308" s="1841">
        <f t="shared" si="13"/>
        <v>3</v>
      </c>
      <c r="I308" s="1838">
        <f t="shared" si="14"/>
        <v>152750</v>
      </c>
      <c r="J308" s="1838">
        <v>0</v>
      </c>
      <c r="K308" s="1838">
        <v>0</v>
      </c>
      <c r="L308" s="1838">
        <v>0</v>
      </c>
      <c r="M308" s="1838">
        <v>0</v>
      </c>
      <c r="N308" s="1838" t="s">
        <v>3339</v>
      </c>
      <c r="O308" s="1838" t="s">
        <v>3340</v>
      </c>
      <c r="P308" s="1838"/>
    </row>
    <row r="309" spans="2:16" s="1843" customFormat="1">
      <c r="B309" s="1838">
        <f t="shared" si="15"/>
        <v>306</v>
      </c>
      <c r="C309" s="1838" t="s">
        <v>113</v>
      </c>
      <c r="D309" s="1838" t="s">
        <v>3162</v>
      </c>
      <c r="E309" s="1838" t="s">
        <v>3478</v>
      </c>
      <c r="F309" s="1839">
        <v>45379</v>
      </c>
      <c r="G309" s="1840">
        <v>122700</v>
      </c>
      <c r="H309" s="1841">
        <f t="shared" si="13"/>
        <v>3</v>
      </c>
      <c r="I309" s="1838">
        <f t="shared" si="14"/>
        <v>122700</v>
      </c>
      <c r="J309" s="1838">
        <v>0</v>
      </c>
      <c r="K309" s="1838">
        <v>0</v>
      </c>
      <c r="L309" s="1838">
        <v>0</v>
      </c>
      <c r="M309" s="1838">
        <v>0</v>
      </c>
      <c r="N309" s="1838" t="s">
        <v>3339</v>
      </c>
      <c r="O309" s="1838" t="s">
        <v>3340</v>
      </c>
      <c r="P309" s="1838"/>
    </row>
    <row r="310" spans="2:16" s="1843" customFormat="1">
      <c r="B310" s="1838">
        <f t="shared" si="15"/>
        <v>307</v>
      </c>
      <c r="C310" s="1838" t="s">
        <v>113</v>
      </c>
      <c r="D310" s="1838" t="s">
        <v>3162</v>
      </c>
      <c r="E310" s="1838" t="s">
        <v>3479</v>
      </c>
      <c r="F310" s="1839">
        <v>45379</v>
      </c>
      <c r="G310" s="1840">
        <v>150800</v>
      </c>
      <c r="H310" s="1841">
        <f t="shared" si="13"/>
        <v>3</v>
      </c>
      <c r="I310" s="1838">
        <f t="shared" si="14"/>
        <v>150800</v>
      </c>
      <c r="J310" s="1838">
        <v>0</v>
      </c>
      <c r="K310" s="1838">
        <v>0</v>
      </c>
      <c r="L310" s="1838">
        <v>0</v>
      </c>
      <c r="M310" s="1838">
        <v>0</v>
      </c>
      <c r="N310" s="1838" t="s">
        <v>3339</v>
      </c>
      <c r="O310" s="1838" t="s">
        <v>3340</v>
      </c>
      <c r="P310" s="1838"/>
    </row>
    <row r="311" spans="2:16" s="1843" customFormat="1">
      <c r="B311" s="1838">
        <f t="shared" si="15"/>
        <v>308</v>
      </c>
      <c r="C311" s="1838" t="s">
        <v>113</v>
      </c>
      <c r="D311" s="1838" t="s">
        <v>3162</v>
      </c>
      <c r="E311" s="1838" t="s">
        <v>3480</v>
      </c>
      <c r="F311" s="1839">
        <v>45379</v>
      </c>
      <c r="G311" s="1840">
        <v>151650</v>
      </c>
      <c r="H311" s="1841">
        <f t="shared" si="13"/>
        <v>3</v>
      </c>
      <c r="I311" s="1838">
        <f t="shared" si="14"/>
        <v>151650</v>
      </c>
      <c r="J311" s="1838">
        <v>0</v>
      </c>
      <c r="K311" s="1838">
        <v>0</v>
      </c>
      <c r="L311" s="1838">
        <v>0</v>
      </c>
      <c r="M311" s="1838">
        <v>0</v>
      </c>
      <c r="N311" s="1838" t="s">
        <v>3339</v>
      </c>
      <c r="O311" s="1838" t="s">
        <v>3340</v>
      </c>
      <c r="P311" s="1838"/>
    </row>
    <row r="312" spans="2:16" s="1843" customFormat="1">
      <c r="B312" s="1838">
        <f t="shared" si="15"/>
        <v>309</v>
      </c>
      <c r="C312" s="1838" t="s">
        <v>113</v>
      </c>
      <c r="D312" s="1838" t="s">
        <v>3162</v>
      </c>
      <c r="E312" s="1838" t="s">
        <v>3481</v>
      </c>
      <c r="F312" s="1839">
        <v>45382</v>
      </c>
      <c r="G312" s="1840">
        <v>171600</v>
      </c>
      <c r="H312" s="1841">
        <f t="shared" si="13"/>
        <v>0</v>
      </c>
      <c r="I312" s="1838">
        <f t="shared" si="14"/>
        <v>171600</v>
      </c>
      <c r="J312" s="1838">
        <v>0</v>
      </c>
      <c r="K312" s="1838">
        <v>0</v>
      </c>
      <c r="L312" s="1838">
        <v>0</v>
      </c>
      <c r="M312" s="1838">
        <v>0</v>
      </c>
      <c r="N312" s="1838" t="s">
        <v>3339</v>
      </c>
      <c r="O312" s="1838" t="s">
        <v>3340</v>
      </c>
      <c r="P312" s="1838"/>
    </row>
    <row r="313" spans="2:16" s="1843" customFormat="1">
      <c r="B313" s="1838">
        <f t="shared" si="15"/>
        <v>310</v>
      </c>
      <c r="C313" s="1838" t="s">
        <v>113</v>
      </c>
      <c r="D313" s="1838" t="s">
        <v>3162</v>
      </c>
      <c r="E313" s="1838" t="s">
        <v>3482</v>
      </c>
      <c r="F313" s="1839">
        <v>45382</v>
      </c>
      <c r="G313" s="1840">
        <v>147950</v>
      </c>
      <c r="H313" s="1841">
        <f t="shared" si="13"/>
        <v>0</v>
      </c>
      <c r="I313" s="1838">
        <f t="shared" si="14"/>
        <v>147950</v>
      </c>
      <c r="J313" s="1838">
        <v>0</v>
      </c>
      <c r="K313" s="1838">
        <v>0</v>
      </c>
      <c r="L313" s="1838">
        <v>0</v>
      </c>
      <c r="M313" s="1838">
        <v>0</v>
      </c>
      <c r="N313" s="1838" t="s">
        <v>3339</v>
      </c>
      <c r="O313" s="1838" t="s">
        <v>3340</v>
      </c>
      <c r="P313" s="1838"/>
    </row>
    <row r="314" spans="2:16" s="1843" customFormat="1">
      <c r="B314" s="1838">
        <f t="shared" si="15"/>
        <v>311</v>
      </c>
      <c r="C314" s="1838" t="s">
        <v>113</v>
      </c>
      <c r="D314" s="1838" t="s">
        <v>3162</v>
      </c>
      <c r="E314" s="1838" t="s">
        <v>3483</v>
      </c>
      <c r="F314" s="1839">
        <v>45382</v>
      </c>
      <c r="G314" s="1840">
        <v>151000</v>
      </c>
      <c r="H314" s="1841">
        <f t="shared" si="13"/>
        <v>0</v>
      </c>
      <c r="I314" s="1838">
        <f t="shared" si="14"/>
        <v>151000</v>
      </c>
      <c r="J314" s="1838">
        <v>0</v>
      </c>
      <c r="K314" s="1838">
        <v>0</v>
      </c>
      <c r="L314" s="1838">
        <v>0</v>
      </c>
      <c r="M314" s="1838">
        <v>0</v>
      </c>
      <c r="N314" s="1838" t="s">
        <v>3339</v>
      </c>
      <c r="O314" s="1838" t="s">
        <v>3340</v>
      </c>
      <c r="P314" s="1838"/>
    </row>
    <row r="315" spans="2:16" s="1843" customFormat="1">
      <c r="B315" s="1838">
        <f t="shared" si="15"/>
        <v>312</v>
      </c>
      <c r="C315" s="1838" t="s">
        <v>113</v>
      </c>
      <c r="D315" s="1838" t="s">
        <v>3162</v>
      </c>
      <c r="E315" s="1838" t="s">
        <v>3337</v>
      </c>
      <c r="F315" s="1839">
        <v>45382</v>
      </c>
      <c r="G315" s="1840">
        <v>-7392</v>
      </c>
      <c r="H315" s="1841">
        <f t="shared" si="13"/>
        <v>0</v>
      </c>
      <c r="I315" s="1838">
        <f t="shared" si="14"/>
        <v>-7392</v>
      </c>
      <c r="J315" s="1838">
        <v>0</v>
      </c>
      <c r="K315" s="1838">
        <v>0</v>
      </c>
      <c r="L315" s="1838">
        <v>0</v>
      </c>
      <c r="M315" s="1838">
        <v>0</v>
      </c>
      <c r="N315" s="1838" t="s">
        <v>3339</v>
      </c>
      <c r="O315" s="1838" t="s">
        <v>3340</v>
      </c>
      <c r="P315" s="1838"/>
    </row>
    <row r="316" spans="2:16" s="1843" customFormat="1">
      <c r="B316" s="1838">
        <f t="shared" si="15"/>
        <v>313</v>
      </c>
      <c r="C316" s="1838" t="s">
        <v>113</v>
      </c>
      <c r="D316" s="1838" t="s">
        <v>3162</v>
      </c>
      <c r="E316" s="1838" t="s">
        <v>3180</v>
      </c>
      <c r="F316" s="1839">
        <v>45382</v>
      </c>
      <c r="G316" s="1840">
        <v>7.0000000000000007E-2</v>
      </c>
      <c r="H316" s="1841">
        <f t="shared" si="13"/>
        <v>0</v>
      </c>
      <c r="I316" s="1838">
        <f t="shared" si="14"/>
        <v>7.0000000000000007E-2</v>
      </c>
      <c r="J316" s="1838">
        <v>0</v>
      </c>
      <c r="K316" s="1838">
        <v>0</v>
      </c>
      <c r="L316" s="1838">
        <v>0</v>
      </c>
      <c r="M316" s="1838">
        <v>0</v>
      </c>
      <c r="N316" s="1838" t="s">
        <v>3339</v>
      </c>
      <c r="O316" s="1838" t="s">
        <v>3340</v>
      </c>
      <c r="P316" s="1838"/>
    </row>
    <row r="317" spans="2:16" s="1843" customFormat="1">
      <c r="B317" s="1838">
        <f t="shared" si="15"/>
        <v>314</v>
      </c>
      <c r="C317" s="1838" t="s">
        <v>499</v>
      </c>
      <c r="D317" s="1838" t="s">
        <v>3162</v>
      </c>
      <c r="E317" s="1838" t="s">
        <v>3484</v>
      </c>
      <c r="F317" s="1839">
        <v>45353</v>
      </c>
      <c r="G317" s="1840">
        <v>91655</v>
      </c>
      <c r="H317" s="1841">
        <f t="shared" si="13"/>
        <v>29</v>
      </c>
      <c r="I317" s="1838">
        <f t="shared" si="14"/>
        <v>91655</v>
      </c>
      <c r="J317" s="1838">
        <v>0</v>
      </c>
      <c r="K317" s="1838">
        <v>0</v>
      </c>
      <c r="L317" s="1838">
        <v>0</v>
      </c>
      <c r="M317" s="1838">
        <v>0</v>
      </c>
      <c r="N317" s="1838" t="s">
        <v>3485</v>
      </c>
      <c r="O317" s="1838" t="s">
        <v>3297</v>
      </c>
      <c r="P317" s="1838"/>
    </row>
    <row r="318" spans="2:16" s="1843" customFormat="1">
      <c r="B318" s="1838">
        <f t="shared" si="15"/>
        <v>315</v>
      </c>
      <c r="C318" s="1838" t="s">
        <v>499</v>
      </c>
      <c r="D318" s="1838" t="s">
        <v>3162</v>
      </c>
      <c r="E318" s="1838" t="s">
        <v>3484</v>
      </c>
      <c r="F318" s="1839">
        <v>45353</v>
      </c>
      <c r="G318" s="1840">
        <v>-642</v>
      </c>
      <c r="H318" s="1841">
        <f t="shared" si="13"/>
        <v>29</v>
      </c>
      <c r="I318" s="1838">
        <f t="shared" si="14"/>
        <v>-642</v>
      </c>
      <c r="J318" s="1838">
        <v>0</v>
      </c>
      <c r="K318" s="1838">
        <v>0</v>
      </c>
      <c r="L318" s="1838">
        <v>0</v>
      </c>
      <c r="M318" s="1838">
        <v>0</v>
      </c>
      <c r="N318" s="1838" t="s">
        <v>3485</v>
      </c>
      <c r="O318" s="1838" t="s">
        <v>3297</v>
      </c>
      <c r="P318" s="1838"/>
    </row>
    <row r="319" spans="2:16" s="1843" customFormat="1">
      <c r="B319" s="1838">
        <f t="shared" si="15"/>
        <v>316</v>
      </c>
      <c r="C319" s="1838" t="s">
        <v>499</v>
      </c>
      <c r="D319" s="1838" t="s">
        <v>3162</v>
      </c>
      <c r="E319" s="1838" t="s">
        <v>3486</v>
      </c>
      <c r="F319" s="1839">
        <v>45356</v>
      </c>
      <c r="G319" s="1840">
        <v>-457</v>
      </c>
      <c r="H319" s="1841">
        <f t="shared" si="13"/>
        <v>26</v>
      </c>
      <c r="I319" s="1838">
        <f t="shared" si="14"/>
        <v>-457</v>
      </c>
      <c r="J319" s="1838">
        <v>0</v>
      </c>
      <c r="K319" s="1838">
        <v>0</v>
      </c>
      <c r="L319" s="1838">
        <v>0</v>
      </c>
      <c r="M319" s="1838">
        <v>0</v>
      </c>
      <c r="N319" s="1838" t="s">
        <v>3485</v>
      </c>
      <c r="O319" s="1838" t="s">
        <v>3297</v>
      </c>
      <c r="P319" s="1838"/>
    </row>
    <row r="320" spans="2:16" s="1843" customFormat="1">
      <c r="B320" s="1838">
        <f t="shared" si="15"/>
        <v>317</v>
      </c>
      <c r="C320" s="1838" t="s">
        <v>499</v>
      </c>
      <c r="D320" s="1838" t="s">
        <v>3162</v>
      </c>
      <c r="E320" s="1838" t="s">
        <v>3486</v>
      </c>
      <c r="F320" s="1839">
        <v>45357</v>
      </c>
      <c r="G320" s="1840">
        <v>93025</v>
      </c>
      <c r="H320" s="1841">
        <f t="shared" si="13"/>
        <v>25</v>
      </c>
      <c r="I320" s="1838">
        <f t="shared" si="14"/>
        <v>93025</v>
      </c>
      <c r="J320" s="1838">
        <v>0</v>
      </c>
      <c r="K320" s="1838">
        <v>0</v>
      </c>
      <c r="L320" s="1838">
        <v>0</v>
      </c>
      <c r="M320" s="1838">
        <v>0</v>
      </c>
      <c r="N320" s="1838" t="s">
        <v>3485</v>
      </c>
      <c r="O320" s="1838" t="s">
        <v>3297</v>
      </c>
      <c r="P320" s="1838"/>
    </row>
    <row r="321" spans="2:16" s="1843" customFormat="1">
      <c r="B321" s="1838">
        <f t="shared" si="15"/>
        <v>318</v>
      </c>
      <c r="C321" s="1838" t="s">
        <v>195</v>
      </c>
      <c r="D321" s="1838" t="s">
        <v>3162</v>
      </c>
      <c r="E321" s="1838" t="s">
        <v>3487</v>
      </c>
      <c r="F321" s="1839">
        <v>45358</v>
      </c>
      <c r="G321" s="1840">
        <v>400020</v>
      </c>
      <c r="H321" s="1841">
        <f t="shared" si="13"/>
        <v>24</v>
      </c>
      <c r="I321" s="1838">
        <f t="shared" si="14"/>
        <v>400020</v>
      </c>
      <c r="J321" s="1838">
        <v>0</v>
      </c>
      <c r="K321" s="1838">
        <v>0</v>
      </c>
      <c r="L321" s="1838">
        <v>0</v>
      </c>
      <c r="M321" s="1838">
        <v>0</v>
      </c>
      <c r="N321" s="1838" t="s">
        <v>3488</v>
      </c>
      <c r="O321" s="1838" t="s">
        <v>3489</v>
      </c>
      <c r="P321" s="1838"/>
    </row>
    <row r="322" spans="2:16" s="1843" customFormat="1">
      <c r="B322" s="1838">
        <f t="shared" si="15"/>
        <v>319</v>
      </c>
      <c r="C322" s="1838" t="s">
        <v>432</v>
      </c>
      <c r="D322" s="1838" t="s">
        <v>3162</v>
      </c>
      <c r="E322" s="1838" t="s">
        <v>3490</v>
      </c>
      <c r="F322" s="1839">
        <v>45362</v>
      </c>
      <c r="G322" s="1840">
        <v>68027</v>
      </c>
      <c r="H322" s="1841">
        <f t="shared" si="13"/>
        <v>20</v>
      </c>
      <c r="I322" s="1838">
        <f t="shared" si="14"/>
        <v>68027</v>
      </c>
      <c r="J322" s="1838">
        <v>0</v>
      </c>
      <c r="K322" s="1838">
        <v>0</v>
      </c>
      <c r="L322" s="1838">
        <v>0</v>
      </c>
      <c r="M322" s="1838">
        <v>0</v>
      </c>
      <c r="N322" s="1838" t="s">
        <v>3182</v>
      </c>
      <c r="O322" s="1838" t="s">
        <v>3183</v>
      </c>
      <c r="P322" s="1838"/>
    </row>
    <row r="323" spans="2:16" s="1843" customFormat="1">
      <c r="B323" s="1838">
        <f t="shared" si="15"/>
        <v>320</v>
      </c>
      <c r="C323" s="1838" t="s">
        <v>511</v>
      </c>
      <c r="D323" s="1838" t="s">
        <v>3162</v>
      </c>
      <c r="E323" s="1838" t="s">
        <v>3491</v>
      </c>
      <c r="F323" s="1839">
        <v>45230</v>
      </c>
      <c r="G323" s="1840">
        <v>3</v>
      </c>
      <c r="H323" s="1841">
        <f t="shared" si="13"/>
        <v>152</v>
      </c>
      <c r="I323" s="1838">
        <f t="shared" si="14"/>
        <v>3</v>
      </c>
      <c r="J323" s="1838">
        <v>0</v>
      </c>
      <c r="K323" s="1838">
        <v>0</v>
      </c>
      <c r="L323" s="1838">
        <v>0</v>
      </c>
      <c r="M323" s="1838">
        <v>0</v>
      </c>
      <c r="N323" s="1838" t="s">
        <v>3492</v>
      </c>
      <c r="O323" s="1838" t="s">
        <v>3489</v>
      </c>
      <c r="P323" s="1838"/>
    </row>
    <row r="324" spans="2:16" s="1843" customFormat="1">
      <c r="B324" s="1838">
        <f t="shared" si="15"/>
        <v>321</v>
      </c>
      <c r="C324" s="1838" t="s">
        <v>511</v>
      </c>
      <c r="D324" s="1838" t="s">
        <v>3162</v>
      </c>
      <c r="E324" s="1838" t="s">
        <v>3493</v>
      </c>
      <c r="F324" s="1839">
        <v>45327</v>
      </c>
      <c r="G324" s="1840">
        <v>51370</v>
      </c>
      <c r="H324" s="1841">
        <f t="shared" si="13"/>
        <v>55</v>
      </c>
      <c r="I324" s="1838">
        <f t="shared" si="14"/>
        <v>51370</v>
      </c>
      <c r="J324" s="1838">
        <v>0</v>
      </c>
      <c r="K324" s="1838">
        <v>0</v>
      </c>
      <c r="L324" s="1838">
        <v>0</v>
      </c>
      <c r="M324" s="1838">
        <v>0</v>
      </c>
      <c r="N324" s="1838" t="s">
        <v>3492</v>
      </c>
      <c r="O324" s="1838" t="s">
        <v>3489</v>
      </c>
      <c r="P324" s="1838"/>
    </row>
    <row r="325" spans="2:16" s="1843" customFormat="1">
      <c r="B325" s="1838">
        <f t="shared" si="15"/>
        <v>322</v>
      </c>
      <c r="C325" s="1838" t="s">
        <v>511</v>
      </c>
      <c r="D325" s="1838" t="s">
        <v>3162</v>
      </c>
      <c r="E325" s="1838" t="s">
        <v>3494</v>
      </c>
      <c r="F325" s="1839">
        <v>45327</v>
      </c>
      <c r="G325" s="1840">
        <v>56643</v>
      </c>
      <c r="H325" s="1841">
        <f t="shared" ref="H325:H388" si="16">+$H$2-F325</f>
        <v>55</v>
      </c>
      <c r="I325" s="1838">
        <f t="shared" ref="I325:I388" si="17">+G325</f>
        <v>56643</v>
      </c>
      <c r="J325" s="1838">
        <v>0</v>
      </c>
      <c r="K325" s="1838">
        <v>0</v>
      </c>
      <c r="L325" s="1838">
        <v>0</v>
      </c>
      <c r="M325" s="1838">
        <v>0</v>
      </c>
      <c r="N325" s="1838" t="s">
        <v>3492</v>
      </c>
      <c r="O325" s="1838" t="s">
        <v>3489</v>
      </c>
      <c r="P325" s="1838"/>
    </row>
    <row r="326" spans="2:16" s="1843" customFormat="1">
      <c r="B326" s="1838">
        <f t="shared" ref="B326:B389" si="18">+B325+1</f>
        <v>323</v>
      </c>
      <c r="C326" s="1838" t="s">
        <v>511</v>
      </c>
      <c r="D326" s="1838" t="s">
        <v>3162</v>
      </c>
      <c r="E326" s="1838" t="s">
        <v>3495</v>
      </c>
      <c r="F326" s="1839">
        <v>45327</v>
      </c>
      <c r="G326" s="1840">
        <v>41079</v>
      </c>
      <c r="H326" s="1841">
        <f t="shared" si="16"/>
        <v>55</v>
      </c>
      <c r="I326" s="1838">
        <f t="shared" si="17"/>
        <v>41079</v>
      </c>
      <c r="J326" s="1838">
        <v>0</v>
      </c>
      <c r="K326" s="1838">
        <v>0</v>
      </c>
      <c r="L326" s="1838">
        <v>0</v>
      </c>
      <c r="M326" s="1838">
        <v>0</v>
      </c>
      <c r="N326" s="1838" t="s">
        <v>3492</v>
      </c>
      <c r="O326" s="1838" t="s">
        <v>3489</v>
      </c>
      <c r="P326" s="1838"/>
    </row>
    <row r="327" spans="2:16" s="1843" customFormat="1">
      <c r="B327" s="1838">
        <f t="shared" si="18"/>
        <v>324</v>
      </c>
      <c r="C327" s="1838" t="s">
        <v>511</v>
      </c>
      <c r="D327" s="1838" t="s">
        <v>3162</v>
      </c>
      <c r="E327" s="1838" t="s">
        <v>3496</v>
      </c>
      <c r="F327" s="1839">
        <v>45328</v>
      </c>
      <c r="G327" s="1840">
        <v>47305</v>
      </c>
      <c r="H327" s="1841">
        <f t="shared" si="16"/>
        <v>54</v>
      </c>
      <c r="I327" s="1838">
        <f t="shared" si="17"/>
        <v>47305</v>
      </c>
      <c r="J327" s="1838">
        <v>0</v>
      </c>
      <c r="K327" s="1838">
        <v>0</v>
      </c>
      <c r="L327" s="1838">
        <v>0</v>
      </c>
      <c r="M327" s="1838">
        <v>0</v>
      </c>
      <c r="N327" s="1838" t="s">
        <v>3492</v>
      </c>
      <c r="O327" s="1838" t="s">
        <v>3489</v>
      </c>
      <c r="P327" s="1838"/>
    </row>
    <row r="328" spans="2:16" s="1843" customFormat="1">
      <c r="B328" s="1838">
        <f t="shared" si="18"/>
        <v>325</v>
      </c>
      <c r="C328" s="1838" t="s">
        <v>511</v>
      </c>
      <c r="D328" s="1838" t="s">
        <v>3162</v>
      </c>
      <c r="E328" s="1838" t="s">
        <v>3497</v>
      </c>
      <c r="F328" s="1839">
        <v>45329</v>
      </c>
      <c r="G328" s="1840">
        <v>2688</v>
      </c>
      <c r="H328" s="1841">
        <f t="shared" si="16"/>
        <v>53</v>
      </c>
      <c r="I328" s="1838">
        <f t="shared" si="17"/>
        <v>2688</v>
      </c>
      <c r="J328" s="1838">
        <v>0</v>
      </c>
      <c r="K328" s="1838">
        <v>0</v>
      </c>
      <c r="L328" s="1838">
        <v>0</v>
      </c>
      <c r="M328" s="1838">
        <v>0</v>
      </c>
      <c r="N328" s="1838" t="s">
        <v>3492</v>
      </c>
      <c r="O328" s="1838" t="s">
        <v>3489</v>
      </c>
      <c r="P328" s="1838"/>
    </row>
    <row r="329" spans="2:16" s="1843" customFormat="1">
      <c r="B329" s="1838">
        <f t="shared" si="18"/>
        <v>326</v>
      </c>
      <c r="C329" s="1838" t="s">
        <v>511</v>
      </c>
      <c r="D329" s="1838" t="s">
        <v>3162</v>
      </c>
      <c r="E329" s="1838" t="s">
        <v>3498</v>
      </c>
      <c r="F329" s="1839">
        <v>45329</v>
      </c>
      <c r="G329" s="1840">
        <v>93725</v>
      </c>
      <c r="H329" s="1841">
        <f t="shared" si="16"/>
        <v>53</v>
      </c>
      <c r="I329" s="1838">
        <f t="shared" si="17"/>
        <v>93725</v>
      </c>
      <c r="J329" s="1838">
        <v>0</v>
      </c>
      <c r="K329" s="1838">
        <v>0</v>
      </c>
      <c r="L329" s="1838">
        <v>0</v>
      </c>
      <c r="M329" s="1838">
        <v>0</v>
      </c>
      <c r="N329" s="1838" t="s">
        <v>3492</v>
      </c>
      <c r="O329" s="1838" t="s">
        <v>3489</v>
      </c>
      <c r="P329" s="1838"/>
    </row>
    <row r="330" spans="2:16" s="1843" customFormat="1">
      <c r="B330" s="1838">
        <f t="shared" si="18"/>
        <v>327</v>
      </c>
      <c r="C330" s="1838" t="s">
        <v>511</v>
      </c>
      <c r="D330" s="1838" t="s">
        <v>3162</v>
      </c>
      <c r="E330" s="1838" t="s">
        <v>3499</v>
      </c>
      <c r="F330" s="1839">
        <v>45330</v>
      </c>
      <c r="G330" s="1840">
        <v>57919</v>
      </c>
      <c r="H330" s="1841">
        <f t="shared" si="16"/>
        <v>52</v>
      </c>
      <c r="I330" s="1838">
        <f t="shared" si="17"/>
        <v>57919</v>
      </c>
      <c r="J330" s="1838">
        <v>0</v>
      </c>
      <c r="K330" s="1838">
        <v>0</v>
      </c>
      <c r="L330" s="1838">
        <v>0</v>
      </c>
      <c r="M330" s="1838">
        <v>0</v>
      </c>
      <c r="N330" s="1838" t="s">
        <v>3492</v>
      </c>
      <c r="O330" s="1838" t="s">
        <v>3489</v>
      </c>
      <c r="P330" s="1838"/>
    </row>
    <row r="331" spans="2:16" s="1843" customFormat="1">
      <c r="B331" s="1838">
        <f t="shared" si="18"/>
        <v>328</v>
      </c>
      <c r="C331" s="1838" t="s">
        <v>511</v>
      </c>
      <c r="D331" s="1838" t="s">
        <v>3162</v>
      </c>
      <c r="E331" s="1838" t="s">
        <v>3500</v>
      </c>
      <c r="F331" s="1839">
        <v>45330</v>
      </c>
      <c r="G331" s="1840">
        <v>53546</v>
      </c>
      <c r="H331" s="1841">
        <f t="shared" si="16"/>
        <v>52</v>
      </c>
      <c r="I331" s="1838">
        <f t="shared" si="17"/>
        <v>53546</v>
      </c>
      <c r="J331" s="1838">
        <v>0</v>
      </c>
      <c r="K331" s="1838">
        <v>0</v>
      </c>
      <c r="L331" s="1838">
        <v>0</v>
      </c>
      <c r="M331" s="1838">
        <v>0</v>
      </c>
      <c r="N331" s="1838" t="s">
        <v>3492</v>
      </c>
      <c r="O331" s="1838" t="s">
        <v>3489</v>
      </c>
      <c r="P331" s="1838"/>
    </row>
    <row r="332" spans="2:16" s="1843" customFormat="1">
      <c r="B332" s="1838">
        <f t="shared" si="18"/>
        <v>329</v>
      </c>
      <c r="C332" s="1838" t="s">
        <v>511</v>
      </c>
      <c r="D332" s="1838" t="s">
        <v>3162</v>
      </c>
      <c r="E332" s="1838" t="s">
        <v>3501</v>
      </c>
      <c r="F332" s="1839">
        <v>45330</v>
      </c>
      <c r="G332" s="1840">
        <v>48669</v>
      </c>
      <c r="H332" s="1841">
        <f t="shared" si="16"/>
        <v>52</v>
      </c>
      <c r="I332" s="1838">
        <f t="shared" si="17"/>
        <v>48669</v>
      </c>
      <c r="J332" s="1838">
        <v>0</v>
      </c>
      <c r="K332" s="1838">
        <v>0</v>
      </c>
      <c r="L332" s="1838">
        <v>0</v>
      </c>
      <c r="M332" s="1838">
        <v>0</v>
      </c>
      <c r="N332" s="1838" t="s">
        <v>3492</v>
      </c>
      <c r="O332" s="1838" t="s">
        <v>3489</v>
      </c>
      <c r="P332" s="1838"/>
    </row>
    <row r="333" spans="2:16" s="1843" customFormat="1">
      <c r="B333" s="1838">
        <f t="shared" si="18"/>
        <v>330</v>
      </c>
      <c r="C333" s="1838" t="s">
        <v>511</v>
      </c>
      <c r="D333" s="1838" t="s">
        <v>3162</v>
      </c>
      <c r="E333" s="1838" t="s">
        <v>3502</v>
      </c>
      <c r="F333" s="1839">
        <v>45331</v>
      </c>
      <c r="G333" s="1840">
        <v>52561</v>
      </c>
      <c r="H333" s="1841">
        <f t="shared" si="16"/>
        <v>51</v>
      </c>
      <c r="I333" s="1838">
        <f t="shared" si="17"/>
        <v>52561</v>
      </c>
      <c r="J333" s="1838">
        <v>0</v>
      </c>
      <c r="K333" s="1838">
        <v>0</v>
      </c>
      <c r="L333" s="1838">
        <v>0</v>
      </c>
      <c r="M333" s="1838">
        <v>0</v>
      </c>
      <c r="N333" s="1838" t="s">
        <v>3492</v>
      </c>
      <c r="O333" s="1838" t="s">
        <v>3489</v>
      </c>
      <c r="P333" s="1838"/>
    </row>
    <row r="334" spans="2:16" s="1843" customFormat="1">
      <c r="B334" s="1838">
        <f t="shared" si="18"/>
        <v>331</v>
      </c>
      <c r="C334" s="1838" t="s">
        <v>511</v>
      </c>
      <c r="D334" s="1838" t="s">
        <v>3162</v>
      </c>
      <c r="E334" s="1838" t="s">
        <v>3503</v>
      </c>
      <c r="F334" s="1839">
        <v>45331</v>
      </c>
      <c r="G334" s="1840">
        <v>52731</v>
      </c>
      <c r="H334" s="1841">
        <f t="shared" si="16"/>
        <v>51</v>
      </c>
      <c r="I334" s="1838">
        <f t="shared" si="17"/>
        <v>52731</v>
      </c>
      <c r="J334" s="1838">
        <v>0</v>
      </c>
      <c r="K334" s="1838">
        <v>0</v>
      </c>
      <c r="L334" s="1838">
        <v>0</v>
      </c>
      <c r="M334" s="1838">
        <v>0</v>
      </c>
      <c r="N334" s="1838" t="s">
        <v>3492</v>
      </c>
      <c r="O334" s="1838" t="s">
        <v>3489</v>
      </c>
      <c r="P334" s="1838"/>
    </row>
    <row r="335" spans="2:16" s="1843" customFormat="1">
      <c r="B335" s="1838">
        <f t="shared" si="18"/>
        <v>332</v>
      </c>
      <c r="C335" s="1838" t="s">
        <v>511</v>
      </c>
      <c r="D335" s="1838" t="s">
        <v>3162</v>
      </c>
      <c r="E335" s="1838" t="s">
        <v>3504</v>
      </c>
      <c r="F335" s="1839">
        <v>45331</v>
      </c>
      <c r="G335" s="1840">
        <v>55963</v>
      </c>
      <c r="H335" s="1841">
        <f t="shared" si="16"/>
        <v>51</v>
      </c>
      <c r="I335" s="1838">
        <f t="shared" si="17"/>
        <v>55963</v>
      </c>
      <c r="J335" s="1838">
        <v>0</v>
      </c>
      <c r="K335" s="1838">
        <v>0</v>
      </c>
      <c r="L335" s="1838">
        <v>0</v>
      </c>
      <c r="M335" s="1838">
        <v>0</v>
      </c>
      <c r="N335" s="1838" t="s">
        <v>3492</v>
      </c>
      <c r="O335" s="1838" t="s">
        <v>3489</v>
      </c>
      <c r="P335" s="1838"/>
    </row>
    <row r="336" spans="2:16" s="1843" customFormat="1">
      <c r="B336" s="1838">
        <f t="shared" si="18"/>
        <v>333</v>
      </c>
      <c r="C336" s="1838" t="s">
        <v>511</v>
      </c>
      <c r="D336" s="1838" t="s">
        <v>3162</v>
      </c>
      <c r="E336" s="1838" t="s">
        <v>3505</v>
      </c>
      <c r="F336" s="1839">
        <v>45332</v>
      </c>
      <c r="G336" s="1840">
        <v>56133</v>
      </c>
      <c r="H336" s="1841">
        <f t="shared" si="16"/>
        <v>50</v>
      </c>
      <c r="I336" s="1838">
        <f t="shared" si="17"/>
        <v>56133</v>
      </c>
      <c r="J336" s="1838">
        <v>0</v>
      </c>
      <c r="K336" s="1838">
        <v>0</v>
      </c>
      <c r="L336" s="1838">
        <v>0</v>
      </c>
      <c r="M336" s="1838">
        <v>0</v>
      </c>
      <c r="N336" s="1838" t="s">
        <v>3492</v>
      </c>
      <c r="O336" s="1838" t="s">
        <v>3489</v>
      </c>
      <c r="P336" s="1838"/>
    </row>
    <row r="337" spans="2:16" s="1843" customFormat="1">
      <c r="B337" s="1838">
        <f t="shared" si="18"/>
        <v>334</v>
      </c>
      <c r="C337" s="1838" t="s">
        <v>511</v>
      </c>
      <c r="D337" s="1838" t="s">
        <v>3162</v>
      </c>
      <c r="E337" s="1838" t="s">
        <v>3506</v>
      </c>
      <c r="F337" s="1839">
        <v>45332</v>
      </c>
      <c r="G337" s="1840">
        <v>55112</v>
      </c>
      <c r="H337" s="1841">
        <f t="shared" si="16"/>
        <v>50</v>
      </c>
      <c r="I337" s="1838">
        <f t="shared" si="17"/>
        <v>55112</v>
      </c>
      <c r="J337" s="1838">
        <v>0</v>
      </c>
      <c r="K337" s="1838">
        <v>0</v>
      </c>
      <c r="L337" s="1838">
        <v>0</v>
      </c>
      <c r="M337" s="1838">
        <v>0</v>
      </c>
      <c r="N337" s="1838" t="s">
        <v>3492</v>
      </c>
      <c r="O337" s="1838" t="s">
        <v>3489</v>
      </c>
      <c r="P337" s="1838"/>
    </row>
    <row r="338" spans="2:16" s="1843" customFormat="1">
      <c r="B338" s="1838">
        <f t="shared" si="18"/>
        <v>335</v>
      </c>
      <c r="C338" s="1838" t="s">
        <v>511</v>
      </c>
      <c r="D338" s="1838" t="s">
        <v>3162</v>
      </c>
      <c r="E338" s="1838" t="s">
        <v>3507</v>
      </c>
      <c r="F338" s="1839">
        <v>45332</v>
      </c>
      <c r="G338" s="1840">
        <v>62597</v>
      </c>
      <c r="H338" s="1841">
        <f t="shared" si="16"/>
        <v>50</v>
      </c>
      <c r="I338" s="1838">
        <f t="shared" si="17"/>
        <v>62597</v>
      </c>
      <c r="J338" s="1838">
        <v>0</v>
      </c>
      <c r="K338" s="1838">
        <v>0</v>
      </c>
      <c r="L338" s="1838">
        <v>0</v>
      </c>
      <c r="M338" s="1838">
        <v>0</v>
      </c>
      <c r="N338" s="1838" t="s">
        <v>3492</v>
      </c>
      <c r="O338" s="1838" t="s">
        <v>3489</v>
      </c>
      <c r="P338" s="1838"/>
    </row>
    <row r="339" spans="2:16" s="1843" customFormat="1">
      <c r="B339" s="1838">
        <f t="shared" si="18"/>
        <v>336</v>
      </c>
      <c r="C339" s="1838" t="s">
        <v>511</v>
      </c>
      <c r="D339" s="1838" t="s">
        <v>3162</v>
      </c>
      <c r="E339" s="1838" t="s">
        <v>3508</v>
      </c>
      <c r="F339" s="1839">
        <v>45332</v>
      </c>
      <c r="G339" s="1840">
        <v>52561</v>
      </c>
      <c r="H339" s="1841">
        <f t="shared" si="16"/>
        <v>50</v>
      </c>
      <c r="I339" s="1838">
        <f t="shared" si="17"/>
        <v>52561</v>
      </c>
      <c r="J339" s="1838">
        <v>0</v>
      </c>
      <c r="K339" s="1838">
        <v>0</v>
      </c>
      <c r="L339" s="1838">
        <v>0</v>
      </c>
      <c r="M339" s="1838">
        <v>0</v>
      </c>
      <c r="N339" s="1838" t="s">
        <v>3492</v>
      </c>
      <c r="O339" s="1838" t="s">
        <v>3489</v>
      </c>
      <c r="P339" s="1838"/>
    </row>
    <row r="340" spans="2:16" s="1843" customFormat="1">
      <c r="B340" s="1838">
        <f t="shared" si="18"/>
        <v>337</v>
      </c>
      <c r="C340" s="1838" t="s">
        <v>511</v>
      </c>
      <c r="D340" s="1838" t="s">
        <v>3162</v>
      </c>
      <c r="E340" s="1838" t="s">
        <v>3509</v>
      </c>
      <c r="F340" s="1839">
        <v>45333</v>
      </c>
      <c r="G340" s="1840">
        <v>52731</v>
      </c>
      <c r="H340" s="1841">
        <f t="shared" si="16"/>
        <v>49</v>
      </c>
      <c r="I340" s="1838">
        <f t="shared" si="17"/>
        <v>52731</v>
      </c>
      <c r="J340" s="1838">
        <v>0</v>
      </c>
      <c r="K340" s="1838">
        <v>0</v>
      </c>
      <c r="L340" s="1838">
        <v>0</v>
      </c>
      <c r="M340" s="1838">
        <v>0</v>
      </c>
      <c r="N340" s="1838" t="s">
        <v>3492</v>
      </c>
      <c r="O340" s="1838" t="s">
        <v>3489</v>
      </c>
      <c r="P340" s="1838"/>
    </row>
    <row r="341" spans="2:16" s="1843" customFormat="1">
      <c r="B341" s="1838">
        <f t="shared" si="18"/>
        <v>338</v>
      </c>
      <c r="C341" s="1838" t="s">
        <v>511</v>
      </c>
      <c r="D341" s="1838" t="s">
        <v>3162</v>
      </c>
      <c r="E341" s="1838" t="s">
        <v>3510</v>
      </c>
      <c r="F341" s="1839">
        <v>45333</v>
      </c>
      <c r="G341" s="1840">
        <v>64893</v>
      </c>
      <c r="H341" s="1841">
        <f t="shared" si="16"/>
        <v>49</v>
      </c>
      <c r="I341" s="1838">
        <f t="shared" si="17"/>
        <v>64893</v>
      </c>
      <c r="J341" s="1838">
        <v>0</v>
      </c>
      <c r="K341" s="1838">
        <v>0</v>
      </c>
      <c r="L341" s="1838">
        <v>0</v>
      </c>
      <c r="M341" s="1838">
        <v>0</v>
      </c>
      <c r="N341" s="1838" t="s">
        <v>3492</v>
      </c>
      <c r="O341" s="1838" t="s">
        <v>3489</v>
      </c>
      <c r="P341" s="1838"/>
    </row>
    <row r="342" spans="2:16" s="1843" customFormat="1">
      <c r="B342" s="1838">
        <f t="shared" si="18"/>
        <v>339</v>
      </c>
      <c r="C342" s="1838" t="s">
        <v>511</v>
      </c>
      <c r="D342" s="1838" t="s">
        <v>3162</v>
      </c>
      <c r="E342" s="1838" t="s">
        <v>3511</v>
      </c>
      <c r="F342" s="1839">
        <v>45333</v>
      </c>
      <c r="G342" s="1840">
        <v>52130</v>
      </c>
      <c r="H342" s="1841">
        <f t="shared" si="16"/>
        <v>49</v>
      </c>
      <c r="I342" s="1838">
        <f t="shared" si="17"/>
        <v>52130</v>
      </c>
      <c r="J342" s="1838">
        <v>0</v>
      </c>
      <c r="K342" s="1838">
        <v>0</v>
      </c>
      <c r="L342" s="1838">
        <v>0</v>
      </c>
      <c r="M342" s="1838">
        <v>0</v>
      </c>
      <c r="N342" s="1838" t="s">
        <v>3492</v>
      </c>
      <c r="O342" s="1838" t="s">
        <v>3489</v>
      </c>
      <c r="P342" s="1838"/>
    </row>
    <row r="343" spans="2:16" s="1843" customFormat="1">
      <c r="B343" s="1838">
        <f t="shared" si="18"/>
        <v>340</v>
      </c>
      <c r="C343" s="1838" t="s">
        <v>511</v>
      </c>
      <c r="D343" s="1838" t="s">
        <v>3162</v>
      </c>
      <c r="E343" s="1838" t="s">
        <v>3512</v>
      </c>
      <c r="F343" s="1839">
        <v>45333</v>
      </c>
      <c r="G343" s="1840">
        <v>58429</v>
      </c>
      <c r="H343" s="1841">
        <f t="shared" si="16"/>
        <v>49</v>
      </c>
      <c r="I343" s="1838">
        <f t="shared" si="17"/>
        <v>58429</v>
      </c>
      <c r="J343" s="1838">
        <v>0</v>
      </c>
      <c r="K343" s="1838">
        <v>0</v>
      </c>
      <c r="L343" s="1838">
        <v>0</v>
      </c>
      <c r="M343" s="1838">
        <v>0</v>
      </c>
      <c r="N343" s="1838" t="s">
        <v>3492</v>
      </c>
      <c r="O343" s="1838" t="s">
        <v>3489</v>
      </c>
      <c r="P343" s="1838"/>
    </row>
    <row r="344" spans="2:16" s="1843" customFormat="1">
      <c r="B344" s="1838">
        <f t="shared" si="18"/>
        <v>341</v>
      </c>
      <c r="C344" s="1838" t="s">
        <v>511</v>
      </c>
      <c r="D344" s="1838" t="s">
        <v>3162</v>
      </c>
      <c r="E344" s="1838" t="s">
        <v>3513</v>
      </c>
      <c r="F344" s="1839">
        <v>45334</v>
      </c>
      <c r="G344" s="1840">
        <v>49584</v>
      </c>
      <c r="H344" s="1841">
        <f t="shared" si="16"/>
        <v>48</v>
      </c>
      <c r="I344" s="1838">
        <f t="shared" si="17"/>
        <v>49584</v>
      </c>
      <c r="J344" s="1838">
        <v>0</v>
      </c>
      <c r="K344" s="1838">
        <v>0</v>
      </c>
      <c r="L344" s="1838">
        <v>0</v>
      </c>
      <c r="M344" s="1838">
        <v>0</v>
      </c>
      <c r="N344" s="1838" t="s">
        <v>3492</v>
      </c>
      <c r="O344" s="1838" t="s">
        <v>3489</v>
      </c>
      <c r="P344" s="1838"/>
    </row>
    <row r="345" spans="2:16" s="1843" customFormat="1">
      <c r="B345" s="1838">
        <f t="shared" si="18"/>
        <v>342</v>
      </c>
      <c r="C345" s="1838" t="s">
        <v>511</v>
      </c>
      <c r="D345" s="1838" t="s">
        <v>3162</v>
      </c>
      <c r="E345" s="1838" t="s">
        <v>3514</v>
      </c>
      <c r="F345" s="1839">
        <v>45334</v>
      </c>
      <c r="G345" s="1840">
        <v>57834</v>
      </c>
      <c r="H345" s="1841">
        <f t="shared" si="16"/>
        <v>48</v>
      </c>
      <c r="I345" s="1838">
        <f t="shared" si="17"/>
        <v>57834</v>
      </c>
      <c r="J345" s="1838">
        <v>0</v>
      </c>
      <c r="K345" s="1838">
        <v>0</v>
      </c>
      <c r="L345" s="1838">
        <v>0</v>
      </c>
      <c r="M345" s="1838">
        <v>0</v>
      </c>
      <c r="N345" s="1838" t="s">
        <v>3492</v>
      </c>
      <c r="O345" s="1838" t="s">
        <v>3489</v>
      </c>
      <c r="P345" s="1838"/>
    </row>
    <row r="346" spans="2:16" s="1843" customFormat="1">
      <c r="B346" s="1838">
        <f t="shared" si="18"/>
        <v>343</v>
      </c>
      <c r="C346" s="1838" t="s">
        <v>511</v>
      </c>
      <c r="D346" s="1838" t="s">
        <v>3162</v>
      </c>
      <c r="E346" s="1838" t="s">
        <v>3515</v>
      </c>
      <c r="F346" s="1839">
        <v>45334</v>
      </c>
      <c r="G346" s="1840">
        <v>54942</v>
      </c>
      <c r="H346" s="1841">
        <f t="shared" si="16"/>
        <v>48</v>
      </c>
      <c r="I346" s="1838">
        <f t="shared" si="17"/>
        <v>54942</v>
      </c>
      <c r="J346" s="1838">
        <v>0</v>
      </c>
      <c r="K346" s="1838">
        <v>0</v>
      </c>
      <c r="L346" s="1838">
        <v>0</v>
      </c>
      <c r="M346" s="1838">
        <v>0</v>
      </c>
      <c r="N346" s="1838" t="s">
        <v>3492</v>
      </c>
      <c r="O346" s="1838" t="s">
        <v>3489</v>
      </c>
      <c r="P346" s="1838"/>
    </row>
    <row r="347" spans="2:16" s="1843" customFormat="1">
      <c r="B347" s="1838">
        <f t="shared" si="18"/>
        <v>344</v>
      </c>
      <c r="C347" s="1838" t="s">
        <v>511</v>
      </c>
      <c r="D347" s="1838" t="s">
        <v>3162</v>
      </c>
      <c r="E347" s="1838" t="s">
        <v>3516</v>
      </c>
      <c r="F347" s="1839">
        <v>45334</v>
      </c>
      <c r="G347" s="1840">
        <v>88877</v>
      </c>
      <c r="H347" s="1841">
        <f t="shared" si="16"/>
        <v>48</v>
      </c>
      <c r="I347" s="1838">
        <f t="shared" si="17"/>
        <v>88877</v>
      </c>
      <c r="J347" s="1838">
        <v>0</v>
      </c>
      <c r="K347" s="1838">
        <v>0</v>
      </c>
      <c r="L347" s="1838">
        <v>0</v>
      </c>
      <c r="M347" s="1838">
        <v>0</v>
      </c>
      <c r="N347" s="1838" t="s">
        <v>3492</v>
      </c>
      <c r="O347" s="1838" t="s">
        <v>3489</v>
      </c>
      <c r="P347" s="1838"/>
    </row>
    <row r="348" spans="2:16" s="1843" customFormat="1">
      <c r="B348" s="1838">
        <f t="shared" si="18"/>
        <v>345</v>
      </c>
      <c r="C348" s="1838" t="s">
        <v>511</v>
      </c>
      <c r="D348" s="1838" t="s">
        <v>3162</v>
      </c>
      <c r="E348" s="1838" t="s">
        <v>3517</v>
      </c>
      <c r="F348" s="1839">
        <v>45335</v>
      </c>
      <c r="G348" s="1840">
        <v>89926</v>
      </c>
      <c r="H348" s="1841">
        <f t="shared" si="16"/>
        <v>47</v>
      </c>
      <c r="I348" s="1838">
        <f t="shared" si="17"/>
        <v>89926</v>
      </c>
      <c r="J348" s="1838">
        <v>0</v>
      </c>
      <c r="K348" s="1838">
        <v>0</v>
      </c>
      <c r="L348" s="1838">
        <v>0</v>
      </c>
      <c r="M348" s="1838">
        <v>0</v>
      </c>
      <c r="N348" s="1838" t="s">
        <v>3492</v>
      </c>
      <c r="O348" s="1838" t="s">
        <v>3489</v>
      </c>
      <c r="P348" s="1838"/>
    </row>
    <row r="349" spans="2:16" s="1843" customFormat="1">
      <c r="B349" s="1838">
        <f t="shared" si="18"/>
        <v>346</v>
      </c>
      <c r="C349" s="1838" t="s">
        <v>511</v>
      </c>
      <c r="D349" s="1838" t="s">
        <v>3162</v>
      </c>
      <c r="E349" s="1838" t="s">
        <v>3518</v>
      </c>
      <c r="F349" s="1839">
        <v>45337</v>
      </c>
      <c r="G349" s="1840">
        <v>47394</v>
      </c>
      <c r="H349" s="1841">
        <f t="shared" si="16"/>
        <v>45</v>
      </c>
      <c r="I349" s="1838">
        <f t="shared" si="17"/>
        <v>47394</v>
      </c>
      <c r="J349" s="1838">
        <v>0</v>
      </c>
      <c r="K349" s="1838">
        <v>0</v>
      </c>
      <c r="L349" s="1838">
        <v>0</v>
      </c>
      <c r="M349" s="1838">
        <v>0</v>
      </c>
      <c r="N349" s="1838" t="s">
        <v>3492</v>
      </c>
      <c r="O349" s="1838" t="s">
        <v>3489</v>
      </c>
      <c r="P349" s="1838"/>
    </row>
    <row r="350" spans="2:16" s="1843" customFormat="1">
      <c r="B350" s="1838">
        <f t="shared" si="18"/>
        <v>347</v>
      </c>
      <c r="C350" s="1838" t="s">
        <v>511</v>
      </c>
      <c r="D350" s="1838" t="s">
        <v>3162</v>
      </c>
      <c r="E350" s="1838" t="s">
        <v>3519</v>
      </c>
      <c r="F350" s="1839">
        <v>45337</v>
      </c>
      <c r="G350" s="1840">
        <v>93800</v>
      </c>
      <c r="H350" s="1841">
        <f t="shared" si="16"/>
        <v>45</v>
      </c>
      <c r="I350" s="1838">
        <f t="shared" si="17"/>
        <v>93800</v>
      </c>
      <c r="J350" s="1838">
        <v>0</v>
      </c>
      <c r="K350" s="1838">
        <v>0</v>
      </c>
      <c r="L350" s="1838">
        <v>0</v>
      </c>
      <c r="M350" s="1838">
        <v>0</v>
      </c>
      <c r="N350" s="1838" t="s">
        <v>3492</v>
      </c>
      <c r="O350" s="1838" t="s">
        <v>3489</v>
      </c>
      <c r="P350" s="1838"/>
    </row>
    <row r="351" spans="2:16" s="1843" customFormat="1">
      <c r="B351" s="1838">
        <f t="shared" si="18"/>
        <v>348</v>
      </c>
      <c r="C351" s="1838" t="s">
        <v>511</v>
      </c>
      <c r="D351" s="1838" t="s">
        <v>3162</v>
      </c>
      <c r="E351" s="1838" t="s">
        <v>3520</v>
      </c>
      <c r="F351" s="1839">
        <v>45338</v>
      </c>
      <c r="G351" s="1840">
        <v>40084</v>
      </c>
      <c r="H351" s="1841">
        <f t="shared" si="16"/>
        <v>44</v>
      </c>
      <c r="I351" s="1838">
        <f t="shared" si="17"/>
        <v>40084</v>
      </c>
      <c r="J351" s="1838">
        <v>0</v>
      </c>
      <c r="K351" s="1838">
        <v>0</v>
      </c>
      <c r="L351" s="1838">
        <v>0</v>
      </c>
      <c r="M351" s="1838">
        <v>0</v>
      </c>
      <c r="N351" s="1838" t="s">
        <v>3492</v>
      </c>
      <c r="O351" s="1838" t="s">
        <v>3489</v>
      </c>
      <c r="P351" s="1838"/>
    </row>
    <row r="352" spans="2:16" s="1843" customFormat="1">
      <c r="B352" s="1838">
        <f t="shared" si="18"/>
        <v>349</v>
      </c>
      <c r="C352" s="1838" t="s">
        <v>511</v>
      </c>
      <c r="D352" s="1838" t="s">
        <v>3162</v>
      </c>
      <c r="E352" s="1838" t="s">
        <v>3521</v>
      </c>
      <c r="F352" s="1839">
        <v>45339</v>
      </c>
      <c r="G352" s="1840">
        <v>91193</v>
      </c>
      <c r="H352" s="1841">
        <f t="shared" si="16"/>
        <v>43</v>
      </c>
      <c r="I352" s="1838">
        <f t="shared" si="17"/>
        <v>91193</v>
      </c>
      <c r="J352" s="1838">
        <v>0</v>
      </c>
      <c r="K352" s="1838">
        <v>0</v>
      </c>
      <c r="L352" s="1838">
        <v>0</v>
      </c>
      <c r="M352" s="1838">
        <v>0</v>
      </c>
      <c r="N352" s="1838" t="s">
        <v>3492</v>
      </c>
      <c r="O352" s="1838" t="s">
        <v>3489</v>
      </c>
      <c r="P352" s="1838"/>
    </row>
    <row r="353" spans="2:16" s="1843" customFormat="1">
      <c r="B353" s="1838">
        <f t="shared" si="18"/>
        <v>350</v>
      </c>
      <c r="C353" s="1838" t="s">
        <v>511</v>
      </c>
      <c r="D353" s="1838" t="s">
        <v>3162</v>
      </c>
      <c r="E353" s="1838" t="s">
        <v>3522</v>
      </c>
      <c r="F353" s="1839">
        <v>45339</v>
      </c>
      <c r="G353" s="1840">
        <v>40241</v>
      </c>
      <c r="H353" s="1841">
        <f t="shared" si="16"/>
        <v>43</v>
      </c>
      <c r="I353" s="1838">
        <f t="shared" si="17"/>
        <v>40241</v>
      </c>
      <c r="J353" s="1838">
        <v>0</v>
      </c>
      <c r="K353" s="1838">
        <v>0</v>
      </c>
      <c r="L353" s="1838">
        <v>0</v>
      </c>
      <c r="M353" s="1838">
        <v>0</v>
      </c>
      <c r="N353" s="1838" t="s">
        <v>3492</v>
      </c>
      <c r="O353" s="1838" t="s">
        <v>3489</v>
      </c>
      <c r="P353" s="1838"/>
    </row>
    <row r="354" spans="2:16" s="1843" customFormat="1">
      <c r="B354" s="1838">
        <f t="shared" si="18"/>
        <v>351</v>
      </c>
      <c r="C354" s="1838" t="s">
        <v>511</v>
      </c>
      <c r="D354" s="1838" t="s">
        <v>3162</v>
      </c>
      <c r="E354" s="1838" t="s">
        <v>3523</v>
      </c>
      <c r="F354" s="1839">
        <v>45340</v>
      </c>
      <c r="G354" s="1840">
        <v>73123</v>
      </c>
      <c r="H354" s="1841">
        <f t="shared" si="16"/>
        <v>42</v>
      </c>
      <c r="I354" s="1838">
        <f t="shared" si="17"/>
        <v>73123</v>
      </c>
      <c r="J354" s="1838">
        <v>0</v>
      </c>
      <c r="K354" s="1838">
        <v>0</v>
      </c>
      <c r="L354" s="1838">
        <v>0</v>
      </c>
      <c r="M354" s="1838">
        <v>0</v>
      </c>
      <c r="N354" s="1838" t="s">
        <v>3492</v>
      </c>
      <c r="O354" s="1838" t="s">
        <v>3489</v>
      </c>
      <c r="P354" s="1838"/>
    </row>
    <row r="355" spans="2:16" s="1843" customFormat="1">
      <c r="B355" s="1838">
        <f t="shared" si="18"/>
        <v>352</v>
      </c>
      <c r="C355" s="1838" t="s">
        <v>511</v>
      </c>
      <c r="D355" s="1838" t="s">
        <v>3162</v>
      </c>
      <c r="E355" s="1838" t="s">
        <v>3524</v>
      </c>
      <c r="F355" s="1839">
        <v>45342</v>
      </c>
      <c r="G355" s="1840">
        <v>46783</v>
      </c>
      <c r="H355" s="1841">
        <f t="shared" si="16"/>
        <v>40</v>
      </c>
      <c r="I355" s="1838">
        <f t="shared" si="17"/>
        <v>46783</v>
      </c>
      <c r="J355" s="1838">
        <v>0</v>
      </c>
      <c r="K355" s="1838">
        <v>0</v>
      </c>
      <c r="L355" s="1838">
        <v>0</v>
      </c>
      <c r="M355" s="1838">
        <v>0</v>
      </c>
      <c r="N355" s="1838" t="s">
        <v>3492</v>
      </c>
      <c r="O355" s="1838" t="s">
        <v>3489</v>
      </c>
      <c r="P355" s="1838"/>
    </row>
    <row r="356" spans="2:16" s="1843" customFormat="1">
      <c r="B356" s="1838">
        <f t="shared" si="18"/>
        <v>353</v>
      </c>
      <c r="C356" s="1838" t="s">
        <v>511</v>
      </c>
      <c r="D356" s="1838" t="s">
        <v>3162</v>
      </c>
      <c r="E356" s="1838" t="s">
        <v>3525</v>
      </c>
      <c r="F356" s="1839">
        <v>45343</v>
      </c>
      <c r="G356" s="1840">
        <v>2688</v>
      </c>
      <c r="H356" s="1841">
        <f t="shared" si="16"/>
        <v>39</v>
      </c>
      <c r="I356" s="1838">
        <f t="shared" si="17"/>
        <v>2688</v>
      </c>
      <c r="J356" s="1838">
        <v>0</v>
      </c>
      <c r="K356" s="1838">
        <v>0</v>
      </c>
      <c r="L356" s="1838">
        <v>0</v>
      </c>
      <c r="M356" s="1838">
        <v>0</v>
      </c>
      <c r="N356" s="1838" t="s">
        <v>3492</v>
      </c>
      <c r="O356" s="1838" t="s">
        <v>3489</v>
      </c>
      <c r="P356" s="1838"/>
    </row>
    <row r="357" spans="2:16" s="1843" customFormat="1">
      <c r="B357" s="1838">
        <f t="shared" si="18"/>
        <v>354</v>
      </c>
      <c r="C357" s="1838" t="s">
        <v>511</v>
      </c>
      <c r="D357" s="1838" t="s">
        <v>3162</v>
      </c>
      <c r="E357" s="1838" t="s">
        <v>3526</v>
      </c>
      <c r="F357" s="1839">
        <v>45343</v>
      </c>
      <c r="G357" s="1840">
        <v>46015</v>
      </c>
      <c r="H357" s="1841">
        <f t="shared" si="16"/>
        <v>39</v>
      </c>
      <c r="I357" s="1838">
        <f t="shared" si="17"/>
        <v>46015</v>
      </c>
      <c r="J357" s="1838">
        <v>0</v>
      </c>
      <c r="K357" s="1838">
        <v>0</v>
      </c>
      <c r="L357" s="1838">
        <v>0</v>
      </c>
      <c r="M357" s="1838">
        <v>0</v>
      </c>
      <c r="N357" s="1838" t="s">
        <v>3492</v>
      </c>
      <c r="O357" s="1838" t="s">
        <v>3489</v>
      </c>
      <c r="P357" s="1838"/>
    </row>
    <row r="358" spans="2:16" s="1843" customFormat="1">
      <c r="B358" s="1838">
        <f t="shared" si="18"/>
        <v>355</v>
      </c>
      <c r="C358" s="1838" t="s">
        <v>511</v>
      </c>
      <c r="D358" s="1838" t="s">
        <v>3162</v>
      </c>
      <c r="E358" s="1838" t="s">
        <v>3527</v>
      </c>
      <c r="F358" s="1839">
        <v>45343</v>
      </c>
      <c r="G358" s="1840">
        <v>47673</v>
      </c>
      <c r="H358" s="1841">
        <f t="shared" si="16"/>
        <v>39</v>
      </c>
      <c r="I358" s="1838">
        <f t="shared" si="17"/>
        <v>47673</v>
      </c>
      <c r="J358" s="1838">
        <v>0</v>
      </c>
      <c r="K358" s="1838">
        <v>0</v>
      </c>
      <c r="L358" s="1838">
        <v>0</v>
      </c>
      <c r="M358" s="1838">
        <v>0</v>
      </c>
      <c r="N358" s="1838" t="s">
        <v>3492</v>
      </c>
      <c r="O358" s="1838" t="s">
        <v>3489</v>
      </c>
      <c r="P358" s="1838"/>
    </row>
    <row r="359" spans="2:16" s="1843" customFormat="1">
      <c r="B359" s="1838">
        <f t="shared" si="18"/>
        <v>356</v>
      </c>
      <c r="C359" s="1838" t="s">
        <v>511</v>
      </c>
      <c r="D359" s="1838" t="s">
        <v>3162</v>
      </c>
      <c r="E359" s="1838" t="s">
        <v>3528</v>
      </c>
      <c r="F359" s="1839">
        <v>45344</v>
      </c>
      <c r="G359" s="1840">
        <v>58934</v>
      </c>
      <c r="H359" s="1841">
        <f t="shared" si="16"/>
        <v>38</v>
      </c>
      <c r="I359" s="1838">
        <f t="shared" si="17"/>
        <v>58934</v>
      </c>
      <c r="J359" s="1838">
        <v>0</v>
      </c>
      <c r="K359" s="1838">
        <v>0</v>
      </c>
      <c r="L359" s="1838">
        <v>0</v>
      </c>
      <c r="M359" s="1838">
        <v>0</v>
      </c>
      <c r="N359" s="1838" t="s">
        <v>3492</v>
      </c>
      <c r="O359" s="1838" t="s">
        <v>3489</v>
      </c>
      <c r="P359" s="1838"/>
    </row>
    <row r="360" spans="2:16" s="1843" customFormat="1">
      <c r="B360" s="1838">
        <f t="shared" si="18"/>
        <v>357</v>
      </c>
      <c r="C360" s="1838" t="s">
        <v>511</v>
      </c>
      <c r="D360" s="1838" t="s">
        <v>3162</v>
      </c>
      <c r="E360" s="1838" t="s">
        <v>3529</v>
      </c>
      <c r="F360" s="1839">
        <v>45344</v>
      </c>
      <c r="G360" s="1840">
        <v>61336</v>
      </c>
      <c r="H360" s="1841">
        <f t="shared" si="16"/>
        <v>38</v>
      </c>
      <c r="I360" s="1838">
        <f t="shared" si="17"/>
        <v>61336</v>
      </c>
      <c r="J360" s="1838">
        <v>0</v>
      </c>
      <c r="K360" s="1838">
        <v>0</v>
      </c>
      <c r="L360" s="1838">
        <v>0</v>
      </c>
      <c r="M360" s="1838">
        <v>0</v>
      </c>
      <c r="N360" s="1838" t="s">
        <v>3492</v>
      </c>
      <c r="O360" s="1838" t="s">
        <v>3489</v>
      </c>
      <c r="P360" s="1838"/>
    </row>
    <row r="361" spans="2:16" s="1843" customFormat="1">
      <c r="B361" s="1838">
        <f t="shared" si="18"/>
        <v>358</v>
      </c>
      <c r="C361" s="1838" t="s">
        <v>511</v>
      </c>
      <c r="D361" s="1838" t="s">
        <v>3162</v>
      </c>
      <c r="E361" s="1838" t="s">
        <v>3530</v>
      </c>
      <c r="F361" s="1839">
        <v>45344</v>
      </c>
      <c r="G361" s="1840">
        <v>38218</v>
      </c>
      <c r="H361" s="1841">
        <f t="shared" si="16"/>
        <v>38</v>
      </c>
      <c r="I361" s="1838">
        <f t="shared" si="17"/>
        <v>38218</v>
      </c>
      <c r="J361" s="1838">
        <v>0</v>
      </c>
      <c r="K361" s="1838">
        <v>0</v>
      </c>
      <c r="L361" s="1838">
        <v>0</v>
      </c>
      <c r="M361" s="1838">
        <v>0</v>
      </c>
      <c r="N361" s="1838" t="s">
        <v>3492</v>
      </c>
      <c r="O361" s="1838" t="s">
        <v>3489</v>
      </c>
      <c r="P361" s="1838"/>
    </row>
    <row r="362" spans="2:16" s="1843" customFormat="1">
      <c r="B362" s="1838">
        <f t="shared" si="18"/>
        <v>359</v>
      </c>
      <c r="C362" s="1838" t="s">
        <v>511</v>
      </c>
      <c r="D362" s="1838" t="s">
        <v>3162</v>
      </c>
      <c r="E362" s="1838" t="s">
        <v>3531</v>
      </c>
      <c r="F362" s="1839">
        <v>45345</v>
      </c>
      <c r="G362" s="1840">
        <v>47898</v>
      </c>
      <c r="H362" s="1841">
        <f t="shared" si="16"/>
        <v>37</v>
      </c>
      <c r="I362" s="1838">
        <f t="shared" si="17"/>
        <v>47898</v>
      </c>
      <c r="J362" s="1838">
        <v>0</v>
      </c>
      <c r="K362" s="1838">
        <v>0</v>
      </c>
      <c r="L362" s="1838">
        <v>0</v>
      </c>
      <c r="M362" s="1838">
        <v>0</v>
      </c>
      <c r="N362" s="1838" t="s">
        <v>3492</v>
      </c>
      <c r="O362" s="1838" t="s">
        <v>3489</v>
      </c>
      <c r="P362" s="1838"/>
    </row>
    <row r="363" spans="2:16" s="1843" customFormat="1">
      <c r="B363" s="1838">
        <f t="shared" si="18"/>
        <v>360</v>
      </c>
      <c r="C363" s="1838" t="s">
        <v>511</v>
      </c>
      <c r="D363" s="1838" t="s">
        <v>3162</v>
      </c>
      <c r="E363" s="1838" t="s">
        <v>3532</v>
      </c>
      <c r="F363" s="1839">
        <v>45346</v>
      </c>
      <c r="G363" s="1840">
        <v>50150</v>
      </c>
      <c r="H363" s="1841">
        <f t="shared" si="16"/>
        <v>36</v>
      </c>
      <c r="I363" s="1838">
        <f t="shared" si="17"/>
        <v>50150</v>
      </c>
      <c r="J363" s="1838">
        <v>0</v>
      </c>
      <c r="K363" s="1838">
        <v>0</v>
      </c>
      <c r="L363" s="1838">
        <v>0</v>
      </c>
      <c r="M363" s="1838">
        <v>0</v>
      </c>
      <c r="N363" s="1838" t="s">
        <v>3492</v>
      </c>
      <c r="O363" s="1838" t="s">
        <v>3489</v>
      </c>
      <c r="P363" s="1838"/>
    </row>
    <row r="364" spans="2:16" s="1843" customFormat="1">
      <c r="B364" s="1838">
        <f t="shared" si="18"/>
        <v>361</v>
      </c>
      <c r="C364" s="1838" t="s">
        <v>511</v>
      </c>
      <c r="D364" s="1838" t="s">
        <v>3162</v>
      </c>
      <c r="E364" s="1838" t="s">
        <v>3533</v>
      </c>
      <c r="F364" s="1839">
        <v>45349</v>
      </c>
      <c r="G364" s="1840">
        <v>44479</v>
      </c>
      <c r="H364" s="1841">
        <f t="shared" si="16"/>
        <v>33</v>
      </c>
      <c r="I364" s="1838">
        <f t="shared" si="17"/>
        <v>44479</v>
      </c>
      <c r="J364" s="1838">
        <v>0</v>
      </c>
      <c r="K364" s="1838">
        <v>0</v>
      </c>
      <c r="L364" s="1838">
        <v>0</v>
      </c>
      <c r="M364" s="1838">
        <v>0</v>
      </c>
      <c r="N364" s="1838" t="s">
        <v>3492</v>
      </c>
      <c r="O364" s="1838" t="s">
        <v>3489</v>
      </c>
      <c r="P364" s="1838"/>
    </row>
    <row r="365" spans="2:16" s="1843" customFormat="1">
      <c r="B365" s="1838">
        <f t="shared" si="18"/>
        <v>362</v>
      </c>
      <c r="C365" s="1838" t="s">
        <v>511</v>
      </c>
      <c r="D365" s="1838" t="s">
        <v>3162</v>
      </c>
      <c r="E365" s="1838" t="s">
        <v>3534</v>
      </c>
      <c r="F365" s="1839">
        <v>45349</v>
      </c>
      <c r="G365" s="1840">
        <v>54279</v>
      </c>
      <c r="H365" s="1841">
        <f t="shared" si="16"/>
        <v>33</v>
      </c>
      <c r="I365" s="1838">
        <f t="shared" si="17"/>
        <v>54279</v>
      </c>
      <c r="J365" s="1838">
        <v>0</v>
      </c>
      <c r="K365" s="1838">
        <v>0</v>
      </c>
      <c r="L365" s="1838">
        <v>0</v>
      </c>
      <c r="M365" s="1838">
        <v>0</v>
      </c>
      <c r="N365" s="1838" t="s">
        <v>3492</v>
      </c>
      <c r="O365" s="1838" t="s">
        <v>3489</v>
      </c>
      <c r="P365" s="1838"/>
    </row>
    <row r="366" spans="2:16" s="1843" customFormat="1">
      <c r="B366" s="1838">
        <f t="shared" si="18"/>
        <v>363</v>
      </c>
      <c r="C366" s="1838" t="s">
        <v>511</v>
      </c>
      <c r="D366" s="1838" t="s">
        <v>3162</v>
      </c>
      <c r="E366" s="1838" t="s">
        <v>3535</v>
      </c>
      <c r="F366" s="1839">
        <v>45350</v>
      </c>
      <c r="G366" s="1840">
        <v>40165</v>
      </c>
      <c r="H366" s="1841">
        <f t="shared" si="16"/>
        <v>32</v>
      </c>
      <c r="I366" s="1838">
        <f t="shared" si="17"/>
        <v>40165</v>
      </c>
      <c r="J366" s="1838">
        <v>0</v>
      </c>
      <c r="K366" s="1838">
        <v>0</v>
      </c>
      <c r="L366" s="1838">
        <v>0</v>
      </c>
      <c r="M366" s="1838">
        <v>0</v>
      </c>
      <c r="N366" s="1838" t="s">
        <v>3492</v>
      </c>
      <c r="O366" s="1838" t="s">
        <v>3489</v>
      </c>
      <c r="P366" s="1838"/>
    </row>
    <row r="367" spans="2:16" s="1843" customFormat="1">
      <c r="B367" s="1838">
        <f t="shared" si="18"/>
        <v>364</v>
      </c>
      <c r="C367" s="1838" t="s">
        <v>511</v>
      </c>
      <c r="D367" s="1838" t="s">
        <v>3162</v>
      </c>
      <c r="E367" s="1838" t="s">
        <v>3536</v>
      </c>
      <c r="F367" s="1839">
        <v>45351</v>
      </c>
      <c r="G367" s="1840">
        <v>46321</v>
      </c>
      <c r="H367" s="1841">
        <f t="shared" si="16"/>
        <v>31</v>
      </c>
      <c r="I367" s="1838">
        <f t="shared" si="17"/>
        <v>46321</v>
      </c>
      <c r="J367" s="1838">
        <v>0</v>
      </c>
      <c r="K367" s="1838">
        <v>0</v>
      </c>
      <c r="L367" s="1838">
        <v>0</v>
      </c>
      <c r="M367" s="1838">
        <v>0</v>
      </c>
      <c r="N367" s="1838" t="s">
        <v>3492</v>
      </c>
      <c r="O367" s="1838" t="s">
        <v>3489</v>
      </c>
      <c r="P367" s="1838"/>
    </row>
    <row r="368" spans="2:16" s="1843" customFormat="1">
      <c r="B368" s="1838">
        <f t="shared" si="18"/>
        <v>365</v>
      </c>
      <c r="C368" s="1838" t="s">
        <v>511</v>
      </c>
      <c r="D368" s="1838" t="s">
        <v>3162</v>
      </c>
      <c r="E368" s="1838" t="s">
        <v>3319</v>
      </c>
      <c r="F368" s="1839">
        <v>45351</v>
      </c>
      <c r="G368" s="1840">
        <v>-3240</v>
      </c>
      <c r="H368" s="1841">
        <f t="shared" si="16"/>
        <v>31</v>
      </c>
      <c r="I368" s="1838">
        <f t="shared" si="17"/>
        <v>-3240</v>
      </c>
      <c r="J368" s="1838">
        <v>0</v>
      </c>
      <c r="K368" s="1838">
        <v>0</v>
      </c>
      <c r="L368" s="1838">
        <v>0</v>
      </c>
      <c r="M368" s="1838">
        <v>0</v>
      </c>
      <c r="N368" s="1838" t="s">
        <v>3492</v>
      </c>
      <c r="O368" s="1838" t="s">
        <v>3489</v>
      </c>
      <c r="P368" s="1838"/>
    </row>
    <row r="369" spans="2:16" s="1843" customFormat="1">
      <c r="B369" s="1838">
        <f t="shared" si="18"/>
        <v>366</v>
      </c>
      <c r="C369" s="1838" t="s">
        <v>511</v>
      </c>
      <c r="D369" s="1838" t="s">
        <v>3162</v>
      </c>
      <c r="E369" s="1838" t="s">
        <v>3537</v>
      </c>
      <c r="F369" s="1839">
        <v>45352</v>
      </c>
      <c r="G369" s="1840">
        <v>39591</v>
      </c>
      <c r="H369" s="1841">
        <f t="shared" si="16"/>
        <v>30</v>
      </c>
      <c r="I369" s="1838">
        <f t="shared" si="17"/>
        <v>39591</v>
      </c>
      <c r="J369" s="1838">
        <v>0</v>
      </c>
      <c r="K369" s="1838">
        <v>0</v>
      </c>
      <c r="L369" s="1838">
        <v>0</v>
      </c>
      <c r="M369" s="1838">
        <v>0</v>
      </c>
      <c r="N369" s="1838" t="s">
        <v>3492</v>
      </c>
      <c r="O369" s="1838" t="s">
        <v>3489</v>
      </c>
      <c r="P369" s="1838"/>
    </row>
    <row r="370" spans="2:16" s="1843" customFormat="1">
      <c r="B370" s="1838">
        <f t="shared" si="18"/>
        <v>367</v>
      </c>
      <c r="C370" s="1838" t="s">
        <v>511</v>
      </c>
      <c r="D370" s="1838" t="s">
        <v>3162</v>
      </c>
      <c r="E370" s="1838" t="s">
        <v>3538</v>
      </c>
      <c r="F370" s="1839">
        <v>45352</v>
      </c>
      <c r="G370" s="1840">
        <v>80631</v>
      </c>
      <c r="H370" s="1841">
        <f t="shared" si="16"/>
        <v>30</v>
      </c>
      <c r="I370" s="1838">
        <f t="shared" si="17"/>
        <v>80631</v>
      </c>
      <c r="J370" s="1838">
        <v>0</v>
      </c>
      <c r="K370" s="1838">
        <v>0</v>
      </c>
      <c r="L370" s="1838">
        <v>0</v>
      </c>
      <c r="M370" s="1838">
        <v>0</v>
      </c>
      <c r="N370" s="1838" t="s">
        <v>3492</v>
      </c>
      <c r="O370" s="1838" t="s">
        <v>3489</v>
      </c>
      <c r="P370" s="1838"/>
    </row>
    <row r="371" spans="2:16" s="1843" customFormat="1">
      <c r="B371" s="1838">
        <f t="shared" si="18"/>
        <v>368</v>
      </c>
      <c r="C371" s="1838" t="s">
        <v>511</v>
      </c>
      <c r="D371" s="1838" t="s">
        <v>3162</v>
      </c>
      <c r="E371" s="1838" t="s">
        <v>3539</v>
      </c>
      <c r="F371" s="1839">
        <v>45353</v>
      </c>
      <c r="G371" s="1840">
        <v>84970</v>
      </c>
      <c r="H371" s="1841">
        <f t="shared" si="16"/>
        <v>29</v>
      </c>
      <c r="I371" s="1838">
        <f t="shared" si="17"/>
        <v>84970</v>
      </c>
      <c r="J371" s="1838">
        <v>0</v>
      </c>
      <c r="K371" s="1838">
        <v>0</v>
      </c>
      <c r="L371" s="1838">
        <v>0</v>
      </c>
      <c r="M371" s="1838">
        <v>0</v>
      </c>
      <c r="N371" s="1838" t="s">
        <v>3492</v>
      </c>
      <c r="O371" s="1838" t="s">
        <v>3489</v>
      </c>
      <c r="P371" s="1838"/>
    </row>
    <row r="372" spans="2:16" s="1843" customFormat="1">
      <c r="B372" s="1838">
        <f t="shared" si="18"/>
        <v>369</v>
      </c>
      <c r="C372" s="1838" t="s">
        <v>511</v>
      </c>
      <c r="D372" s="1838" t="s">
        <v>3162</v>
      </c>
      <c r="E372" s="1838" t="s">
        <v>3172</v>
      </c>
      <c r="F372" s="1839">
        <v>45354</v>
      </c>
      <c r="G372" s="1840">
        <v>44652</v>
      </c>
      <c r="H372" s="1841">
        <f t="shared" si="16"/>
        <v>28</v>
      </c>
      <c r="I372" s="1838">
        <f t="shared" si="17"/>
        <v>44652</v>
      </c>
      <c r="J372" s="1838">
        <v>0</v>
      </c>
      <c r="K372" s="1838">
        <v>0</v>
      </c>
      <c r="L372" s="1838">
        <v>0</v>
      </c>
      <c r="M372" s="1838">
        <v>0</v>
      </c>
      <c r="N372" s="1838" t="s">
        <v>3492</v>
      </c>
      <c r="O372" s="1838" t="s">
        <v>3489</v>
      </c>
      <c r="P372" s="1838"/>
    </row>
    <row r="373" spans="2:16" s="1843" customFormat="1">
      <c r="B373" s="1838">
        <f t="shared" si="18"/>
        <v>370</v>
      </c>
      <c r="C373" s="1838" t="s">
        <v>511</v>
      </c>
      <c r="D373" s="1838" t="s">
        <v>3162</v>
      </c>
      <c r="E373" s="1838" t="s">
        <v>3540</v>
      </c>
      <c r="F373" s="1839">
        <v>45354</v>
      </c>
      <c r="G373" s="1840">
        <v>48620</v>
      </c>
      <c r="H373" s="1841">
        <f t="shared" si="16"/>
        <v>28</v>
      </c>
      <c r="I373" s="1838">
        <f t="shared" si="17"/>
        <v>48620</v>
      </c>
      <c r="J373" s="1838">
        <v>0</v>
      </c>
      <c r="K373" s="1838">
        <v>0</v>
      </c>
      <c r="L373" s="1838">
        <v>0</v>
      </c>
      <c r="M373" s="1838">
        <v>0</v>
      </c>
      <c r="N373" s="1838" t="s">
        <v>3492</v>
      </c>
      <c r="O373" s="1838" t="s">
        <v>3489</v>
      </c>
      <c r="P373" s="1838"/>
    </row>
    <row r="374" spans="2:16" s="1843" customFormat="1">
      <c r="B374" s="1838">
        <f t="shared" si="18"/>
        <v>371</v>
      </c>
      <c r="C374" s="1838" t="s">
        <v>511</v>
      </c>
      <c r="D374" s="1838" t="s">
        <v>3162</v>
      </c>
      <c r="E374" s="1838" t="s">
        <v>3541</v>
      </c>
      <c r="F374" s="1839">
        <v>45354</v>
      </c>
      <c r="G374" s="1840">
        <v>33661</v>
      </c>
      <c r="H374" s="1841">
        <f t="shared" si="16"/>
        <v>28</v>
      </c>
      <c r="I374" s="1838">
        <f t="shared" si="17"/>
        <v>33661</v>
      </c>
      <c r="J374" s="1838">
        <v>0</v>
      </c>
      <c r="K374" s="1838">
        <v>0</v>
      </c>
      <c r="L374" s="1838">
        <v>0</v>
      </c>
      <c r="M374" s="1838">
        <v>0</v>
      </c>
      <c r="N374" s="1838" t="s">
        <v>3492</v>
      </c>
      <c r="O374" s="1838" t="s">
        <v>3489</v>
      </c>
      <c r="P374" s="1838"/>
    </row>
    <row r="375" spans="2:16" s="1843" customFormat="1">
      <c r="B375" s="1838">
        <f t="shared" si="18"/>
        <v>372</v>
      </c>
      <c r="C375" s="1838" t="s">
        <v>511</v>
      </c>
      <c r="D375" s="1838" t="s">
        <v>3162</v>
      </c>
      <c r="E375" s="1838" t="s">
        <v>3542</v>
      </c>
      <c r="F375" s="1839">
        <v>45354</v>
      </c>
      <c r="G375" s="1840">
        <v>83966</v>
      </c>
      <c r="H375" s="1841">
        <f t="shared" si="16"/>
        <v>28</v>
      </c>
      <c r="I375" s="1838">
        <f t="shared" si="17"/>
        <v>83966</v>
      </c>
      <c r="J375" s="1838">
        <v>0</v>
      </c>
      <c r="K375" s="1838">
        <v>0</v>
      </c>
      <c r="L375" s="1838">
        <v>0</v>
      </c>
      <c r="M375" s="1838">
        <v>0</v>
      </c>
      <c r="N375" s="1838" t="s">
        <v>3492</v>
      </c>
      <c r="O375" s="1838" t="s">
        <v>3489</v>
      </c>
      <c r="P375" s="1838"/>
    </row>
    <row r="376" spans="2:16" s="1843" customFormat="1">
      <c r="B376" s="1838">
        <f t="shared" si="18"/>
        <v>373</v>
      </c>
      <c r="C376" s="1838" t="s">
        <v>511</v>
      </c>
      <c r="D376" s="1838" t="s">
        <v>3162</v>
      </c>
      <c r="E376" s="1838" t="s">
        <v>3543</v>
      </c>
      <c r="F376" s="1839">
        <v>45355</v>
      </c>
      <c r="G376" s="1840">
        <v>43218</v>
      </c>
      <c r="H376" s="1841">
        <f t="shared" si="16"/>
        <v>27</v>
      </c>
      <c r="I376" s="1838">
        <f t="shared" si="17"/>
        <v>43218</v>
      </c>
      <c r="J376" s="1838">
        <v>0</v>
      </c>
      <c r="K376" s="1838">
        <v>0</v>
      </c>
      <c r="L376" s="1838">
        <v>0</v>
      </c>
      <c r="M376" s="1838">
        <v>0</v>
      </c>
      <c r="N376" s="1838" t="s">
        <v>3492</v>
      </c>
      <c r="O376" s="1838" t="s">
        <v>3489</v>
      </c>
      <c r="P376" s="1838"/>
    </row>
    <row r="377" spans="2:16" s="1843" customFormat="1">
      <c r="B377" s="1838">
        <f t="shared" si="18"/>
        <v>374</v>
      </c>
      <c r="C377" s="1838" t="s">
        <v>511</v>
      </c>
      <c r="D377" s="1838" t="s">
        <v>3162</v>
      </c>
      <c r="E377" s="1838" t="s">
        <v>3544</v>
      </c>
      <c r="F377" s="1839">
        <v>45355</v>
      </c>
      <c r="G377" s="1840">
        <v>51090</v>
      </c>
      <c r="H377" s="1841">
        <f t="shared" si="16"/>
        <v>27</v>
      </c>
      <c r="I377" s="1838">
        <f t="shared" si="17"/>
        <v>51090</v>
      </c>
      <c r="J377" s="1838">
        <v>0</v>
      </c>
      <c r="K377" s="1838">
        <v>0</v>
      </c>
      <c r="L377" s="1838">
        <v>0</v>
      </c>
      <c r="M377" s="1838">
        <v>0</v>
      </c>
      <c r="N377" s="1838" t="s">
        <v>3492</v>
      </c>
      <c r="O377" s="1838" t="s">
        <v>3489</v>
      </c>
      <c r="P377" s="1838"/>
    </row>
    <row r="378" spans="2:16" s="1843" customFormat="1">
      <c r="B378" s="1838">
        <f t="shared" si="18"/>
        <v>375</v>
      </c>
      <c r="C378" s="1838" t="s">
        <v>511</v>
      </c>
      <c r="D378" s="1838" t="s">
        <v>3162</v>
      </c>
      <c r="E378" s="1838" t="s">
        <v>3545</v>
      </c>
      <c r="F378" s="1839">
        <v>45355</v>
      </c>
      <c r="G378" s="1840">
        <v>70924</v>
      </c>
      <c r="H378" s="1841">
        <f t="shared" si="16"/>
        <v>27</v>
      </c>
      <c r="I378" s="1838">
        <f t="shared" si="17"/>
        <v>70924</v>
      </c>
      <c r="J378" s="1838">
        <v>0</v>
      </c>
      <c r="K378" s="1838">
        <v>0</v>
      </c>
      <c r="L378" s="1838">
        <v>0</v>
      </c>
      <c r="M378" s="1838">
        <v>0</v>
      </c>
      <c r="N378" s="1838" t="s">
        <v>3492</v>
      </c>
      <c r="O378" s="1838" t="s">
        <v>3489</v>
      </c>
      <c r="P378" s="1838"/>
    </row>
    <row r="379" spans="2:16" s="1843" customFormat="1">
      <c r="B379" s="1838">
        <f t="shared" si="18"/>
        <v>376</v>
      </c>
      <c r="C379" s="1838" t="s">
        <v>511</v>
      </c>
      <c r="D379" s="1838" t="s">
        <v>3162</v>
      </c>
      <c r="E379" s="1838" t="s">
        <v>3546</v>
      </c>
      <c r="F379" s="1839">
        <v>45356</v>
      </c>
      <c r="G379" s="1840">
        <v>58885</v>
      </c>
      <c r="H379" s="1841">
        <f t="shared" si="16"/>
        <v>26</v>
      </c>
      <c r="I379" s="1838">
        <f t="shared" si="17"/>
        <v>58885</v>
      </c>
      <c r="J379" s="1838">
        <v>0</v>
      </c>
      <c r="K379" s="1838">
        <v>0</v>
      </c>
      <c r="L379" s="1838">
        <v>0</v>
      </c>
      <c r="M379" s="1838">
        <v>0</v>
      </c>
      <c r="N379" s="1838" t="s">
        <v>3492</v>
      </c>
      <c r="O379" s="1838" t="s">
        <v>3489</v>
      </c>
      <c r="P379" s="1838"/>
    </row>
    <row r="380" spans="2:16" s="1843" customFormat="1">
      <c r="B380" s="1838">
        <f t="shared" si="18"/>
        <v>377</v>
      </c>
      <c r="C380" s="1838" t="s">
        <v>511</v>
      </c>
      <c r="D380" s="1838" t="s">
        <v>3162</v>
      </c>
      <c r="E380" s="1838" t="s">
        <v>3547</v>
      </c>
      <c r="F380" s="1839">
        <v>45357</v>
      </c>
      <c r="G380" s="1840">
        <v>70075</v>
      </c>
      <c r="H380" s="1841">
        <f t="shared" si="16"/>
        <v>25</v>
      </c>
      <c r="I380" s="1838">
        <f t="shared" si="17"/>
        <v>70075</v>
      </c>
      <c r="J380" s="1838">
        <v>0</v>
      </c>
      <c r="K380" s="1838">
        <v>0</v>
      </c>
      <c r="L380" s="1838">
        <v>0</v>
      </c>
      <c r="M380" s="1838">
        <v>0</v>
      </c>
      <c r="N380" s="1838" t="s">
        <v>3492</v>
      </c>
      <c r="O380" s="1838" t="s">
        <v>3489</v>
      </c>
      <c r="P380" s="1838"/>
    </row>
    <row r="381" spans="2:16" s="1843" customFormat="1">
      <c r="B381" s="1838">
        <f t="shared" si="18"/>
        <v>378</v>
      </c>
      <c r="C381" s="1838" t="s">
        <v>511</v>
      </c>
      <c r="D381" s="1838" t="s">
        <v>3162</v>
      </c>
      <c r="E381" s="1838" t="s">
        <v>3548</v>
      </c>
      <c r="F381" s="1839">
        <v>45358</v>
      </c>
      <c r="G381" s="1840">
        <v>41717</v>
      </c>
      <c r="H381" s="1841">
        <f t="shared" si="16"/>
        <v>24</v>
      </c>
      <c r="I381" s="1838">
        <f t="shared" si="17"/>
        <v>41717</v>
      </c>
      <c r="J381" s="1838">
        <v>0</v>
      </c>
      <c r="K381" s="1838">
        <v>0</v>
      </c>
      <c r="L381" s="1838">
        <v>0</v>
      </c>
      <c r="M381" s="1838">
        <v>0</v>
      </c>
      <c r="N381" s="1838" t="s">
        <v>3492</v>
      </c>
      <c r="O381" s="1838" t="s">
        <v>3489</v>
      </c>
      <c r="P381" s="1838"/>
    </row>
    <row r="382" spans="2:16" s="1843" customFormat="1">
      <c r="B382" s="1838">
        <f t="shared" si="18"/>
        <v>379</v>
      </c>
      <c r="C382" s="1838" t="s">
        <v>511</v>
      </c>
      <c r="D382" s="1838" t="s">
        <v>3162</v>
      </c>
      <c r="E382" s="1838" t="s">
        <v>3549</v>
      </c>
      <c r="F382" s="1839">
        <v>45358</v>
      </c>
      <c r="G382" s="1840">
        <v>41366</v>
      </c>
      <c r="H382" s="1841">
        <f t="shared" si="16"/>
        <v>24</v>
      </c>
      <c r="I382" s="1838">
        <f t="shared" si="17"/>
        <v>41366</v>
      </c>
      <c r="J382" s="1838">
        <v>0</v>
      </c>
      <c r="K382" s="1838">
        <v>0</v>
      </c>
      <c r="L382" s="1838">
        <v>0</v>
      </c>
      <c r="M382" s="1838">
        <v>0</v>
      </c>
      <c r="N382" s="1838" t="s">
        <v>3492</v>
      </c>
      <c r="O382" s="1838" t="s">
        <v>3489</v>
      </c>
      <c r="P382" s="1838"/>
    </row>
    <row r="383" spans="2:16" s="1843" customFormat="1">
      <c r="B383" s="1838">
        <f t="shared" si="18"/>
        <v>380</v>
      </c>
      <c r="C383" s="1838" t="s">
        <v>511</v>
      </c>
      <c r="D383" s="1838" t="s">
        <v>3162</v>
      </c>
      <c r="E383" s="1838" t="s">
        <v>3550</v>
      </c>
      <c r="F383" s="1839">
        <v>45359</v>
      </c>
      <c r="G383" s="1840">
        <v>38973</v>
      </c>
      <c r="H383" s="1841">
        <f t="shared" si="16"/>
        <v>23</v>
      </c>
      <c r="I383" s="1838">
        <f t="shared" si="17"/>
        <v>38973</v>
      </c>
      <c r="J383" s="1838">
        <v>0</v>
      </c>
      <c r="K383" s="1838">
        <v>0</v>
      </c>
      <c r="L383" s="1838">
        <v>0</v>
      </c>
      <c r="M383" s="1838">
        <v>0</v>
      </c>
      <c r="N383" s="1838" t="s">
        <v>3492</v>
      </c>
      <c r="O383" s="1838" t="s">
        <v>3489</v>
      </c>
      <c r="P383" s="1838"/>
    </row>
    <row r="384" spans="2:16" s="1843" customFormat="1">
      <c r="B384" s="1838">
        <f t="shared" si="18"/>
        <v>381</v>
      </c>
      <c r="C384" s="1838" t="s">
        <v>511</v>
      </c>
      <c r="D384" s="1838" t="s">
        <v>3162</v>
      </c>
      <c r="E384" s="1838" t="s">
        <v>3551</v>
      </c>
      <c r="F384" s="1839">
        <v>45359</v>
      </c>
      <c r="G384" s="1840">
        <v>32336</v>
      </c>
      <c r="H384" s="1841">
        <f t="shared" si="16"/>
        <v>23</v>
      </c>
      <c r="I384" s="1838">
        <f t="shared" si="17"/>
        <v>32336</v>
      </c>
      <c r="J384" s="1838">
        <v>0</v>
      </c>
      <c r="K384" s="1838">
        <v>0</v>
      </c>
      <c r="L384" s="1838">
        <v>0</v>
      </c>
      <c r="M384" s="1838">
        <v>0</v>
      </c>
      <c r="N384" s="1838" t="s">
        <v>3492</v>
      </c>
      <c r="O384" s="1838" t="s">
        <v>3489</v>
      </c>
      <c r="P384" s="1838"/>
    </row>
    <row r="385" spans="2:16" s="1843" customFormat="1">
      <c r="B385" s="1838">
        <f t="shared" si="18"/>
        <v>382</v>
      </c>
      <c r="C385" s="1838" t="s">
        <v>511</v>
      </c>
      <c r="D385" s="1838" t="s">
        <v>3162</v>
      </c>
      <c r="E385" s="1838" t="s">
        <v>3552</v>
      </c>
      <c r="F385" s="1839">
        <v>45360</v>
      </c>
      <c r="G385" s="1840">
        <v>78641</v>
      </c>
      <c r="H385" s="1841">
        <f t="shared" si="16"/>
        <v>22</v>
      </c>
      <c r="I385" s="1838">
        <f t="shared" si="17"/>
        <v>78641</v>
      </c>
      <c r="J385" s="1838">
        <v>0</v>
      </c>
      <c r="K385" s="1838">
        <v>0</v>
      </c>
      <c r="L385" s="1838">
        <v>0</v>
      </c>
      <c r="M385" s="1838">
        <v>0</v>
      </c>
      <c r="N385" s="1838" t="s">
        <v>3492</v>
      </c>
      <c r="O385" s="1838" t="s">
        <v>3489</v>
      </c>
      <c r="P385" s="1838"/>
    </row>
    <row r="386" spans="2:16" s="1843" customFormat="1">
      <c r="B386" s="1838">
        <f t="shared" si="18"/>
        <v>383</v>
      </c>
      <c r="C386" s="1838" t="s">
        <v>511</v>
      </c>
      <c r="D386" s="1838" t="s">
        <v>3162</v>
      </c>
      <c r="E386" s="1838" t="s">
        <v>3553</v>
      </c>
      <c r="F386" s="1839">
        <v>45360</v>
      </c>
      <c r="G386" s="1840">
        <v>42903</v>
      </c>
      <c r="H386" s="1841">
        <f t="shared" si="16"/>
        <v>22</v>
      </c>
      <c r="I386" s="1838">
        <f t="shared" si="17"/>
        <v>42903</v>
      </c>
      <c r="J386" s="1838">
        <v>0</v>
      </c>
      <c r="K386" s="1838">
        <v>0</v>
      </c>
      <c r="L386" s="1838">
        <v>0</v>
      </c>
      <c r="M386" s="1838">
        <v>0</v>
      </c>
      <c r="N386" s="1838" t="s">
        <v>3492</v>
      </c>
      <c r="O386" s="1838" t="s">
        <v>3489</v>
      </c>
      <c r="P386" s="1838"/>
    </row>
    <row r="387" spans="2:16" s="1843" customFormat="1">
      <c r="B387" s="1838">
        <f t="shared" si="18"/>
        <v>384</v>
      </c>
      <c r="C387" s="1838" t="s">
        <v>511</v>
      </c>
      <c r="D387" s="1838" t="s">
        <v>3162</v>
      </c>
      <c r="E387" s="1838" t="s">
        <v>3554</v>
      </c>
      <c r="F387" s="1839">
        <v>45360</v>
      </c>
      <c r="G387" s="1840">
        <v>58962</v>
      </c>
      <c r="H387" s="1841">
        <f t="shared" si="16"/>
        <v>22</v>
      </c>
      <c r="I387" s="1838">
        <f t="shared" si="17"/>
        <v>58962</v>
      </c>
      <c r="J387" s="1838">
        <v>0</v>
      </c>
      <c r="K387" s="1838">
        <v>0</v>
      </c>
      <c r="L387" s="1838">
        <v>0</v>
      </c>
      <c r="M387" s="1838">
        <v>0</v>
      </c>
      <c r="N387" s="1838" t="s">
        <v>3492</v>
      </c>
      <c r="O387" s="1838" t="s">
        <v>3489</v>
      </c>
      <c r="P387" s="1838"/>
    </row>
    <row r="388" spans="2:16" s="1843" customFormat="1">
      <c r="B388" s="1838">
        <f t="shared" si="18"/>
        <v>385</v>
      </c>
      <c r="C388" s="1838" t="s">
        <v>511</v>
      </c>
      <c r="D388" s="1838" t="s">
        <v>3162</v>
      </c>
      <c r="E388" s="1838" t="s">
        <v>3555</v>
      </c>
      <c r="F388" s="1839">
        <v>45361</v>
      </c>
      <c r="G388" s="1840">
        <v>51003</v>
      </c>
      <c r="H388" s="1841">
        <f t="shared" si="16"/>
        <v>21</v>
      </c>
      <c r="I388" s="1838">
        <f t="shared" si="17"/>
        <v>51003</v>
      </c>
      <c r="J388" s="1838">
        <v>0</v>
      </c>
      <c r="K388" s="1838">
        <v>0</v>
      </c>
      <c r="L388" s="1838">
        <v>0</v>
      </c>
      <c r="M388" s="1838">
        <v>0</v>
      </c>
      <c r="N388" s="1838" t="s">
        <v>3492</v>
      </c>
      <c r="O388" s="1838" t="s">
        <v>3489</v>
      </c>
      <c r="P388" s="1838"/>
    </row>
    <row r="389" spans="2:16" s="1843" customFormat="1">
      <c r="B389" s="1838">
        <f t="shared" si="18"/>
        <v>386</v>
      </c>
      <c r="C389" s="1838" t="s">
        <v>511</v>
      </c>
      <c r="D389" s="1838" t="s">
        <v>3162</v>
      </c>
      <c r="E389" s="1838" t="s">
        <v>3556</v>
      </c>
      <c r="F389" s="1839">
        <v>45361</v>
      </c>
      <c r="G389" s="1840">
        <v>40501</v>
      </c>
      <c r="H389" s="1841">
        <f t="shared" ref="H389:H452" si="19">+$H$2-F389</f>
        <v>21</v>
      </c>
      <c r="I389" s="1838">
        <f t="shared" ref="I389:I452" si="20">+G389</f>
        <v>40501</v>
      </c>
      <c r="J389" s="1838">
        <v>0</v>
      </c>
      <c r="K389" s="1838">
        <v>0</v>
      </c>
      <c r="L389" s="1838">
        <v>0</v>
      </c>
      <c r="M389" s="1838">
        <v>0</v>
      </c>
      <c r="N389" s="1838" t="s">
        <v>3492</v>
      </c>
      <c r="O389" s="1838" t="s">
        <v>3489</v>
      </c>
      <c r="P389" s="1838"/>
    </row>
    <row r="390" spans="2:16" s="1843" customFormat="1">
      <c r="B390" s="1838">
        <f t="shared" ref="B390:B453" si="21">+B389+1</f>
        <v>387</v>
      </c>
      <c r="C390" s="1838" t="s">
        <v>511</v>
      </c>
      <c r="D390" s="1838" t="s">
        <v>3162</v>
      </c>
      <c r="E390" s="1838" t="s">
        <v>3557</v>
      </c>
      <c r="F390" s="1839">
        <v>45361</v>
      </c>
      <c r="G390" s="1840">
        <v>29920</v>
      </c>
      <c r="H390" s="1841">
        <f t="shared" si="19"/>
        <v>21</v>
      </c>
      <c r="I390" s="1838">
        <f t="shared" si="20"/>
        <v>29920</v>
      </c>
      <c r="J390" s="1838">
        <v>0</v>
      </c>
      <c r="K390" s="1838">
        <v>0</v>
      </c>
      <c r="L390" s="1838">
        <v>0</v>
      </c>
      <c r="M390" s="1838">
        <v>0</v>
      </c>
      <c r="N390" s="1838" t="s">
        <v>3492</v>
      </c>
      <c r="O390" s="1838" t="s">
        <v>3489</v>
      </c>
      <c r="P390" s="1838"/>
    </row>
    <row r="391" spans="2:16" s="1843" customFormat="1">
      <c r="B391" s="1838">
        <f t="shared" si="21"/>
        <v>388</v>
      </c>
      <c r="C391" s="1838" t="s">
        <v>511</v>
      </c>
      <c r="D391" s="1838" t="s">
        <v>3162</v>
      </c>
      <c r="E391" s="1838" t="s">
        <v>3558</v>
      </c>
      <c r="F391" s="1839">
        <v>45361</v>
      </c>
      <c r="G391" s="1840">
        <v>49204</v>
      </c>
      <c r="H391" s="1841">
        <f t="shared" si="19"/>
        <v>21</v>
      </c>
      <c r="I391" s="1838">
        <f t="shared" si="20"/>
        <v>49204</v>
      </c>
      <c r="J391" s="1838">
        <v>0</v>
      </c>
      <c r="K391" s="1838">
        <v>0</v>
      </c>
      <c r="L391" s="1838">
        <v>0</v>
      </c>
      <c r="M391" s="1838">
        <v>0</v>
      </c>
      <c r="N391" s="1838" t="s">
        <v>3492</v>
      </c>
      <c r="O391" s="1838" t="s">
        <v>3489</v>
      </c>
      <c r="P391" s="1838"/>
    </row>
    <row r="392" spans="2:16" s="1843" customFormat="1">
      <c r="B392" s="1838">
        <f t="shared" si="21"/>
        <v>389</v>
      </c>
      <c r="C392" s="1838" t="s">
        <v>511</v>
      </c>
      <c r="D392" s="1838" t="s">
        <v>3162</v>
      </c>
      <c r="E392" s="1838" t="s">
        <v>3559</v>
      </c>
      <c r="F392" s="1839">
        <v>45361</v>
      </c>
      <c r="G392" s="1840">
        <v>39269</v>
      </c>
      <c r="H392" s="1841">
        <f t="shared" si="19"/>
        <v>21</v>
      </c>
      <c r="I392" s="1838">
        <f t="shared" si="20"/>
        <v>39269</v>
      </c>
      <c r="J392" s="1838">
        <v>0</v>
      </c>
      <c r="K392" s="1838">
        <v>0</v>
      </c>
      <c r="L392" s="1838">
        <v>0</v>
      </c>
      <c r="M392" s="1838">
        <v>0</v>
      </c>
      <c r="N392" s="1838" t="s">
        <v>3492</v>
      </c>
      <c r="O392" s="1838" t="s">
        <v>3489</v>
      </c>
      <c r="P392" s="1838"/>
    </row>
    <row r="393" spans="2:16" s="1843" customFormat="1">
      <c r="B393" s="1838">
        <f t="shared" si="21"/>
        <v>390</v>
      </c>
      <c r="C393" s="1838" t="s">
        <v>511</v>
      </c>
      <c r="D393" s="1838" t="s">
        <v>3162</v>
      </c>
      <c r="E393" s="1838" t="s">
        <v>3560</v>
      </c>
      <c r="F393" s="1839">
        <v>45361</v>
      </c>
      <c r="G393" s="1840">
        <v>82762</v>
      </c>
      <c r="H393" s="1841">
        <f t="shared" si="19"/>
        <v>21</v>
      </c>
      <c r="I393" s="1838">
        <f t="shared" si="20"/>
        <v>82762</v>
      </c>
      <c r="J393" s="1838">
        <v>0</v>
      </c>
      <c r="K393" s="1838">
        <v>0</v>
      </c>
      <c r="L393" s="1838">
        <v>0</v>
      </c>
      <c r="M393" s="1838">
        <v>0</v>
      </c>
      <c r="N393" s="1838" t="s">
        <v>3492</v>
      </c>
      <c r="O393" s="1838" t="s">
        <v>3489</v>
      </c>
      <c r="P393" s="1838"/>
    </row>
    <row r="394" spans="2:16" s="1843" customFormat="1">
      <c r="B394" s="1838">
        <f t="shared" si="21"/>
        <v>391</v>
      </c>
      <c r="C394" s="1838" t="s">
        <v>511</v>
      </c>
      <c r="D394" s="1838" t="s">
        <v>3162</v>
      </c>
      <c r="E394" s="1838" t="s">
        <v>3561</v>
      </c>
      <c r="F394" s="1839">
        <v>45362</v>
      </c>
      <c r="G394" s="1840">
        <v>50612</v>
      </c>
      <c r="H394" s="1841">
        <f t="shared" si="19"/>
        <v>20</v>
      </c>
      <c r="I394" s="1838">
        <f t="shared" si="20"/>
        <v>50612</v>
      </c>
      <c r="J394" s="1838">
        <v>0</v>
      </c>
      <c r="K394" s="1838">
        <v>0</v>
      </c>
      <c r="L394" s="1838">
        <v>0</v>
      </c>
      <c r="M394" s="1838">
        <v>0</v>
      </c>
      <c r="N394" s="1838" t="s">
        <v>3492</v>
      </c>
      <c r="O394" s="1838" t="s">
        <v>3489</v>
      </c>
      <c r="P394" s="1838"/>
    </row>
    <row r="395" spans="2:16" s="1843" customFormat="1">
      <c r="B395" s="1838">
        <f t="shared" si="21"/>
        <v>392</v>
      </c>
      <c r="C395" s="1838" t="s">
        <v>511</v>
      </c>
      <c r="D395" s="1838" t="s">
        <v>3162</v>
      </c>
      <c r="E395" s="1838" t="s">
        <v>3562</v>
      </c>
      <c r="F395" s="1839">
        <v>45362</v>
      </c>
      <c r="G395" s="1840">
        <v>56702</v>
      </c>
      <c r="H395" s="1841">
        <f t="shared" si="19"/>
        <v>20</v>
      </c>
      <c r="I395" s="1838">
        <f t="shared" si="20"/>
        <v>56702</v>
      </c>
      <c r="J395" s="1838">
        <v>0</v>
      </c>
      <c r="K395" s="1838">
        <v>0</v>
      </c>
      <c r="L395" s="1838">
        <v>0</v>
      </c>
      <c r="M395" s="1838">
        <v>0</v>
      </c>
      <c r="N395" s="1838" t="s">
        <v>3492</v>
      </c>
      <c r="O395" s="1838" t="s">
        <v>3489</v>
      </c>
      <c r="P395" s="1838"/>
    </row>
    <row r="396" spans="2:16" s="1843" customFormat="1">
      <c r="B396" s="1838">
        <f t="shared" si="21"/>
        <v>393</v>
      </c>
      <c r="C396" s="1838" t="s">
        <v>511</v>
      </c>
      <c r="D396" s="1838" t="s">
        <v>3162</v>
      </c>
      <c r="E396" s="1838" t="s">
        <v>3563</v>
      </c>
      <c r="F396" s="1839">
        <v>45363</v>
      </c>
      <c r="G396" s="1840">
        <v>61280</v>
      </c>
      <c r="H396" s="1841">
        <f t="shared" si="19"/>
        <v>19</v>
      </c>
      <c r="I396" s="1838">
        <f t="shared" si="20"/>
        <v>61280</v>
      </c>
      <c r="J396" s="1838">
        <v>0</v>
      </c>
      <c r="K396" s="1838">
        <v>0</v>
      </c>
      <c r="L396" s="1838">
        <v>0</v>
      </c>
      <c r="M396" s="1838">
        <v>0</v>
      </c>
      <c r="N396" s="1838" t="s">
        <v>3492</v>
      </c>
      <c r="O396" s="1838" t="s">
        <v>3489</v>
      </c>
      <c r="P396" s="1838"/>
    </row>
    <row r="397" spans="2:16" s="1843" customFormat="1">
      <c r="B397" s="1838">
        <f t="shared" si="21"/>
        <v>394</v>
      </c>
      <c r="C397" s="1838" t="s">
        <v>511</v>
      </c>
      <c r="D397" s="1838" t="s">
        <v>3162</v>
      </c>
      <c r="E397" s="1838" t="s">
        <v>3564</v>
      </c>
      <c r="F397" s="1839">
        <v>45363</v>
      </c>
      <c r="G397" s="1840">
        <v>45980</v>
      </c>
      <c r="H397" s="1841">
        <f t="shared" si="19"/>
        <v>19</v>
      </c>
      <c r="I397" s="1838">
        <f t="shared" si="20"/>
        <v>45980</v>
      </c>
      <c r="J397" s="1838">
        <v>0</v>
      </c>
      <c r="K397" s="1838">
        <v>0</v>
      </c>
      <c r="L397" s="1838">
        <v>0</v>
      </c>
      <c r="M397" s="1838">
        <v>0</v>
      </c>
      <c r="N397" s="1838" t="s">
        <v>3492</v>
      </c>
      <c r="O397" s="1838" t="s">
        <v>3489</v>
      </c>
      <c r="P397" s="1838"/>
    </row>
    <row r="398" spans="2:16" s="1843" customFormat="1">
      <c r="B398" s="1838">
        <f t="shared" si="21"/>
        <v>395</v>
      </c>
      <c r="C398" s="1838" t="s">
        <v>511</v>
      </c>
      <c r="D398" s="1838" t="s">
        <v>3162</v>
      </c>
      <c r="E398" s="1838" t="s">
        <v>3565</v>
      </c>
      <c r="F398" s="1839">
        <v>45364</v>
      </c>
      <c r="G398" s="1840">
        <v>50102</v>
      </c>
      <c r="H398" s="1841">
        <f t="shared" si="19"/>
        <v>18</v>
      </c>
      <c r="I398" s="1838">
        <f t="shared" si="20"/>
        <v>50102</v>
      </c>
      <c r="J398" s="1838">
        <v>0</v>
      </c>
      <c r="K398" s="1838">
        <v>0</v>
      </c>
      <c r="L398" s="1838">
        <v>0</v>
      </c>
      <c r="M398" s="1838">
        <v>0</v>
      </c>
      <c r="N398" s="1838" t="s">
        <v>3492</v>
      </c>
      <c r="O398" s="1838" t="s">
        <v>3489</v>
      </c>
      <c r="P398" s="1838"/>
    </row>
    <row r="399" spans="2:16" s="1843" customFormat="1">
      <c r="B399" s="1838">
        <f t="shared" si="21"/>
        <v>396</v>
      </c>
      <c r="C399" s="1838" t="s">
        <v>511</v>
      </c>
      <c r="D399" s="1838" t="s">
        <v>3162</v>
      </c>
      <c r="E399" s="1838" t="s">
        <v>3566</v>
      </c>
      <c r="F399" s="1839">
        <v>45364</v>
      </c>
      <c r="G399" s="1840">
        <v>47803</v>
      </c>
      <c r="H399" s="1841">
        <f t="shared" si="19"/>
        <v>18</v>
      </c>
      <c r="I399" s="1838">
        <f t="shared" si="20"/>
        <v>47803</v>
      </c>
      <c r="J399" s="1838">
        <v>0</v>
      </c>
      <c r="K399" s="1838">
        <v>0</v>
      </c>
      <c r="L399" s="1838">
        <v>0</v>
      </c>
      <c r="M399" s="1838">
        <v>0</v>
      </c>
      <c r="N399" s="1838" t="s">
        <v>3492</v>
      </c>
      <c r="O399" s="1838" t="s">
        <v>3489</v>
      </c>
      <c r="P399" s="1838"/>
    </row>
    <row r="400" spans="2:16" s="1843" customFormat="1">
      <c r="B400" s="1838">
        <f t="shared" si="21"/>
        <v>397</v>
      </c>
      <c r="C400" s="1838" t="s">
        <v>511</v>
      </c>
      <c r="D400" s="1838" t="s">
        <v>3162</v>
      </c>
      <c r="E400" s="1838" t="s">
        <v>3567</v>
      </c>
      <c r="F400" s="1839">
        <v>45365</v>
      </c>
      <c r="G400" s="1840">
        <v>38369</v>
      </c>
      <c r="H400" s="1841">
        <f t="shared" si="19"/>
        <v>17</v>
      </c>
      <c r="I400" s="1838">
        <f t="shared" si="20"/>
        <v>38369</v>
      </c>
      <c r="J400" s="1838">
        <v>0</v>
      </c>
      <c r="K400" s="1838">
        <v>0</v>
      </c>
      <c r="L400" s="1838">
        <v>0</v>
      </c>
      <c r="M400" s="1838">
        <v>0</v>
      </c>
      <c r="N400" s="1838" t="s">
        <v>3492</v>
      </c>
      <c r="O400" s="1838" t="s">
        <v>3489</v>
      </c>
      <c r="P400" s="1838"/>
    </row>
    <row r="401" spans="2:16" s="1843" customFormat="1">
      <c r="B401" s="1838">
        <f t="shared" si="21"/>
        <v>398</v>
      </c>
      <c r="C401" s="1838" t="s">
        <v>511</v>
      </c>
      <c r="D401" s="1838" t="s">
        <v>3162</v>
      </c>
      <c r="E401" s="1838" t="s">
        <v>3568</v>
      </c>
      <c r="F401" s="1839">
        <v>45366</v>
      </c>
      <c r="G401" s="1840">
        <v>2688</v>
      </c>
      <c r="H401" s="1841">
        <f t="shared" si="19"/>
        <v>16</v>
      </c>
      <c r="I401" s="1838">
        <f t="shared" si="20"/>
        <v>2688</v>
      </c>
      <c r="J401" s="1838">
        <v>0</v>
      </c>
      <c r="K401" s="1838">
        <v>0</v>
      </c>
      <c r="L401" s="1838">
        <v>0</v>
      </c>
      <c r="M401" s="1838">
        <v>0</v>
      </c>
      <c r="N401" s="1838" t="s">
        <v>3492</v>
      </c>
      <c r="O401" s="1838" t="s">
        <v>3489</v>
      </c>
      <c r="P401" s="1838"/>
    </row>
    <row r="402" spans="2:16" s="1843" customFormat="1">
      <c r="B402" s="1838">
        <f t="shared" si="21"/>
        <v>399</v>
      </c>
      <c r="C402" s="1838" t="s">
        <v>511</v>
      </c>
      <c r="D402" s="1838" t="s">
        <v>3162</v>
      </c>
      <c r="E402" s="1838" t="s">
        <v>3569</v>
      </c>
      <c r="F402" s="1839">
        <v>45368</v>
      </c>
      <c r="G402" s="1840">
        <v>42809</v>
      </c>
      <c r="H402" s="1841">
        <f t="shared" si="19"/>
        <v>14</v>
      </c>
      <c r="I402" s="1838">
        <f t="shared" si="20"/>
        <v>42809</v>
      </c>
      <c r="J402" s="1838">
        <v>0</v>
      </c>
      <c r="K402" s="1838">
        <v>0</v>
      </c>
      <c r="L402" s="1838">
        <v>0</v>
      </c>
      <c r="M402" s="1838">
        <v>0</v>
      </c>
      <c r="N402" s="1838" t="s">
        <v>3492</v>
      </c>
      <c r="O402" s="1838" t="s">
        <v>3489</v>
      </c>
      <c r="P402" s="1838"/>
    </row>
    <row r="403" spans="2:16" s="1843" customFormat="1">
      <c r="B403" s="1838">
        <f t="shared" si="21"/>
        <v>400</v>
      </c>
      <c r="C403" s="1838" t="s">
        <v>511</v>
      </c>
      <c r="D403" s="1838" t="s">
        <v>3162</v>
      </c>
      <c r="E403" s="1838" t="s">
        <v>3570</v>
      </c>
      <c r="F403" s="1839">
        <v>45368</v>
      </c>
      <c r="G403" s="1840">
        <v>48675</v>
      </c>
      <c r="H403" s="1841">
        <f t="shared" si="19"/>
        <v>14</v>
      </c>
      <c r="I403" s="1838">
        <f t="shared" si="20"/>
        <v>48675</v>
      </c>
      <c r="J403" s="1838">
        <v>0</v>
      </c>
      <c r="K403" s="1838">
        <v>0</v>
      </c>
      <c r="L403" s="1838">
        <v>0</v>
      </c>
      <c r="M403" s="1838">
        <v>0</v>
      </c>
      <c r="N403" s="1838" t="s">
        <v>3492</v>
      </c>
      <c r="O403" s="1838" t="s">
        <v>3489</v>
      </c>
      <c r="P403" s="1838"/>
    </row>
    <row r="404" spans="2:16" s="1843" customFormat="1">
      <c r="B404" s="1838">
        <f t="shared" si="21"/>
        <v>401</v>
      </c>
      <c r="C404" s="1838" t="s">
        <v>511</v>
      </c>
      <c r="D404" s="1838" t="s">
        <v>3162</v>
      </c>
      <c r="E404" s="1838" t="s">
        <v>3175</v>
      </c>
      <c r="F404" s="1839">
        <v>45370</v>
      </c>
      <c r="G404" s="1840">
        <v>49671</v>
      </c>
      <c r="H404" s="1841">
        <f t="shared" si="19"/>
        <v>12</v>
      </c>
      <c r="I404" s="1838">
        <f t="shared" si="20"/>
        <v>49671</v>
      </c>
      <c r="J404" s="1838">
        <v>0</v>
      </c>
      <c r="K404" s="1838">
        <v>0</v>
      </c>
      <c r="L404" s="1838">
        <v>0</v>
      </c>
      <c r="M404" s="1838">
        <v>0</v>
      </c>
      <c r="N404" s="1838" t="s">
        <v>3492</v>
      </c>
      <c r="O404" s="1838" t="s">
        <v>3489</v>
      </c>
      <c r="P404" s="1838"/>
    </row>
    <row r="405" spans="2:16" s="1843" customFormat="1">
      <c r="B405" s="1838">
        <f t="shared" si="21"/>
        <v>402</v>
      </c>
      <c r="C405" s="1838" t="s">
        <v>511</v>
      </c>
      <c r="D405" s="1838" t="s">
        <v>3162</v>
      </c>
      <c r="E405" s="1838" t="s">
        <v>3571</v>
      </c>
      <c r="F405" s="1839">
        <v>45370</v>
      </c>
      <c r="G405" s="1840">
        <v>29015</v>
      </c>
      <c r="H405" s="1841">
        <f t="shared" si="19"/>
        <v>12</v>
      </c>
      <c r="I405" s="1838">
        <f t="shared" si="20"/>
        <v>29015</v>
      </c>
      <c r="J405" s="1838">
        <v>0</v>
      </c>
      <c r="K405" s="1838">
        <v>0</v>
      </c>
      <c r="L405" s="1838">
        <v>0</v>
      </c>
      <c r="M405" s="1838">
        <v>0</v>
      </c>
      <c r="N405" s="1838" t="s">
        <v>3492</v>
      </c>
      <c r="O405" s="1838" t="s">
        <v>3489</v>
      </c>
      <c r="P405" s="1838"/>
    </row>
    <row r="406" spans="2:16" s="1843" customFormat="1">
      <c r="B406" s="1838">
        <f t="shared" si="21"/>
        <v>403</v>
      </c>
      <c r="C406" s="1838" t="s">
        <v>511</v>
      </c>
      <c r="D406" s="1838" t="s">
        <v>3162</v>
      </c>
      <c r="E406" s="1838" t="s">
        <v>3572</v>
      </c>
      <c r="F406" s="1839">
        <v>45371</v>
      </c>
      <c r="G406" s="1840">
        <v>46931</v>
      </c>
      <c r="H406" s="1841">
        <f t="shared" si="19"/>
        <v>11</v>
      </c>
      <c r="I406" s="1838">
        <f t="shared" si="20"/>
        <v>46931</v>
      </c>
      <c r="J406" s="1838">
        <v>0</v>
      </c>
      <c r="K406" s="1838">
        <v>0</v>
      </c>
      <c r="L406" s="1838">
        <v>0</v>
      </c>
      <c r="M406" s="1838">
        <v>0</v>
      </c>
      <c r="N406" s="1838" t="s">
        <v>3492</v>
      </c>
      <c r="O406" s="1838" t="s">
        <v>3489</v>
      </c>
      <c r="P406" s="1838"/>
    </row>
    <row r="407" spans="2:16" s="1843" customFormat="1">
      <c r="B407" s="1838">
        <f t="shared" si="21"/>
        <v>404</v>
      </c>
      <c r="C407" s="1838" t="s">
        <v>511</v>
      </c>
      <c r="D407" s="1838" t="s">
        <v>3162</v>
      </c>
      <c r="E407" s="1838" t="s">
        <v>3573</v>
      </c>
      <c r="F407" s="1839">
        <v>45372</v>
      </c>
      <c r="G407" s="1840">
        <v>48199</v>
      </c>
      <c r="H407" s="1841">
        <f t="shared" si="19"/>
        <v>10</v>
      </c>
      <c r="I407" s="1838">
        <f t="shared" si="20"/>
        <v>48199</v>
      </c>
      <c r="J407" s="1838">
        <v>0</v>
      </c>
      <c r="K407" s="1838">
        <v>0</v>
      </c>
      <c r="L407" s="1838">
        <v>0</v>
      </c>
      <c r="M407" s="1838">
        <v>0</v>
      </c>
      <c r="N407" s="1838" t="s">
        <v>3492</v>
      </c>
      <c r="O407" s="1838" t="s">
        <v>3489</v>
      </c>
      <c r="P407" s="1838"/>
    </row>
    <row r="408" spans="2:16" s="1843" customFormat="1">
      <c r="B408" s="1838">
        <f t="shared" si="21"/>
        <v>405</v>
      </c>
      <c r="C408" s="1838" t="s">
        <v>511</v>
      </c>
      <c r="D408" s="1838" t="s">
        <v>3162</v>
      </c>
      <c r="E408" s="1838" t="s">
        <v>3574</v>
      </c>
      <c r="F408" s="1839">
        <v>45372</v>
      </c>
      <c r="G408" s="1840">
        <v>30442</v>
      </c>
      <c r="H408" s="1841">
        <f t="shared" si="19"/>
        <v>10</v>
      </c>
      <c r="I408" s="1838">
        <f t="shared" si="20"/>
        <v>30442</v>
      </c>
      <c r="J408" s="1838">
        <v>0</v>
      </c>
      <c r="K408" s="1838">
        <v>0</v>
      </c>
      <c r="L408" s="1838">
        <v>0</v>
      </c>
      <c r="M408" s="1838">
        <v>0</v>
      </c>
      <c r="N408" s="1838" t="s">
        <v>3492</v>
      </c>
      <c r="O408" s="1838" t="s">
        <v>3489</v>
      </c>
      <c r="P408" s="1838"/>
    </row>
    <row r="409" spans="2:16" s="1843" customFormat="1">
      <c r="B409" s="1838">
        <f t="shared" si="21"/>
        <v>406</v>
      </c>
      <c r="C409" s="1838" t="s">
        <v>511</v>
      </c>
      <c r="D409" s="1838" t="s">
        <v>3162</v>
      </c>
      <c r="E409" s="1838" t="s">
        <v>3575</v>
      </c>
      <c r="F409" s="1839">
        <v>45372</v>
      </c>
      <c r="G409" s="1840">
        <v>93782</v>
      </c>
      <c r="H409" s="1841">
        <f t="shared" si="19"/>
        <v>10</v>
      </c>
      <c r="I409" s="1838">
        <f t="shared" si="20"/>
        <v>93782</v>
      </c>
      <c r="J409" s="1838">
        <v>0</v>
      </c>
      <c r="K409" s="1838">
        <v>0</v>
      </c>
      <c r="L409" s="1838">
        <v>0</v>
      </c>
      <c r="M409" s="1838">
        <v>0</v>
      </c>
      <c r="N409" s="1838" t="s">
        <v>3492</v>
      </c>
      <c r="O409" s="1838" t="s">
        <v>3489</v>
      </c>
      <c r="P409" s="1838"/>
    </row>
    <row r="410" spans="2:16" s="1843" customFormat="1">
      <c r="B410" s="1838">
        <f t="shared" si="21"/>
        <v>407</v>
      </c>
      <c r="C410" s="1838" t="s">
        <v>511</v>
      </c>
      <c r="D410" s="1838" t="s">
        <v>3162</v>
      </c>
      <c r="E410" s="1838" t="s">
        <v>3576</v>
      </c>
      <c r="F410" s="1839">
        <v>45372</v>
      </c>
      <c r="G410" s="1840">
        <v>42139</v>
      </c>
      <c r="H410" s="1841">
        <f t="shared" si="19"/>
        <v>10</v>
      </c>
      <c r="I410" s="1838">
        <f t="shared" si="20"/>
        <v>42139</v>
      </c>
      <c r="J410" s="1838">
        <v>0</v>
      </c>
      <c r="K410" s="1838">
        <v>0</v>
      </c>
      <c r="L410" s="1838">
        <v>0</v>
      </c>
      <c r="M410" s="1838">
        <v>0</v>
      </c>
      <c r="N410" s="1838" t="s">
        <v>3492</v>
      </c>
      <c r="O410" s="1838" t="s">
        <v>3489</v>
      </c>
      <c r="P410" s="1838"/>
    </row>
    <row r="411" spans="2:16" s="1843" customFormat="1">
      <c r="B411" s="1838">
        <f t="shared" si="21"/>
        <v>408</v>
      </c>
      <c r="C411" s="1838" t="s">
        <v>511</v>
      </c>
      <c r="D411" s="1838" t="s">
        <v>3162</v>
      </c>
      <c r="E411" s="1838" t="s">
        <v>3577</v>
      </c>
      <c r="F411" s="1839">
        <v>45373</v>
      </c>
      <c r="G411" s="1840">
        <v>46465</v>
      </c>
      <c r="H411" s="1841">
        <f t="shared" si="19"/>
        <v>9</v>
      </c>
      <c r="I411" s="1838">
        <f t="shared" si="20"/>
        <v>46465</v>
      </c>
      <c r="J411" s="1838">
        <v>0</v>
      </c>
      <c r="K411" s="1838">
        <v>0</v>
      </c>
      <c r="L411" s="1838">
        <v>0</v>
      </c>
      <c r="M411" s="1838">
        <v>0</v>
      </c>
      <c r="N411" s="1838" t="s">
        <v>3492</v>
      </c>
      <c r="O411" s="1838" t="s">
        <v>3489</v>
      </c>
      <c r="P411" s="1838"/>
    </row>
    <row r="412" spans="2:16" s="1843" customFormat="1">
      <c r="B412" s="1838">
        <f t="shared" si="21"/>
        <v>409</v>
      </c>
      <c r="C412" s="1838" t="s">
        <v>511</v>
      </c>
      <c r="D412" s="1838" t="s">
        <v>3162</v>
      </c>
      <c r="E412" s="1838" t="s">
        <v>3578</v>
      </c>
      <c r="F412" s="1839">
        <v>45374</v>
      </c>
      <c r="G412" s="1840">
        <v>44675</v>
      </c>
      <c r="H412" s="1841">
        <f t="shared" si="19"/>
        <v>8</v>
      </c>
      <c r="I412" s="1838">
        <f t="shared" si="20"/>
        <v>44675</v>
      </c>
      <c r="J412" s="1838">
        <v>0</v>
      </c>
      <c r="K412" s="1838">
        <v>0</v>
      </c>
      <c r="L412" s="1838">
        <v>0</v>
      </c>
      <c r="M412" s="1838">
        <v>0</v>
      </c>
      <c r="N412" s="1838" t="s">
        <v>3492</v>
      </c>
      <c r="O412" s="1838" t="s">
        <v>3489</v>
      </c>
      <c r="P412" s="1838"/>
    </row>
    <row r="413" spans="2:16" s="1843" customFormat="1">
      <c r="B413" s="1838">
        <f t="shared" si="21"/>
        <v>410</v>
      </c>
      <c r="C413" s="1838" t="s">
        <v>511</v>
      </c>
      <c r="D413" s="1838" t="s">
        <v>3162</v>
      </c>
      <c r="E413" s="1838" t="s">
        <v>3579</v>
      </c>
      <c r="F413" s="1839">
        <v>45374</v>
      </c>
      <c r="G413" s="1840">
        <v>91954</v>
      </c>
      <c r="H413" s="1841">
        <f t="shared" si="19"/>
        <v>8</v>
      </c>
      <c r="I413" s="1838">
        <f t="shared" si="20"/>
        <v>91954</v>
      </c>
      <c r="J413" s="1838">
        <v>0</v>
      </c>
      <c r="K413" s="1838">
        <v>0</v>
      </c>
      <c r="L413" s="1838">
        <v>0</v>
      </c>
      <c r="M413" s="1838">
        <v>0</v>
      </c>
      <c r="N413" s="1838" t="s">
        <v>3492</v>
      </c>
      <c r="O413" s="1838" t="s">
        <v>3489</v>
      </c>
      <c r="P413" s="1838"/>
    </row>
    <row r="414" spans="2:16" s="1843" customFormat="1">
      <c r="B414" s="1838">
        <f t="shared" si="21"/>
        <v>411</v>
      </c>
      <c r="C414" s="1838" t="s">
        <v>511</v>
      </c>
      <c r="D414" s="1838" t="s">
        <v>3162</v>
      </c>
      <c r="E414" s="1838" t="s">
        <v>3580</v>
      </c>
      <c r="F414" s="1839">
        <v>45374</v>
      </c>
      <c r="G414" s="1840">
        <v>49395</v>
      </c>
      <c r="H414" s="1841">
        <f t="shared" si="19"/>
        <v>8</v>
      </c>
      <c r="I414" s="1838">
        <f t="shared" si="20"/>
        <v>49395</v>
      </c>
      <c r="J414" s="1838">
        <v>0</v>
      </c>
      <c r="K414" s="1838">
        <v>0</v>
      </c>
      <c r="L414" s="1838">
        <v>0</v>
      </c>
      <c r="M414" s="1838">
        <v>0</v>
      </c>
      <c r="N414" s="1838" t="s">
        <v>3492</v>
      </c>
      <c r="O414" s="1838" t="s">
        <v>3489</v>
      </c>
      <c r="P414" s="1838"/>
    </row>
    <row r="415" spans="2:16" s="1843" customFormat="1">
      <c r="B415" s="1838">
        <f t="shared" si="21"/>
        <v>412</v>
      </c>
      <c r="C415" s="1838" t="s">
        <v>511</v>
      </c>
      <c r="D415" s="1838" t="s">
        <v>3162</v>
      </c>
      <c r="E415" s="1838" t="s">
        <v>3581</v>
      </c>
      <c r="F415" s="1839">
        <v>45375</v>
      </c>
      <c r="G415" s="1840">
        <v>91628</v>
      </c>
      <c r="H415" s="1841">
        <f t="shared" si="19"/>
        <v>7</v>
      </c>
      <c r="I415" s="1838">
        <f t="shared" si="20"/>
        <v>91628</v>
      </c>
      <c r="J415" s="1838">
        <v>0</v>
      </c>
      <c r="K415" s="1838">
        <v>0</v>
      </c>
      <c r="L415" s="1838">
        <v>0</v>
      </c>
      <c r="M415" s="1838">
        <v>0</v>
      </c>
      <c r="N415" s="1838" t="s">
        <v>3492</v>
      </c>
      <c r="O415" s="1838" t="s">
        <v>3489</v>
      </c>
      <c r="P415" s="1838"/>
    </row>
    <row r="416" spans="2:16" s="1843" customFormat="1">
      <c r="B416" s="1838">
        <f t="shared" si="21"/>
        <v>413</v>
      </c>
      <c r="C416" s="1838" t="s">
        <v>511</v>
      </c>
      <c r="D416" s="1838" t="s">
        <v>3162</v>
      </c>
      <c r="E416" s="1838" t="s">
        <v>3582</v>
      </c>
      <c r="F416" s="1839">
        <v>45375</v>
      </c>
      <c r="G416" s="1840">
        <v>39630</v>
      </c>
      <c r="H416" s="1841">
        <f t="shared" si="19"/>
        <v>7</v>
      </c>
      <c r="I416" s="1838">
        <f t="shared" si="20"/>
        <v>39630</v>
      </c>
      <c r="J416" s="1838">
        <v>0</v>
      </c>
      <c r="K416" s="1838">
        <v>0</v>
      </c>
      <c r="L416" s="1838">
        <v>0</v>
      </c>
      <c r="M416" s="1838">
        <v>0</v>
      </c>
      <c r="N416" s="1838" t="s">
        <v>3492</v>
      </c>
      <c r="O416" s="1838" t="s">
        <v>3489</v>
      </c>
      <c r="P416" s="1838"/>
    </row>
    <row r="417" spans="2:16" s="1843" customFormat="1">
      <c r="B417" s="1838">
        <f t="shared" si="21"/>
        <v>414</v>
      </c>
      <c r="C417" s="1838" t="s">
        <v>511</v>
      </c>
      <c r="D417" s="1838" t="s">
        <v>3162</v>
      </c>
      <c r="E417" s="1838" t="s">
        <v>3583</v>
      </c>
      <c r="F417" s="1839">
        <v>45377</v>
      </c>
      <c r="G417" s="1840">
        <v>47523</v>
      </c>
      <c r="H417" s="1841">
        <f t="shared" si="19"/>
        <v>5</v>
      </c>
      <c r="I417" s="1838">
        <f t="shared" si="20"/>
        <v>47523</v>
      </c>
      <c r="J417" s="1838">
        <v>0</v>
      </c>
      <c r="K417" s="1838">
        <v>0</v>
      </c>
      <c r="L417" s="1838">
        <v>0</v>
      </c>
      <c r="M417" s="1838">
        <v>0</v>
      </c>
      <c r="N417" s="1838" t="s">
        <v>3492</v>
      </c>
      <c r="O417" s="1838" t="s">
        <v>3489</v>
      </c>
      <c r="P417" s="1838"/>
    </row>
    <row r="418" spans="2:16" s="1843" customFormat="1">
      <c r="B418" s="1838">
        <f t="shared" si="21"/>
        <v>415</v>
      </c>
      <c r="C418" s="1838" t="s">
        <v>511</v>
      </c>
      <c r="D418" s="1838" t="s">
        <v>3162</v>
      </c>
      <c r="E418" s="1838" t="s">
        <v>3584</v>
      </c>
      <c r="F418" s="1839">
        <v>45377</v>
      </c>
      <c r="G418" s="1840">
        <v>40955</v>
      </c>
      <c r="H418" s="1841">
        <f t="shared" si="19"/>
        <v>5</v>
      </c>
      <c r="I418" s="1838">
        <f t="shared" si="20"/>
        <v>40955</v>
      </c>
      <c r="J418" s="1838">
        <v>0</v>
      </c>
      <c r="K418" s="1838">
        <v>0</v>
      </c>
      <c r="L418" s="1838">
        <v>0</v>
      </c>
      <c r="M418" s="1838">
        <v>0</v>
      </c>
      <c r="N418" s="1838" t="s">
        <v>3492</v>
      </c>
      <c r="O418" s="1838" t="s">
        <v>3489</v>
      </c>
      <c r="P418" s="1838"/>
    </row>
    <row r="419" spans="2:16" s="1843" customFormat="1">
      <c r="B419" s="1838">
        <f t="shared" si="21"/>
        <v>416</v>
      </c>
      <c r="C419" s="1838" t="s">
        <v>511</v>
      </c>
      <c r="D419" s="1838" t="s">
        <v>3162</v>
      </c>
      <c r="E419" s="1838" t="s">
        <v>3585</v>
      </c>
      <c r="F419" s="1839">
        <v>45378</v>
      </c>
      <c r="G419" s="1840">
        <v>37433</v>
      </c>
      <c r="H419" s="1841">
        <f t="shared" si="19"/>
        <v>4</v>
      </c>
      <c r="I419" s="1838">
        <f t="shared" si="20"/>
        <v>37433</v>
      </c>
      <c r="J419" s="1838">
        <v>0</v>
      </c>
      <c r="K419" s="1838">
        <v>0</v>
      </c>
      <c r="L419" s="1838">
        <v>0</v>
      </c>
      <c r="M419" s="1838">
        <v>0</v>
      </c>
      <c r="N419" s="1838" t="s">
        <v>3492</v>
      </c>
      <c r="O419" s="1838" t="s">
        <v>3489</v>
      </c>
      <c r="P419" s="1838"/>
    </row>
    <row r="420" spans="2:16" s="1843" customFormat="1">
      <c r="B420" s="1838">
        <f t="shared" si="21"/>
        <v>417</v>
      </c>
      <c r="C420" s="1838" t="s">
        <v>511</v>
      </c>
      <c r="D420" s="1838" t="s">
        <v>3162</v>
      </c>
      <c r="E420" s="1838" t="s">
        <v>3586</v>
      </c>
      <c r="F420" s="1839">
        <v>45378</v>
      </c>
      <c r="G420" s="1840">
        <v>54684</v>
      </c>
      <c r="H420" s="1841">
        <f t="shared" si="19"/>
        <v>4</v>
      </c>
      <c r="I420" s="1838">
        <f t="shared" si="20"/>
        <v>54684</v>
      </c>
      <c r="J420" s="1838">
        <v>0</v>
      </c>
      <c r="K420" s="1838">
        <v>0</v>
      </c>
      <c r="L420" s="1838">
        <v>0</v>
      </c>
      <c r="M420" s="1838">
        <v>0</v>
      </c>
      <c r="N420" s="1838" t="s">
        <v>3492</v>
      </c>
      <c r="O420" s="1838" t="s">
        <v>3489</v>
      </c>
      <c r="P420" s="1838"/>
    </row>
    <row r="421" spans="2:16" s="1843" customFormat="1">
      <c r="B421" s="1838">
        <f t="shared" si="21"/>
        <v>418</v>
      </c>
      <c r="C421" s="1838" t="s">
        <v>511</v>
      </c>
      <c r="D421" s="1838" t="s">
        <v>3162</v>
      </c>
      <c r="E421" s="1838" t="s">
        <v>3587</v>
      </c>
      <c r="F421" s="1839">
        <v>45378</v>
      </c>
      <c r="G421" s="1840">
        <v>50941</v>
      </c>
      <c r="H421" s="1841">
        <f t="shared" si="19"/>
        <v>4</v>
      </c>
      <c r="I421" s="1838">
        <f t="shared" si="20"/>
        <v>50941</v>
      </c>
      <c r="J421" s="1838">
        <v>0</v>
      </c>
      <c r="K421" s="1838">
        <v>0</v>
      </c>
      <c r="L421" s="1838">
        <v>0</v>
      </c>
      <c r="M421" s="1838">
        <v>0</v>
      </c>
      <c r="N421" s="1838" t="s">
        <v>3492</v>
      </c>
      <c r="O421" s="1838" t="s">
        <v>3489</v>
      </c>
      <c r="P421" s="1838"/>
    </row>
    <row r="422" spans="2:16" s="1843" customFormat="1">
      <c r="B422" s="1838">
        <f t="shared" si="21"/>
        <v>419</v>
      </c>
      <c r="C422" s="1838" t="s">
        <v>511</v>
      </c>
      <c r="D422" s="1838" t="s">
        <v>3162</v>
      </c>
      <c r="E422" s="1838" t="s">
        <v>3588</v>
      </c>
      <c r="F422" s="1839">
        <v>45379</v>
      </c>
      <c r="G422" s="1840">
        <v>53586</v>
      </c>
      <c r="H422" s="1841">
        <f t="shared" si="19"/>
        <v>3</v>
      </c>
      <c r="I422" s="1838">
        <f t="shared" si="20"/>
        <v>53586</v>
      </c>
      <c r="J422" s="1838">
        <v>0</v>
      </c>
      <c r="K422" s="1838">
        <v>0</v>
      </c>
      <c r="L422" s="1838">
        <v>0</v>
      </c>
      <c r="M422" s="1838">
        <v>0</v>
      </c>
      <c r="N422" s="1838" t="s">
        <v>3492</v>
      </c>
      <c r="O422" s="1838" t="s">
        <v>3489</v>
      </c>
      <c r="P422" s="1838"/>
    </row>
    <row r="423" spans="2:16" s="1843" customFormat="1">
      <c r="B423" s="1838">
        <f t="shared" si="21"/>
        <v>420</v>
      </c>
      <c r="C423" s="1838" t="s">
        <v>511</v>
      </c>
      <c r="D423" s="1838" t="s">
        <v>3162</v>
      </c>
      <c r="E423" s="1838" t="s">
        <v>3589</v>
      </c>
      <c r="F423" s="1839">
        <v>45379</v>
      </c>
      <c r="G423" s="1840">
        <v>48277</v>
      </c>
      <c r="H423" s="1841">
        <f t="shared" si="19"/>
        <v>3</v>
      </c>
      <c r="I423" s="1838">
        <f t="shared" si="20"/>
        <v>48277</v>
      </c>
      <c r="J423" s="1838">
        <v>0</v>
      </c>
      <c r="K423" s="1838">
        <v>0</v>
      </c>
      <c r="L423" s="1838">
        <v>0</v>
      </c>
      <c r="M423" s="1838">
        <v>0</v>
      </c>
      <c r="N423" s="1838" t="s">
        <v>3492</v>
      </c>
      <c r="O423" s="1838" t="s">
        <v>3489</v>
      </c>
      <c r="P423" s="1838"/>
    </row>
    <row r="424" spans="2:16" s="1843" customFormat="1">
      <c r="B424" s="1838">
        <f t="shared" si="21"/>
        <v>421</v>
      </c>
      <c r="C424" s="1838" t="s">
        <v>511</v>
      </c>
      <c r="D424" s="1838" t="s">
        <v>3162</v>
      </c>
      <c r="E424" s="1838" t="s">
        <v>3590</v>
      </c>
      <c r="F424" s="1839">
        <v>45381</v>
      </c>
      <c r="G424" s="1840">
        <v>43134</v>
      </c>
      <c r="H424" s="1841">
        <f t="shared" si="19"/>
        <v>1</v>
      </c>
      <c r="I424" s="1838">
        <f t="shared" si="20"/>
        <v>43134</v>
      </c>
      <c r="J424" s="1838">
        <v>0</v>
      </c>
      <c r="K424" s="1838">
        <v>0</v>
      </c>
      <c r="L424" s="1838">
        <v>0</v>
      </c>
      <c r="M424" s="1838">
        <v>0</v>
      </c>
      <c r="N424" s="1838" t="s">
        <v>3492</v>
      </c>
      <c r="O424" s="1838" t="s">
        <v>3489</v>
      </c>
      <c r="P424" s="1838"/>
    </row>
    <row r="425" spans="2:16" s="1843" customFormat="1">
      <c r="B425" s="1838">
        <f t="shared" si="21"/>
        <v>422</v>
      </c>
      <c r="C425" s="1838" t="s">
        <v>511</v>
      </c>
      <c r="D425" s="1838" t="s">
        <v>3162</v>
      </c>
      <c r="E425" s="1838" t="s">
        <v>3591</v>
      </c>
      <c r="F425" s="1839">
        <v>45381</v>
      </c>
      <c r="G425" s="1840">
        <v>86268</v>
      </c>
      <c r="H425" s="1841">
        <f t="shared" si="19"/>
        <v>1</v>
      </c>
      <c r="I425" s="1838">
        <f t="shared" si="20"/>
        <v>86268</v>
      </c>
      <c r="J425" s="1838">
        <v>0</v>
      </c>
      <c r="K425" s="1838">
        <v>0</v>
      </c>
      <c r="L425" s="1838">
        <v>0</v>
      </c>
      <c r="M425" s="1838">
        <v>0</v>
      </c>
      <c r="N425" s="1838" t="s">
        <v>3492</v>
      </c>
      <c r="O425" s="1838" t="s">
        <v>3489</v>
      </c>
      <c r="P425" s="1838"/>
    </row>
    <row r="426" spans="2:16" s="1843" customFormat="1">
      <c r="B426" s="1838">
        <f t="shared" si="21"/>
        <v>423</v>
      </c>
      <c r="C426" s="1838" t="s">
        <v>511</v>
      </c>
      <c r="D426" s="1838" t="s">
        <v>3162</v>
      </c>
      <c r="E426" s="1838" t="s">
        <v>3592</v>
      </c>
      <c r="F426" s="1839">
        <v>45382</v>
      </c>
      <c r="G426" s="1840">
        <v>51263</v>
      </c>
      <c r="H426" s="1841">
        <f t="shared" si="19"/>
        <v>0</v>
      </c>
      <c r="I426" s="1838">
        <f t="shared" si="20"/>
        <v>51263</v>
      </c>
      <c r="J426" s="1838">
        <v>0</v>
      </c>
      <c r="K426" s="1838">
        <v>0</v>
      </c>
      <c r="L426" s="1838">
        <v>0</v>
      </c>
      <c r="M426" s="1838">
        <v>0</v>
      </c>
      <c r="N426" s="1838" t="s">
        <v>3492</v>
      </c>
      <c r="O426" s="1838" t="s">
        <v>3489</v>
      </c>
      <c r="P426" s="1838"/>
    </row>
    <row r="427" spans="2:16" s="1843" customFormat="1">
      <c r="B427" s="1838">
        <f t="shared" si="21"/>
        <v>424</v>
      </c>
      <c r="C427" s="1838" t="s">
        <v>511</v>
      </c>
      <c r="D427" s="1838" t="s">
        <v>3162</v>
      </c>
      <c r="E427" s="1838" t="s">
        <v>3593</v>
      </c>
      <c r="F427" s="1839">
        <v>45382</v>
      </c>
      <c r="G427" s="1840">
        <v>78305</v>
      </c>
      <c r="H427" s="1841">
        <f t="shared" si="19"/>
        <v>0</v>
      </c>
      <c r="I427" s="1838">
        <f t="shared" si="20"/>
        <v>78305</v>
      </c>
      <c r="J427" s="1838">
        <v>0</v>
      </c>
      <c r="K427" s="1838">
        <v>0</v>
      </c>
      <c r="L427" s="1838">
        <v>0</v>
      </c>
      <c r="M427" s="1838">
        <v>0</v>
      </c>
      <c r="N427" s="1838" t="s">
        <v>3492</v>
      </c>
      <c r="O427" s="1838" t="s">
        <v>3489</v>
      </c>
      <c r="P427" s="1838"/>
    </row>
    <row r="428" spans="2:16" s="1843" customFormat="1">
      <c r="B428" s="1838">
        <f t="shared" si="21"/>
        <v>425</v>
      </c>
      <c r="C428" s="1838" t="s">
        <v>511</v>
      </c>
      <c r="D428" s="1838" t="s">
        <v>3162</v>
      </c>
      <c r="E428" s="1838" t="s">
        <v>3337</v>
      </c>
      <c r="F428" s="1839">
        <v>45382</v>
      </c>
      <c r="G428" s="1840">
        <v>-3079</v>
      </c>
      <c r="H428" s="1841">
        <f t="shared" si="19"/>
        <v>0</v>
      </c>
      <c r="I428" s="1838">
        <f t="shared" si="20"/>
        <v>-3079</v>
      </c>
      <c r="J428" s="1838">
        <v>0</v>
      </c>
      <c r="K428" s="1838">
        <v>0</v>
      </c>
      <c r="L428" s="1838">
        <v>0</v>
      </c>
      <c r="M428" s="1838">
        <v>0</v>
      </c>
      <c r="N428" s="1838" t="s">
        <v>3492</v>
      </c>
      <c r="O428" s="1838" t="s">
        <v>3489</v>
      </c>
      <c r="P428" s="1838"/>
    </row>
    <row r="429" spans="2:16" s="649" customFormat="1">
      <c r="B429" s="1834">
        <f t="shared" si="21"/>
        <v>426</v>
      </c>
      <c r="C429" s="1834" t="s">
        <v>225</v>
      </c>
      <c r="D429" s="1834" t="s">
        <v>3162</v>
      </c>
      <c r="E429" s="1834" t="s">
        <v>3180</v>
      </c>
      <c r="F429" s="1835">
        <v>45382</v>
      </c>
      <c r="G429" s="1836">
        <v>0.3</v>
      </c>
      <c r="H429" s="1837">
        <f t="shared" si="19"/>
        <v>0</v>
      </c>
      <c r="I429" s="1834">
        <f t="shared" si="20"/>
        <v>0.3</v>
      </c>
      <c r="J429" s="1834">
        <v>0</v>
      </c>
      <c r="K429" s="1834">
        <v>0</v>
      </c>
      <c r="L429" s="1834">
        <v>0</v>
      </c>
      <c r="M429" s="1834">
        <v>0</v>
      </c>
      <c r="N429" s="1834" t="s">
        <v>3182</v>
      </c>
      <c r="O429" s="1834" t="s">
        <v>3183</v>
      </c>
      <c r="P429" s="1834"/>
    </row>
    <row r="430" spans="2:16" s="1843" customFormat="1">
      <c r="B430" s="1838">
        <f t="shared" si="21"/>
        <v>427</v>
      </c>
      <c r="C430" s="1838" t="s">
        <v>392</v>
      </c>
      <c r="D430" s="1838" t="s">
        <v>3162</v>
      </c>
      <c r="E430" s="1838" t="s">
        <v>3594</v>
      </c>
      <c r="F430" s="1839">
        <v>45293</v>
      </c>
      <c r="G430" s="1840">
        <v>7820</v>
      </c>
      <c r="H430" s="1841">
        <f t="shared" si="19"/>
        <v>89</v>
      </c>
      <c r="I430" s="1838">
        <f t="shared" si="20"/>
        <v>7820</v>
      </c>
      <c r="J430" s="1838">
        <v>0</v>
      </c>
      <c r="K430" s="1838">
        <v>0</v>
      </c>
      <c r="L430" s="1838">
        <v>0</v>
      </c>
      <c r="M430" s="1838">
        <v>0</v>
      </c>
      <c r="N430" s="1838" t="s">
        <v>3595</v>
      </c>
      <c r="O430" s="1838" t="s">
        <v>3297</v>
      </c>
      <c r="P430" s="1838"/>
    </row>
    <row r="431" spans="2:16" s="1843" customFormat="1">
      <c r="B431" s="1838">
        <f t="shared" si="21"/>
        <v>428</v>
      </c>
      <c r="C431" s="1838" t="s">
        <v>392</v>
      </c>
      <c r="D431" s="1838" t="s">
        <v>3162</v>
      </c>
      <c r="E431" s="1838" t="s">
        <v>3596</v>
      </c>
      <c r="F431" s="1839">
        <v>45294</v>
      </c>
      <c r="G431" s="1840">
        <v>78060</v>
      </c>
      <c r="H431" s="1841">
        <f t="shared" si="19"/>
        <v>88</v>
      </c>
      <c r="I431" s="1838">
        <f t="shared" si="20"/>
        <v>78060</v>
      </c>
      <c r="J431" s="1838">
        <v>0</v>
      </c>
      <c r="K431" s="1838">
        <v>0</v>
      </c>
      <c r="L431" s="1838">
        <v>0</v>
      </c>
      <c r="M431" s="1838">
        <v>0</v>
      </c>
      <c r="N431" s="1838" t="s">
        <v>3595</v>
      </c>
      <c r="O431" s="1838" t="s">
        <v>3297</v>
      </c>
      <c r="P431" s="1838"/>
    </row>
    <row r="432" spans="2:16" s="1843" customFormat="1">
      <c r="B432" s="1838">
        <f t="shared" si="21"/>
        <v>429</v>
      </c>
      <c r="C432" s="1838" t="s">
        <v>392</v>
      </c>
      <c r="D432" s="1838" t="s">
        <v>3162</v>
      </c>
      <c r="E432" s="1838" t="s">
        <v>3597</v>
      </c>
      <c r="F432" s="1839">
        <v>45295</v>
      </c>
      <c r="G432" s="1840">
        <v>63331</v>
      </c>
      <c r="H432" s="1841">
        <f t="shared" si="19"/>
        <v>87</v>
      </c>
      <c r="I432" s="1838">
        <f t="shared" si="20"/>
        <v>63331</v>
      </c>
      <c r="J432" s="1838">
        <v>0</v>
      </c>
      <c r="K432" s="1838">
        <v>0</v>
      </c>
      <c r="L432" s="1838">
        <v>0</v>
      </c>
      <c r="M432" s="1838">
        <v>0</v>
      </c>
      <c r="N432" s="1838" t="s">
        <v>3595</v>
      </c>
      <c r="O432" s="1838" t="s">
        <v>3297</v>
      </c>
      <c r="P432" s="1838"/>
    </row>
    <row r="433" spans="2:16" s="1843" customFormat="1">
      <c r="B433" s="1838">
        <f t="shared" si="21"/>
        <v>430</v>
      </c>
      <c r="C433" s="1838" t="s">
        <v>392</v>
      </c>
      <c r="D433" s="1838" t="s">
        <v>3162</v>
      </c>
      <c r="E433" s="1838" t="s">
        <v>3598</v>
      </c>
      <c r="F433" s="1839">
        <v>45295</v>
      </c>
      <c r="G433" s="1840">
        <v>81625</v>
      </c>
      <c r="H433" s="1841">
        <f t="shared" si="19"/>
        <v>87</v>
      </c>
      <c r="I433" s="1838">
        <f t="shared" si="20"/>
        <v>81625</v>
      </c>
      <c r="J433" s="1838">
        <v>0</v>
      </c>
      <c r="K433" s="1838">
        <v>0</v>
      </c>
      <c r="L433" s="1838">
        <v>0</v>
      </c>
      <c r="M433" s="1838">
        <v>0</v>
      </c>
      <c r="N433" s="1838" t="s">
        <v>3595</v>
      </c>
      <c r="O433" s="1838" t="s">
        <v>3297</v>
      </c>
      <c r="P433" s="1838"/>
    </row>
    <row r="434" spans="2:16" s="1843" customFormat="1">
      <c r="B434" s="1838">
        <f t="shared" si="21"/>
        <v>431</v>
      </c>
      <c r="C434" s="1838" t="s">
        <v>392</v>
      </c>
      <c r="D434" s="1838" t="s">
        <v>3162</v>
      </c>
      <c r="E434" s="1838" t="s">
        <v>3599</v>
      </c>
      <c r="F434" s="1839">
        <v>45296</v>
      </c>
      <c r="G434" s="1840">
        <v>76249</v>
      </c>
      <c r="H434" s="1841">
        <f t="shared" si="19"/>
        <v>86</v>
      </c>
      <c r="I434" s="1838">
        <f t="shared" si="20"/>
        <v>76249</v>
      </c>
      <c r="J434" s="1838">
        <v>0</v>
      </c>
      <c r="K434" s="1838">
        <v>0</v>
      </c>
      <c r="L434" s="1838">
        <v>0</v>
      </c>
      <c r="M434" s="1838">
        <v>0</v>
      </c>
      <c r="N434" s="1838" t="s">
        <v>3595</v>
      </c>
      <c r="O434" s="1838" t="s">
        <v>3297</v>
      </c>
      <c r="P434" s="1838"/>
    </row>
    <row r="435" spans="2:16" s="1843" customFormat="1">
      <c r="B435" s="1838">
        <f t="shared" si="21"/>
        <v>432</v>
      </c>
      <c r="C435" s="1838" t="s">
        <v>392</v>
      </c>
      <c r="D435" s="1838" t="s">
        <v>3162</v>
      </c>
      <c r="E435" s="1838" t="s">
        <v>3600</v>
      </c>
      <c r="F435" s="1839">
        <v>45296</v>
      </c>
      <c r="G435" s="1840">
        <v>41616</v>
      </c>
      <c r="H435" s="1841">
        <f t="shared" si="19"/>
        <v>86</v>
      </c>
      <c r="I435" s="1838">
        <f t="shared" si="20"/>
        <v>41616</v>
      </c>
      <c r="J435" s="1838">
        <v>0</v>
      </c>
      <c r="K435" s="1838">
        <v>0</v>
      </c>
      <c r="L435" s="1838">
        <v>0</v>
      </c>
      <c r="M435" s="1838">
        <v>0</v>
      </c>
      <c r="N435" s="1838" t="s">
        <v>3595</v>
      </c>
      <c r="O435" s="1838" t="s">
        <v>3297</v>
      </c>
      <c r="P435" s="1838"/>
    </row>
    <row r="436" spans="2:16" s="1843" customFormat="1">
      <c r="B436" s="1838">
        <f t="shared" si="21"/>
        <v>433</v>
      </c>
      <c r="C436" s="1838" t="s">
        <v>392</v>
      </c>
      <c r="D436" s="1838" t="s">
        <v>3162</v>
      </c>
      <c r="E436" s="1838" t="s">
        <v>3601</v>
      </c>
      <c r="F436" s="1839">
        <v>45297</v>
      </c>
      <c r="G436" s="1840">
        <v>46364</v>
      </c>
      <c r="H436" s="1841">
        <f t="shared" si="19"/>
        <v>85</v>
      </c>
      <c r="I436" s="1838">
        <f t="shared" si="20"/>
        <v>46364</v>
      </c>
      <c r="J436" s="1838">
        <v>0</v>
      </c>
      <c r="K436" s="1838">
        <v>0</v>
      </c>
      <c r="L436" s="1838">
        <v>0</v>
      </c>
      <c r="M436" s="1838">
        <v>0</v>
      </c>
      <c r="N436" s="1838" t="s">
        <v>3595</v>
      </c>
      <c r="O436" s="1838" t="s">
        <v>3297</v>
      </c>
      <c r="P436" s="1838"/>
    </row>
    <row r="437" spans="2:16" s="1843" customFormat="1">
      <c r="B437" s="1838">
        <f t="shared" si="21"/>
        <v>434</v>
      </c>
      <c r="C437" s="1838" t="s">
        <v>392</v>
      </c>
      <c r="D437" s="1838" t="s">
        <v>3162</v>
      </c>
      <c r="E437" s="1838" t="s">
        <v>3602</v>
      </c>
      <c r="F437" s="1839">
        <v>45297</v>
      </c>
      <c r="G437" s="1840">
        <v>61237</v>
      </c>
      <c r="H437" s="1841">
        <f t="shared" si="19"/>
        <v>85</v>
      </c>
      <c r="I437" s="1838">
        <f t="shared" si="20"/>
        <v>61237</v>
      </c>
      <c r="J437" s="1838">
        <v>0</v>
      </c>
      <c r="K437" s="1838">
        <v>0</v>
      </c>
      <c r="L437" s="1838">
        <v>0</v>
      </c>
      <c r="M437" s="1838">
        <v>0</v>
      </c>
      <c r="N437" s="1838" t="s">
        <v>3595</v>
      </c>
      <c r="O437" s="1838" t="s">
        <v>3297</v>
      </c>
      <c r="P437" s="1838"/>
    </row>
    <row r="438" spans="2:16" s="1843" customFormat="1">
      <c r="B438" s="1838">
        <f t="shared" si="21"/>
        <v>435</v>
      </c>
      <c r="C438" s="1838" t="s">
        <v>392</v>
      </c>
      <c r="D438" s="1838" t="s">
        <v>3162</v>
      </c>
      <c r="E438" s="1838" t="s">
        <v>3603</v>
      </c>
      <c r="F438" s="1839">
        <v>45298</v>
      </c>
      <c r="G438" s="1840">
        <v>35401</v>
      </c>
      <c r="H438" s="1841">
        <f t="shared" si="19"/>
        <v>84</v>
      </c>
      <c r="I438" s="1838">
        <f t="shared" si="20"/>
        <v>35401</v>
      </c>
      <c r="J438" s="1838">
        <v>0</v>
      </c>
      <c r="K438" s="1838">
        <v>0</v>
      </c>
      <c r="L438" s="1838">
        <v>0</v>
      </c>
      <c r="M438" s="1838">
        <v>0</v>
      </c>
      <c r="N438" s="1838" t="s">
        <v>3595</v>
      </c>
      <c r="O438" s="1838" t="s">
        <v>3297</v>
      </c>
      <c r="P438" s="1838"/>
    </row>
    <row r="439" spans="2:16" s="1843" customFormat="1">
      <c r="B439" s="1838">
        <f t="shared" si="21"/>
        <v>436</v>
      </c>
      <c r="C439" s="1838" t="s">
        <v>392</v>
      </c>
      <c r="D439" s="1838" t="s">
        <v>3162</v>
      </c>
      <c r="E439" s="1838" t="s">
        <v>3604</v>
      </c>
      <c r="F439" s="1839">
        <v>45299</v>
      </c>
      <c r="G439" s="1840">
        <v>86583</v>
      </c>
      <c r="H439" s="1841">
        <f t="shared" si="19"/>
        <v>83</v>
      </c>
      <c r="I439" s="1838">
        <f t="shared" si="20"/>
        <v>86583</v>
      </c>
      <c r="J439" s="1838">
        <v>0</v>
      </c>
      <c r="K439" s="1838">
        <v>0</v>
      </c>
      <c r="L439" s="1838">
        <v>0</v>
      </c>
      <c r="M439" s="1838">
        <v>0</v>
      </c>
      <c r="N439" s="1838" t="s">
        <v>3595</v>
      </c>
      <c r="O439" s="1838" t="s">
        <v>3297</v>
      </c>
      <c r="P439" s="1838"/>
    </row>
    <row r="440" spans="2:16" s="1843" customFormat="1">
      <c r="B440" s="1838">
        <f t="shared" si="21"/>
        <v>437</v>
      </c>
      <c r="C440" s="1838" t="s">
        <v>392</v>
      </c>
      <c r="D440" s="1838" t="s">
        <v>3162</v>
      </c>
      <c r="E440" s="1838" t="s">
        <v>3605</v>
      </c>
      <c r="F440" s="1839">
        <v>45299</v>
      </c>
      <c r="G440" s="1840">
        <v>40499</v>
      </c>
      <c r="H440" s="1841">
        <f t="shared" si="19"/>
        <v>83</v>
      </c>
      <c r="I440" s="1838">
        <f t="shared" si="20"/>
        <v>40499</v>
      </c>
      <c r="J440" s="1838">
        <v>0</v>
      </c>
      <c r="K440" s="1838">
        <v>0</v>
      </c>
      <c r="L440" s="1838">
        <v>0</v>
      </c>
      <c r="M440" s="1838">
        <v>0</v>
      </c>
      <c r="N440" s="1838" t="s">
        <v>3595</v>
      </c>
      <c r="O440" s="1838" t="s">
        <v>3297</v>
      </c>
      <c r="P440" s="1838"/>
    </row>
    <row r="441" spans="2:16" s="1843" customFormat="1">
      <c r="B441" s="1838">
        <f t="shared" si="21"/>
        <v>438</v>
      </c>
      <c r="C441" s="1838" t="s">
        <v>392</v>
      </c>
      <c r="D441" s="1838" t="s">
        <v>3162</v>
      </c>
      <c r="E441" s="1838" t="s">
        <v>3606</v>
      </c>
      <c r="F441" s="1839">
        <v>45299</v>
      </c>
      <c r="G441" s="1840">
        <v>71780</v>
      </c>
      <c r="H441" s="1841">
        <f t="shared" si="19"/>
        <v>83</v>
      </c>
      <c r="I441" s="1838">
        <f t="shared" si="20"/>
        <v>71780</v>
      </c>
      <c r="J441" s="1838">
        <v>0</v>
      </c>
      <c r="K441" s="1838">
        <v>0</v>
      </c>
      <c r="L441" s="1838">
        <v>0</v>
      </c>
      <c r="M441" s="1838">
        <v>0</v>
      </c>
      <c r="N441" s="1838" t="s">
        <v>3595</v>
      </c>
      <c r="O441" s="1838" t="s">
        <v>3297</v>
      </c>
      <c r="P441" s="1838"/>
    </row>
    <row r="442" spans="2:16" s="1843" customFormat="1">
      <c r="B442" s="1838">
        <f t="shared" si="21"/>
        <v>439</v>
      </c>
      <c r="C442" s="1838" t="s">
        <v>392</v>
      </c>
      <c r="D442" s="1838" t="s">
        <v>3162</v>
      </c>
      <c r="E442" s="1838" t="s">
        <v>3607</v>
      </c>
      <c r="F442" s="1839">
        <v>45300</v>
      </c>
      <c r="G442" s="1840">
        <v>40934</v>
      </c>
      <c r="H442" s="1841">
        <f t="shared" si="19"/>
        <v>82</v>
      </c>
      <c r="I442" s="1838">
        <f t="shared" si="20"/>
        <v>40934</v>
      </c>
      <c r="J442" s="1838">
        <v>0</v>
      </c>
      <c r="K442" s="1838">
        <v>0</v>
      </c>
      <c r="L442" s="1838">
        <v>0</v>
      </c>
      <c r="M442" s="1838">
        <v>0</v>
      </c>
      <c r="N442" s="1838" t="s">
        <v>3595</v>
      </c>
      <c r="O442" s="1838" t="s">
        <v>3297</v>
      </c>
      <c r="P442" s="1838"/>
    </row>
    <row r="443" spans="2:16" s="1843" customFormat="1">
      <c r="B443" s="1838">
        <f t="shared" si="21"/>
        <v>440</v>
      </c>
      <c r="C443" s="1838" t="s">
        <v>392</v>
      </c>
      <c r="D443" s="1838" t="s">
        <v>3162</v>
      </c>
      <c r="E443" s="1838" t="s">
        <v>3608</v>
      </c>
      <c r="F443" s="1839">
        <v>45302</v>
      </c>
      <c r="G443" s="1840">
        <v>60372</v>
      </c>
      <c r="H443" s="1841">
        <f t="shared" si="19"/>
        <v>80</v>
      </c>
      <c r="I443" s="1838">
        <f t="shared" si="20"/>
        <v>60372</v>
      </c>
      <c r="J443" s="1838">
        <v>0</v>
      </c>
      <c r="K443" s="1838">
        <v>0</v>
      </c>
      <c r="L443" s="1838">
        <v>0</v>
      </c>
      <c r="M443" s="1838">
        <v>0</v>
      </c>
      <c r="N443" s="1838" t="s">
        <v>3595</v>
      </c>
      <c r="O443" s="1838" t="s">
        <v>3297</v>
      </c>
      <c r="P443" s="1838"/>
    </row>
    <row r="444" spans="2:16" s="1843" customFormat="1">
      <c r="B444" s="1838">
        <f t="shared" si="21"/>
        <v>441</v>
      </c>
      <c r="C444" s="1838" t="s">
        <v>392</v>
      </c>
      <c r="D444" s="1838" t="s">
        <v>3162</v>
      </c>
      <c r="E444" s="1838" t="s">
        <v>3609</v>
      </c>
      <c r="F444" s="1839">
        <v>45304</v>
      </c>
      <c r="G444" s="1840">
        <v>57703</v>
      </c>
      <c r="H444" s="1841">
        <f t="shared" si="19"/>
        <v>78</v>
      </c>
      <c r="I444" s="1838">
        <f t="shared" si="20"/>
        <v>57703</v>
      </c>
      <c r="J444" s="1838">
        <v>0</v>
      </c>
      <c r="K444" s="1838">
        <v>0</v>
      </c>
      <c r="L444" s="1838">
        <v>0</v>
      </c>
      <c r="M444" s="1838">
        <v>0</v>
      </c>
      <c r="N444" s="1838" t="s">
        <v>3595</v>
      </c>
      <c r="O444" s="1838" t="s">
        <v>3297</v>
      </c>
      <c r="P444" s="1838"/>
    </row>
    <row r="445" spans="2:16" s="1843" customFormat="1">
      <c r="B445" s="1838">
        <f t="shared" si="21"/>
        <v>442</v>
      </c>
      <c r="C445" s="1838" t="s">
        <v>392</v>
      </c>
      <c r="D445" s="1838" t="s">
        <v>3162</v>
      </c>
      <c r="E445" s="1838" t="s">
        <v>3610</v>
      </c>
      <c r="F445" s="1839">
        <v>45305</v>
      </c>
      <c r="G445" s="1840">
        <v>51004</v>
      </c>
      <c r="H445" s="1841">
        <f t="shared" si="19"/>
        <v>77</v>
      </c>
      <c r="I445" s="1838">
        <f t="shared" si="20"/>
        <v>51004</v>
      </c>
      <c r="J445" s="1838">
        <v>0</v>
      </c>
      <c r="K445" s="1838">
        <v>0</v>
      </c>
      <c r="L445" s="1838">
        <v>0</v>
      </c>
      <c r="M445" s="1838">
        <v>0</v>
      </c>
      <c r="N445" s="1838" t="s">
        <v>3595</v>
      </c>
      <c r="O445" s="1838" t="s">
        <v>3297</v>
      </c>
      <c r="P445" s="1838"/>
    </row>
    <row r="446" spans="2:16" s="1843" customFormat="1">
      <c r="B446" s="1838">
        <f t="shared" si="21"/>
        <v>443</v>
      </c>
      <c r="C446" s="1838" t="s">
        <v>392</v>
      </c>
      <c r="D446" s="1838" t="s">
        <v>3162</v>
      </c>
      <c r="E446" s="1838" t="s">
        <v>3611</v>
      </c>
      <c r="F446" s="1839">
        <v>45307</v>
      </c>
      <c r="G446" s="1840">
        <v>77343</v>
      </c>
      <c r="H446" s="1841">
        <f t="shared" si="19"/>
        <v>75</v>
      </c>
      <c r="I446" s="1838">
        <f t="shared" si="20"/>
        <v>77343</v>
      </c>
      <c r="J446" s="1838">
        <v>0</v>
      </c>
      <c r="K446" s="1838">
        <v>0</v>
      </c>
      <c r="L446" s="1838">
        <v>0</v>
      </c>
      <c r="M446" s="1838">
        <v>0</v>
      </c>
      <c r="N446" s="1838" t="s">
        <v>3595</v>
      </c>
      <c r="O446" s="1838" t="s">
        <v>3297</v>
      </c>
      <c r="P446" s="1838"/>
    </row>
    <row r="447" spans="2:16" s="1843" customFormat="1">
      <c r="B447" s="1838">
        <f t="shared" si="21"/>
        <v>444</v>
      </c>
      <c r="C447" s="1838" t="s">
        <v>392</v>
      </c>
      <c r="D447" s="1838" t="s">
        <v>3162</v>
      </c>
      <c r="E447" s="1838" t="s">
        <v>3612</v>
      </c>
      <c r="F447" s="1839">
        <v>45308</v>
      </c>
      <c r="G447" s="1840">
        <v>98516</v>
      </c>
      <c r="H447" s="1841">
        <f t="shared" si="19"/>
        <v>74</v>
      </c>
      <c r="I447" s="1838">
        <f t="shared" si="20"/>
        <v>98516</v>
      </c>
      <c r="J447" s="1838">
        <v>0</v>
      </c>
      <c r="K447" s="1838">
        <v>0</v>
      </c>
      <c r="L447" s="1838">
        <v>0</v>
      </c>
      <c r="M447" s="1838">
        <v>0</v>
      </c>
      <c r="N447" s="1838" t="s">
        <v>3595</v>
      </c>
      <c r="O447" s="1838" t="s">
        <v>3297</v>
      </c>
      <c r="P447" s="1838"/>
    </row>
    <row r="448" spans="2:16" s="1843" customFormat="1">
      <c r="B448" s="1838">
        <f t="shared" si="21"/>
        <v>445</v>
      </c>
      <c r="C448" s="1838" t="s">
        <v>392</v>
      </c>
      <c r="D448" s="1838" t="s">
        <v>3162</v>
      </c>
      <c r="E448" s="1838" t="s">
        <v>3613</v>
      </c>
      <c r="F448" s="1839">
        <v>45309</v>
      </c>
      <c r="G448" s="1840">
        <v>40362</v>
      </c>
      <c r="H448" s="1841">
        <f t="shared" si="19"/>
        <v>73</v>
      </c>
      <c r="I448" s="1838">
        <f t="shared" si="20"/>
        <v>40362</v>
      </c>
      <c r="J448" s="1838">
        <v>0</v>
      </c>
      <c r="K448" s="1838">
        <v>0</v>
      </c>
      <c r="L448" s="1838">
        <v>0</v>
      </c>
      <c r="M448" s="1838">
        <v>0</v>
      </c>
      <c r="N448" s="1838" t="s">
        <v>3595</v>
      </c>
      <c r="O448" s="1838" t="s">
        <v>3297</v>
      </c>
      <c r="P448" s="1838"/>
    </row>
    <row r="449" spans="2:16" s="1843" customFormat="1">
      <c r="B449" s="1838">
        <f t="shared" si="21"/>
        <v>446</v>
      </c>
      <c r="C449" s="1838" t="s">
        <v>392</v>
      </c>
      <c r="D449" s="1838" t="s">
        <v>3162</v>
      </c>
      <c r="E449" s="1838" t="s">
        <v>3614</v>
      </c>
      <c r="F449" s="1839">
        <v>45309</v>
      </c>
      <c r="G449" s="1840">
        <v>62575</v>
      </c>
      <c r="H449" s="1841">
        <f t="shared" si="19"/>
        <v>73</v>
      </c>
      <c r="I449" s="1838">
        <f t="shared" si="20"/>
        <v>62575</v>
      </c>
      <c r="J449" s="1838">
        <v>0</v>
      </c>
      <c r="K449" s="1838">
        <v>0</v>
      </c>
      <c r="L449" s="1838">
        <v>0</v>
      </c>
      <c r="M449" s="1838">
        <v>0</v>
      </c>
      <c r="N449" s="1838" t="s">
        <v>3595</v>
      </c>
      <c r="O449" s="1838" t="s">
        <v>3297</v>
      </c>
      <c r="P449" s="1838"/>
    </row>
    <row r="450" spans="2:16" s="1843" customFormat="1">
      <c r="B450" s="1838">
        <f t="shared" si="21"/>
        <v>447</v>
      </c>
      <c r="C450" s="1838" t="s">
        <v>392</v>
      </c>
      <c r="D450" s="1838" t="s">
        <v>3162</v>
      </c>
      <c r="E450" s="1838" t="s">
        <v>3615</v>
      </c>
      <c r="F450" s="1839">
        <v>45309</v>
      </c>
      <c r="G450" s="1840">
        <v>58102</v>
      </c>
      <c r="H450" s="1841">
        <f t="shared" si="19"/>
        <v>73</v>
      </c>
      <c r="I450" s="1838">
        <f t="shared" si="20"/>
        <v>58102</v>
      </c>
      <c r="J450" s="1838">
        <v>0</v>
      </c>
      <c r="K450" s="1838">
        <v>0</v>
      </c>
      <c r="L450" s="1838">
        <v>0</v>
      </c>
      <c r="M450" s="1838">
        <v>0</v>
      </c>
      <c r="N450" s="1838" t="s">
        <v>3595</v>
      </c>
      <c r="O450" s="1838" t="s">
        <v>3297</v>
      </c>
      <c r="P450" s="1838"/>
    </row>
    <row r="451" spans="2:16" s="1843" customFormat="1">
      <c r="B451" s="1838">
        <f t="shared" si="21"/>
        <v>448</v>
      </c>
      <c r="C451" s="1838" t="s">
        <v>392</v>
      </c>
      <c r="D451" s="1838" t="s">
        <v>3162</v>
      </c>
      <c r="E451" s="1838" t="s">
        <v>3616</v>
      </c>
      <c r="F451" s="1839">
        <v>45310</v>
      </c>
      <c r="G451" s="1840">
        <v>55091</v>
      </c>
      <c r="H451" s="1841">
        <f t="shared" si="19"/>
        <v>72</v>
      </c>
      <c r="I451" s="1838">
        <f t="shared" si="20"/>
        <v>55091</v>
      </c>
      <c r="J451" s="1838">
        <v>0</v>
      </c>
      <c r="K451" s="1838">
        <v>0</v>
      </c>
      <c r="L451" s="1838">
        <v>0</v>
      </c>
      <c r="M451" s="1838">
        <v>0</v>
      </c>
      <c r="N451" s="1838" t="s">
        <v>3595</v>
      </c>
      <c r="O451" s="1838" t="s">
        <v>3297</v>
      </c>
      <c r="P451" s="1838"/>
    </row>
    <row r="452" spans="2:16" s="1843" customFormat="1">
      <c r="B452" s="1838">
        <f t="shared" si="21"/>
        <v>449</v>
      </c>
      <c r="C452" s="1838" t="s">
        <v>392</v>
      </c>
      <c r="D452" s="1838" t="s">
        <v>3162</v>
      </c>
      <c r="E452" s="1838" t="s">
        <v>3617</v>
      </c>
      <c r="F452" s="1839">
        <v>45310</v>
      </c>
      <c r="G452" s="1840">
        <v>49802</v>
      </c>
      <c r="H452" s="1841">
        <f t="shared" si="19"/>
        <v>72</v>
      </c>
      <c r="I452" s="1838">
        <f t="shared" si="20"/>
        <v>49802</v>
      </c>
      <c r="J452" s="1838">
        <v>0</v>
      </c>
      <c r="K452" s="1838">
        <v>0</v>
      </c>
      <c r="L452" s="1838">
        <v>0</v>
      </c>
      <c r="M452" s="1838">
        <v>0</v>
      </c>
      <c r="N452" s="1838" t="s">
        <v>3595</v>
      </c>
      <c r="O452" s="1838" t="s">
        <v>3297</v>
      </c>
      <c r="P452" s="1838"/>
    </row>
    <row r="453" spans="2:16" s="1843" customFormat="1">
      <c r="B453" s="1838">
        <f t="shared" si="21"/>
        <v>450</v>
      </c>
      <c r="C453" s="1838" t="s">
        <v>392</v>
      </c>
      <c r="D453" s="1838" t="s">
        <v>3162</v>
      </c>
      <c r="E453" s="1838" t="s">
        <v>3618</v>
      </c>
      <c r="F453" s="1839">
        <v>45311</v>
      </c>
      <c r="G453" s="1840">
        <v>83979</v>
      </c>
      <c r="H453" s="1841">
        <f t="shared" ref="H453:H516" si="22">+$H$2-F453</f>
        <v>71</v>
      </c>
      <c r="I453" s="1838">
        <f t="shared" ref="I453:I516" si="23">+G453</f>
        <v>83979</v>
      </c>
      <c r="J453" s="1838">
        <v>0</v>
      </c>
      <c r="K453" s="1838">
        <v>0</v>
      </c>
      <c r="L453" s="1838">
        <v>0</v>
      </c>
      <c r="M453" s="1838">
        <v>0</v>
      </c>
      <c r="N453" s="1838" t="s">
        <v>3595</v>
      </c>
      <c r="O453" s="1838" t="s">
        <v>3297</v>
      </c>
      <c r="P453" s="1838"/>
    </row>
    <row r="454" spans="2:16" s="1843" customFormat="1">
      <c r="B454" s="1838">
        <f t="shared" ref="B454:B517" si="24">+B453+1</f>
        <v>451</v>
      </c>
      <c r="C454" s="1838" t="s">
        <v>392</v>
      </c>
      <c r="D454" s="1838" t="s">
        <v>3162</v>
      </c>
      <c r="E454" s="1838" t="s">
        <v>3619</v>
      </c>
      <c r="F454" s="1839">
        <v>45311</v>
      </c>
      <c r="G454" s="1840">
        <v>50208</v>
      </c>
      <c r="H454" s="1841">
        <f t="shared" si="22"/>
        <v>71</v>
      </c>
      <c r="I454" s="1838">
        <f t="shared" si="23"/>
        <v>50208</v>
      </c>
      <c r="J454" s="1838">
        <v>0</v>
      </c>
      <c r="K454" s="1838">
        <v>0</v>
      </c>
      <c r="L454" s="1838">
        <v>0</v>
      </c>
      <c r="M454" s="1838">
        <v>0</v>
      </c>
      <c r="N454" s="1838" t="s">
        <v>3595</v>
      </c>
      <c r="O454" s="1838" t="s">
        <v>3297</v>
      </c>
      <c r="P454" s="1838"/>
    </row>
    <row r="455" spans="2:16" s="1843" customFormat="1">
      <c r="B455" s="1838">
        <f t="shared" si="24"/>
        <v>452</v>
      </c>
      <c r="C455" s="1838" t="s">
        <v>392</v>
      </c>
      <c r="D455" s="1838" t="s">
        <v>3162</v>
      </c>
      <c r="E455" s="1838" t="s">
        <v>3620</v>
      </c>
      <c r="F455" s="1839">
        <v>45311</v>
      </c>
      <c r="G455" s="1840">
        <v>78690</v>
      </c>
      <c r="H455" s="1841">
        <f t="shared" si="22"/>
        <v>71</v>
      </c>
      <c r="I455" s="1838">
        <f t="shared" si="23"/>
        <v>78690</v>
      </c>
      <c r="J455" s="1838">
        <v>0</v>
      </c>
      <c r="K455" s="1838">
        <v>0</v>
      </c>
      <c r="L455" s="1838">
        <v>0</v>
      </c>
      <c r="M455" s="1838">
        <v>0</v>
      </c>
      <c r="N455" s="1838" t="s">
        <v>3595</v>
      </c>
      <c r="O455" s="1838" t="s">
        <v>3297</v>
      </c>
      <c r="P455" s="1838"/>
    </row>
    <row r="456" spans="2:16" s="1843" customFormat="1">
      <c r="B456" s="1838">
        <f t="shared" si="24"/>
        <v>453</v>
      </c>
      <c r="C456" s="1838" t="s">
        <v>392</v>
      </c>
      <c r="D456" s="1838" t="s">
        <v>3162</v>
      </c>
      <c r="E456" s="1838" t="s">
        <v>3621</v>
      </c>
      <c r="F456" s="1839">
        <v>45312</v>
      </c>
      <c r="G456" s="1840">
        <v>79666</v>
      </c>
      <c r="H456" s="1841">
        <f t="shared" si="22"/>
        <v>70</v>
      </c>
      <c r="I456" s="1838">
        <f t="shared" si="23"/>
        <v>79666</v>
      </c>
      <c r="J456" s="1838">
        <v>0</v>
      </c>
      <c r="K456" s="1838">
        <v>0</v>
      </c>
      <c r="L456" s="1838">
        <v>0</v>
      </c>
      <c r="M456" s="1838">
        <v>0</v>
      </c>
      <c r="N456" s="1838" t="s">
        <v>3595</v>
      </c>
      <c r="O456" s="1838" t="s">
        <v>3297</v>
      </c>
      <c r="P456" s="1838"/>
    </row>
    <row r="457" spans="2:16" s="1843" customFormat="1">
      <c r="B457" s="1838">
        <f t="shared" si="24"/>
        <v>454</v>
      </c>
      <c r="C457" s="1838" t="s">
        <v>392</v>
      </c>
      <c r="D457" s="1838" t="s">
        <v>3162</v>
      </c>
      <c r="E457" s="1838" t="s">
        <v>3622</v>
      </c>
      <c r="F457" s="1839">
        <v>45312</v>
      </c>
      <c r="G457" s="1840">
        <v>71040</v>
      </c>
      <c r="H457" s="1841">
        <f t="shared" si="22"/>
        <v>70</v>
      </c>
      <c r="I457" s="1838">
        <f t="shared" si="23"/>
        <v>71040</v>
      </c>
      <c r="J457" s="1838">
        <v>0</v>
      </c>
      <c r="K457" s="1838">
        <v>0</v>
      </c>
      <c r="L457" s="1838">
        <v>0</v>
      </c>
      <c r="M457" s="1838">
        <v>0</v>
      </c>
      <c r="N457" s="1838" t="s">
        <v>3595</v>
      </c>
      <c r="O457" s="1838" t="s">
        <v>3297</v>
      </c>
      <c r="P457" s="1838"/>
    </row>
    <row r="458" spans="2:16" s="1843" customFormat="1">
      <c r="B458" s="1838">
        <f t="shared" si="24"/>
        <v>455</v>
      </c>
      <c r="C458" s="1838" t="s">
        <v>392</v>
      </c>
      <c r="D458" s="1838" t="s">
        <v>3162</v>
      </c>
      <c r="E458" s="1838" t="s">
        <v>3623</v>
      </c>
      <c r="F458" s="1839">
        <v>45313</v>
      </c>
      <c r="G458" s="1840">
        <v>97976</v>
      </c>
      <c r="H458" s="1841">
        <f t="shared" si="22"/>
        <v>69</v>
      </c>
      <c r="I458" s="1838">
        <f t="shared" si="23"/>
        <v>97976</v>
      </c>
      <c r="J458" s="1838">
        <v>0</v>
      </c>
      <c r="K458" s="1838">
        <v>0</v>
      </c>
      <c r="L458" s="1838">
        <v>0</v>
      </c>
      <c r="M458" s="1838">
        <v>0</v>
      </c>
      <c r="N458" s="1838" t="s">
        <v>3595</v>
      </c>
      <c r="O458" s="1838" t="s">
        <v>3297</v>
      </c>
      <c r="P458" s="1838"/>
    </row>
    <row r="459" spans="2:16" s="1843" customFormat="1">
      <c r="B459" s="1838">
        <f t="shared" si="24"/>
        <v>456</v>
      </c>
      <c r="C459" s="1838" t="s">
        <v>392</v>
      </c>
      <c r="D459" s="1838" t="s">
        <v>3162</v>
      </c>
      <c r="E459" s="1838" t="s">
        <v>3624</v>
      </c>
      <c r="F459" s="1839">
        <v>45314</v>
      </c>
      <c r="G459" s="1840">
        <v>73726</v>
      </c>
      <c r="H459" s="1841">
        <f t="shared" si="22"/>
        <v>68</v>
      </c>
      <c r="I459" s="1838">
        <f t="shared" si="23"/>
        <v>73726</v>
      </c>
      <c r="J459" s="1838">
        <v>0</v>
      </c>
      <c r="K459" s="1838">
        <v>0</v>
      </c>
      <c r="L459" s="1838">
        <v>0</v>
      </c>
      <c r="M459" s="1838">
        <v>0</v>
      </c>
      <c r="N459" s="1838" t="s">
        <v>3595</v>
      </c>
      <c r="O459" s="1838" t="s">
        <v>3297</v>
      </c>
      <c r="P459" s="1838"/>
    </row>
    <row r="460" spans="2:16" s="1843" customFormat="1">
      <c r="B460" s="1838">
        <f t="shared" si="24"/>
        <v>457</v>
      </c>
      <c r="C460" s="1838" t="s">
        <v>392</v>
      </c>
      <c r="D460" s="1838" t="s">
        <v>3162</v>
      </c>
      <c r="E460" s="1838" t="s">
        <v>3625</v>
      </c>
      <c r="F460" s="1839">
        <v>45315</v>
      </c>
      <c r="G460" s="1840">
        <v>89513</v>
      </c>
      <c r="H460" s="1841">
        <f t="shared" si="22"/>
        <v>67</v>
      </c>
      <c r="I460" s="1838">
        <f t="shared" si="23"/>
        <v>89513</v>
      </c>
      <c r="J460" s="1838">
        <v>0</v>
      </c>
      <c r="K460" s="1838">
        <v>0</v>
      </c>
      <c r="L460" s="1838">
        <v>0</v>
      </c>
      <c r="M460" s="1838">
        <v>0</v>
      </c>
      <c r="N460" s="1838" t="s">
        <v>3595</v>
      </c>
      <c r="O460" s="1838" t="s">
        <v>3297</v>
      </c>
      <c r="P460" s="1838"/>
    </row>
    <row r="461" spans="2:16" s="1843" customFormat="1">
      <c r="B461" s="1838">
        <f t="shared" si="24"/>
        <v>458</v>
      </c>
      <c r="C461" s="1838" t="s">
        <v>392</v>
      </c>
      <c r="D461" s="1838" t="s">
        <v>3162</v>
      </c>
      <c r="E461" s="1838" t="s">
        <v>3626</v>
      </c>
      <c r="F461" s="1839">
        <v>45315</v>
      </c>
      <c r="G461" s="1840">
        <v>62171</v>
      </c>
      <c r="H461" s="1841">
        <f t="shared" si="22"/>
        <v>67</v>
      </c>
      <c r="I461" s="1838">
        <f t="shared" si="23"/>
        <v>62171</v>
      </c>
      <c r="J461" s="1838">
        <v>0</v>
      </c>
      <c r="K461" s="1838">
        <v>0</v>
      </c>
      <c r="L461" s="1838">
        <v>0</v>
      </c>
      <c r="M461" s="1838">
        <v>0</v>
      </c>
      <c r="N461" s="1838" t="s">
        <v>3595</v>
      </c>
      <c r="O461" s="1838" t="s">
        <v>3297</v>
      </c>
      <c r="P461" s="1838"/>
    </row>
    <row r="462" spans="2:16" s="1843" customFormat="1">
      <c r="B462" s="1838">
        <f t="shared" si="24"/>
        <v>459</v>
      </c>
      <c r="C462" s="1838" t="s">
        <v>392</v>
      </c>
      <c r="D462" s="1838" t="s">
        <v>3162</v>
      </c>
      <c r="E462" s="1838" t="s">
        <v>3627</v>
      </c>
      <c r="F462" s="1839">
        <v>45316</v>
      </c>
      <c r="G462" s="1840">
        <v>89675</v>
      </c>
      <c r="H462" s="1841">
        <f t="shared" si="22"/>
        <v>66</v>
      </c>
      <c r="I462" s="1838">
        <f t="shared" si="23"/>
        <v>89675</v>
      </c>
      <c r="J462" s="1838">
        <v>0</v>
      </c>
      <c r="K462" s="1838">
        <v>0</v>
      </c>
      <c r="L462" s="1838">
        <v>0</v>
      </c>
      <c r="M462" s="1838">
        <v>0</v>
      </c>
      <c r="N462" s="1838" t="s">
        <v>3595</v>
      </c>
      <c r="O462" s="1838" t="s">
        <v>3297</v>
      </c>
      <c r="P462" s="1838"/>
    </row>
    <row r="463" spans="2:16" s="1843" customFormat="1">
      <c r="B463" s="1838">
        <f t="shared" si="24"/>
        <v>460</v>
      </c>
      <c r="C463" s="1838" t="s">
        <v>392</v>
      </c>
      <c r="D463" s="1838" t="s">
        <v>3162</v>
      </c>
      <c r="E463" s="1838" t="s">
        <v>3628</v>
      </c>
      <c r="F463" s="1839">
        <v>45316</v>
      </c>
      <c r="G463" s="1840">
        <v>60543</v>
      </c>
      <c r="H463" s="1841">
        <f t="shared" si="22"/>
        <v>66</v>
      </c>
      <c r="I463" s="1838">
        <f t="shared" si="23"/>
        <v>60543</v>
      </c>
      <c r="J463" s="1838">
        <v>0</v>
      </c>
      <c r="K463" s="1838">
        <v>0</v>
      </c>
      <c r="L463" s="1838">
        <v>0</v>
      </c>
      <c r="M463" s="1838">
        <v>0</v>
      </c>
      <c r="N463" s="1838" t="s">
        <v>3595</v>
      </c>
      <c r="O463" s="1838" t="s">
        <v>3297</v>
      </c>
      <c r="P463" s="1838"/>
    </row>
    <row r="464" spans="2:16" s="1843" customFormat="1">
      <c r="B464" s="1838">
        <f t="shared" si="24"/>
        <v>461</v>
      </c>
      <c r="C464" s="1838" t="s">
        <v>392</v>
      </c>
      <c r="D464" s="1838" t="s">
        <v>3162</v>
      </c>
      <c r="E464" s="1838" t="s">
        <v>3629</v>
      </c>
      <c r="F464" s="1839">
        <v>45318</v>
      </c>
      <c r="G464" s="1840">
        <v>60228</v>
      </c>
      <c r="H464" s="1841">
        <f t="shared" si="22"/>
        <v>64</v>
      </c>
      <c r="I464" s="1838">
        <f t="shared" si="23"/>
        <v>60228</v>
      </c>
      <c r="J464" s="1838">
        <v>0</v>
      </c>
      <c r="K464" s="1838">
        <v>0</v>
      </c>
      <c r="L464" s="1838">
        <v>0</v>
      </c>
      <c r="M464" s="1838">
        <v>0</v>
      </c>
      <c r="N464" s="1838" t="s">
        <v>3595</v>
      </c>
      <c r="O464" s="1838" t="s">
        <v>3297</v>
      </c>
      <c r="P464" s="1838"/>
    </row>
    <row r="465" spans="2:16" s="1843" customFormat="1">
      <c r="B465" s="1838">
        <f t="shared" si="24"/>
        <v>462</v>
      </c>
      <c r="C465" s="1838" t="s">
        <v>392</v>
      </c>
      <c r="D465" s="1838" t="s">
        <v>3162</v>
      </c>
      <c r="E465" s="1838" t="s">
        <v>3630</v>
      </c>
      <c r="F465" s="1839">
        <v>45318</v>
      </c>
      <c r="G465" s="1840">
        <v>62748</v>
      </c>
      <c r="H465" s="1841">
        <f t="shared" si="22"/>
        <v>64</v>
      </c>
      <c r="I465" s="1838">
        <f t="shared" si="23"/>
        <v>62748</v>
      </c>
      <c r="J465" s="1838">
        <v>0</v>
      </c>
      <c r="K465" s="1838">
        <v>0</v>
      </c>
      <c r="L465" s="1838">
        <v>0</v>
      </c>
      <c r="M465" s="1838">
        <v>0</v>
      </c>
      <c r="N465" s="1838" t="s">
        <v>3595</v>
      </c>
      <c r="O465" s="1838" t="s">
        <v>3297</v>
      </c>
      <c r="P465" s="1838"/>
    </row>
    <row r="466" spans="2:16" s="1843" customFormat="1">
      <c r="B466" s="1838">
        <f t="shared" si="24"/>
        <v>463</v>
      </c>
      <c r="C466" s="1838" t="s">
        <v>392</v>
      </c>
      <c r="D466" s="1838" t="s">
        <v>3162</v>
      </c>
      <c r="E466" s="1838" t="s">
        <v>3631</v>
      </c>
      <c r="F466" s="1839">
        <v>45318</v>
      </c>
      <c r="G466" s="1840">
        <v>88872</v>
      </c>
      <c r="H466" s="1841">
        <f t="shared" si="22"/>
        <v>64</v>
      </c>
      <c r="I466" s="1838">
        <f t="shared" si="23"/>
        <v>88872</v>
      </c>
      <c r="J466" s="1838">
        <v>0</v>
      </c>
      <c r="K466" s="1838">
        <v>0</v>
      </c>
      <c r="L466" s="1838">
        <v>0</v>
      </c>
      <c r="M466" s="1838">
        <v>0</v>
      </c>
      <c r="N466" s="1838" t="s">
        <v>3595</v>
      </c>
      <c r="O466" s="1838" t="s">
        <v>3297</v>
      </c>
      <c r="P466" s="1838"/>
    </row>
    <row r="467" spans="2:16" s="1843" customFormat="1">
      <c r="B467" s="1838">
        <f t="shared" si="24"/>
        <v>464</v>
      </c>
      <c r="C467" s="1838" t="s">
        <v>392</v>
      </c>
      <c r="D467" s="1838" t="s">
        <v>3162</v>
      </c>
      <c r="E467" s="1838" t="s">
        <v>3632</v>
      </c>
      <c r="F467" s="1839">
        <v>45319</v>
      </c>
      <c r="G467" s="1840">
        <v>49728</v>
      </c>
      <c r="H467" s="1841">
        <f t="shared" si="22"/>
        <v>63</v>
      </c>
      <c r="I467" s="1838">
        <f t="shared" si="23"/>
        <v>49728</v>
      </c>
      <c r="J467" s="1838">
        <v>0</v>
      </c>
      <c r="K467" s="1838">
        <v>0</v>
      </c>
      <c r="L467" s="1838">
        <v>0</v>
      </c>
      <c r="M467" s="1838">
        <v>0</v>
      </c>
      <c r="N467" s="1838" t="s">
        <v>3595</v>
      </c>
      <c r="O467" s="1838" t="s">
        <v>3297</v>
      </c>
      <c r="P467" s="1838"/>
    </row>
    <row r="468" spans="2:16" s="1843" customFormat="1">
      <c r="B468" s="1838">
        <f t="shared" si="24"/>
        <v>465</v>
      </c>
      <c r="C468" s="1838" t="s">
        <v>392</v>
      </c>
      <c r="D468" s="1838" t="s">
        <v>3162</v>
      </c>
      <c r="E468" s="1838" t="s">
        <v>3633</v>
      </c>
      <c r="F468" s="1839">
        <v>45319</v>
      </c>
      <c r="G468" s="1840">
        <v>84588</v>
      </c>
      <c r="H468" s="1841">
        <f t="shared" si="22"/>
        <v>63</v>
      </c>
      <c r="I468" s="1838">
        <f t="shared" si="23"/>
        <v>84588</v>
      </c>
      <c r="J468" s="1838">
        <v>0</v>
      </c>
      <c r="K468" s="1838">
        <v>0</v>
      </c>
      <c r="L468" s="1838">
        <v>0</v>
      </c>
      <c r="M468" s="1838">
        <v>0</v>
      </c>
      <c r="N468" s="1838" t="s">
        <v>3595</v>
      </c>
      <c r="O468" s="1838" t="s">
        <v>3297</v>
      </c>
      <c r="P468" s="1838"/>
    </row>
    <row r="469" spans="2:16" s="1843" customFormat="1">
      <c r="B469" s="1838">
        <f t="shared" si="24"/>
        <v>466</v>
      </c>
      <c r="C469" s="1838" t="s">
        <v>392</v>
      </c>
      <c r="D469" s="1838" t="s">
        <v>3162</v>
      </c>
      <c r="E469" s="1838" t="s">
        <v>3634</v>
      </c>
      <c r="F469" s="1839">
        <v>45320</v>
      </c>
      <c r="G469" s="1840">
        <v>62160</v>
      </c>
      <c r="H469" s="1841">
        <f t="shared" si="22"/>
        <v>62</v>
      </c>
      <c r="I469" s="1838">
        <f t="shared" si="23"/>
        <v>62160</v>
      </c>
      <c r="J469" s="1838">
        <v>0</v>
      </c>
      <c r="K469" s="1838">
        <v>0</v>
      </c>
      <c r="L469" s="1838">
        <v>0</v>
      </c>
      <c r="M469" s="1838">
        <v>0</v>
      </c>
      <c r="N469" s="1838" t="s">
        <v>3595</v>
      </c>
      <c r="O469" s="1838" t="s">
        <v>3297</v>
      </c>
      <c r="P469" s="1838"/>
    </row>
    <row r="470" spans="2:16" s="1843" customFormat="1">
      <c r="B470" s="1838">
        <f t="shared" si="24"/>
        <v>467</v>
      </c>
      <c r="C470" s="1838" t="s">
        <v>392</v>
      </c>
      <c r="D470" s="1838" t="s">
        <v>3162</v>
      </c>
      <c r="E470" s="1838" t="s">
        <v>3635</v>
      </c>
      <c r="F470" s="1839">
        <v>45320</v>
      </c>
      <c r="G470" s="1840">
        <v>80724</v>
      </c>
      <c r="H470" s="1841">
        <f t="shared" si="22"/>
        <v>62</v>
      </c>
      <c r="I470" s="1838">
        <f t="shared" si="23"/>
        <v>80724</v>
      </c>
      <c r="J470" s="1838">
        <v>0</v>
      </c>
      <c r="K470" s="1838">
        <v>0</v>
      </c>
      <c r="L470" s="1838">
        <v>0</v>
      </c>
      <c r="M470" s="1838">
        <v>0</v>
      </c>
      <c r="N470" s="1838" t="s">
        <v>3595</v>
      </c>
      <c r="O470" s="1838" t="s">
        <v>3297</v>
      </c>
      <c r="P470" s="1838"/>
    </row>
    <row r="471" spans="2:16" s="1843" customFormat="1">
      <c r="B471" s="1838">
        <f t="shared" si="24"/>
        <v>468</v>
      </c>
      <c r="C471" s="1838" t="s">
        <v>392</v>
      </c>
      <c r="D471" s="1838" t="s">
        <v>3162</v>
      </c>
      <c r="E471" s="1838" t="s">
        <v>3636</v>
      </c>
      <c r="F471" s="1839">
        <v>45320</v>
      </c>
      <c r="G471" s="1840">
        <v>39144</v>
      </c>
      <c r="H471" s="1841">
        <f t="shared" si="22"/>
        <v>62</v>
      </c>
      <c r="I471" s="1838">
        <f t="shared" si="23"/>
        <v>39144</v>
      </c>
      <c r="J471" s="1838">
        <v>0</v>
      </c>
      <c r="K471" s="1838">
        <v>0</v>
      </c>
      <c r="L471" s="1838">
        <v>0</v>
      </c>
      <c r="M471" s="1838">
        <v>0</v>
      </c>
      <c r="N471" s="1838" t="s">
        <v>3595</v>
      </c>
      <c r="O471" s="1838" t="s">
        <v>3297</v>
      </c>
      <c r="P471" s="1838"/>
    </row>
    <row r="472" spans="2:16" s="1843" customFormat="1">
      <c r="B472" s="1838">
        <f t="shared" si="24"/>
        <v>469</v>
      </c>
      <c r="C472" s="1838" t="s">
        <v>392</v>
      </c>
      <c r="D472" s="1838" t="s">
        <v>3162</v>
      </c>
      <c r="E472" s="1838" t="s">
        <v>3637</v>
      </c>
      <c r="F472" s="1839">
        <v>45321</v>
      </c>
      <c r="G472" s="1840">
        <v>74088</v>
      </c>
      <c r="H472" s="1841">
        <f t="shared" si="22"/>
        <v>61</v>
      </c>
      <c r="I472" s="1838">
        <f t="shared" si="23"/>
        <v>74088</v>
      </c>
      <c r="J472" s="1838">
        <v>0</v>
      </c>
      <c r="K472" s="1838">
        <v>0</v>
      </c>
      <c r="L472" s="1838">
        <v>0</v>
      </c>
      <c r="M472" s="1838">
        <v>0</v>
      </c>
      <c r="N472" s="1838" t="s">
        <v>3595</v>
      </c>
      <c r="O472" s="1838" t="s">
        <v>3297</v>
      </c>
      <c r="P472" s="1838"/>
    </row>
    <row r="473" spans="2:16" s="1843" customFormat="1">
      <c r="B473" s="1838">
        <f t="shared" si="24"/>
        <v>470</v>
      </c>
      <c r="C473" s="1838" t="s">
        <v>392</v>
      </c>
      <c r="D473" s="1838" t="s">
        <v>3162</v>
      </c>
      <c r="E473" s="1838" t="s">
        <v>3638</v>
      </c>
      <c r="F473" s="1839">
        <v>45321</v>
      </c>
      <c r="G473" s="1840">
        <v>91896</v>
      </c>
      <c r="H473" s="1841">
        <f t="shared" si="22"/>
        <v>61</v>
      </c>
      <c r="I473" s="1838">
        <f t="shared" si="23"/>
        <v>91896</v>
      </c>
      <c r="J473" s="1838">
        <v>0</v>
      </c>
      <c r="K473" s="1838">
        <v>0</v>
      </c>
      <c r="L473" s="1838">
        <v>0</v>
      </c>
      <c r="M473" s="1838">
        <v>0</v>
      </c>
      <c r="N473" s="1838" t="s">
        <v>3595</v>
      </c>
      <c r="O473" s="1838" t="s">
        <v>3297</v>
      </c>
      <c r="P473" s="1838"/>
    </row>
    <row r="474" spans="2:16" s="1843" customFormat="1">
      <c r="B474" s="1838">
        <f t="shared" si="24"/>
        <v>471</v>
      </c>
      <c r="C474" s="1838" t="s">
        <v>392</v>
      </c>
      <c r="D474" s="1838" t="s">
        <v>3162</v>
      </c>
      <c r="E474" s="1838" t="s">
        <v>3639</v>
      </c>
      <c r="F474" s="1839">
        <v>45321</v>
      </c>
      <c r="G474" s="1840">
        <v>74760</v>
      </c>
      <c r="H474" s="1841">
        <f t="shared" si="22"/>
        <v>61</v>
      </c>
      <c r="I474" s="1838">
        <f t="shared" si="23"/>
        <v>74760</v>
      </c>
      <c r="J474" s="1838">
        <v>0</v>
      </c>
      <c r="K474" s="1838">
        <v>0</v>
      </c>
      <c r="L474" s="1838">
        <v>0</v>
      </c>
      <c r="M474" s="1838">
        <v>0</v>
      </c>
      <c r="N474" s="1838" t="s">
        <v>3595</v>
      </c>
      <c r="O474" s="1838" t="s">
        <v>3297</v>
      </c>
      <c r="P474" s="1838"/>
    </row>
    <row r="475" spans="2:16" s="1843" customFormat="1">
      <c r="B475" s="1838">
        <f t="shared" si="24"/>
        <v>472</v>
      </c>
      <c r="C475" s="1838" t="s">
        <v>392</v>
      </c>
      <c r="D475" s="1838" t="s">
        <v>3162</v>
      </c>
      <c r="E475" s="1838" t="s">
        <v>3640</v>
      </c>
      <c r="F475" s="1839">
        <v>45322</v>
      </c>
      <c r="G475" s="1840">
        <v>17220</v>
      </c>
      <c r="H475" s="1841">
        <f t="shared" si="22"/>
        <v>60</v>
      </c>
      <c r="I475" s="1838">
        <f t="shared" si="23"/>
        <v>17220</v>
      </c>
      <c r="J475" s="1838">
        <v>0</v>
      </c>
      <c r="K475" s="1838">
        <v>0</v>
      </c>
      <c r="L475" s="1838">
        <v>0</v>
      </c>
      <c r="M475" s="1838">
        <v>0</v>
      </c>
      <c r="N475" s="1838" t="s">
        <v>3595</v>
      </c>
      <c r="O475" s="1838" t="s">
        <v>3297</v>
      </c>
      <c r="P475" s="1838"/>
    </row>
    <row r="476" spans="2:16" s="1843" customFormat="1">
      <c r="B476" s="1838">
        <f t="shared" si="24"/>
        <v>473</v>
      </c>
      <c r="C476" s="1838" t="s">
        <v>392</v>
      </c>
      <c r="D476" s="1838" t="s">
        <v>3162</v>
      </c>
      <c r="E476" s="1838" t="s">
        <v>3641</v>
      </c>
      <c r="F476" s="1839">
        <v>45322</v>
      </c>
      <c r="G476" s="1840">
        <v>91896</v>
      </c>
      <c r="H476" s="1841">
        <f t="shared" si="22"/>
        <v>60</v>
      </c>
      <c r="I476" s="1838">
        <f t="shared" si="23"/>
        <v>91896</v>
      </c>
      <c r="J476" s="1838">
        <v>0</v>
      </c>
      <c r="K476" s="1838">
        <v>0</v>
      </c>
      <c r="L476" s="1838">
        <v>0</v>
      </c>
      <c r="M476" s="1838">
        <v>0</v>
      </c>
      <c r="N476" s="1838" t="s">
        <v>3595</v>
      </c>
      <c r="O476" s="1838" t="s">
        <v>3297</v>
      </c>
      <c r="P476" s="1838"/>
    </row>
    <row r="477" spans="2:16" s="1843" customFormat="1">
      <c r="B477" s="1838">
        <f t="shared" si="24"/>
        <v>474</v>
      </c>
      <c r="C477" s="1838" t="s">
        <v>392</v>
      </c>
      <c r="D477" s="1838" t="s">
        <v>3162</v>
      </c>
      <c r="E477" s="1838" t="s">
        <v>3642</v>
      </c>
      <c r="F477" s="1839">
        <v>45322</v>
      </c>
      <c r="G477" s="1840">
        <v>48500</v>
      </c>
      <c r="H477" s="1841">
        <f t="shared" si="22"/>
        <v>60</v>
      </c>
      <c r="I477" s="1838">
        <f t="shared" si="23"/>
        <v>48500</v>
      </c>
      <c r="J477" s="1838">
        <v>0</v>
      </c>
      <c r="K477" s="1838">
        <v>0</v>
      </c>
      <c r="L477" s="1838">
        <v>0</v>
      </c>
      <c r="M477" s="1838">
        <v>0</v>
      </c>
      <c r="N477" s="1838" t="s">
        <v>3595</v>
      </c>
      <c r="O477" s="1838" t="s">
        <v>3297</v>
      </c>
      <c r="P477" s="1838"/>
    </row>
    <row r="478" spans="2:16" s="1843" customFormat="1">
      <c r="B478" s="1838">
        <f t="shared" si="24"/>
        <v>475</v>
      </c>
      <c r="C478" s="1838" t="s">
        <v>392</v>
      </c>
      <c r="D478" s="1838" t="s">
        <v>3162</v>
      </c>
      <c r="E478" s="1838" t="s">
        <v>3643</v>
      </c>
      <c r="F478" s="1839">
        <v>45322</v>
      </c>
      <c r="G478" s="1840">
        <v>47686</v>
      </c>
      <c r="H478" s="1841">
        <f t="shared" si="22"/>
        <v>60</v>
      </c>
      <c r="I478" s="1838">
        <f t="shared" si="23"/>
        <v>47686</v>
      </c>
      <c r="J478" s="1838">
        <v>0</v>
      </c>
      <c r="K478" s="1838">
        <v>0</v>
      </c>
      <c r="L478" s="1838">
        <v>0</v>
      </c>
      <c r="M478" s="1838">
        <v>0</v>
      </c>
      <c r="N478" s="1838" t="s">
        <v>3595</v>
      </c>
      <c r="O478" s="1838" t="s">
        <v>3297</v>
      </c>
      <c r="P478" s="1838"/>
    </row>
    <row r="479" spans="2:16" s="1843" customFormat="1">
      <c r="B479" s="1838">
        <f t="shared" si="24"/>
        <v>476</v>
      </c>
      <c r="C479" s="1838" t="s">
        <v>392</v>
      </c>
      <c r="D479" s="1838" t="s">
        <v>3162</v>
      </c>
      <c r="E479" s="1838" t="s">
        <v>3303</v>
      </c>
      <c r="F479" s="1839">
        <v>45322</v>
      </c>
      <c r="G479" s="1840">
        <v>-3154</v>
      </c>
      <c r="H479" s="1841">
        <f t="shared" si="22"/>
        <v>60</v>
      </c>
      <c r="I479" s="1838">
        <f t="shared" si="23"/>
        <v>-3154</v>
      </c>
      <c r="J479" s="1838">
        <v>0</v>
      </c>
      <c r="K479" s="1838">
        <v>0</v>
      </c>
      <c r="L479" s="1838">
        <v>0</v>
      </c>
      <c r="M479" s="1838">
        <v>0</v>
      </c>
      <c r="N479" s="1838" t="s">
        <v>3595</v>
      </c>
      <c r="O479" s="1838" t="s">
        <v>3297</v>
      </c>
      <c r="P479" s="1838"/>
    </row>
    <row r="480" spans="2:16" s="1843" customFormat="1">
      <c r="B480" s="1838">
        <f t="shared" si="24"/>
        <v>477</v>
      </c>
      <c r="C480" s="1838" t="s">
        <v>392</v>
      </c>
      <c r="D480" s="1838" t="s">
        <v>3162</v>
      </c>
      <c r="E480" s="1838" t="s">
        <v>3644</v>
      </c>
      <c r="F480" s="1839">
        <v>45323</v>
      </c>
      <c r="G480" s="1840">
        <v>13608</v>
      </c>
      <c r="H480" s="1841">
        <f t="shared" si="22"/>
        <v>59</v>
      </c>
      <c r="I480" s="1838">
        <f t="shared" si="23"/>
        <v>13608</v>
      </c>
      <c r="J480" s="1838">
        <v>0</v>
      </c>
      <c r="K480" s="1838">
        <v>0</v>
      </c>
      <c r="L480" s="1838">
        <v>0</v>
      </c>
      <c r="M480" s="1838">
        <v>0</v>
      </c>
      <c r="N480" s="1838" t="s">
        <v>3595</v>
      </c>
      <c r="O480" s="1838" t="s">
        <v>3297</v>
      </c>
      <c r="P480" s="1838"/>
    </row>
    <row r="481" spans="2:16" s="1843" customFormat="1">
      <c r="B481" s="1838">
        <f t="shared" si="24"/>
        <v>478</v>
      </c>
      <c r="C481" s="1838" t="s">
        <v>392</v>
      </c>
      <c r="D481" s="1838" t="s">
        <v>3162</v>
      </c>
      <c r="E481" s="1838" t="s">
        <v>3645</v>
      </c>
      <c r="F481" s="1839">
        <v>45324</v>
      </c>
      <c r="G481" s="1840">
        <v>84588</v>
      </c>
      <c r="H481" s="1841">
        <f t="shared" si="22"/>
        <v>58</v>
      </c>
      <c r="I481" s="1838">
        <f t="shared" si="23"/>
        <v>84588</v>
      </c>
      <c r="J481" s="1838">
        <v>0</v>
      </c>
      <c r="K481" s="1838">
        <v>0</v>
      </c>
      <c r="L481" s="1838">
        <v>0</v>
      </c>
      <c r="M481" s="1838">
        <v>0</v>
      </c>
      <c r="N481" s="1838" t="s">
        <v>3595</v>
      </c>
      <c r="O481" s="1838" t="s">
        <v>3297</v>
      </c>
      <c r="P481" s="1838"/>
    </row>
    <row r="482" spans="2:16" s="1843" customFormat="1">
      <c r="B482" s="1838">
        <f t="shared" si="24"/>
        <v>479</v>
      </c>
      <c r="C482" s="1838" t="s">
        <v>392</v>
      </c>
      <c r="D482" s="1838" t="s">
        <v>3162</v>
      </c>
      <c r="E482" s="1838" t="s">
        <v>3646</v>
      </c>
      <c r="F482" s="1839">
        <v>45325</v>
      </c>
      <c r="G482" s="1840">
        <v>29400</v>
      </c>
      <c r="H482" s="1841">
        <f t="shared" si="22"/>
        <v>57</v>
      </c>
      <c r="I482" s="1838">
        <f t="shared" si="23"/>
        <v>29400</v>
      </c>
      <c r="J482" s="1838">
        <v>0</v>
      </c>
      <c r="K482" s="1838">
        <v>0</v>
      </c>
      <c r="L482" s="1838">
        <v>0</v>
      </c>
      <c r="M482" s="1838">
        <v>0</v>
      </c>
      <c r="N482" s="1838" t="s">
        <v>3595</v>
      </c>
      <c r="O482" s="1838" t="s">
        <v>3297</v>
      </c>
      <c r="P482" s="1838"/>
    </row>
    <row r="483" spans="2:16" s="1843" customFormat="1">
      <c r="B483" s="1838">
        <f t="shared" si="24"/>
        <v>480</v>
      </c>
      <c r="C483" s="1838" t="s">
        <v>392</v>
      </c>
      <c r="D483" s="1838" t="s">
        <v>3162</v>
      </c>
      <c r="E483" s="1838" t="s">
        <v>3647</v>
      </c>
      <c r="F483" s="1839">
        <v>45326</v>
      </c>
      <c r="G483" s="1840">
        <v>37884</v>
      </c>
      <c r="H483" s="1841">
        <f t="shared" si="22"/>
        <v>56</v>
      </c>
      <c r="I483" s="1838">
        <f t="shared" si="23"/>
        <v>37884</v>
      </c>
      <c r="J483" s="1838">
        <v>0</v>
      </c>
      <c r="K483" s="1838">
        <v>0</v>
      </c>
      <c r="L483" s="1838">
        <v>0</v>
      </c>
      <c r="M483" s="1838">
        <v>0</v>
      </c>
      <c r="N483" s="1838" t="s">
        <v>3595</v>
      </c>
      <c r="O483" s="1838" t="s">
        <v>3297</v>
      </c>
      <c r="P483" s="1838"/>
    </row>
    <row r="484" spans="2:16" s="1843" customFormat="1">
      <c r="B484" s="1838">
        <f t="shared" si="24"/>
        <v>481</v>
      </c>
      <c r="C484" s="1838" t="s">
        <v>392</v>
      </c>
      <c r="D484" s="1838" t="s">
        <v>3162</v>
      </c>
      <c r="E484" s="1838" t="s">
        <v>3648</v>
      </c>
      <c r="F484" s="1839">
        <v>45327</v>
      </c>
      <c r="G484" s="1840">
        <v>41496</v>
      </c>
      <c r="H484" s="1841">
        <f t="shared" si="22"/>
        <v>55</v>
      </c>
      <c r="I484" s="1838">
        <f t="shared" si="23"/>
        <v>41496</v>
      </c>
      <c r="J484" s="1838">
        <v>0</v>
      </c>
      <c r="K484" s="1838">
        <v>0</v>
      </c>
      <c r="L484" s="1838">
        <v>0</v>
      </c>
      <c r="M484" s="1838">
        <v>0</v>
      </c>
      <c r="N484" s="1838" t="s">
        <v>3595</v>
      </c>
      <c r="O484" s="1838" t="s">
        <v>3297</v>
      </c>
      <c r="P484" s="1838"/>
    </row>
    <row r="485" spans="2:16" s="1843" customFormat="1">
      <c r="B485" s="1838">
        <f t="shared" si="24"/>
        <v>482</v>
      </c>
      <c r="C485" s="1838" t="s">
        <v>392</v>
      </c>
      <c r="D485" s="1838" t="s">
        <v>3162</v>
      </c>
      <c r="E485" s="1838" t="s">
        <v>3649</v>
      </c>
      <c r="F485" s="1839">
        <v>45327</v>
      </c>
      <c r="G485" s="1840">
        <v>61824</v>
      </c>
      <c r="H485" s="1841">
        <f t="shared" si="22"/>
        <v>55</v>
      </c>
      <c r="I485" s="1838">
        <f t="shared" si="23"/>
        <v>61824</v>
      </c>
      <c r="J485" s="1838">
        <v>0</v>
      </c>
      <c r="K485" s="1838">
        <v>0</v>
      </c>
      <c r="L485" s="1838">
        <v>0</v>
      </c>
      <c r="M485" s="1838">
        <v>0</v>
      </c>
      <c r="N485" s="1838" t="s">
        <v>3595</v>
      </c>
      <c r="O485" s="1838" t="s">
        <v>3297</v>
      </c>
      <c r="P485" s="1838"/>
    </row>
    <row r="486" spans="2:16" s="1843" customFormat="1">
      <c r="B486" s="1838">
        <f t="shared" si="24"/>
        <v>483</v>
      </c>
      <c r="C486" s="1838" t="s">
        <v>392</v>
      </c>
      <c r="D486" s="1838" t="s">
        <v>3162</v>
      </c>
      <c r="E486" s="1838" t="s">
        <v>3650</v>
      </c>
      <c r="F486" s="1839">
        <v>45327</v>
      </c>
      <c r="G486" s="1840">
        <v>42672</v>
      </c>
      <c r="H486" s="1841">
        <f t="shared" si="22"/>
        <v>55</v>
      </c>
      <c r="I486" s="1838">
        <f t="shared" si="23"/>
        <v>42672</v>
      </c>
      <c r="J486" s="1838">
        <v>0</v>
      </c>
      <c r="K486" s="1838">
        <v>0</v>
      </c>
      <c r="L486" s="1838">
        <v>0</v>
      </c>
      <c r="M486" s="1838">
        <v>0</v>
      </c>
      <c r="N486" s="1838" t="s">
        <v>3595</v>
      </c>
      <c r="O486" s="1838" t="s">
        <v>3297</v>
      </c>
      <c r="P486" s="1838"/>
    </row>
    <row r="487" spans="2:16" s="1843" customFormat="1">
      <c r="B487" s="1838">
        <f t="shared" si="24"/>
        <v>484</v>
      </c>
      <c r="C487" s="1838" t="s">
        <v>392</v>
      </c>
      <c r="D487" s="1838" t="s">
        <v>3162</v>
      </c>
      <c r="E487" s="1838" t="s">
        <v>3651</v>
      </c>
      <c r="F487" s="1839">
        <v>45328</v>
      </c>
      <c r="G487" s="1840">
        <v>98301</v>
      </c>
      <c r="H487" s="1841">
        <f t="shared" si="22"/>
        <v>54</v>
      </c>
      <c r="I487" s="1838">
        <f t="shared" si="23"/>
        <v>98301</v>
      </c>
      <c r="J487" s="1838">
        <v>0</v>
      </c>
      <c r="K487" s="1838">
        <v>0</v>
      </c>
      <c r="L487" s="1838">
        <v>0</v>
      </c>
      <c r="M487" s="1838">
        <v>0</v>
      </c>
      <c r="N487" s="1838" t="s">
        <v>3595</v>
      </c>
      <c r="O487" s="1838" t="s">
        <v>3297</v>
      </c>
      <c r="P487" s="1838"/>
    </row>
    <row r="488" spans="2:16" s="1843" customFormat="1">
      <c r="B488" s="1838">
        <f t="shared" si="24"/>
        <v>485</v>
      </c>
      <c r="C488" s="1838" t="s">
        <v>392</v>
      </c>
      <c r="D488" s="1838" t="s">
        <v>3162</v>
      </c>
      <c r="E488" s="1838" t="s">
        <v>3652</v>
      </c>
      <c r="F488" s="1839">
        <v>45328</v>
      </c>
      <c r="G488" s="1840">
        <v>38052</v>
      </c>
      <c r="H488" s="1841">
        <f t="shared" si="22"/>
        <v>54</v>
      </c>
      <c r="I488" s="1838">
        <f t="shared" si="23"/>
        <v>38052</v>
      </c>
      <c r="J488" s="1838">
        <v>0</v>
      </c>
      <c r="K488" s="1838">
        <v>0</v>
      </c>
      <c r="L488" s="1838">
        <v>0</v>
      </c>
      <c r="M488" s="1838">
        <v>0</v>
      </c>
      <c r="N488" s="1838" t="s">
        <v>3595</v>
      </c>
      <c r="O488" s="1838" t="s">
        <v>3297</v>
      </c>
      <c r="P488" s="1838"/>
    </row>
    <row r="489" spans="2:16" s="1843" customFormat="1">
      <c r="B489" s="1838">
        <f t="shared" si="24"/>
        <v>486</v>
      </c>
      <c r="C489" s="1838" t="s">
        <v>392</v>
      </c>
      <c r="D489" s="1838" t="s">
        <v>3162</v>
      </c>
      <c r="E489" s="1838" t="s">
        <v>3653</v>
      </c>
      <c r="F489" s="1839">
        <v>45329</v>
      </c>
      <c r="G489" s="1840">
        <v>57120</v>
      </c>
      <c r="H489" s="1841">
        <f t="shared" si="22"/>
        <v>53</v>
      </c>
      <c r="I489" s="1838">
        <f t="shared" si="23"/>
        <v>57120</v>
      </c>
      <c r="J489" s="1838">
        <v>0</v>
      </c>
      <c r="K489" s="1838">
        <v>0</v>
      </c>
      <c r="L489" s="1838">
        <v>0</v>
      </c>
      <c r="M489" s="1838">
        <v>0</v>
      </c>
      <c r="N489" s="1838" t="s">
        <v>3595</v>
      </c>
      <c r="O489" s="1838" t="s">
        <v>3297</v>
      </c>
      <c r="P489" s="1838"/>
    </row>
    <row r="490" spans="2:16" s="1843" customFormat="1">
      <c r="B490" s="1838">
        <f t="shared" si="24"/>
        <v>487</v>
      </c>
      <c r="C490" s="1838" t="s">
        <v>392</v>
      </c>
      <c r="D490" s="1838" t="s">
        <v>3162</v>
      </c>
      <c r="E490" s="1838" t="s">
        <v>3654</v>
      </c>
      <c r="F490" s="1839">
        <v>45329</v>
      </c>
      <c r="G490" s="1840">
        <v>88247</v>
      </c>
      <c r="H490" s="1841">
        <f t="shared" si="22"/>
        <v>53</v>
      </c>
      <c r="I490" s="1838">
        <f t="shared" si="23"/>
        <v>88247</v>
      </c>
      <c r="J490" s="1838">
        <v>0</v>
      </c>
      <c r="K490" s="1838">
        <v>0</v>
      </c>
      <c r="L490" s="1838">
        <v>0</v>
      </c>
      <c r="M490" s="1838">
        <v>0</v>
      </c>
      <c r="N490" s="1838" t="s">
        <v>3595</v>
      </c>
      <c r="O490" s="1838" t="s">
        <v>3297</v>
      </c>
      <c r="P490" s="1838"/>
    </row>
    <row r="491" spans="2:16" s="1843" customFormat="1">
      <c r="B491" s="1838">
        <f t="shared" si="24"/>
        <v>488</v>
      </c>
      <c r="C491" s="1838" t="s">
        <v>392</v>
      </c>
      <c r="D491" s="1838" t="s">
        <v>3162</v>
      </c>
      <c r="E491" s="1838" t="s">
        <v>3655</v>
      </c>
      <c r="F491" s="1839">
        <v>45329</v>
      </c>
      <c r="G491" s="1840">
        <v>86772</v>
      </c>
      <c r="H491" s="1841">
        <f t="shared" si="22"/>
        <v>53</v>
      </c>
      <c r="I491" s="1838">
        <f t="shared" si="23"/>
        <v>86772</v>
      </c>
      <c r="J491" s="1838">
        <v>0</v>
      </c>
      <c r="K491" s="1838">
        <v>0</v>
      </c>
      <c r="L491" s="1838">
        <v>0</v>
      </c>
      <c r="M491" s="1838">
        <v>0</v>
      </c>
      <c r="N491" s="1838" t="s">
        <v>3595</v>
      </c>
      <c r="O491" s="1838" t="s">
        <v>3297</v>
      </c>
      <c r="P491" s="1838"/>
    </row>
    <row r="492" spans="2:16" s="1843" customFormat="1">
      <c r="B492" s="1838">
        <f t="shared" si="24"/>
        <v>489</v>
      </c>
      <c r="C492" s="1838" t="s">
        <v>392</v>
      </c>
      <c r="D492" s="1838" t="s">
        <v>3162</v>
      </c>
      <c r="E492" s="1838" t="s">
        <v>3656</v>
      </c>
      <c r="F492" s="1839">
        <v>45330</v>
      </c>
      <c r="G492" s="1840">
        <v>52584</v>
      </c>
      <c r="H492" s="1841">
        <f t="shared" si="22"/>
        <v>52</v>
      </c>
      <c r="I492" s="1838">
        <f t="shared" si="23"/>
        <v>52584</v>
      </c>
      <c r="J492" s="1838">
        <v>0</v>
      </c>
      <c r="K492" s="1838">
        <v>0</v>
      </c>
      <c r="L492" s="1838">
        <v>0</v>
      </c>
      <c r="M492" s="1838">
        <v>0</v>
      </c>
      <c r="N492" s="1838" t="s">
        <v>3595</v>
      </c>
      <c r="O492" s="1838" t="s">
        <v>3297</v>
      </c>
      <c r="P492" s="1838"/>
    </row>
    <row r="493" spans="2:16" s="1843" customFormat="1">
      <c r="B493" s="1838">
        <f t="shared" si="24"/>
        <v>490</v>
      </c>
      <c r="C493" s="1838" t="s">
        <v>392</v>
      </c>
      <c r="D493" s="1838" t="s">
        <v>3162</v>
      </c>
      <c r="E493" s="1838" t="s">
        <v>3657</v>
      </c>
      <c r="F493" s="1839">
        <v>45330</v>
      </c>
      <c r="G493" s="1840">
        <v>43985</v>
      </c>
      <c r="H493" s="1841">
        <f t="shared" si="22"/>
        <v>52</v>
      </c>
      <c r="I493" s="1838">
        <f t="shared" si="23"/>
        <v>43985</v>
      </c>
      <c r="J493" s="1838">
        <v>0</v>
      </c>
      <c r="K493" s="1838">
        <v>0</v>
      </c>
      <c r="L493" s="1838">
        <v>0</v>
      </c>
      <c r="M493" s="1838">
        <v>0</v>
      </c>
      <c r="N493" s="1838" t="s">
        <v>3595</v>
      </c>
      <c r="O493" s="1838" t="s">
        <v>3297</v>
      </c>
      <c r="P493" s="1838"/>
    </row>
    <row r="494" spans="2:16" s="1843" customFormat="1">
      <c r="B494" s="1838">
        <f t="shared" si="24"/>
        <v>491</v>
      </c>
      <c r="C494" s="1838" t="s">
        <v>392</v>
      </c>
      <c r="D494" s="1838" t="s">
        <v>3162</v>
      </c>
      <c r="E494" s="1838" t="s">
        <v>3658</v>
      </c>
      <c r="F494" s="1839">
        <v>45330</v>
      </c>
      <c r="G494" s="1840">
        <v>42336</v>
      </c>
      <c r="H494" s="1841">
        <f t="shared" si="22"/>
        <v>52</v>
      </c>
      <c r="I494" s="1838">
        <f t="shared" si="23"/>
        <v>42336</v>
      </c>
      <c r="J494" s="1838">
        <v>0</v>
      </c>
      <c r="K494" s="1838">
        <v>0</v>
      </c>
      <c r="L494" s="1838">
        <v>0</v>
      </c>
      <c r="M494" s="1838">
        <v>0</v>
      </c>
      <c r="N494" s="1838" t="s">
        <v>3595</v>
      </c>
      <c r="O494" s="1838" t="s">
        <v>3297</v>
      </c>
      <c r="P494" s="1838"/>
    </row>
    <row r="495" spans="2:16" s="1843" customFormat="1">
      <c r="B495" s="1838">
        <f t="shared" si="24"/>
        <v>492</v>
      </c>
      <c r="C495" s="1838" t="s">
        <v>392</v>
      </c>
      <c r="D495" s="1838" t="s">
        <v>3162</v>
      </c>
      <c r="E495" s="1838" t="s">
        <v>3659</v>
      </c>
      <c r="F495" s="1839">
        <v>45330</v>
      </c>
      <c r="G495" s="1840">
        <v>63168</v>
      </c>
      <c r="H495" s="1841">
        <f t="shared" si="22"/>
        <v>52</v>
      </c>
      <c r="I495" s="1838">
        <f t="shared" si="23"/>
        <v>63168</v>
      </c>
      <c r="J495" s="1838">
        <v>0</v>
      </c>
      <c r="K495" s="1838">
        <v>0</v>
      </c>
      <c r="L495" s="1838">
        <v>0</v>
      </c>
      <c r="M495" s="1838">
        <v>0</v>
      </c>
      <c r="N495" s="1838" t="s">
        <v>3595</v>
      </c>
      <c r="O495" s="1838" t="s">
        <v>3297</v>
      </c>
      <c r="P495" s="1838"/>
    </row>
    <row r="496" spans="2:16" s="1843" customFormat="1">
      <c r="B496" s="1838">
        <f t="shared" si="24"/>
        <v>493</v>
      </c>
      <c r="C496" s="1838" t="s">
        <v>392</v>
      </c>
      <c r="D496" s="1838" t="s">
        <v>3162</v>
      </c>
      <c r="E496" s="1838" t="s">
        <v>3660</v>
      </c>
      <c r="F496" s="1839">
        <v>45331</v>
      </c>
      <c r="G496" s="1840">
        <v>80472</v>
      </c>
      <c r="H496" s="1841">
        <f t="shared" si="22"/>
        <v>51</v>
      </c>
      <c r="I496" s="1838">
        <f t="shared" si="23"/>
        <v>80472</v>
      </c>
      <c r="J496" s="1838">
        <v>0</v>
      </c>
      <c r="K496" s="1838">
        <v>0</v>
      </c>
      <c r="L496" s="1838">
        <v>0</v>
      </c>
      <c r="M496" s="1838">
        <v>0</v>
      </c>
      <c r="N496" s="1838" t="s">
        <v>3595</v>
      </c>
      <c r="O496" s="1838" t="s">
        <v>3297</v>
      </c>
      <c r="P496" s="1838"/>
    </row>
    <row r="497" spans="2:16" s="1843" customFormat="1">
      <c r="B497" s="1838">
        <f t="shared" si="24"/>
        <v>494</v>
      </c>
      <c r="C497" s="1838" t="s">
        <v>392</v>
      </c>
      <c r="D497" s="1838" t="s">
        <v>3162</v>
      </c>
      <c r="E497" s="1838" t="s">
        <v>3661</v>
      </c>
      <c r="F497" s="1839">
        <v>45331</v>
      </c>
      <c r="G497" s="1840">
        <v>54600</v>
      </c>
      <c r="H497" s="1841">
        <f t="shared" si="22"/>
        <v>51</v>
      </c>
      <c r="I497" s="1838">
        <f t="shared" si="23"/>
        <v>54600</v>
      </c>
      <c r="J497" s="1838">
        <v>0</v>
      </c>
      <c r="K497" s="1838">
        <v>0</v>
      </c>
      <c r="L497" s="1838">
        <v>0</v>
      </c>
      <c r="M497" s="1838">
        <v>0</v>
      </c>
      <c r="N497" s="1838" t="s">
        <v>3595</v>
      </c>
      <c r="O497" s="1838" t="s">
        <v>3297</v>
      </c>
      <c r="P497" s="1838"/>
    </row>
    <row r="498" spans="2:16" s="1843" customFormat="1">
      <c r="B498" s="1838">
        <f t="shared" si="24"/>
        <v>495</v>
      </c>
      <c r="C498" s="1838" t="s">
        <v>392</v>
      </c>
      <c r="D498" s="1838" t="s">
        <v>3162</v>
      </c>
      <c r="E498" s="1838" t="s">
        <v>3662</v>
      </c>
      <c r="F498" s="1839">
        <v>45332</v>
      </c>
      <c r="G498" s="1840">
        <v>86688</v>
      </c>
      <c r="H498" s="1841">
        <f t="shared" si="22"/>
        <v>50</v>
      </c>
      <c r="I498" s="1838">
        <f t="shared" si="23"/>
        <v>86688</v>
      </c>
      <c r="J498" s="1838">
        <v>0</v>
      </c>
      <c r="K498" s="1838">
        <v>0</v>
      </c>
      <c r="L498" s="1838">
        <v>0</v>
      </c>
      <c r="M498" s="1838">
        <v>0</v>
      </c>
      <c r="N498" s="1838" t="s">
        <v>3595</v>
      </c>
      <c r="O498" s="1838" t="s">
        <v>3297</v>
      </c>
      <c r="P498" s="1838"/>
    </row>
    <row r="499" spans="2:16" s="1843" customFormat="1">
      <c r="B499" s="1838">
        <f t="shared" si="24"/>
        <v>496</v>
      </c>
      <c r="C499" s="1838" t="s">
        <v>392</v>
      </c>
      <c r="D499" s="1838" t="s">
        <v>3162</v>
      </c>
      <c r="E499" s="1838" t="s">
        <v>3663</v>
      </c>
      <c r="F499" s="1839">
        <v>45333</v>
      </c>
      <c r="G499" s="1840">
        <v>79968</v>
      </c>
      <c r="H499" s="1841">
        <f t="shared" si="22"/>
        <v>49</v>
      </c>
      <c r="I499" s="1838">
        <f t="shared" si="23"/>
        <v>79968</v>
      </c>
      <c r="J499" s="1838">
        <v>0</v>
      </c>
      <c r="K499" s="1838">
        <v>0</v>
      </c>
      <c r="L499" s="1838">
        <v>0</v>
      </c>
      <c r="M499" s="1838">
        <v>0</v>
      </c>
      <c r="N499" s="1838" t="s">
        <v>3595</v>
      </c>
      <c r="O499" s="1838" t="s">
        <v>3297</v>
      </c>
      <c r="P499" s="1838"/>
    </row>
    <row r="500" spans="2:16" s="1843" customFormat="1">
      <c r="B500" s="1838">
        <f t="shared" si="24"/>
        <v>497</v>
      </c>
      <c r="C500" s="1838" t="s">
        <v>392</v>
      </c>
      <c r="D500" s="1838" t="s">
        <v>3162</v>
      </c>
      <c r="E500" s="1838" t="s">
        <v>3664</v>
      </c>
      <c r="F500" s="1839">
        <v>45333</v>
      </c>
      <c r="G500" s="1840">
        <v>43680</v>
      </c>
      <c r="H500" s="1841">
        <f t="shared" si="22"/>
        <v>49</v>
      </c>
      <c r="I500" s="1838">
        <f t="shared" si="23"/>
        <v>43680</v>
      </c>
      <c r="J500" s="1838">
        <v>0</v>
      </c>
      <c r="K500" s="1838">
        <v>0</v>
      </c>
      <c r="L500" s="1838">
        <v>0</v>
      </c>
      <c r="M500" s="1838">
        <v>0</v>
      </c>
      <c r="N500" s="1838" t="s">
        <v>3595</v>
      </c>
      <c r="O500" s="1838" t="s">
        <v>3297</v>
      </c>
      <c r="P500" s="1838"/>
    </row>
    <row r="501" spans="2:16" s="1843" customFormat="1">
      <c r="B501" s="1838">
        <f t="shared" si="24"/>
        <v>498</v>
      </c>
      <c r="C501" s="1838" t="s">
        <v>392</v>
      </c>
      <c r="D501" s="1838" t="s">
        <v>3162</v>
      </c>
      <c r="E501" s="1838" t="s">
        <v>3665</v>
      </c>
      <c r="F501" s="1839">
        <v>45334</v>
      </c>
      <c r="G501" s="1840">
        <v>96936</v>
      </c>
      <c r="H501" s="1841">
        <f t="shared" si="22"/>
        <v>48</v>
      </c>
      <c r="I501" s="1838">
        <f t="shared" si="23"/>
        <v>96936</v>
      </c>
      <c r="J501" s="1838">
        <v>0</v>
      </c>
      <c r="K501" s="1838">
        <v>0</v>
      </c>
      <c r="L501" s="1838">
        <v>0</v>
      </c>
      <c r="M501" s="1838">
        <v>0</v>
      </c>
      <c r="N501" s="1838" t="s">
        <v>3595</v>
      </c>
      <c r="O501" s="1838" t="s">
        <v>3297</v>
      </c>
      <c r="P501" s="1838"/>
    </row>
    <row r="502" spans="2:16" s="1843" customFormat="1">
      <c r="B502" s="1838">
        <f t="shared" si="24"/>
        <v>499</v>
      </c>
      <c r="C502" s="1838" t="s">
        <v>392</v>
      </c>
      <c r="D502" s="1838" t="s">
        <v>3162</v>
      </c>
      <c r="E502" s="1838" t="s">
        <v>3666</v>
      </c>
      <c r="F502" s="1839">
        <v>45335</v>
      </c>
      <c r="G502" s="1840">
        <v>50453</v>
      </c>
      <c r="H502" s="1841">
        <f t="shared" si="22"/>
        <v>47</v>
      </c>
      <c r="I502" s="1838">
        <f t="shared" si="23"/>
        <v>50453</v>
      </c>
      <c r="J502" s="1838">
        <v>0</v>
      </c>
      <c r="K502" s="1838">
        <v>0</v>
      </c>
      <c r="L502" s="1838">
        <v>0</v>
      </c>
      <c r="M502" s="1838">
        <v>0</v>
      </c>
      <c r="N502" s="1838" t="s">
        <v>3595</v>
      </c>
      <c r="O502" s="1838" t="s">
        <v>3297</v>
      </c>
      <c r="P502" s="1838"/>
    </row>
    <row r="503" spans="2:16" s="1843" customFormat="1">
      <c r="B503" s="1838">
        <f t="shared" si="24"/>
        <v>500</v>
      </c>
      <c r="C503" s="1838" t="s">
        <v>392</v>
      </c>
      <c r="D503" s="1838" t="s">
        <v>3162</v>
      </c>
      <c r="E503" s="1838" t="s">
        <v>3667</v>
      </c>
      <c r="F503" s="1839">
        <v>45335</v>
      </c>
      <c r="G503" s="1840">
        <v>57451</v>
      </c>
      <c r="H503" s="1841">
        <f t="shared" si="22"/>
        <v>47</v>
      </c>
      <c r="I503" s="1838">
        <f t="shared" si="23"/>
        <v>57451</v>
      </c>
      <c r="J503" s="1838">
        <v>0</v>
      </c>
      <c r="K503" s="1838">
        <v>0</v>
      </c>
      <c r="L503" s="1838">
        <v>0</v>
      </c>
      <c r="M503" s="1838">
        <v>0</v>
      </c>
      <c r="N503" s="1838" t="s">
        <v>3595</v>
      </c>
      <c r="O503" s="1838" t="s">
        <v>3297</v>
      </c>
      <c r="P503" s="1838"/>
    </row>
    <row r="504" spans="2:16" s="1843" customFormat="1">
      <c r="B504" s="1838">
        <f t="shared" si="24"/>
        <v>501</v>
      </c>
      <c r="C504" s="1838" t="s">
        <v>392</v>
      </c>
      <c r="D504" s="1838" t="s">
        <v>3162</v>
      </c>
      <c r="E504" s="1838" t="s">
        <v>3668</v>
      </c>
      <c r="F504" s="1839">
        <v>45335</v>
      </c>
      <c r="G504" s="1840">
        <v>49313</v>
      </c>
      <c r="H504" s="1841">
        <f t="shared" si="22"/>
        <v>47</v>
      </c>
      <c r="I504" s="1838">
        <f t="shared" si="23"/>
        <v>49313</v>
      </c>
      <c r="J504" s="1838">
        <v>0</v>
      </c>
      <c r="K504" s="1838">
        <v>0</v>
      </c>
      <c r="L504" s="1838">
        <v>0</v>
      </c>
      <c r="M504" s="1838">
        <v>0</v>
      </c>
      <c r="N504" s="1838" t="s">
        <v>3595</v>
      </c>
      <c r="O504" s="1838" t="s">
        <v>3297</v>
      </c>
      <c r="P504" s="1838"/>
    </row>
    <row r="505" spans="2:16" s="1843" customFormat="1">
      <c r="B505" s="1838">
        <f t="shared" si="24"/>
        <v>502</v>
      </c>
      <c r="C505" s="1838" t="s">
        <v>392</v>
      </c>
      <c r="D505" s="1838" t="s">
        <v>3162</v>
      </c>
      <c r="E505" s="1838" t="s">
        <v>3669</v>
      </c>
      <c r="F505" s="1839">
        <v>45336</v>
      </c>
      <c r="G505" s="1840">
        <v>94747</v>
      </c>
      <c r="H505" s="1841">
        <f t="shared" si="22"/>
        <v>46</v>
      </c>
      <c r="I505" s="1838">
        <f t="shared" si="23"/>
        <v>94747</v>
      </c>
      <c r="J505" s="1838">
        <v>0</v>
      </c>
      <c r="K505" s="1838">
        <v>0</v>
      </c>
      <c r="L505" s="1838">
        <v>0</v>
      </c>
      <c r="M505" s="1838">
        <v>0</v>
      </c>
      <c r="N505" s="1838" t="s">
        <v>3595</v>
      </c>
      <c r="O505" s="1838" t="s">
        <v>3297</v>
      </c>
      <c r="P505" s="1838"/>
    </row>
    <row r="506" spans="2:16" s="1843" customFormat="1">
      <c r="B506" s="1838">
        <f t="shared" si="24"/>
        <v>503</v>
      </c>
      <c r="C506" s="1838" t="s">
        <v>392</v>
      </c>
      <c r="D506" s="1838" t="s">
        <v>3162</v>
      </c>
      <c r="E506" s="1838" t="s">
        <v>3670</v>
      </c>
      <c r="F506" s="1839">
        <v>45336</v>
      </c>
      <c r="G506" s="1840">
        <v>45977</v>
      </c>
      <c r="H506" s="1841">
        <f t="shared" si="22"/>
        <v>46</v>
      </c>
      <c r="I506" s="1838">
        <f t="shared" si="23"/>
        <v>45977</v>
      </c>
      <c r="J506" s="1838">
        <v>0</v>
      </c>
      <c r="K506" s="1838">
        <v>0</v>
      </c>
      <c r="L506" s="1838">
        <v>0</v>
      </c>
      <c r="M506" s="1838">
        <v>0</v>
      </c>
      <c r="N506" s="1838" t="s">
        <v>3595</v>
      </c>
      <c r="O506" s="1838" t="s">
        <v>3297</v>
      </c>
      <c r="P506" s="1838"/>
    </row>
    <row r="507" spans="2:16" s="1843" customFormat="1">
      <c r="B507" s="1838">
        <f t="shared" si="24"/>
        <v>504</v>
      </c>
      <c r="C507" s="1838" t="s">
        <v>392</v>
      </c>
      <c r="D507" s="1838" t="s">
        <v>3162</v>
      </c>
      <c r="E507" s="1838" t="s">
        <v>3671</v>
      </c>
      <c r="F507" s="1839">
        <v>45336</v>
      </c>
      <c r="G507" s="1840">
        <v>58997</v>
      </c>
      <c r="H507" s="1841">
        <f t="shared" si="22"/>
        <v>46</v>
      </c>
      <c r="I507" s="1838">
        <f t="shared" si="23"/>
        <v>58997</v>
      </c>
      <c r="J507" s="1838">
        <v>0</v>
      </c>
      <c r="K507" s="1838">
        <v>0</v>
      </c>
      <c r="L507" s="1838">
        <v>0</v>
      </c>
      <c r="M507" s="1838">
        <v>0</v>
      </c>
      <c r="N507" s="1838" t="s">
        <v>3595</v>
      </c>
      <c r="O507" s="1838" t="s">
        <v>3297</v>
      </c>
      <c r="P507" s="1838"/>
    </row>
    <row r="508" spans="2:16" s="1843" customFormat="1">
      <c r="B508" s="1838">
        <f t="shared" si="24"/>
        <v>505</v>
      </c>
      <c r="C508" s="1838" t="s">
        <v>392</v>
      </c>
      <c r="D508" s="1838" t="s">
        <v>3162</v>
      </c>
      <c r="E508" s="1838" t="s">
        <v>3672</v>
      </c>
      <c r="F508" s="1839">
        <v>45336</v>
      </c>
      <c r="G508" s="1840">
        <v>45733</v>
      </c>
      <c r="H508" s="1841">
        <f t="shared" si="22"/>
        <v>46</v>
      </c>
      <c r="I508" s="1838">
        <f t="shared" si="23"/>
        <v>45733</v>
      </c>
      <c r="J508" s="1838">
        <v>0</v>
      </c>
      <c r="K508" s="1838">
        <v>0</v>
      </c>
      <c r="L508" s="1838">
        <v>0</v>
      </c>
      <c r="M508" s="1838">
        <v>0</v>
      </c>
      <c r="N508" s="1838" t="s">
        <v>3595</v>
      </c>
      <c r="O508" s="1838" t="s">
        <v>3297</v>
      </c>
      <c r="P508" s="1838"/>
    </row>
    <row r="509" spans="2:16" s="1843" customFormat="1">
      <c r="B509" s="1838">
        <f t="shared" si="24"/>
        <v>506</v>
      </c>
      <c r="C509" s="1838" t="s">
        <v>392</v>
      </c>
      <c r="D509" s="1838" t="s">
        <v>3162</v>
      </c>
      <c r="E509" s="1838" t="s">
        <v>3673</v>
      </c>
      <c r="F509" s="1839">
        <v>45337</v>
      </c>
      <c r="G509" s="1840">
        <v>65263</v>
      </c>
      <c r="H509" s="1841">
        <f t="shared" si="22"/>
        <v>45</v>
      </c>
      <c r="I509" s="1838">
        <f t="shared" si="23"/>
        <v>65263</v>
      </c>
      <c r="J509" s="1838">
        <v>0</v>
      </c>
      <c r="K509" s="1838">
        <v>0</v>
      </c>
      <c r="L509" s="1838">
        <v>0</v>
      </c>
      <c r="M509" s="1838">
        <v>0</v>
      </c>
      <c r="N509" s="1838" t="s">
        <v>3595</v>
      </c>
      <c r="O509" s="1838" t="s">
        <v>3297</v>
      </c>
      <c r="P509" s="1838"/>
    </row>
    <row r="510" spans="2:16" s="1843" customFormat="1">
      <c r="B510" s="1838">
        <f t="shared" si="24"/>
        <v>507</v>
      </c>
      <c r="C510" s="1838" t="s">
        <v>392</v>
      </c>
      <c r="D510" s="1838" t="s">
        <v>3162</v>
      </c>
      <c r="E510" s="1838" t="s">
        <v>3674</v>
      </c>
      <c r="F510" s="1839">
        <v>45337</v>
      </c>
      <c r="G510" s="1840">
        <v>87203</v>
      </c>
      <c r="H510" s="1841">
        <f t="shared" si="22"/>
        <v>45</v>
      </c>
      <c r="I510" s="1838">
        <f t="shared" si="23"/>
        <v>87203</v>
      </c>
      <c r="J510" s="1838">
        <v>0</v>
      </c>
      <c r="K510" s="1838">
        <v>0</v>
      </c>
      <c r="L510" s="1838">
        <v>0</v>
      </c>
      <c r="M510" s="1838">
        <v>0</v>
      </c>
      <c r="N510" s="1838" t="s">
        <v>3595</v>
      </c>
      <c r="O510" s="1838" t="s">
        <v>3297</v>
      </c>
      <c r="P510" s="1838"/>
    </row>
    <row r="511" spans="2:16" s="1843" customFormat="1">
      <c r="B511" s="1838">
        <f t="shared" si="24"/>
        <v>508</v>
      </c>
      <c r="C511" s="1838" t="s">
        <v>392</v>
      </c>
      <c r="D511" s="1838" t="s">
        <v>3162</v>
      </c>
      <c r="E511" s="1838" t="s">
        <v>3675</v>
      </c>
      <c r="F511" s="1839">
        <v>45337</v>
      </c>
      <c r="G511" s="1840">
        <v>43943</v>
      </c>
      <c r="H511" s="1841">
        <f t="shared" si="22"/>
        <v>45</v>
      </c>
      <c r="I511" s="1838">
        <f t="shared" si="23"/>
        <v>43943</v>
      </c>
      <c r="J511" s="1838">
        <v>0</v>
      </c>
      <c r="K511" s="1838">
        <v>0</v>
      </c>
      <c r="L511" s="1838">
        <v>0</v>
      </c>
      <c r="M511" s="1838">
        <v>0</v>
      </c>
      <c r="N511" s="1838" t="s">
        <v>3595</v>
      </c>
      <c r="O511" s="1838" t="s">
        <v>3297</v>
      </c>
      <c r="P511" s="1838"/>
    </row>
    <row r="512" spans="2:16" s="1843" customFormat="1">
      <c r="B512" s="1838">
        <f t="shared" si="24"/>
        <v>509</v>
      </c>
      <c r="C512" s="1838" t="s">
        <v>392</v>
      </c>
      <c r="D512" s="1838" t="s">
        <v>3162</v>
      </c>
      <c r="E512" s="1838" t="s">
        <v>3676</v>
      </c>
      <c r="F512" s="1839">
        <v>45338</v>
      </c>
      <c r="G512" s="1840">
        <v>78261</v>
      </c>
      <c r="H512" s="1841">
        <f t="shared" si="22"/>
        <v>44</v>
      </c>
      <c r="I512" s="1838">
        <f t="shared" si="23"/>
        <v>78261</v>
      </c>
      <c r="J512" s="1838">
        <v>0</v>
      </c>
      <c r="K512" s="1838">
        <v>0</v>
      </c>
      <c r="L512" s="1838">
        <v>0</v>
      </c>
      <c r="M512" s="1838">
        <v>0</v>
      </c>
      <c r="N512" s="1838" t="s">
        <v>3595</v>
      </c>
      <c r="O512" s="1838" t="s">
        <v>3297</v>
      </c>
      <c r="P512" s="1838"/>
    </row>
    <row r="513" spans="2:16" s="1843" customFormat="1">
      <c r="B513" s="1838">
        <f t="shared" si="24"/>
        <v>510</v>
      </c>
      <c r="C513" s="1838" t="s">
        <v>392</v>
      </c>
      <c r="D513" s="1838" t="s">
        <v>3162</v>
      </c>
      <c r="E513" s="1838" t="s">
        <v>3677</v>
      </c>
      <c r="F513" s="1839">
        <v>45338</v>
      </c>
      <c r="G513" s="1840">
        <v>32867</v>
      </c>
      <c r="H513" s="1841">
        <f t="shared" si="22"/>
        <v>44</v>
      </c>
      <c r="I513" s="1838">
        <f t="shared" si="23"/>
        <v>32867</v>
      </c>
      <c r="J513" s="1838">
        <v>0</v>
      </c>
      <c r="K513" s="1838">
        <v>0</v>
      </c>
      <c r="L513" s="1838">
        <v>0</v>
      </c>
      <c r="M513" s="1838">
        <v>0</v>
      </c>
      <c r="N513" s="1838" t="s">
        <v>3595</v>
      </c>
      <c r="O513" s="1838" t="s">
        <v>3297</v>
      </c>
      <c r="P513" s="1838"/>
    </row>
    <row r="514" spans="2:16" s="1843" customFormat="1">
      <c r="B514" s="1838">
        <f t="shared" si="24"/>
        <v>511</v>
      </c>
      <c r="C514" s="1838" t="s">
        <v>392</v>
      </c>
      <c r="D514" s="1838" t="s">
        <v>3162</v>
      </c>
      <c r="E514" s="1838" t="s">
        <v>3678</v>
      </c>
      <c r="F514" s="1839">
        <v>45339</v>
      </c>
      <c r="G514" s="1840">
        <v>37141</v>
      </c>
      <c r="H514" s="1841">
        <f t="shared" si="22"/>
        <v>43</v>
      </c>
      <c r="I514" s="1838">
        <f t="shared" si="23"/>
        <v>37141</v>
      </c>
      <c r="J514" s="1838">
        <v>0</v>
      </c>
      <c r="K514" s="1838">
        <v>0</v>
      </c>
      <c r="L514" s="1838">
        <v>0</v>
      </c>
      <c r="M514" s="1838">
        <v>0</v>
      </c>
      <c r="N514" s="1838" t="s">
        <v>3595</v>
      </c>
      <c r="O514" s="1838" t="s">
        <v>3297</v>
      </c>
      <c r="P514" s="1838"/>
    </row>
    <row r="515" spans="2:16" s="1843" customFormat="1">
      <c r="B515" s="1838">
        <f t="shared" si="24"/>
        <v>512</v>
      </c>
      <c r="C515" s="1838" t="s">
        <v>392</v>
      </c>
      <c r="D515" s="1838" t="s">
        <v>3162</v>
      </c>
      <c r="E515" s="1838" t="s">
        <v>3679</v>
      </c>
      <c r="F515" s="1839">
        <v>45339</v>
      </c>
      <c r="G515" s="1840">
        <v>76535</v>
      </c>
      <c r="H515" s="1841">
        <f t="shared" si="22"/>
        <v>43</v>
      </c>
      <c r="I515" s="1838">
        <f t="shared" si="23"/>
        <v>76535</v>
      </c>
      <c r="J515" s="1838">
        <v>0</v>
      </c>
      <c r="K515" s="1838">
        <v>0</v>
      </c>
      <c r="L515" s="1838">
        <v>0</v>
      </c>
      <c r="M515" s="1838">
        <v>0</v>
      </c>
      <c r="N515" s="1838" t="s">
        <v>3595</v>
      </c>
      <c r="O515" s="1838" t="s">
        <v>3297</v>
      </c>
      <c r="P515" s="1838"/>
    </row>
    <row r="516" spans="2:16" s="1843" customFormat="1">
      <c r="B516" s="1838">
        <f t="shared" si="24"/>
        <v>513</v>
      </c>
      <c r="C516" s="1838" t="s">
        <v>392</v>
      </c>
      <c r="D516" s="1838" t="s">
        <v>3162</v>
      </c>
      <c r="E516" s="1838" t="s">
        <v>3680</v>
      </c>
      <c r="F516" s="1839">
        <v>45340</v>
      </c>
      <c r="G516" s="1840">
        <v>79947</v>
      </c>
      <c r="H516" s="1841">
        <f t="shared" si="22"/>
        <v>42</v>
      </c>
      <c r="I516" s="1838">
        <f t="shared" si="23"/>
        <v>79947</v>
      </c>
      <c r="J516" s="1838">
        <v>0</v>
      </c>
      <c r="K516" s="1838">
        <v>0</v>
      </c>
      <c r="L516" s="1838">
        <v>0</v>
      </c>
      <c r="M516" s="1838">
        <v>0</v>
      </c>
      <c r="N516" s="1838" t="s">
        <v>3595</v>
      </c>
      <c r="O516" s="1838" t="s">
        <v>3297</v>
      </c>
      <c r="P516" s="1838"/>
    </row>
    <row r="517" spans="2:16" s="1843" customFormat="1">
      <c r="B517" s="1838">
        <f t="shared" si="24"/>
        <v>514</v>
      </c>
      <c r="C517" s="1838" t="s">
        <v>392</v>
      </c>
      <c r="D517" s="1838" t="s">
        <v>3162</v>
      </c>
      <c r="E517" s="1838" t="s">
        <v>3681</v>
      </c>
      <c r="F517" s="1839">
        <v>45340</v>
      </c>
      <c r="G517" s="1840">
        <v>38715</v>
      </c>
      <c r="H517" s="1841">
        <f t="shared" ref="H517:H580" si="25">+$H$2-F517</f>
        <v>42</v>
      </c>
      <c r="I517" s="1838">
        <f t="shared" ref="I517:I580" si="26">+G517</f>
        <v>38715</v>
      </c>
      <c r="J517" s="1838">
        <v>0</v>
      </c>
      <c r="K517" s="1838">
        <v>0</v>
      </c>
      <c r="L517" s="1838">
        <v>0</v>
      </c>
      <c r="M517" s="1838">
        <v>0</v>
      </c>
      <c r="N517" s="1838" t="s">
        <v>3595</v>
      </c>
      <c r="O517" s="1838" t="s">
        <v>3297</v>
      </c>
      <c r="P517" s="1838"/>
    </row>
    <row r="518" spans="2:16" s="1843" customFormat="1">
      <c r="B518" s="1838">
        <f t="shared" ref="B518:B581" si="27">+B517+1</f>
        <v>515</v>
      </c>
      <c r="C518" s="1838" t="s">
        <v>392</v>
      </c>
      <c r="D518" s="1838" t="s">
        <v>3162</v>
      </c>
      <c r="E518" s="1838" t="s">
        <v>3682</v>
      </c>
      <c r="F518" s="1839">
        <v>45340</v>
      </c>
      <c r="G518" s="1840">
        <v>80465</v>
      </c>
      <c r="H518" s="1841">
        <f t="shared" si="25"/>
        <v>42</v>
      </c>
      <c r="I518" s="1838">
        <f t="shared" si="26"/>
        <v>80465</v>
      </c>
      <c r="J518" s="1838">
        <v>0</v>
      </c>
      <c r="K518" s="1838">
        <v>0</v>
      </c>
      <c r="L518" s="1838">
        <v>0</v>
      </c>
      <c r="M518" s="1838">
        <v>0</v>
      </c>
      <c r="N518" s="1838" t="s">
        <v>3595</v>
      </c>
      <c r="O518" s="1838" t="s">
        <v>3297</v>
      </c>
      <c r="P518" s="1838"/>
    </row>
    <row r="519" spans="2:16" s="1843" customFormat="1">
      <c r="B519" s="1838">
        <f t="shared" si="27"/>
        <v>516</v>
      </c>
      <c r="C519" s="1838" t="s">
        <v>392</v>
      </c>
      <c r="D519" s="1838" t="s">
        <v>3162</v>
      </c>
      <c r="E519" s="1838" t="s">
        <v>3683</v>
      </c>
      <c r="F519" s="1839">
        <v>45341</v>
      </c>
      <c r="G519" s="1840">
        <v>86683</v>
      </c>
      <c r="H519" s="1841">
        <f t="shared" si="25"/>
        <v>41</v>
      </c>
      <c r="I519" s="1838">
        <f t="shared" si="26"/>
        <v>86683</v>
      </c>
      <c r="J519" s="1838">
        <v>0</v>
      </c>
      <c r="K519" s="1838">
        <v>0</v>
      </c>
      <c r="L519" s="1838">
        <v>0</v>
      </c>
      <c r="M519" s="1838">
        <v>0</v>
      </c>
      <c r="N519" s="1838" t="s">
        <v>3595</v>
      </c>
      <c r="O519" s="1838" t="s">
        <v>3297</v>
      </c>
      <c r="P519" s="1838"/>
    </row>
    <row r="520" spans="2:16" s="1843" customFormat="1">
      <c r="B520" s="1838">
        <f t="shared" si="27"/>
        <v>517</v>
      </c>
      <c r="C520" s="1838" t="s">
        <v>392</v>
      </c>
      <c r="D520" s="1838" t="s">
        <v>3162</v>
      </c>
      <c r="E520" s="1838" t="s">
        <v>3684</v>
      </c>
      <c r="F520" s="1839">
        <v>45342</v>
      </c>
      <c r="G520" s="1840">
        <v>95418</v>
      </c>
      <c r="H520" s="1841">
        <f t="shared" si="25"/>
        <v>40</v>
      </c>
      <c r="I520" s="1838">
        <f t="shared" si="26"/>
        <v>95418</v>
      </c>
      <c r="J520" s="1838">
        <v>0</v>
      </c>
      <c r="K520" s="1838">
        <v>0</v>
      </c>
      <c r="L520" s="1838">
        <v>0</v>
      </c>
      <c r="M520" s="1838">
        <v>0</v>
      </c>
      <c r="N520" s="1838" t="s">
        <v>3595</v>
      </c>
      <c r="O520" s="1838" t="s">
        <v>3297</v>
      </c>
      <c r="P520" s="1838"/>
    </row>
    <row r="521" spans="2:16" s="1843" customFormat="1">
      <c r="B521" s="1838">
        <f t="shared" si="27"/>
        <v>518</v>
      </c>
      <c r="C521" s="1838" t="s">
        <v>392</v>
      </c>
      <c r="D521" s="1838" t="s">
        <v>3162</v>
      </c>
      <c r="E521" s="1838" t="s">
        <v>3685</v>
      </c>
      <c r="F521" s="1839">
        <v>45342</v>
      </c>
      <c r="G521" s="1840">
        <v>74617</v>
      </c>
      <c r="H521" s="1841">
        <f t="shared" si="25"/>
        <v>40</v>
      </c>
      <c r="I521" s="1838">
        <f t="shared" si="26"/>
        <v>74617</v>
      </c>
      <c r="J521" s="1838">
        <v>0</v>
      </c>
      <c r="K521" s="1838">
        <v>0</v>
      </c>
      <c r="L521" s="1838">
        <v>0</v>
      </c>
      <c r="M521" s="1838">
        <v>0</v>
      </c>
      <c r="N521" s="1838" t="s">
        <v>3595</v>
      </c>
      <c r="O521" s="1838" t="s">
        <v>3297</v>
      </c>
      <c r="P521" s="1838"/>
    </row>
    <row r="522" spans="2:16" s="1843" customFormat="1">
      <c r="B522" s="1838">
        <f t="shared" si="27"/>
        <v>519</v>
      </c>
      <c r="C522" s="1838" t="s">
        <v>392</v>
      </c>
      <c r="D522" s="1838" t="s">
        <v>3162</v>
      </c>
      <c r="E522" s="1838" t="s">
        <v>3686</v>
      </c>
      <c r="F522" s="1839">
        <v>45342</v>
      </c>
      <c r="G522" s="1840">
        <v>38641</v>
      </c>
      <c r="H522" s="1841">
        <f t="shared" si="25"/>
        <v>40</v>
      </c>
      <c r="I522" s="1838">
        <f t="shared" si="26"/>
        <v>38641</v>
      </c>
      <c r="J522" s="1838">
        <v>0</v>
      </c>
      <c r="K522" s="1838">
        <v>0</v>
      </c>
      <c r="L522" s="1838">
        <v>0</v>
      </c>
      <c r="M522" s="1838">
        <v>0</v>
      </c>
      <c r="N522" s="1838" t="s">
        <v>3595</v>
      </c>
      <c r="O522" s="1838" t="s">
        <v>3297</v>
      </c>
      <c r="P522" s="1838"/>
    </row>
    <row r="523" spans="2:16" s="1843" customFormat="1">
      <c r="B523" s="1838">
        <f t="shared" si="27"/>
        <v>520</v>
      </c>
      <c r="C523" s="1838" t="s">
        <v>392</v>
      </c>
      <c r="D523" s="1838" t="s">
        <v>3162</v>
      </c>
      <c r="E523" s="1838" t="s">
        <v>3687</v>
      </c>
      <c r="F523" s="1839">
        <v>45344</v>
      </c>
      <c r="G523" s="1840">
        <v>81798</v>
      </c>
      <c r="H523" s="1841">
        <f t="shared" si="25"/>
        <v>38</v>
      </c>
      <c r="I523" s="1838">
        <f t="shared" si="26"/>
        <v>81798</v>
      </c>
      <c r="J523" s="1838">
        <v>0</v>
      </c>
      <c r="K523" s="1838">
        <v>0</v>
      </c>
      <c r="L523" s="1838">
        <v>0</v>
      </c>
      <c r="M523" s="1838">
        <v>0</v>
      </c>
      <c r="N523" s="1838" t="s">
        <v>3595</v>
      </c>
      <c r="O523" s="1838" t="s">
        <v>3297</v>
      </c>
      <c r="P523" s="1838"/>
    </row>
    <row r="524" spans="2:16" s="1843" customFormat="1">
      <c r="B524" s="1838">
        <f t="shared" si="27"/>
        <v>521</v>
      </c>
      <c r="C524" s="1838" t="s">
        <v>392</v>
      </c>
      <c r="D524" s="1838" t="s">
        <v>3162</v>
      </c>
      <c r="E524" s="1838" t="s">
        <v>3688</v>
      </c>
      <c r="F524" s="1839">
        <v>45345</v>
      </c>
      <c r="G524" s="1840">
        <v>57073</v>
      </c>
      <c r="H524" s="1841">
        <f t="shared" si="25"/>
        <v>37</v>
      </c>
      <c r="I524" s="1838">
        <f t="shared" si="26"/>
        <v>57073</v>
      </c>
      <c r="J524" s="1838">
        <v>0</v>
      </c>
      <c r="K524" s="1838">
        <v>0</v>
      </c>
      <c r="L524" s="1838">
        <v>0</v>
      </c>
      <c r="M524" s="1838">
        <v>0</v>
      </c>
      <c r="N524" s="1838" t="s">
        <v>3595</v>
      </c>
      <c r="O524" s="1838" t="s">
        <v>3297</v>
      </c>
      <c r="P524" s="1838"/>
    </row>
    <row r="525" spans="2:16" s="1843" customFormat="1">
      <c r="B525" s="1838">
        <f t="shared" si="27"/>
        <v>522</v>
      </c>
      <c r="C525" s="1838" t="s">
        <v>392</v>
      </c>
      <c r="D525" s="1838" t="s">
        <v>3162</v>
      </c>
      <c r="E525" s="1838" t="s">
        <v>3689</v>
      </c>
      <c r="F525" s="1839">
        <v>45345</v>
      </c>
      <c r="G525" s="1840">
        <v>86387</v>
      </c>
      <c r="H525" s="1841">
        <f t="shared" si="25"/>
        <v>37</v>
      </c>
      <c r="I525" s="1838">
        <f t="shared" si="26"/>
        <v>86387</v>
      </c>
      <c r="J525" s="1838">
        <v>0</v>
      </c>
      <c r="K525" s="1838">
        <v>0</v>
      </c>
      <c r="L525" s="1838">
        <v>0</v>
      </c>
      <c r="M525" s="1838">
        <v>0</v>
      </c>
      <c r="N525" s="1838" t="s">
        <v>3595</v>
      </c>
      <c r="O525" s="1838" t="s">
        <v>3297</v>
      </c>
      <c r="P525" s="1838"/>
    </row>
    <row r="526" spans="2:16" s="1843" customFormat="1">
      <c r="B526" s="1838">
        <f t="shared" si="27"/>
        <v>523</v>
      </c>
      <c r="C526" s="1838" t="s">
        <v>392</v>
      </c>
      <c r="D526" s="1838" t="s">
        <v>3162</v>
      </c>
      <c r="E526" s="1838" t="s">
        <v>3690</v>
      </c>
      <c r="F526" s="1839">
        <v>45346</v>
      </c>
      <c r="G526" s="1840">
        <v>87794</v>
      </c>
      <c r="H526" s="1841">
        <f t="shared" si="25"/>
        <v>36</v>
      </c>
      <c r="I526" s="1838">
        <f t="shared" si="26"/>
        <v>87794</v>
      </c>
      <c r="J526" s="1838">
        <v>0</v>
      </c>
      <c r="K526" s="1838">
        <v>0</v>
      </c>
      <c r="L526" s="1838">
        <v>0</v>
      </c>
      <c r="M526" s="1838">
        <v>0</v>
      </c>
      <c r="N526" s="1838" t="s">
        <v>3595</v>
      </c>
      <c r="O526" s="1838" t="s">
        <v>3297</v>
      </c>
      <c r="P526" s="1838"/>
    </row>
    <row r="527" spans="2:16" s="1843" customFormat="1">
      <c r="B527" s="1838">
        <f t="shared" si="27"/>
        <v>524</v>
      </c>
      <c r="C527" s="1838" t="s">
        <v>392</v>
      </c>
      <c r="D527" s="1838" t="s">
        <v>3162</v>
      </c>
      <c r="E527" s="1838" t="s">
        <v>3691</v>
      </c>
      <c r="F527" s="1839">
        <v>45347</v>
      </c>
      <c r="G527" s="1840">
        <v>51077</v>
      </c>
      <c r="H527" s="1841">
        <f t="shared" si="25"/>
        <v>35</v>
      </c>
      <c r="I527" s="1838">
        <f t="shared" si="26"/>
        <v>51077</v>
      </c>
      <c r="J527" s="1838">
        <v>0</v>
      </c>
      <c r="K527" s="1838">
        <v>0</v>
      </c>
      <c r="L527" s="1838">
        <v>0</v>
      </c>
      <c r="M527" s="1838">
        <v>0</v>
      </c>
      <c r="N527" s="1838" t="s">
        <v>3595</v>
      </c>
      <c r="O527" s="1838" t="s">
        <v>3297</v>
      </c>
      <c r="P527" s="1838"/>
    </row>
    <row r="528" spans="2:16" s="1843" customFormat="1">
      <c r="B528" s="1838">
        <f t="shared" si="27"/>
        <v>525</v>
      </c>
      <c r="C528" s="1838" t="s">
        <v>392</v>
      </c>
      <c r="D528" s="1838" t="s">
        <v>3162</v>
      </c>
      <c r="E528" s="1838" t="s">
        <v>3692</v>
      </c>
      <c r="F528" s="1839">
        <v>45347</v>
      </c>
      <c r="G528" s="1840">
        <v>73379</v>
      </c>
      <c r="H528" s="1841">
        <f t="shared" si="25"/>
        <v>35</v>
      </c>
      <c r="I528" s="1838">
        <f t="shared" si="26"/>
        <v>73379</v>
      </c>
      <c r="J528" s="1838">
        <v>0</v>
      </c>
      <c r="K528" s="1838">
        <v>0</v>
      </c>
      <c r="L528" s="1838">
        <v>0</v>
      </c>
      <c r="M528" s="1838">
        <v>0</v>
      </c>
      <c r="N528" s="1838" t="s">
        <v>3595</v>
      </c>
      <c r="O528" s="1838" t="s">
        <v>3297</v>
      </c>
      <c r="P528" s="1838"/>
    </row>
    <row r="529" spans="2:16" s="1843" customFormat="1">
      <c r="B529" s="1838">
        <f t="shared" si="27"/>
        <v>526</v>
      </c>
      <c r="C529" s="1838" t="s">
        <v>392</v>
      </c>
      <c r="D529" s="1838" t="s">
        <v>3162</v>
      </c>
      <c r="E529" s="1838" t="s">
        <v>3693</v>
      </c>
      <c r="F529" s="1839">
        <v>45347</v>
      </c>
      <c r="G529" s="1840">
        <v>72767</v>
      </c>
      <c r="H529" s="1841">
        <f t="shared" si="25"/>
        <v>35</v>
      </c>
      <c r="I529" s="1838">
        <f t="shared" si="26"/>
        <v>72767</v>
      </c>
      <c r="J529" s="1838">
        <v>0</v>
      </c>
      <c r="K529" s="1838">
        <v>0</v>
      </c>
      <c r="L529" s="1838">
        <v>0</v>
      </c>
      <c r="M529" s="1838">
        <v>0</v>
      </c>
      <c r="N529" s="1838" t="s">
        <v>3595</v>
      </c>
      <c r="O529" s="1838" t="s">
        <v>3297</v>
      </c>
      <c r="P529" s="1838"/>
    </row>
    <row r="530" spans="2:16" s="1843" customFormat="1">
      <c r="B530" s="1838">
        <f t="shared" si="27"/>
        <v>527</v>
      </c>
      <c r="C530" s="1838" t="s">
        <v>392</v>
      </c>
      <c r="D530" s="1838" t="s">
        <v>3162</v>
      </c>
      <c r="E530" s="1838" t="s">
        <v>3694</v>
      </c>
      <c r="F530" s="1839">
        <v>45348</v>
      </c>
      <c r="G530" s="1840">
        <v>99268</v>
      </c>
      <c r="H530" s="1841">
        <f t="shared" si="25"/>
        <v>34</v>
      </c>
      <c r="I530" s="1838">
        <f t="shared" si="26"/>
        <v>99268</v>
      </c>
      <c r="J530" s="1838">
        <v>0</v>
      </c>
      <c r="K530" s="1838">
        <v>0</v>
      </c>
      <c r="L530" s="1838">
        <v>0</v>
      </c>
      <c r="M530" s="1838">
        <v>0</v>
      </c>
      <c r="N530" s="1838" t="s">
        <v>3595</v>
      </c>
      <c r="O530" s="1838" t="s">
        <v>3297</v>
      </c>
      <c r="P530" s="1838"/>
    </row>
    <row r="531" spans="2:16" s="1843" customFormat="1">
      <c r="B531" s="1838">
        <f t="shared" si="27"/>
        <v>528</v>
      </c>
      <c r="C531" s="1838" t="s">
        <v>392</v>
      </c>
      <c r="D531" s="1838" t="s">
        <v>3162</v>
      </c>
      <c r="E531" s="1838" t="s">
        <v>3695</v>
      </c>
      <c r="F531" s="1839">
        <v>45349</v>
      </c>
      <c r="G531" s="1840">
        <v>72545</v>
      </c>
      <c r="H531" s="1841">
        <f t="shared" si="25"/>
        <v>33</v>
      </c>
      <c r="I531" s="1838">
        <f t="shared" si="26"/>
        <v>72545</v>
      </c>
      <c r="J531" s="1838">
        <v>0</v>
      </c>
      <c r="K531" s="1838">
        <v>0</v>
      </c>
      <c r="L531" s="1838">
        <v>0</v>
      </c>
      <c r="M531" s="1838">
        <v>0</v>
      </c>
      <c r="N531" s="1838" t="s">
        <v>3595</v>
      </c>
      <c r="O531" s="1838" t="s">
        <v>3297</v>
      </c>
      <c r="P531" s="1838"/>
    </row>
    <row r="532" spans="2:16" s="1843" customFormat="1">
      <c r="B532" s="1838">
        <f t="shared" si="27"/>
        <v>529</v>
      </c>
      <c r="C532" s="1838" t="s">
        <v>392</v>
      </c>
      <c r="D532" s="1838" t="s">
        <v>3162</v>
      </c>
      <c r="E532" s="1838" t="s">
        <v>3696</v>
      </c>
      <c r="F532" s="1839">
        <v>45350</v>
      </c>
      <c r="G532" s="1840">
        <v>59886</v>
      </c>
      <c r="H532" s="1841">
        <f t="shared" si="25"/>
        <v>32</v>
      </c>
      <c r="I532" s="1838">
        <f t="shared" si="26"/>
        <v>59886</v>
      </c>
      <c r="J532" s="1838">
        <v>0</v>
      </c>
      <c r="K532" s="1838">
        <v>0</v>
      </c>
      <c r="L532" s="1838">
        <v>0</v>
      </c>
      <c r="M532" s="1838">
        <v>0</v>
      </c>
      <c r="N532" s="1838" t="s">
        <v>3595</v>
      </c>
      <c r="O532" s="1838" t="s">
        <v>3297</v>
      </c>
      <c r="P532" s="1838"/>
    </row>
    <row r="533" spans="2:16" s="1843" customFormat="1">
      <c r="B533" s="1838">
        <f t="shared" si="27"/>
        <v>530</v>
      </c>
      <c r="C533" s="1838" t="s">
        <v>392</v>
      </c>
      <c r="D533" s="1838" t="s">
        <v>3162</v>
      </c>
      <c r="E533" s="1838" t="s">
        <v>3697</v>
      </c>
      <c r="F533" s="1839">
        <v>45351</v>
      </c>
      <c r="G533" s="1840">
        <v>65008</v>
      </c>
      <c r="H533" s="1841">
        <f t="shared" si="25"/>
        <v>31</v>
      </c>
      <c r="I533" s="1838">
        <f t="shared" si="26"/>
        <v>65008</v>
      </c>
      <c r="J533" s="1838">
        <v>0</v>
      </c>
      <c r="K533" s="1838">
        <v>0</v>
      </c>
      <c r="L533" s="1838">
        <v>0</v>
      </c>
      <c r="M533" s="1838">
        <v>0</v>
      </c>
      <c r="N533" s="1838" t="s">
        <v>3595</v>
      </c>
      <c r="O533" s="1838" t="s">
        <v>3297</v>
      </c>
      <c r="P533" s="1838"/>
    </row>
    <row r="534" spans="2:16" s="1843" customFormat="1">
      <c r="B534" s="1838">
        <f t="shared" si="27"/>
        <v>531</v>
      </c>
      <c r="C534" s="1838" t="s">
        <v>392</v>
      </c>
      <c r="D534" s="1838" t="s">
        <v>3162</v>
      </c>
      <c r="E534" s="1838" t="s">
        <v>3698</v>
      </c>
      <c r="F534" s="1839">
        <v>45351</v>
      </c>
      <c r="G534" s="1840">
        <v>83945</v>
      </c>
      <c r="H534" s="1841">
        <f t="shared" si="25"/>
        <v>31</v>
      </c>
      <c r="I534" s="1838">
        <f t="shared" si="26"/>
        <v>83945</v>
      </c>
      <c r="J534" s="1838">
        <v>0</v>
      </c>
      <c r="K534" s="1838">
        <v>0</v>
      </c>
      <c r="L534" s="1838">
        <v>0</v>
      </c>
      <c r="M534" s="1838">
        <v>0</v>
      </c>
      <c r="N534" s="1838" t="s">
        <v>3595</v>
      </c>
      <c r="O534" s="1838" t="s">
        <v>3297</v>
      </c>
      <c r="P534" s="1838"/>
    </row>
    <row r="535" spans="2:16" s="1843" customFormat="1">
      <c r="B535" s="1838">
        <f t="shared" si="27"/>
        <v>532</v>
      </c>
      <c r="C535" s="1838" t="s">
        <v>392</v>
      </c>
      <c r="D535" s="1838" t="s">
        <v>3162</v>
      </c>
      <c r="E535" s="1838" t="s">
        <v>3699</v>
      </c>
      <c r="F535" s="1839">
        <v>45351</v>
      </c>
      <c r="G535" s="1840">
        <v>-3534</v>
      </c>
      <c r="H535" s="1841">
        <f t="shared" si="25"/>
        <v>31</v>
      </c>
      <c r="I535" s="1838">
        <f t="shared" si="26"/>
        <v>-3534</v>
      </c>
      <c r="J535" s="1838">
        <v>0</v>
      </c>
      <c r="K535" s="1838">
        <v>0</v>
      </c>
      <c r="L535" s="1838">
        <v>0</v>
      </c>
      <c r="M535" s="1838">
        <v>0</v>
      </c>
      <c r="N535" s="1838" t="s">
        <v>3595</v>
      </c>
      <c r="O535" s="1838" t="s">
        <v>3297</v>
      </c>
      <c r="P535" s="1838"/>
    </row>
    <row r="536" spans="2:16" s="1843" customFormat="1">
      <c r="B536" s="1838">
        <f t="shared" si="27"/>
        <v>533</v>
      </c>
      <c r="C536" s="1838" t="s">
        <v>392</v>
      </c>
      <c r="D536" s="1838" t="s">
        <v>3162</v>
      </c>
      <c r="E536" s="1838" t="s">
        <v>3700</v>
      </c>
      <c r="F536" s="1839">
        <v>45352</v>
      </c>
      <c r="G536" s="1840">
        <v>58332</v>
      </c>
      <c r="H536" s="1841">
        <f t="shared" si="25"/>
        <v>30</v>
      </c>
      <c r="I536" s="1838">
        <f t="shared" si="26"/>
        <v>58332</v>
      </c>
      <c r="J536" s="1838">
        <v>0</v>
      </c>
      <c r="K536" s="1838">
        <v>0</v>
      </c>
      <c r="L536" s="1838">
        <v>0</v>
      </c>
      <c r="M536" s="1838">
        <v>0</v>
      </c>
      <c r="N536" s="1838" t="s">
        <v>3595</v>
      </c>
      <c r="O536" s="1838" t="s">
        <v>3297</v>
      </c>
      <c r="P536" s="1838"/>
    </row>
    <row r="537" spans="2:16" s="1843" customFormat="1">
      <c r="B537" s="1838">
        <f t="shared" si="27"/>
        <v>534</v>
      </c>
      <c r="C537" s="1838" t="s">
        <v>392</v>
      </c>
      <c r="D537" s="1838" t="s">
        <v>3162</v>
      </c>
      <c r="E537" s="1838" t="s">
        <v>3701</v>
      </c>
      <c r="F537" s="1839">
        <v>45352</v>
      </c>
      <c r="G537" s="1840">
        <v>73581</v>
      </c>
      <c r="H537" s="1841">
        <f t="shared" si="25"/>
        <v>30</v>
      </c>
      <c r="I537" s="1838">
        <f t="shared" si="26"/>
        <v>73581</v>
      </c>
      <c r="J537" s="1838">
        <v>0</v>
      </c>
      <c r="K537" s="1838">
        <v>0</v>
      </c>
      <c r="L537" s="1838">
        <v>0</v>
      </c>
      <c r="M537" s="1838">
        <v>0</v>
      </c>
      <c r="N537" s="1838" t="s">
        <v>3595</v>
      </c>
      <c r="O537" s="1838" t="s">
        <v>3297</v>
      </c>
      <c r="P537" s="1838"/>
    </row>
    <row r="538" spans="2:16" s="1843" customFormat="1">
      <c r="B538" s="1838">
        <f t="shared" si="27"/>
        <v>535</v>
      </c>
      <c r="C538" s="1838" t="s">
        <v>392</v>
      </c>
      <c r="D538" s="1838" t="s">
        <v>3162</v>
      </c>
      <c r="E538" s="1838" t="s">
        <v>3702</v>
      </c>
      <c r="F538" s="1839">
        <v>45353</v>
      </c>
      <c r="G538" s="1840">
        <v>96957</v>
      </c>
      <c r="H538" s="1841">
        <f t="shared" si="25"/>
        <v>29</v>
      </c>
      <c r="I538" s="1838">
        <f t="shared" si="26"/>
        <v>96957</v>
      </c>
      <c r="J538" s="1838">
        <v>0</v>
      </c>
      <c r="K538" s="1838">
        <v>0</v>
      </c>
      <c r="L538" s="1838">
        <v>0</v>
      </c>
      <c r="M538" s="1838">
        <v>0</v>
      </c>
      <c r="N538" s="1838" t="s">
        <v>3595</v>
      </c>
      <c r="O538" s="1838" t="s">
        <v>3297</v>
      </c>
      <c r="P538" s="1838"/>
    </row>
    <row r="539" spans="2:16" s="1843" customFormat="1">
      <c r="B539" s="1838">
        <f t="shared" si="27"/>
        <v>536</v>
      </c>
      <c r="C539" s="1838" t="s">
        <v>392</v>
      </c>
      <c r="D539" s="1838" t="s">
        <v>3162</v>
      </c>
      <c r="E539" s="1838" t="s">
        <v>3703</v>
      </c>
      <c r="F539" s="1839">
        <v>45354</v>
      </c>
      <c r="G539" s="1840">
        <v>85260</v>
      </c>
      <c r="H539" s="1841">
        <f t="shared" si="25"/>
        <v>28</v>
      </c>
      <c r="I539" s="1838">
        <f t="shared" si="26"/>
        <v>85260</v>
      </c>
      <c r="J539" s="1838">
        <v>0</v>
      </c>
      <c r="K539" s="1838">
        <v>0</v>
      </c>
      <c r="L539" s="1838">
        <v>0</v>
      </c>
      <c r="M539" s="1838">
        <v>0</v>
      </c>
      <c r="N539" s="1838" t="s">
        <v>3595</v>
      </c>
      <c r="O539" s="1838" t="s">
        <v>3297</v>
      </c>
      <c r="P539" s="1838"/>
    </row>
    <row r="540" spans="2:16" s="1843" customFormat="1">
      <c r="B540" s="1838">
        <f t="shared" si="27"/>
        <v>537</v>
      </c>
      <c r="C540" s="1838" t="s">
        <v>392</v>
      </c>
      <c r="D540" s="1838" t="s">
        <v>3162</v>
      </c>
      <c r="E540" s="1838" t="s">
        <v>3704</v>
      </c>
      <c r="F540" s="1839">
        <v>45355</v>
      </c>
      <c r="G540" s="1840">
        <v>77351</v>
      </c>
      <c r="H540" s="1841">
        <f t="shared" si="25"/>
        <v>27</v>
      </c>
      <c r="I540" s="1838">
        <f t="shared" si="26"/>
        <v>77351</v>
      </c>
      <c r="J540" s="1838">
        <v>0</v>
      </c>
      <c r="K540" s="1838">
        <v>0</v>
      </c>
      <c r="L540" s="1838">
        <v>0</v>
      </c>
      <c r="M540" s="1838">
        <v>0</v>
      </c>
      <c r="N540" s="1838" t="s">
        <v>3595</v>
      </c>
      <c r="O540" s="1838" t="s">
        <v>3297</v>
      </c>
      <c r="P540" s="1838"/>
    </row>
    <row r="541" spans="2:16" s="1843" customFormat="1">
      <c r="B541" s="1838">
        <f t="shared" si="27"/>
        <v>538</v>
      </c>
      <c r="C541" s="1838" t="s">
        <v>392</v>
      </c>
      <c r="D541" s="1838" t="s">
        <v>3162</v>
      </c>
      <c r="E541" s="1838" t="s">
        <v>3705</v>
      </c>
      <c r="F541" s="1839">
        <v>45355</v>
      </c>
      <c r="G541" s="1840">
        <v>71329</v>
      </c>
      <c r="H541" s="1841">
        <f t="shared" si="25"/>
        <v>27</v>
      </c>
      <c r="I541" s="1838">
        <f t="shared" si="26"/>
        <v>71329</v>
      </c>
      <c r="J541" s="1838">
        <v>0</v>
      </c>
      <c r="K541" s="1838">
        <v>0</v>
      </c>
      <c r="L541" s="1838">
        <v>0</v>
      </c>
      <c r="M541" s="1838">
        <v>0</v>
      </c>
      <c r="N541" s="1838" t="s">
        <v>3595</v>
      </c>
      <c r="O541" s="1838" t="s">
        <v>3297</v>
      </c>
      <c r="P541" s="1838"/>
    </row>
    <row r="542" spans="2:16" s="1843" customFormat="1">
      <c r="B542" s="1838">
        <f t="shared" si="27"/>
        <v>539</v>
      </c>
      <c r="C542" s="1838" t="s">
        <v>392</v>
      </c>
      <c r="D542" s="1838" t="s">
        <v>3162</v>
      </c>
      <c r="E542" s="1838" t="s">
        <v>3706</v>
      </c>
      <c r="F542" s="1839">
        <v>45355</v>
      </c>
      <c r="G542" s="1840">
        <v>41793</v>
      </c>
      <c r="H542" s="1841">
        <f t="shared" si="25"/>
        <v>27</v>
      </c>
      <c r="I542" s="1838">
        <f t="shared" si="26"/>
        <v>41793</v>
      </c>
      <c r="J542" s="1838">
        <v>0</v>
      </c>
      <c r="K542" s="1838">
        <v>0</v>
      </c>
      <c r="L542" s="1838">
        <v>0</v>
      </c>
      <c r="M542" s="1838">
        <v>0</v>
      </c>
      <c r="N542" s="1838" t="s">
        <v>3595</v>
      </c>
      <c r="O542" s="1838" t="s">
        <v>3297</v>
      </c>
      <c r="P542" s="1838"/>
    </row>
    <row r="543" spans="2:16" s="1843" customFormat="1">
      <c r="B543" s="1838">
        <f t="shared" si="27"/>
        <v>540</v>
      </c>
      <c r="C543" s="1838" t="s">
        <v>392</v>
      </c>
      <c r="D543" s="1838" t="s">
        <v>3162</v>
      </c>
      <c r="E543" s="1838" t="s">
        <v>3707</v>
      </c>
      <c r="F543" s="1839">
        <v>45356</v>
      </c>
      <c r="G543" s="1840">
        <v>81987</v>
      </c>
      <c r="H543" s="1841">
        <f t="shared" si="25"/>
        <v>26</v>
      </c>
      <c r="I543" s="1838">
        <f t="shared" si="26"/>
        <v>81987</v>
      </c>
      <c r="J543" s="1838">
        <v>0</v>
      </c>
      <c r="K543" s="1838">
        <v>0</v>
      </c>
      <c r="L543" s="1838">
        <v>0</v>
      </c>
      <c r="M543" s="1838">
        <v>0</v>
      </c>
      <c r="N543" s="1838" t="s">
        <v>3595</v>
      </c>
      <c r="O543" s="1838" t="s">
        <v>3297</v>
      </c>
      <c r="P543" s="1838"/>
    </row>
    <row r="544" spans="2:16" s="1843" customFormat="1">
      <c r="B544" s="1838">
        <f t="shared" si="27"/>
        <v>541</v>
      </c>
      <c r="C544" s="1838" t="s">
        <v>392</v>
      </c>
      <c r="D544" s="1838" t="s">
        <v>3162</v>
      </c>
      <c r="E544" s="1838" t="s">
        <v>3708</v>
      </c>
      <c r="F544" s="1839">
        <v>45357</v>
      </c>
      <c r="G544" s="1840">
        <v>58160</v>
      </c>
      <c r="H544" s="1841">
        <f t="shared" si="25"/>
        <v>25</v>
      </c>
      <c r="I544" s="1838">
        <f t="shared" si="26"/>
        <v>58160</v>
      </c>
      <c r="J544" s="1838">
        <v>0</v>
      </c>
      <c r="K544" s="1838">
        <v>0</v>
      </c>
      <c r="L544" s="1838">
        <v>0</v>
      </c>
      <c r="M544" s="1838">
        <v>0</v>
      </c>
      <c r="N544" s="1838" t="s">
        <v>3595</v>
      </c>
      <c r="O544" s="1838" t="s">
        <v>3297</v>
      </c>
      <c r="P544" s="1838"/>
    </row>
    <row r="545" spans="2:16" s="1843" customFormat="1">
      <c r="B545" s="1838">
        <f t="shared" si="27"/>
        <v>542</v>
      </c>
      <c r="C545" s="1838" t="s">
        <v>392</v>
      </c>
      <c r="D545" s="1838" t="s">
        <v>3162</v>
      </c>
      <c r="E545" s="1838" t="s">
        <v>3709</v>
      </c>
      <c r="F545" s="1839">
        <v>45357</v>
      </c>
      <c r="G545" s="1840">
        <v>53592</v>
      </c>
      <c r="H545" s="1841">
        <f t="shared" si="25"/>
        <v>25</v>
      </c>
      <c r="I545" s="1838">
        <f t="shared" si="26"/>
        <v>53592</v>
      </c>
      <c r="J545" s="1838">
        <v>0</v>
      </c>
      <c r="K545" s="1838">
        <v>0</v>
      </c>
      <c r="L545" s="1838">
        <v>0</v>
      </c>
      <c r="M545" s="1838">
        <v>0</v>
      </c>
      <c r="N545" s="1838" t="s">
        <v>3595</v>
      </c>
      <c r="O545" s="1838" t="s">
        <v>3297</v>
      </c>
      <c r="P545" s="1838"/>
    </row>
    <row r="546" spans="2:16" s="1843" customFormat="1">
      <c r="B546" s="1838">
        <f t="shared" si="27"/>
        <v>543</v>
      </c>
      <c r="C546" s="1838" t="s">
        <v>392</v>
      </c>
      <c r="D546" s="1838" t="s">
        <v>3162</v>
      </c>
      <c r="E546" s="1838" t="s">
        <v>3710</v>
      </c>
      <c r="F546" s="1839">
        <v>45358</v>
      </c>
      <c r="G546" s="1840">
        <v>39509</v>
      </c>
      <c r="H546" s="1841">
        <f t="shared" si="25"/>
        <v>24</v>
      </c>
      <c r="I546" s="1838">
        <f t="shared" si="26"/>
        <v>39509</v>
      </c>
      <c r="J546" s="1838">
        <v>0</v>
      </c>
      <c r="K546" s="1838">
        <v>0</v>
      </c>
      <c r="L546" s="1838">
        <v>0</v>
      </c>
      <c r="M546" s="1838">
        <v>0</v>
      </c>
      <c r="N546" s="1838" t="s">
        <v>3595</v>
      </c>
      <c r="O546" s="1838" t="s">
        <v>3297</v>
      </c>
      <c r="P546" s="1838"/>
    </row>
    <row r="547" spans="2:16" s="1843" customFormat="1">
      <c r="B547" s="1838">
        <f t="shared" si="27"/>
        <v>544</v>
      </c>
      <c r="C547" s="1838" t="s">
        <v>392</v>
      </c>
      <c r="D547" s="1838" t="s">
        <v>3162</v>
      </c>
      <c r="E547" s="1838" t="s">
        <v>3711</v>
      </c>
      <c r="F547" s="1839">
        <v>45359</v>
      </c>
      <c r="G547" s="1840">
        <v>94700</v>
      </c>
      <c r="H547" s="1841">
        <f t="shared" si="25"/>
        <v>23</v>
      </c>
      <c r="I547" s="1838">
        <f t="shared" si="26"/>
        <v>94700</v>
      </c>
      <c r="J547" s="1838">
        <v>0</v>
      </c>
      <c r="K547" s="1838">
        <v>0</v>
      </c>
      <c r="L547" s="1838">
        <v>0</v>
      </c>
      <c r="M547" s="1838">
        <v>0</v>
      </c>
      <c r="N547" s="1838" t="s">
        <v>3595</v>
      </c>
      <c r="O547" s="1838" t="s">
        <v>3297</v>
      </c>
      <c r="P547" s="1838"/>
    </row>
    <row r="548" spans="2:16" s="1843" customFormat="1">
      <c r="B548" s="1838">
        <f t="shared" si="27"/>
        <v>545</v>
      </c>
      <c r="C548" s="1838" t="s">
        <v>392</v>
      </c>
      <c r="D548" s="1838" t="s">
        <v>3162</v>
      </c>
      <c r="E548" s="1838" t="s">
        <v>3712</v>
      </c>
      <c r="F548" s="1839">
        <v>45360</v>
      </c>
      <c r="G548" s="1840">
        <v>98810</v>
      </c>
      <c r="H548" s="1841">
        <f t="shared" si="25"/>
        <v>22</v>
      </c>
      <c r="I548" s="1838">
        <f t="shared" si="26"/>
        <v>98810</v>
      </c>
      <c r="J548" s="1838">
        <v>0</v>
      </c>
      <c r="K548" s="1838">
        <v>0</v>
      </c>
      <c r="L548" s="1838">
        <v>0</v>
      </c>
      <c r="M548" s="1838">
        <v>0</v>
      </c>
      <c r="N548" s="1838" t="s">
        <v>3595</v>
      </c>
      <c r="O548" s="1838" t="s">
        <v>3297</v>
      </c>
      <c r="P548" s="1838"/>
    </row>
    <row r="549" spans="2:16" s="1843" customFormat="1">
      <c r="B549" s="1838">
        <f t="shared" si="27"/>
        <v>546</v>
      </c>
      <c r="C549" s="1838" t="s">
        <v>392</v>
      </c>
      <c r="D549" s="1838" t="s">
        <v>3162</v>
      </c>
      <c r="E549" s="1838" t="s">
        <v>3713</v>
      </c>
      <c r="F549" s="1839">
        <v>45360</v>
      </c>
      <c r="G549" s="1840">
        <v>54353</v>
      </c>
      <c r="H549" s="1841">
        <f t="shared" si="25"/>
        <v>22</v>
      </c>
      <c r="I549" s="1838">
        <f t="shared" si="26"/>
        <v>54353</v>
      </c>
      <c r="J549" s="1838">
        <v>0</v>
      </c>
      <c r="K549" s="1838">
        <v>0</v>
      </c>
      <c r="L549" s="1838">
        <v>0</v>
      </c>
      <c r="M549" s="1838">
        <v>0</v>
      </c>
      <c r="N549" s="1838" t="s">
        <v>3595</v>
      </c>
      <c r="O549" s="1838" t="s">
        <v>3297</v>
      </c>
      <c r="P549" s="1838"/>
    </row>
    <row r="550" spans="2:16" s="1843" customFormat="1">
      <c r="B550" s="1838">
        <f t="shared" si="27"/>
        <v>547</v>
      </c>
      <c r="C550" s="1838" t="s">
        <v>392</v>
      </c>
      <c r="D550" s="1838" t="s">
        <v>3162</v>
      </c>
      <c r="E550" s="1838" t="s">
        <v>3714</v>
      </c>
      <c r="F550" s="1839">
        <v>45361</v>
      </c>
      <c r="G550" s="1840">
        <v>49481</v>
      </c>
      <c r="H550" s="1841">
        <f t="shared" si="25"/>
        <v>21</v>
      </c>
      <c r="I550" s="1838">
        <f t="shared" si="26"/>
        <v>49481</v>
      </c>
      <c r="J550" s="1838">
        <v>0</v>
      </c>
      <c r="K550" s="1838">
        <v>0</v>
      </c>
      <c r="L550" s="1838">
        <v>0</v>
      </c>
      <c r="M550" s="1838">
        <v>0</v>
      </c>
      <c r="N550" s="1838" t="s">
        <v>3595</v>
      </c>
      <c r="O550" s="1838" t="s">
        <v>3297</v>
      </c>
      <c r="P550" s="1838"/>
    </row>
    <row r="551" spans="2:16" s="1843" customFormat="1">
      <c r="B551" s="1838">
        <f t="shared" si="27"/>
        <v>548</v>
      </c>
      <c r="C551" s="1838" t="s">
        <v>392</v>
      </c>
      <c r="D551" s="1838" t="s">
        <v>3162</v>
      </c>
      <c r="E551" s="1838" t="s">
        <v>3715</v>
      </c>
      <c r="F551" s="1839">
        <v>45361</v>
      </c>
      <c r="G551" s="1840">
        <v>79246</v>
      </c>
      <c r="H551" s="1841">
        <f t="shared" si="25"/>
        <v>21</v>
      </c>
      <c r="I551" s="1838">
        <f t="shared" si="26"/>
        <v>79246</v>
      </c>
      <c r="J551" s="1838">
        <v>0</v>
      </c>
      <c r="K551" s="1838">
        <v>0</v>
      </c>
      <c r="L551" s="1838">
        <v>0</v>
      </c>
      <c r="M551" s="1838">
        <v>0</v>
      </c>
      <c r="N551" s="1838" t="s">
        <v>3595</v>
      </c>
      <c r="O551" s="1838" t="s">
        <v>3297</v>
      </c>
      <c r="P551" s="1838"/>
    </row>
    <row r="552" spans="2:16" s="1843" customFormat="1">
      <c r="B552" s="1838">
        <f t="shared" si="27"/>
        <v>549</v>
      </c>
      <c r="C552" s="1838" t="s">
        <v>392</v>
      </c>
      <c r="D552" s="1838" t="s">
        <v>3162</v>
      </c>
      <c r="E552" s="1838" t="s">
        <v>3716</v>
      </c>
      <c r="F552" s="1839">
        <v>45362</v>
      </c>
      <c r="G552" s="1840">
        <v>60900</v>
      </c>
      <c r="H552" s="1841">
        <f t="shared" si="25"/>
        <v>20</v>
      </c>
      <c r="I552" s="1838">
        <f t="shared" si="26"/>
        <v>60900</v>
      </c>
      <c r="J552" s="1838">
        <v>0</v>
      </c>
      <c r="K552" s="1838">
        <v>0</v>
      </c>
      <c r="L552" s="1838">
        <v>0</v>
      </c>
      <c r="M552" s="1838">
        <v>0</v>
      </c>
      <c r="N552" s="1838" t="s">
        <v>3595</v>
      </c>
      <c r="O552" s="1838" t="s">
        <v>3297</v>
      </c>
      <c r="P552" s="1838"/>
    </row>
    <row r="553" spans="2:16" s="1843" customFormat="1">
      <c r="B553" s="1838">
        <f t="shared" si="27"/>
        <v>550</v>
      </c>
      <c r="C553" s="1838" t="s">
        <v>392</v>
      </c>
      <c r="D553" s="1838" t="s">
        <v>3162</v>
      </c>
      <c r="E553" s="1838" t="s">
        <v>3717</v>
      </c>
      <c r="F553" s="1839">
        <v>45362</v>
      </c>
      <c r="G553" s="1840">
        <v>61433</v>
      </c>
      <c r="H553" s="1841">
        <f t="shared" si="25"/>
        <v>20</v>
      </c>
      <c r="I553" s="1838">
        <f t="shared" si="26"/>
        <v>61433</v>
      </c>
      <c r="J553" s="1838">
        <v>0</v>
      </c>
      <c r="K553" s="1838">
        <v>0</v>
      </c>
      <c r="L553" s="1838">
        <v>0</v>
      </c>
      <c r="M553" s="1838">
        <v>0</v>
      </c>
      <c r="N553" s="1838" t="s">
        <v>3595</v>
      </c>
      <c r="O553" s="1838" t="s">
        <v>3297</v>
      </c>
      <c r="P553" s="1838"/>
    </row>
    <row r="554" spans="2:16" s="1843" customFormat="1">
      <c r="B554" s="1838">
        <f t="shared" si="27"/>
        <v>551</v>
      </c>
      <c r="C554" s="1838" t="s">
        <v>392</v>
      </c>
      <c r="D554" s="1838" t="s">
        <v>3162</v>
      </c>
      <c r="E554" s="1838" t="s">
        <v>3718</v>
      </c>
      <c r="F554" s="1839">
        <v>45363</v>
      </c>
      <c r="G554" s="1840">
        <v>41146</v>
      </c>
      <c r="H554" s="1841">
        <f t="shared" si="25"/>
        <v>19</v>
      </c>
      <c r="I554" s="1838">
        <f t="shared" si="26"/>
        <v>41146</v>
      </c>
      <c r="J554" s="1838">
        <v>0</v>
      </c>
      <c r="K554" s="1838">
        <v>0</v>
      </c>
      <c r="L554" s="1838">
        <v>0</v>
      </c>
      <c r="M554" s="1838">
        <v>0</v>
      </c>
      <c r="N554" s="1838" t="s">
        <v>3595</v>
      </c>
      <c r="O554" s="1838" t="s">
        <v>3297</v>
      </c>
      <c r="P554" s="1838"/>
    </row>
    <row r="555" spans="2:16" s="1843" customFormat="1">
      <c r="B555" s="1838">
        <f t="shared" si="27"/>
        <v>552</v>
      </c>
      <c r="C555" s="1838" t="s">
        <v>392</v>
      </c>
      <c r="D555" s="1838" t="s">
        <v>3162</v>
      </c>
      <c r="E555" s="1838" t="s">
        <v>3719</v>
      </c>
      <c r="F555" s="1839">
        <v>45364</v>
      </c>
      <c r="G555" s="1840">
        <v>87221</v>
      </c>
      <c r="H555" s="1841">
        <f t="shared" si="25"/>
        <v>18</v>
      </c>
      <c r="I555" s="1838">
        <f t="shared" si="26"/>
        <v>87221</v>
      </c>
      <c r="J555" s="1838">
        <v>0</v>
      </c>
      <c r="K555" s="1838">
        <v>0</v>
      </c>
      <c r="L555" s="1838">
        <v>0</v>
      </c>
      <c r="M555" s="1838">
        <v>0</v>
      </c>
      <c r="N555" s="1838" t="s">
        <v>3595</v>
      </c>
      <c r="O555" s="1838" t="s">
        <v>3297</v>
      </c>
      <c r="P555" s="1838"/>
    </row>
    <row r="556" spans="2:16" s="1843" customFormat="1">
      <c r="B556" s="1838">
        <f t="shared" si="27"/>
        <v>553</v>
      </c>
      <c r="C556" s="1838" t="s">
        <v>392</v>
      </c>
      <c r="D556" s="1838" t="s">
        <v>3162</v>
      </c>
      <c r="E556" s="1838" t="s">
        <v>3720</v>
      </c>
      <c r="F556" s="1839">
        <v>45364</v>
      </c>
      <c r="G556" s="1840">
        <v>78733</v>
      </c>
      <c r="H556" s="1841">
        <f t="shared" si="25"/>
        <v>18</v>
      </c>
      <c r="I556" s="1838">
        <f t="shared" si="26"/>
        <v>78733</v>
      </c>
      <c r="J556" s="1838">
        <v>0</v>
      </c>
      <c r="K556" s="1838">
        <v>0</v>
      </c>
      <c r="L556" s="1838">
        <v>0</v>
      </c>
      <c r="M556" s="1838">
        <v>0</v>
      </c>
      <c r="N556" s="1838" t="s">
        <v>3595</v>
      </c>
      <c r="O556" s="1838" t="s">
        <v>3297</v>
      </c>
      <c r="P556" s="1838"/>
    </row>
    <row r="557" spans="2:16" s="1843" customFormat="1">
      <c r="B557" s="1838">
        <f t="shared" si="27"/>
        <v>554</v>
      </c>
      <c r="C557" s="1838" t="s">
        <v>392</v>
      </c>
      <c r="D557" s="1838" t="s">
        <v>3162</v>
      </c>
      <c r="E557" s="1838" t="s">
        <v>3721</v>
      </c>
      <c r="F557" s="1839">
        <v>45364</v>
      </c>
      <c r="G557" s="1840">
        <v>38487</v>
      </c>
      <c r="H557" s="1841">
        <f t="shared" si="25"/>
        <v>18</v>
      </c>
      <c r="I557" s="1838">
        <f t="shared" si="26"/>
        <v>38487</v>
      </c>
      <c r="J557" s="1838">
        <v>0</v>
      </c>
      <c r="K557" s="1838">
        <v>0</v>
      </c>
      <c r="L557" s="1838">
        <v>0</v>
      </c>
      <c r="M557" s="1838">
        <v>0</v>
      </c>
      <c r="N557" s="1838" t="s">
        <v>3595</v>
      </c>
      <c r="O557" s="1838" t="s">
        <v>3297</v>
      </c>
      <c r="P557" s="1838"/>
    </row>
    <row r="558" spans="2:16" s="1843" customFormat="1">
      <c r="B558" s="1838">
        <f t="shared" si="27"/>
        <v>555</v>
      </c>
      <c r="C558" s="1838" t="s">
        <v>392</v>
      </c>
      <c r="D558" s="1838" t="s">
        <v>3162</v>
      </c>
      <c r="E558" s="1838" t="s">
        <v>3722</v>
      </c>
      <c r="F558" s="1839">
        <v>45365</v>
      </c>
      <c r="G558" s="1840">
        <v>38330</v>
      </c>
      <c r="H558" s="1841">
        <f t="shared" si="25"/>
        <v>17</v>
      </c>
      <c r="I558" s="1838">
        <f t="shared" si="26"/>
        <v>38330</v>
      </c>
      <c r="J558" s="1838">
        <v>0</v>
      </c>
      <c r="K558" s="1838">
        <v>0</v>
      </c>
      <c r="L558" s="1838">
        <v>0</v>
      </c>
      <c r="M558" s="1838">
        <v>0</v>
      </c>
      <c r="N558" s="1838" t="s">
        <v>3595</v>
      </c>
      <c r="O558" s="1838" t="s">
        <v>3297</v>
      </c>
      <c r="P558" s="1838"/>
    </row>
    <row r="559" spans="2:16" s="1843" customFormat="1">
      <c r="B559" s="1838">
        <f t="shared" si="27"/>
        <v>556</v>
      </c>
      <c r="C559" s="1838" t="s">
        <v>392</v>
      </c>
      <c r="D559" s="1838" t="s">
        <v>3162</v>
      </c>
      <c r="E559" s="1838" t="s">
        <v>3723</v>
      </c>
      <c r="F559" s="1839">
        <v>45365</v>
      </c>
      <c r="G559" s="1840">
        <v>64536</v>
      </c>
      <c r="H559" s="1841">
        <f t="shared" si="25"/>
        <v>17</v>
      </c>
      <c r="I559" s="1838">
        <f t="shared" si="26"/>
        <v>64536</v>
      </c>
      <c r="J559" s="1838">
        <v>0</v>
      </c>
      <c r="K559" s="1838">
        <v>0</v>
      </c>
      <c r="L559" s="1838">
        <v>0</v>
      </c>
      <c r="M559" s="1838">
        <v>0</v>
      </c>
      <c r="N559" s="1838" t="s">
        <v>3595</v>
      </c>
      <c r="O559" s="1838" t="s">
        <v>3297</v>
      </c>
      <c r="P559" s="1838"/>
    </row>
    <row r="560" spans="2:16" s="1843" customFormat="1">
      <c r="B560" s="1838">
        <f t="shared" si="27"/>
        <v>557</v>
      </c>
      <c r="C560" s="1838" t="s">
        <v>392</v>
      </c>
      <c r="D560" s="1838" t="s">
        <v>3162</v>
      </c>
      <c r="E560" s="1838" t="s">
        <v>3724</v>
      </c>
      <c r="F560" s="1839">
        <v>45366</v>
      </c>
      <c r="G560" s="1840">
        <v>36296</v>
      </c>
      <c r="H560" s="1841">
        <f t="shared" si="25"/>
        <v>16</v>
      </c>
      <c r="I560" s="1838">
        <f t="shared" si="26"/>
        <v>36296</v>
      </c>
      <c r="J560" s="1838">
        <v>0</v>
      </c>
      <c r="K560" s="1838">
        <v>0</v>
      </c>
      <c r="L560" s="1838">
        <v>0</v>
      </c>
      <c r="M560" s="1838">
        <v>0</v>
      </c>
      <c r="N560" s="1838" t="s">
        <v>3595</v>
      </c>
      <c r="O560" s="1838" t="s">
        <v>3297</v>
      </c>
      <c r="P560" s="1838"/>
    </row>
    <row r="561" spans="2:16" s="1843" customFormat="1">
      <c r="B561" s="1838">
        <f t="shared" si="27"/>
        <v>558</v>
      </c>
      <c r="C561" s="1838" t="s">
        <v>392</v>
      </c>
      <c r="D561" s="1838" t="s">
        <v>3162</v>
      </c>
      <c r="E561" s="1838" t="s">
        <v>3725</v>
      </c>
      <c r="F561" s="1839">
        <v>45366</v>
      </c>
      <c r="G561" s="1840">
        <v>39738</v>
      </c>
      <c r="H561" s="1841">
        <f t="shared" si="25"/>
        <v>16</v>
      </c>
      <c r="I561" s="1838">
        <f t="shared" si="26"/>
        <v>39738</v>
      </c>
      <c r="J561" s="1838">
        <v>0</v>
      </c>
      <c r="K561" s="1838">
        <v>0</v>
      </c>
      <c r="L561" s="1838">
        <v>0</v>
      </c>
      <c r="M561" s="1838">
        <v>0</v>
      </c>
      <c r="N561" s="1838" t="s">
        <v>3595</v>
      </c>
      <c r="O561" s="1838" t="s">
        <v>3297</v>
      </c>
      <c r="P561" s="1838"/>
    </row>
    <row r="562" spans="2:16" s="1843" customFormat="1">
      <c r="B562" s="1838">
        <f t="shared" si="27"/>
        <v>559</v>
      </c>
      <c r="C562" s="1838" t="s">
        <v>392</v>
      </c>
      <c r="D562" s="1838" t="s">
        <v>3162</v>
      </c>
      <c r="E562" s="1838" t="s">
        <v>3726</v>
      </c>
      <c r="F562" s="1839">
        <v>45366</v>
      </c>
      <c r="G562" s="1840">
        <v>42946</v>
      </c>
      <c r="H562" s="1841">
        <f t="shared" si="25"/>
        <v>16</v>
      </c>
      <c r="I562" s="1838">
        <f t="shared" si="26"/>
        <v>42946</v>
      </c>
      <c r="J562" s="1838">
        <v>0</v>
      </c>
      <c r="K562" s="1838">
        <v>0</v>
      </c>
      <c r="L562" s="1838">
        <v>0</v>
      </c>
      <c r="M562" s="1838">
        <v>0</v>
      </c>
      <c r="N562" s="1838" t="s">
        <v>3595</v>
      </c>
      <c r="O562" s="1838" t="s">
        <v>3297</v>
      </c>
      <c r="P562" s="1838"/>
    </row>
    <row r="563" spans="2:16" s="1843" customFormat="1">
      <c r="B563" s="1838">
        <f t="shared" si="27"/>
        <v>560</v>
      </c>
      <c r="C563" s="1838" t="s">
        <v>392</v>
      </c>
      <c r="D563" s="1838" t="s">
        <v>3162</v>
      </c>
      <c r="E563" s="1838" t="s">
        <v>3727</v>
      </c>
      <c r="F563" s="1839">
        <v>45367</v>
      </c>
      <c r="G563" s="1840">
        <v>57965</v>
      </c>
      <c r="H563" s="1841">
        <f t="shared" si="25"/>
        <v>15</v>
      </c>
      <c r="I563" s="1838">
        <f t="shared" si="26"/>
        <v>57965</v>
      </c>
      <c r="J563" s="1838">
        <v>0</v>
      </c>
      <c r="K563" s="1838">
        <v>0</v>
      </c>
      <c r="L563" s="1838">
        <v>0</v>
      </c>
      <c r="M563" s="1838">
        <v>0</v>
      </c>
      <c r="N563" s="1838" t="s">
        <v>3595</v>
      </c>
      <c r="O563" s="1838" t="s">
        <v>3297</v>
      </c>
      <c r="P563" s="1838"/>
    </row>
    <row r="564" spans="2:16" s="1843" customFormat="1">
      <c r="B564" s="1838">
        <f t="shared" si="27"/>
        <v>561</v>
      </c>
      <c r="C564" s="1838" t="s">
        <v>392</v>
      </c>
      <c r="D564" s="1838" t="s">
        <v>3162</v>
      </c>
      <c r="E564" s="1838" t="s">
        <v>3728</v>
      </c>
      <c r="F564" s="1839">
        <v>45367</v>
      </c>
      <c r="G564" s="1840">
        <v>45996</v>
      </c>
      <c r="H564" s="1841">
        <f t="shared" si="25"/>
        <v>15</v>
      </c>
      <c r="I564" s="1838">
        <f t="shared" si="26"/>
        <v>45996</v>
      </c>
      <c r="J564" s="1838">
        <v>0</v>
      </c>
      <c r="K564" s="1838">
        <v>0</v>
      </c>
      <c r="L564" s="1838">
        <v>0</v>
      </c>
      <c r="M564" s="1838">
        <v>0</v>
      </c>
      <c r="N564" s="1838" t="s">
        <v>3595</v>
      </c>
      <c r="O564" s="1838" t="s">
        <v>3297</v>
      </c>
      <c r="P564" s="1838"/>
    </row>
    <row r="565" spans="2:16" s="1843" customFormat="1">
      <c r="B565" s="1838">
        <f t="shared" si="27"/>
        <v>562</v>
      </c>
      <c r="C565" s="1838" t="s">
        <v>392</v>
      </c>
      <c r="D565" s="1838" t="s">
        <v>3162</v>
      </c>
      <c r="E565" s="1838" t="s">
        <v>3729</v>
      </c>
      <c r="F565" s="1839">
        <v>45368</v>
      </c>
      <c r="G565" s="1840">
        <v>77208</v>
      </c>
      <c r="H565" s="1841">
        <f t="shared" si="25"/>
        <v>14</v>
      </c>
      <c r="I565" s="1838">
        <f t="shared" si="26"/>
        <v>77208</v>
      </c>
      <c r="J565" s="1838">
        <v>0</v>
      </c>
      <c r="K565" s="1838">
        <v>0</v>
      </c>
      <c r="L565" s="1838">
        <v>0</v>
      </c>
      <c r="M565" s="1838">
        <v>0</v>
      </c>
      <c r="N565" s="1838" t="s">
        <v>3595</v>
      </c>
      <c r="O565" s="1838" t="s">
        <v>3297</v>
      </c>
      <c r="P565" s="1838"/>
    </row>
    <row r="566" spans="2:16" s="1843" customFormat="1">
      <c r="B566" s="1838">
        <f t="shared" si="27"/>
        <v>563</v>
      </c>
      <c r="C566" s="1838" t="s">
        <v>392</v>
      </c>
      <c r="D566" s="1838" t="s">
        <v>3162</v>
      </c>
      <c r="E566" s="1838" t="s">
        <v>3730</v>
      </c>
      <c r="F566" s="1839">
        <v>45369</v>
      </c>
      <c r="G566" s="1840">
        <v>91993</v>
      </c>
      <c r="H566" s="1841">
        <f t="shared" si="25"/>
        <v>13</v>
      </c>
      <c r="I566" s="1838">
        <f t="shared" si="26"/>
        <v>91993</v>
      </c>
      <c r="J566" s="1838">
        <v>0</v>
      </c>
      <c r="K566" s="1838">
        <v>0</v>
      </c>
      <c r="L566" s="1838">
        <v>0</v>
      </c>
      <c r="M566" s="1838">
        <v>0</v>
      </c>
      <c r="N566" s="1838" t="s">
        <v>3595</v>
      </c>
      <c r="O566" s="1838" t="s">
        <v>3297</v>
      </c>
      <c r="P566" s="1838"/>
    </row>
    <row r="567" spans="2:16" s="1843" customFormat="1">
      <c r="B567" s="1838">
        <f t="shared" si="27"/>
        <v>564</v>
      </c>
      <c r="C567" s="1838" t="s">
        <v>392</v>
      </c>
      <c r="D567" s="1838" t="s">
        <v>3162</v>
      </c>
      <c r="E567" s="1838" t="s">
        <v>3731</v>
      </c>
      <c r="F567" s="1839">
        <v>45370</v>
      </c>
      <c r="G567" s="1840">
        <v>98329</v>
      </c>
      <c r="H567" s="1841">
        <f t="shared" si="25"/>
        <v>12</v>
      </c>
      <c r="I567" s="1838">
        <f t="shared" si="26"/>
        <v>98329</v>
      </c>
      <c r="J567" s="1838">
        <v>0</v>
      </c>
      <c r="K567" s="1838">
        <v>0</v>
      </c>
      <c r="L567" s="1838">
        <v>0</v>
      </c>
      <c r="M567" s="1838">
        <v>0</v>
      </c>
      <c r="N567" s="1838" t="s">
        <v>3595</v>
      </c>
      <c r="O567" s="1838" t="s">
        <v>3297</v>
      </c>
      <c r="P567" s="1838"/>
    </row>
    <row r="568" spans="2:16" s="1843" customFormat="1">
      <c r="B568" s="1838">
        <f t="shared" si="27"/>
        <v>565</v>
      </c>
      <c r="C568" s="1838" t="s">
        <v>392</v>
      </c>
      <c r="D568" s="1838" t="s">
        <v>3162</v>
      </c>
      <c r="E568" s="1838" t="s">
        <v>3732</v>
      </c>
      <c r="F568" s="1839">
        <v>45371</v>
      </c>
      <c r="G568" s="1840">
        <v>76269</v>
      </c>
      <c r="H568" s="1841">
        <f t="shared" si="25"/>
        <v>11</v>
      </c>
      <c r="I568" s="1838">
        <f t="shared" si="26"/>
        <v>76269</v>
      </c>
      <c r="J568" s="1838">
        <v>0</v>
      </c>
      <c r="K568" s="1838">
        <v>0</v>
      </c>
      <c r="L568" s="1838">
        <v>0</v>
      </c>
      <c r="M568" s="1838">
        <v>0</v>
      </c>
      <c r="N568" s="1838" t="s">
        <v>3595</v>
      </c>
      <c r="O568" s="1838" t="s">
        <v>3297</v>
      </c>
      <c r="P568" s="1838"/>
    </row>
    <row r="569" spans="2:16" s="1843" customFormat="1">
      <c r="B569" s="1838">
        <f t="shared" si="27"/>
        <v>566</v>
      </c>
      <c r="C569" s="1838" t="s">
        <v>392</v>
      </c>
      <c r="D569" s="1838" t="s">
        <v>3162</v>
      </c>
      <c r="E569" s="1838" t="s">
        <v>3733</v>
      </c>
      <c r="F569" s="1839">
        <v>45371</v>
      </c>
      <c r="G569" s="1840">
        <v>81902</v>
      </c>
      <c r="H569" s="1841">
        <f t="shared" si="25"/>
        <v>11</v>
      </c>
      <c r="I569" s="1838">
        <f t="shared" si="26"/>
        <v>81902</v>
      </c>
      <c r="J569" s="1838">
        <v>0</v>
      </c>
      <c r="K569" s="1838">
        <v>0</v>
      </c>
      <c r="L569" s="1838">
        <v>0</v>
      </c>
      <c r="M569" s="1838">
        <v>0</v>
      </c>
      <c r="N569" s="1838" t="s">
        <v>3595</v>
      </c>
      <c r="O569" s="1838" t="s">
        <v>3297</v>
      </c>
      <c r="P569" s="1838"/>
    </row>
    <row r="570" spans="2:16" s="1843" customFormat="1">
      <c r="B570" s="1838">
        <f t="shared" si="27"/>
        <v>567</v>
      </c>
      <c r="C570" s="1838" t="s">
        <v>392</v>
      </c>
      <c r="D570" s="1838" t="s">
        <v>3162</v>
      </c>
      <c r="E570" s="1838" t="s">
        <v>3734</v>
      </c>
      <c r="F570" s="1839">
        <v>45371</v>
      </c>
      <c r="G570" s="1840">
        <v>32855</v>
      </c>
      <c r="H570" s="1841">
        <f t="shared" si="25"/>
        <v>11</v>
      </c>
      <c r="I570" s="1838">
        <f t="shared" si="26"/>
        <v>32855</v>
      </c>
      <c r="J570" s="1838">
        <v>0</v>
      </c>
      <c r="K570" s="1838">
        <v>0</v>
      </c>
      <c r="L570" s="1838">
        <v>0</v>
      </c>
      <c r="M570" s="1838">
        <v>0</v>
      </c>
      <c r="N570" s="1838" t="s">
        <v>3595</v>
      </c>
      <c r="O570" s="1838" t="s">
        <v>3297</v>
      </c>
      <c r="P570" s="1838"/>
    </row>
    <row r="571" spans="2:16" s="1843" customFormat="1">
      <c r="B571" s="1838">
        <f t="shared" si="27"/>
        <v>568</v>
      </c>
      <c r="C571" s="1838" t="s">
        <v>392</v>
      </c>
      <c r="D571" s="1838" t="s">
        <v>3162</v>
      </c>
      <c r="E571" s="1838" t="s">
        <v>3735</v>
      </c>
      <c r="F571" s="1839">
        <v>45372</v>
      </c>
      <c r="G571" s="1840">
        <v>74705</v>
      </c>
      <c r="H571" s="1841">
        <f t="shared" si="25"/>
        <v>10</v>
      </c>
      <c r="I571" s="1838">
        <f t="shared" si="26"/>
        <v>74705</v>
      </c>
      <c r="J571" s="1838">
        <v>0</v>
      </c>
      <c r="K571" s="1838">
        <v>0</v>
      </c>
      <c r="L571" s="1838">
        <v>0</v>
      </c>
      <c r="M571" s="1838">
        <v>0</v>
      </c>
      <c r="N571" s="1838" t="s">
        <v>3595</v>
      </c>
      <c r="O571" s="1838" t="s">
        <v>3297</v>
      </c>
      <c r="P571" s="1838"/>
    </row>
    <row r="572" spans="2:16" s="1843" customFormat="1">
      <c r="B572" s="1838">
        <f t="shared" si="27"/>
        <v>569</v>
      </c>
      <c r="C572" s="1838" t="s">
        <v>392</v>
      </c>
      <c r="D572" s="1838" t="s">
        <v>3162</v>
      </c>
      <c r="E572" s="1838" t="s">
        <v>3736</v>
      </c>
      <c r="F572" s="1839">
        <v>45372</v>
      </c>
      <c r="G572" s="1840">
        <v>45292</v>
      </c>
      <c r="H572" s="1841">
        <f t="shared" si="25"/>
        <v>10</v>
      </c>
      <c r="I572" s="1838">
        <f t="shared" si="26"/>
        <v>45292</v>
      </c>
      <c r="J572" s="1838">
        <v>0</v>
      </c>
      <c r="K572" s="1838">
        <v>0</v>
      </c>
      <c r="L572" s="1838">
        <v>0</v>
      </c>
      <c r="M572" s="1838">
        <v>0</v>
      </c>
      <c r="N572" s="1838" t="s">
        <v>3595</v>
      </c>
      <c r="O572" s="1838" t="s">
        <v>3297</v>
      </c>
      <c r="P572" s="1838"/>
    </row>
    <row r="573" spans="2:16" s="1843" customFormat="1">
      <c r="B573" s="1838">
        <f t="shared" si="27"/>
        <v>570</v>
      </c>
      <c r="C573" s="1838" t="s">
        <v>392</v>
      </c>
      <c r="D573" s="1838" t="s">
        <v>3162</v>
      </c>
      <c r="E573" s="1838" t="s">
        <v>3737</v>
      </c>
      <c r="F573" s="1839">
        <v>45373</v>
      </c>
      <c r="G573" s="1840">
        <v>89643</v>
      </c>
      <c r="H573" s="1841">
        <f t="shared" si="25"/>
        <v>9</v>
      </c>
      <c r="I573" s="1838">
        <f t="shared" si="26"/>
        <v>89643</v>
      </c>
      <c r="J573" s="1838">
        <v>0</v>
      </c>
      <c r="K573" s="1838">
        <v>0</v>
      </c>
      <c r="L573" s="1838">
        <v>0</v>
      </c>
      <c r="M573" s="1838">
        <v>0</v>
      </c>
      <c r="N573" s="1838" t="s">
        <v>3595</v>
      </c>
      <c r="O573" s="1838" t="s">
        <v>3297</v>
      </c>
      <c r="P573" s="1838"/>
    </row>
    <row r="574" spans="2:16" s="1843" customFormat="1">
      <c r="B574" s="1838">
        <f t="shared" si="27"/>
        <v>571</v>
      </c>
      <c r="C574" s="1838" t="s">
        <v>392</v>
      </c>
      <c r="D574" s="1838" t="s">
        <v>3162</v>
      </c>
      <c r="E574" s="1838" t="s">
        <v>3738</v>
      </c>
      <c r="F574" s="1839">
        <v>45373</v>
      </c>
      <c r="G574" s="1840">
        <v>47713</v>
      </c>
      <c r="H574" s="1841">
        <f t="shared" si="25"/>
        <v>9</v>
      </c>
      <c r="I574" s="1838">
        <f t="shared" si="26"/>
        <v>47713</v>
      </c>
      <c r="J574" s="1838">
        <v>0</v>
      </c>
      <c r="K574" s="1838">
        <v>0</v>
      </c>
      <c r="L574" s="1838">
        <v>0</v>
      </c>
      <c r="M574" s="1838">
        <v>0</v>
      </c>
      <c r="N574" s="1838" t="s">
        <v>3595</v>
      </c>
      <c r="O574" s="1838" t="s">
        <v>3297</v>
      </c>
      <c r="P574" s="1838"/>
    </row>
    <row r="575" spans="2:16" s="1843" customFormat="1">
      <c r="B575" s="1838">
        <f t="shared" si="27"/>
        <v>572</v>
      </c>
      <c r="C575" s="1838" t="s">
        <v>392</v>
      </c>
      <c r="D575" s="1838" t="s">
        <v>3162</v>
      </c>
      <c r="E575" s="1838" t="s">
        <v>3739</v>
      </c>
      <c r="F575" s="1839">
        <v>45374</v>
      </c>
      <c r="G575" s="1840">
        <v>75827</v>
      </c>
      <c r="H575" s="1841">
        <f t="shared" si="25"/>
        <v>8</v>
      </c>
      <c r="I575" s="1838">
        <f t="shared" si="26"/>
        <v>75827</v>
      </c>
      <c r="J575" s="1838">
        <v>0</v>
      </c>
      <c r="K575" s="1838">
        <v>0</v>
      </c>
      <c r="L575" s="1838">
        <v>0</v>
      </c>
      <c r="M575" s="1838">
        <v>0</v>
      </c>
      <c r="N575" s="1838" t="s">
        <v>3595</v>
      </c>
      <c r="O575" s="1838" t="s">
        <v>3297</v>
      </c>
      <c r="P575" s="1838"/>
    </row>
    <row r="576" spans="2:16" s="1843" customFormat="1">
      <c r="B576" s="1838">
        <f t="shared" si="27"/>
        <v>573</v>
      </c>
      <c r="C576" s="1838" t="s">
        <v>392</v>
      </c>
      <c r="D576" s="1838" t="s">
        <v>3162</v>
      </c>
      <c r="E576" s="1838" t="s">
        <v>3740</v>
      </c>
      <c r="F576" s="1839">
        <v>45375</v>
      </c>
      <c r="G576" s="1840">
        <v>87474</v>
      </c>
      <c r="H576" s="1841">
        <f t="shared" si="25"/>
        <v>7</v>
      </c>
      <c r="I576" s="1838">
        <f t="shared" si="26"/>
        <v>87474</v>
      </c>
      <c r="J576" s="1838">
        <v>0</v>
      </c>
      <c r="K576" s="1838">
        <v>0</v>
      </c>
      <c r="L576" s="1838">
        <v>0</v>
      </c>
      <c r="M576" s="1838">
        <v>0</v>
      </c>
      <c r="N576" s="1838" t="s">
        <v>3595</v>
      </c>
      <c r="O576" s="1838" t="s">
        <v>3297</v>
      </c>
      <c r="P576" s="1838"/>
    </row>
    <row r="577" spans="2:16" s="1843" customFormat="1">
      <c r="B577" s="1838">
        <f t="shared" si="27"/>
        <v>574</v>
      </c>
      <c r="C577" s="1838" t="s">
        <v>392</v>
      </c>
      <c r="D577" s="1838" t="s">
        <v>3162</v>
      </c>
      <c r="E577" s="1838" t="s">
        <v>3741</v>
      </c>
      <c r="F577" s="1839">
        <v>45377</v>
      </c>
      <c r="G577" s="1840">
        <v>59922</v>
      </c>
      <c r="H577" s="1841">
        <f t="shared" si="25"/>
        <v>5</v>
      </c>
      <c r="I577" s="1838">
        <f t="shared" si="26"/>
        <v>59922</v>
      </c>
      <c r="J577" s="1838">
        <v>0</v>
      </c>
      <c r="K577" s="1838">
        <v>0</v>
      </c>
      <c r="L577" s="1838">
        <v>0</v>
      </c>
      <c r="M577" s="1838">
        <v>0</v>
      </c>
      <c r="N577" s="1838" t="s">
        <v>3595</v>
      </c>
      <c r="O577" s="1838" t="s">
        <v>3297</v>
      </c>
      <c r="P577" s="1838"/>
    </row>
    <row r="578" spans="2:16" s="1843" customFormat="1">
      <c r="B578" s="1838">
        <f t="shared" si="27"/>
        <v>575</v>
      </c>
      <c r="C578" s="1838" t="s">
        <v>392</v>
      </c>
      <c r="D578" s="1838" t="s">
        <v>3162</v>
      </c>
      <c r="E578" s="1838" t="s">
        <v>3742</v>
      </c>
      <c r="F578" s="1839">
        <v>45377</v>
      </c>
      <c r="G578" s="1840">
        <v>56228</v>
      </c>
      <c r="H578" s="1841">
        <f t="shared" si="25"/>
        <v>5</v>
      </c>
      <c r="I578" s="1838">
        <f t="shared" si="26"/>
        <v>56228</v>
      </c>
      <c r="J578" s="1838">
        <v>0</v>
      </c>
      <c r="K578" s="1838">
        <v>0</v>
      </c>
      <c r="L578" s="1838">
        <v>0</v>
      </c>
      <c r="M578" s="1838">
        <v>0</v>
      </c>
      <c r="N578" s="1838" t="s">
        <v>3595</v>
      </c>
      <c r="O578" s="1838" t="s">
        <v>3297</v>
      </c>
      <c r="P578" s="1838"/>
    </row>
    <row r="579" spans="2:16" s="1843" customFormat="1">
      <c r="B579" s="1838">
        <f t="shared" si="27"/>
        <v>576</v>
      </c>
      <c r="C579" s="1838" t="s">
        <v>392</v>
      </c>
      <c r="D579" s="1838" t="s">
        <v>3162</v>
      </c>
      <c r="E579" s="1838" t="s">
        <v>3743</v>
      </c>
      <c r="F579" s="1839">
        <v>45377</v>
      </c>
      <c r="G579" s="1840">
        <v>56308</v>
      </c>
      <c r="H579" s="1841">
        <f t="shared" si="25"/>
        <v>5</v>
      </c>
      <c r="I579" s="1838">
        <f t="shared" si="26"/>
        <v>56308</v>
      </c>
      <c r="J579" s="1838">
        <v>0</v>
      </c>
      <c r="K579" s="1838">
        <v>0</v>
      </c>
      <c r="L579" s="1838">
        <v>0</v>
      </c>
      <c r="M579" s="1838">
        <v>0</v>
      </c>
      <c r="N579" s="1838" t="s">
        <v>3595</v>
      </c>
      <c r="O579" s="1838" t="s">
        <v>3297</v>
      </c>
      <c r="P579" s="1838"/>
    </row>
    <row r="580" spans="2:16" s="1843" customFormat="1">
      <c r="B580" s="1838">
        <f t="shared" si="27"/>
        <v>577</v>
      </c>
      <c r="C580" s="1838" t="s">
        <v>392</v>
      </c>
      <c r="D580" s="1838" t="s">
        <v>3162</v>
      </c>
      <c r="E580" s="1838" t="s">
        <v>3744</v>
      </c>
      <c r="F580" s="1839">
        <v>45377</v>
      </c>
      <c r="G580" s="1840">
        <v>46749</v>
      </c>
      <c r="H580" s="1841">
        <f t="shared" si="25"/>
        <v>5</v>
      </c>
      <c r="I580" s="1838">
        <f t="shared" si="26"/>
        <v>46749</v>
      </c>
      <c r="J580" s="1838">
        <v>0</v>
      </c>
      <c r="K580" s="1838">
        <v>0</v>
      </c>
      <c r="L580" s="1838">
        <v>0</v>
      </c>
      <c r="M580" s="1838">
        <v>0</v>
      </c>
      <c r="N580" s="1838" t="s">
        <v>3595</v>
      </c>
      <c r="O580" s="1838" t="s">
        <v>3297</v>
      </c>
      <c r="P580" s="1838"/>
    </row>
    <row r="581" spans="2:16" s="1843" customFormat="1">
      <c r="B581" s="1838">
        <f t="shared" si="27"/>
        <v>578</v>
      </c>
      <c r="C581" s="1838" t="s">
        <v>392</v>
      </c>
      <c r="D581" s="1838" t="s">
        <v>3162</v>
      </c>
      <c r="E581" s="1838" t="s">
        <v>3745</v>
      </c>
      <c r="F581" s="1839">
        <v>45378</v>
      </c>
      <c r="G581" s="1840">
        <v>81851</v>
      </c>
      <c r="H581" s="1841">
        <f t="shared" ref="H581:H644" si="28">+$H$2-F581</f>
        <v>4</v>
      </c>
      <c r="I581" s="1838">
        <f t="shared" ref="I581:I644" si="29">+G581</f>
        <v>81851</v>
      </c>
      <c r="J581" s="1838">
        <v>0</v>
      </c>
      <c r="K581" s="1838">
        <v>0</v>
      </c>
      <c r="L581" s="1838">
        <v>0</v>
      </c>
      <c r="M581" s="1838">
        <v>0</v>
      </c>
      <c r="N581" s="1838" t="s">
        <v>3595</v>
      </c>
      <c r="O581" s="1838" t="s">
        <v>3297</v>
      </c>
      <c r="P581" s="1838"/>
    </row>
    <row r="582" spans="2:16" s="1843" customFormat="1">
      <c r="B582" s="1838">
        <f t="shared" ref="B582:B645" si="30">+B581+1</f>
        <v>579</v>
      </c>
      <c r="C582" s="1838" t="s">
        <v>392</v>
      </c>
      <c r="D582" s="1838" t="s">
        <v>3162</v>
      </c>
      <c r="E582" s="1838" t="s">
        <v>3746</v>
      </c>
      <c r="F582" s="1839">
        <v>45378</v>
      </c>
      <c r="G582" s="1840">
        <v>34540</v>
      </c>
      <c r="H582" s="1841">
        <f t="shared" si="28"/>
        <v>4</v>
      </c>
      <c r="I582" s="1838">
        <f t="shared" si="29"/>
        <v>34540</v>
      </c>
      <c r="J582" s="1838">
        <v>0</v>
      </c>
      <c r="K582" s="1838">
        <v>0</v>
      </c>
      <c r="L582" s="1838">
        <v>0</v>
      </c>
      <c r="M582" s="1838">
        <v>0</v>
      </c>
      <c r="N582" s="1838" t="s">
        <v>3595</v>
      </c>
      <c r="O582" s="1838" t="s">
        <v>3297</v>
      </c>
      <c r="P582" s="1838"/>
    </row>
    <row r="583" spans="2:16" s="1843" customFormat="1">
      <c r="B583" s="1838">
        <f t="shared" si="30"/>
        <v>580</v>
      </c>
      <c r="C583" s="1838" t="s">
        <v>392</v>
      </c>
      <c r="D583" s="1838" t="s">
        <v>3162</v>
      </c>
      <c r="E583" s="1838" t="s">
        <v>3747</v>
      </c>
      <c r="F583" s="1839">
        <v>45378</v>
      </c>
      <c r="G583" s="1840">
        <v>90044</v>
      </c>
      <c r="H583" s="1841">
        <f t="shared" si="28"/>
        <v>4</v>
      </c>
      <c r="I583" s="1838">
        <f t="shared" si="29"/>
        <v>90044</v>
      </c>
      <c r="J583" s="1838">
        <v>0</v>
      </c>
      <c r="K583" s="1838">
        <v>0</v>
      </c>
      <c r="L583" s="1838">
        <v>0</v>
      </c>
      <c r="M583" s="1838">
        <v>0</v>
      </c>
      <c r="N583" s="1838" t="s">
        <v>3595</v>
      </c>
      <c r="O583" s="1838" t="s">
        <v>3297</v>
      </c>
      <c r="P583" s="1838"/>
    </row>
    <row r="584" spans="2:16" s="1843" customFormat="1">
      <c r="B584" s="1838">
        <f t="shared" si="30"/>
        <v>581</v>
      </c>
      <c r="C584" s="1838" t="s">
        <v>392</v>
      </c>
      <c r="D584" s="1838" t="s">
        <v>3162</v>
      </c>
      <c r="E584" s="1838" t="s">
        <v>3748</v>
      </c>
      <c r="F584" s="1839">
        <v>45379</v>
      </c>
      <c r="G584" s="1840">
        <v>96151</v>
      </c>
      <c r="H584" s="1841">
        <f t="shared" si="28"/>
        <v>3</v>
      </c>
      <c r="I584" s="1838">
        <f t="shared" si="29"/>
        <v>96151</v>
      </c>
      <c r="J584" s="1838">
        <v>0</v>
      </c>
      <c r="K584" s="1838">
        <v>0</v>
      </c>
      <c r="L584" s="1838">
        <v>0</v>
      </c>
      <c r="M584" s="1838">
        <v>0</v>
      </c>
      <c r="N584" s="1838" t="s">
        <v>3595</v>
      </c>
      <c r="O584" s="1838" t="s">
        <v>3297</v>
      </c>
      <c r="P584" s="1838"/>
    </row>
    <row r="585" spans="2:16" s="1843" customFormat="1">
      <c r="B585" s="1838">
        <f t="shared" si="30"/>
        <v>582</v>
      </c>
      <c r="C585" s="1838" t="s">
        <v>392</v>
      </c>
      <c r="D585" s="1838" t="s">
        <v>3162</v>
      </c>
      <c r="E585" s="1838" t="s">
        <v>3749</v>
      </c>
      <c r="F585" s="1839">
        <v>45379</v>
      </c>
      <c r="G585" s="1840">
        <v>33251</v>
      </c>
      <c r="H585" s="1841">
        <f t="shared" si="28"/>
        <v>3</v>
      </c>
      <c r="I585" s="1838">
        <f t="shared" si="29"/>
        <v>33251</v>
      </c>
      <c r="J585" s="1838">
        <v>0</v>
      </c>
      <c r="K585" s="1838">
        <v>0</v>
      </c>
      <c r="L585" s="1838">
        <v>0</v>
      </c>
      <c r="M585" s="1838">
        <v>0</v>
      </c>
      <c r="N585" s="1838" t="s">
        <v>3595</v>
      </c>
      <c r="O585" s="1838" t="s">
        <v>3297</v>
      </c>
      <c r="P585" s="1838"/>
    </row>
    <row r="586" spans="2:16" s="1843" customFormat="1">
      <c r="B586" s="1838">
        <f t="shared" si="30"/>
        <v>583</v>
      </c>
      <c r="C586" s="1838" t="s">
        <v>392</v>
      </c>
      <c r="D586" s="1838" t="s">
        <v>3162</v>
      </c>
      <c r="E586" s="1838" t="s">
        <v>3750</v>
      </c>
      <c r="F586" s="1839">
        <v>45379</v>
      </c>
      <c r="G586" s="1840">
        <v>42974</v>
      </c>
      <c r="H586" s="1841">
        <f t="shared" si="28"/>
        <v>3</v>
      </c>
      <c r="I586" s="1838">
        <f t="shared" si="29"/>
        <v>42974</v>
      </c>
      <c r="J586" s="1838">
        <v>0</v>
      </c>
      <c r="K586" s="1838">
        <v>0</v>
      </c>
      <c r="L586" s="1838">
        <v>0</v>
      </c>
      <c r="M586" s="1838">
        <v>0</v>
      </c>
      <c r="N586" s="1838" t="s">
        <v>3595</v>
      </c>
      <c r="O586" s="1838" t="s">
        <v>3297</v>
      </c>
      <c r="P586" s="1838"/>
    </row>
    <row r="587" spans="2:16" s="1843" customFormat="1">
      <c r="B587" s="1838">
        <f t="shared" si="30"/>
        <v>584</v>
      </c>
      <c r="C587" s="1838" t="s">
        <v>392</v>
      </c>
      <c r="D587" s="1838" t="s">
        <v>3162</v>
      </c>
      <c r="E587" s="1838" t="s">
        <v>3751</v>
      </c>
      <c r="F587" s="1839">
        <v>45379</v>
      </c>
      <c r="G587" s="1840">
        <v>34218</v>
      </c>
      <c r="H587" s="1841">
        <f t="shared" si="28"/>
        <v>3</v>
      </c>
      <c r="I587" s="1838">
        <f t="shared" si="29"/>
        <v>34218</v>
      </c>
      <c r="J587" s="1838">
        <v>0</v>
      </c>
      <c r="K587" s="1838">
        <v>0</v>
      </c>
      <c r="L587" s="1838">
        <v>0</v>
      </c>
      <c r="M587" s="1838">
        <v>0</v>
      </c>
      <c r="N587" s="1838" t="s">
        <v>3595</v>
      </c>
      <c r="O587" s="1838" t="s">
        <v>3297</v>
      </c>
      <c r="P587" s="1838"/>
    </row>
    <row r="588" spans="2:16" s="1843" customFormat="1">
      <c r="B588" s="1838">
        <f t="shared" si="30"/>
        <v>585</v>
      </c>
      <c r="C588" s="1838" t="s">
        <v>392</v>
      </c>
      <c r="D588" s="1838" t="s">
        <v>3162</v>
      </c>
      <c r="E588" s="1838" t="s">
        <v>3752</v>
      </c>
      <c r="F588" s="1839">
        <v>45380</v>
      </c>
      <c r="G588" s="1840">
        <v>90581</v>
      </c>
      <c r="H588" s="1841">
        <f t="shared" si="28"/>
        <v>2</v>
      </c>
      <c r="I588" s="1838">
        <f t="shared" si="29"/>
        <v>90581</v>
      </c>
      <c r="J588" s="1838">
        <v>0</v>
      </c>
      <c r="K588" s="1838">
        <v>0</v>
      </c>
      <c r="L588" s="1838">
        <v>0</v>
      </c>
      <c r="M588" s="1838">
        <v>0</v>
      </c>
      <c r="N588" s="1838" t="s">
        <v>3595</v>
      </c>
      <c r="O588" s="1838" t="s">
        <v>3297</v>
      </c>
      <c r="P588" s="1838"/>
    </row>
    <row r="589" spans="2:16" s="1843" customFormat="1">
      <c r="B589" s="1838">
        <f t="shared" si="30"/>
        <v>586</v>
      </c>
      <c r="C589" s="1838" t="s">
        <v>392</v>
      </c>
      <c r="D589" s="1838" t="s">
        <v>3162</v>
      </c>
      <c r="E589" s="1838" t="s">
        <v>3753</v>
      </c>
      <c r="F589" s="1839">
        <v>45381</v>
      </c>
      <c r="G589" s="1840">
        <v>50778</v>
      </c>
      <c r="H589" s="1841">
        <f t="shared" si="28"/>
        <v>1</v>
      </c>
      <c r="I589" s="1838">
        <f t="shared" si="29"/>
        <v>50778</v>
      </c>
      <c r="J589" s="1838">
        <v>0</v>
      </c>
      <c r="K589" s="1838">
        <v>0</v>
      </c>
      <c r="L589" s="1838">
        <v>0</v>
      </c>
      <c r="M589" s="1838">
        <v>0</v>
      </c>
      <c r="N589" s="1838" t="s">
        <v>3595</v>
      </c>
      <c r="O589" s="1838" t="s">
        <v>3297</v>
      </c>
      <c r="P589" s="1838"/>
    </row>
    <row r="590" spans="2:16" s="1843" customFormat="1">
      <c r="B590" s="1838">
        <f t="shared" si="30"/>
        <v>587</v>
      </c>
      <c r="C590" s="1838" t="s">
        <v>392</v>
      </c>
      <c r="D590" s="1838" t="s">
        <v>3162</v>
      </c>
      <c r="E590" s="1838" t="s">
        <v>3754</v>
      </c>
      <c r="F590" s="1839">
        <v>45381</v>
      </c>
      <c r="G590" s="1840">
        <v>69451</v>
      </c>
      <c r="H590" s="1841">
        <f t="shared" si="28"/>
        <v>1</v>
      </c>
      <c r="I590" s="1838">
        <f t="shared" si="29"/>
        <v>69451</v>
      </c>
      <c r="J590" s="1838">
        <v>0</v>
      </c>
      <c r="K590" s="1838">
        <v>0</v>
      </c>
      <c r="L590" s="1838">
        <v>0</v>
      </c>
      <c r="M590" s="1838">
        <v>0</v>
      </c>
      <c r="N590" s="1838" t="s">
        <v>3595</v>
      </c>
      <c r="O590" s="1838" t="s">
        <v>3297</v>
      </c>
      <c r="P590" s="1838"/>
    </row>
    <row r="591" spans="2:16" s="1843" customFormat="1">
      <c r="B591" s="1838">
        <f t="shared" si="30"/>
        <v>588</v>
      </c>
      <c r="C591" s="1838" t="s">
        <v>392</v>
      </c>
      <c r="D591" s="1838" t="s">
        <v>3162</v>
      </c>
      <c r="E591" s="1838" t="s">
        <v>3755</v>
      </c>
      <c r="F591" s="1839">
        <v>45381</v>
      </c>
      <c r="G591" s="1840">
        <v>90336</v>
      </c>
      <c r="H591" s="1841">
        <f t="shared" si="28"/>
        <v>1</v>
      </c>
      <c r="I591" s="1838">
        <f t="shared" si="29"/>
        <v>90336</v>
      </c>
      <c r="J591" s="1838">
        <v>0</v>
      </c>
      <c r="K591" s="1838">
        <v>0</v>
      </c>
      <c r="L591" s="1838">
        <v>0</v>
      </c>
      <c r="M591" s="1838">
        <v>0</v>
      </c>
      <c r="N591" s="1838" t="s">
        <v>3595</v>
      </c>
      <c r="O591" s="1838" t="s">
        <v>3297</v>
      </c>
      <c r="P591" s="1838"/>
    </row>
    <row r="592" spans="2:16" s="1843" customFormat="1">
      <c r="B592" s="1838">
        <f t="shared" si="30"/>
        <v>589</v>
      </c>
      <c r="C592" s="1838" t="s">
        <v>392</v>
      </c>
      <c r="D592" s="1838" t="s">
        <v>3162</v>
      </c>
      <c r="E592" s="1838" t="s">
        <v>3756</v>
      </c>
      <c r="F592" s="1839">
        <v>45381</v>
      </c>
      <c r="G592" s="1840">
        <v>61589</v>
      </c>
      <c r="H592" s="1841">
        <f t="shared" si="28"/>
        <v>1</v>
      </c>
      <c r="I592" s="1838">
        <f t="shared" si="29"/>
        <v>61589</v>
      </c>
      <c r="J592" s="1838">
        <v>0</v>
      </c>
      <c r="K592" s="1838">
        <v>0</v>
      </c>
      <c r="L592" s="1838">
        <v>0</v>
      </c>
      <c r="M592" s="1838">
        <v>0</v>
      </c>
      <c r="N592" s="1838" t="s">
        <v>3595</v>
      </c>
      <c r="O592" s="1838" t="s">
        <v>3297</v>
      </c>
      <c r="P592" s="1838"/>
    </row>
    <row r="593" spans="2:16" s="1843" customFormat="1">
      <c r="B593" s="1838">
        <f t="shared" si="30"/>
        <v>590</v>
      </c>
      <c r="C593" s="1838" t="s">
        <v>392</v>
      </c>
      <c r="D593" s="1838" t="s">
        <v>3162</v>
      </c>
      <c r="E593" s="1838" t="s">
        <v>3757</v>
      </c>
      <c r="F593" s="1839">
        <v>45382</v>
      </c>
      <c r="G593" s="1840">
        <v>62817</v>
      </c>
      <c r="H593" s="1841">
        <f t="shared" si="28"/>
        <v>0</v>
      </c>
      <c r="I593" s="1838">
        <f t="shared" si="29"/>
        <v>62817</v>
      </c>
      <c r="J593" s="1838">
        <v>0</v>
      </c>
      <c r="K593" s="1838">
        <v>0</v>
      </c>
      <c r="L593" s="1838">
        <v>0</v>
      </c>
      <c r="M593" s="1838">
        <v>0</v>
      </c>
      <c r="N593" s="1838" t="s">
        <v>3595</v>
      </c>
      <c r="O593" s="1838" t="s">
        <v>3297</v>
      </c>
      <c r="P593" s="1838"/>
    </row>
    <row r="594" spans="2:16" s="1843" customFormat="1">
      <c r="B594" s="1838">
        <f t="shared" si="30"/>
        <v>591</v>
      </c>
      <c r="C594" s="1838" t="s">
        <v>392</v>
      </c>
      <c r="D594" s="1838" t="s">
        <v>3162</v>
      </c>
      <c r="E594" s="1838" t="s">
        <v>3758</v>
      </c>
      <c r="F594" s="1839">
        <v>45382</v>
      </c>
      <c r="G594" s="1840">
        <v>80917</v>
      </c>
      <c r="H594" s="1841">
        <f t="shared" si="28"/>
        <v>0</v>
      </c>
      <c r="I594" s="1838">
        <f t="shared" si="29"/>
        <v>80917</v>
      </c>
      <c r="J594" s="1838">
        <v>0</v>
      </c>
      <c r="K594" s="1838">
        <v>0</v>
      </c>
      <c r="L594" s="1838">
        <v>0</v>
      </c>
      <c r="M594" s="1838">
        <v>0</v>
      </c>
      <c r="N594" s="1838" t="s">
        <v>3595</v>
      </c>
      <c r="O594" s="1838" t="s">
        <v>3297</v>
      </c>
      <c r="P594" s="1838"/>
    </row>
    <row r="595" spans="2:16" s="1843" customFormat="1">
      <c r="B595" s="1838">
        <f t="shared" si="30"/>
        <v>592</v>
      </c>
      <c r="C595" s="1838" t="s">
        <v>392</v>
      </c>
      <c r="D595" s="1838" t="s">
        <v>3162</v>
      </c>
      <c r="E595" s="1838" t="s">
        <v>3759</v>
      </c>
      <c r="F595" s="1839">
        <v>45382</v>
      </c>
      <c r="G595" s="1840">
        <v>44881</v>
      </c>
      <c r="H595" s="1841">
        <f t="shared" si="28"/>
        <v>0</v>
      </c>
      <c r="I595" s="1838">
        <f t="shared" si="29"/>
        <v>44881</v>
      </c>
      <c r="J595" s="1838">
        <v>0</v>
      </c>
      <c r="K595" s="1838">
        <v>0</v>
      </c>
      <c r="L595" s="1838">
        <v>0</v>
      </c>
      <c r="M595" s="1838">
        <v>0</v>
      </c>
      <c r="N595" s="1838" t="s">
        <v>3595</v>
      </c>
      <c r="O595" s="1838" t="s">
        <v>3297</v>
      </c>
      <c r="P595" s="1838"/>
    </row>
    <row r="596" spans="2:16" s="1843" customFormat="1">
      <c r="B596" s="1838">
        <f t="shared" si="30"/>
        <v>593</v>
      </c>
      <c r="C596" s="1838" t="s">
        <v>392</v>
      </c>
      <c r="D596" s="1838" t="s">
        <v>3162</v>
      </c>
      <c r="E596" s="1838" t="s">
        <v>3337</v>
      </c>
      <c r="F596" s="1839">
        <v>45382</v>
      </c>
      <c r="G596" s="1840">
        <v>-3871</v>
      </c>
      <c r="H596" s="1841">
        <f t="shared" si="28"/>
        <v>0</v>
      </c>
      <c r="I596" s="1838">
        <f t="shared" si="29"/>
        <v>-3871</v>
      </c>
      <c r="J596" s="1838">
        <v>0</v>
      </c>
      <c r="K596" s="1838">
        <v>0</v>
      </c>
      <c r="L596" s="1838">
        <v>0</v>
      </c>
      <c r="M596" s="1838">
        <v>0</v>
      </c>
      <c r="N596" s="1838" t="s">
        <v>3595</v>
      </c>
      <c r="O596" s="1838" t="s">
        <v>3297</v>
      </c>
      <c r="P596" s="1838"/>
    </row>
    <row r="597" spans="2:16" s="1843" customFormat="1">
      <c r="B597" s="1838">
        <f t="shared" si="30"/>
        <v>594</v>
      </c>
      <c r="C597" s="1838" t="s">
        <v>392</v>
      </c>
      <c r="D597" s="1838" t="s">
        <v>3162</v>
      </c>
      <c r="E597" s="1838" t="s">
        <v>3760</v>
      </c>
      <c r="F597" s="1839">
        <v>45382</v>
      </c>
      <c r="G597" s="1840">
        <v>5</v>
      </c>
      <c r="H597" s="1841">
        <f t="shared" si="28"/>
        <v>0</v>
      </c>
      <c r="I597" s="1838">
        <f t="shared" si="29"/>
        <v>5</v>
      </c>
      <c r="J597" s="1838">
        <v>0</v>
      </c>
      <c r="K597" s="1838">
        <v>0</v>
      </c>
      <c r="L597" s="1838">
        <v>0</v>
      </c>
      <c r="M597" s="1838">
        <v>0</v>
      </c>
      <c r="N597" s="1838" t="s">
        <v>3595</v>
      </c>
      <c r="O597" s="1838" t="s">
        <v>3297</v>
      </c>
      <c r="P597" s="1838"/>
    </row>
    <row r="598" spans="2:16" s="1843" customFormat="1">
      <c r="B598" s="1838">
        <f t="shared" si="30"/>
        <v>595</v>
      </c>
      <c r="C598" s="1838" t="s">
        <v>19</v>
      </c>
      <c r="D598" s="1838" t="s">
        <v>3162</v>
      </c>
      <c r="E598" s="1838" t="s">
        <v>3761</v>
      </c>
      <c r="F598" s="1839">
        <v>45269</v>
      </c>
      <c r="G598" s="1840">
        <v>1241957</v>
      </c>
      <c r="H598" s="1841">
        <f t="shared" si="28"/>
        <v>113</v>
      </c>
      <c r="I598" s="1838">
        <f t="shared" si="29"/>
        <v>1241957</v>
      </c>
      <c r="J598" s="1838">
        <v>0</v>
      </c>
      <c r="K598" s="1838">
        <v>0</v>
      </c>
      <c r="L598" s="1838">
        <v>0</v>
      </c>
      <c r="M598" s="1838">
        <v>0</v>
      </c>
      <c r="N598" s="1838" t="s">
        <v>3762</v>
      </c>
      <c r="O598" s="1838" t="s">
        <v>3763</v>
      </c>
      <c r="P598" s="1838"/>
    </row>
    <row r="599" spans="2:16" s="1843" customFormat="1">
      <c r="B599" s="1838">
        <f t="shared" si="30"/>
        <v>596</v>
      </c>
      <c r="C599" s="1838" t="s">
        <v>19</v>
      </c>
      <c r="D599" s="1838" t="s">
        <v>3162</v>
      </c>
      <c r="E599" s="1838" t="s">
        <v>3764</v>
      </c>
      <c r="F599" s="1839">
        <v>45300</v>
      </c>
      <c r="G599" s="1840">
        <v>797202</v>
      </c>
      <c r="H599" s="1841">
        <f t="shared" si="28"/>
        <v>82</v>
      </c>
      <c r="I599" s="1838">
        <f t="shared" si="29"/>
        <v>797202</v>
      </c>
      <c r="J599" s="1838">
        <v>0</v>
      </c>
      <c r="K599" s="1838">
        <v>0</v>
      </c>
      <c r="L599" s="1838">
        <v>0</v>
      </c>
      <c r="M599" s="1838">
        <v>0</v>
      </c>
      <c r="N599" s="1838" t="s">
        <v>3762</v>
      </c>
      <c r="O599" s="1838" t="s">
        <v>3763</v>
      </c>
      <c r="P599" s="1838"/>
    </row>
    <row r="600" spans="2:16" s="1843" customFormat="1">
      <c r="B600" s="1838">
        <f t="shared" si="30"/>
        <v>597</v>
      </c>
      <c r="C600" s="1838" t="s">
        <v>19</v>
      </c>
      <c r="D600" s="1838" t="s">
        <v>3162</v>
      </c>
      <c r="E600" s="1838" t="s">
        <v>3765</v>
      </c>
      <c r="F600" s="1839">
        <v>45306</v>
      </c>
      <c r="G600" s="1840">
        <v>797202</v>
      </c>
      <c r="H600" s="1841">
        <f t="shared" si="28"/>
        <v>76</v>
      </c>
      <c r="I600" s="1838">
        <f t="shared" si="29"/>
        <v>797202</v>
      </c>
      <c r="J600" s="1838">
        <v>0</v>
      </c>
      <c r="K600" s="1838">
        <v>0</v>
      </c>
      <c r="L600" s="1838">
        <v>0</v>
      </c>
      <c r="M600" s="1838">
        <v>0</v>
      </c>
      <c r="N600" s="1838" t="s">
        <v>3762</v>
      </c>
      <c r="O600" s="1838" t="s">
        <v>3763</v>
      </c>
      <c r="P600" s="1838"/>
    </row>
    <row r="601" spans="2:16" s="1843" customFormat="1">
      <c r="B601" s="1838">
        <f t="shared" si="30"/>
        <v>598</v>
      </c>
      <c r="C601" s="1838" t="s">
        <v>19</v>
      </c>
      <c r="D601" s="1838" t="s">
        <v>3162</v>
      </c>
      <c r="E601" s="1838" t="s">
        <v>3766</v>
      </c>
      <c r="F601" s="1839">
        <v>45315</v>
      </c>
      <c r="G601" s="1840">
        <v>797202</v>
      </c>
      <c r="H601" s="1841">
        <f t="shared" si="28"/>
        <v>67</v>
      </c>
      <c r="I601" s="1838">
        <f t="shared" si="29"/>
        <v>797202</v>
      </c>
      <c r="J601" s="1838">
        <v>0</v>
      </c>
      <c r="K601" s="1838">
        <v>0</v>
      </c>
      <c r="L601" s="1838">
        <v>0</v>
      </c>
      <c r="M601" s="1838">
        <v>0</v>
      </c>
      <c r="N601" s="1838" t="s">
        <v>3762</v>
      </c>
      <c r="O601" s="1838" t="s">
        <v>3763</v>
      </c>
      <c r="P601" s="1838"/>
    </row>
    <row r="602" spans="2:16" s="1843" customFormat="1">
      <c r="B602" s="1838">
        <f t="shared" si="30"/>
        <v>599</v>
      </c>
      <c r="C602" s="1838" t="s">
        <v>19</v>
      </c>
      <c r="D602" s="1838" t="s">
        <v>3162</v>
      </c>
      <c r="E602" s="1838" t="s">
        <v>3767</v>
      </c>
      <c r="F602" s="1839">
        <v>45324</v>
      </c>
      <c r="G602" s="1840">
        <v>803580</v>
      </c>
      <c r="H602" s="1841">
        <f t="shared" si="28"/>
        <v>58</v>
      </c>
      <c r="I602" s="1838">
        <f t="shared" si="29"/>
        <v>803580</v>
      </c>
      <c r="J602" s="1838">
        <v>0</v>
      </c>
      <c r="K602" s="1838">
        <v>0</v>
      </c>
      <c r="L602" s="1838">
        <v>0</v>
      </c>
      <c r="M602" s="1838">
        <v>0</v>
      </c>
      <c r="N602" s="1838" t="s">
        <v>3762</v>
      </c>
      <c r="O602" s="1838" t="s">
        <v>3763</v>
      </c>
      <c r="P602" s="1838"/>
    </row>
    <row r="603" spans="2:16" s="1843" customFormat="1">
      <c r="B603" s="1838">
        <f t="shared" si="30"/>
        <v>600</v>
      </c>
      <c r="C603" s="1838" t="s">
        <v>19</v>
      </c>
      <c r="D603" s="1838" t="s">
        <v>3162</v>
      </c>
      <c r="E603" s="1838" t="s">
        <v>3768</v>
      </c>
      <c r="F603" s="1839">
        <v>45378</v>
      </c>
      <c r="G603" s="1840">
        <v>1026572</v>
      </c>
      <c r="H603" s="1841">
        <f t="shared" si="28"/>
        <v>4</v>
      </c>
      <c r="I603" s="1838">
        <f t="shared" si="29"/>
        <v>1026572</v>
      </c>
      <c r="J603" s="1838">
        <v>0</v>
      </c>
      <c r="K603" s="1838">
        <v>0</v>
      </c>
      <c r="L603" s="1838">
        <v>0</v>
      </c>
      <c r="M603" s="1838">
        <v>0</v>
      </c>
      <c r="N603" s="1838" t="s">
        <v>3762</v>
      </c>
      <c r="O603" s="1838" t="s">
        <v>3763</v>
      </c>
      <c r="P603" s="1838"/>
    </row>
    <row r="604" spans="2:16" s="1843" customFormat="1">
      <c r="B604" s="1838">
        <f t="shared" si="30"/>
        <v>601</v>
      </c>
      <c r="C604" s="1838" t="s">
        <v>394</v>
      </c>
      <c r="D604" s="1838" t="s">
        <v>3162</v>
      </c>
      <c r="E604" s="1838" t="s">
        <v>3769</v>
      </c>
      <c r="F604" s="1839">
        <v>45337</v>
      </c>
      <c r="G604" s="1840">
        <v>156506</v>
      </c>
      <c r="H604" s="1841">
        <f t="shared" si="28"/>
        <v>45</v>
      </c>
      <c r="I604" s="1838">
        <f t="shared" si="29"/>
        <v>156506</v>
      </c>
      <c r="J604" s="1838">
        <v>0</v>
      </c>
      <c r="K604" s="1838">
        <v>0</v>
      </c>
      <c r="L604" s="1838">
        <v>0</v>
      </c>
      <c r="M604" s="1838">
        <v>0</v>
      </c>
      <c r="N604" s="1838" t="s">
        <v>3770</v>
      </c>
      <c r="O604" s="1838" t="s">
        <v>3340</v>
      </c>
      <c r="P604" s="1838"/>
    </row>
    <row r="605" spans="2:16" s="1843" customFormat="1">
      <c r="B605" s="1838">
        <f t="shared" si="30"/>
        <v>602</v>
      </c>
      <c r="C605" s="1838" t="s">
        <v>394</v>
      </c>
      <c r="D605" s="1838" t="s">
        <v>3162</v>
      </c>
      <c r="E605" s="1838" t="s">
        <v>3771</v>
      </c>
      <c r="F605" s="1839">
        <v>45340</v>
      </c>
      <c r="G605" s="1840">
        <v>156506</v>
      </c>
      <c r="H605" s="1841">
        <f t="shared" si="28"/>
        <v>42</v>
      </c>
      <c r="I605" s="1838">
        <f t="shared" si="29"/>
        <v>156506</v>
      </c>
      <c r="J605" s="1838">
        <v>0</v>
      </c>
      <c r="K605" s="1838">
        <v>0</v>
      </c>
      <c r="L605" s="1838">
        <v>0</v>
      </c>
      <c r="M605" s="1838">
        <v>0</v>
      </c>
      <c r="N605" s="1838" t="s">
        <v>3770</v>
      </c>
      <c r="O605" s="1838" t="s">
        <v>3340</v>
      </c>
      <c r="P605" s="1838"/>
    </row>
    <row r="606" spans="2:16" s="1843" customFormat="1">
      <c r="B606" s="1838">
        <f t="shared" si="30"/>
        <v>603</v>
      </c>
      <c r="C606" s="1838" t="s">
        <v>301</v>
      </c>
      <c r="D606" s="1838" t="s">
        <v>3162</v>
      </c>
      <c r="E606" s="1838" t="s">
        <v>3772</v>
      </c>
      <c r="F606" s="1839">
        <v>45234</v>
      </c>
      <c r="G606" s="1840">
        <v>104643</v>
      </c>
      <c r="H606" s="1841">
        <f t="shared" si="28"/>
        <v>148</v>
      </c>
      <c r="I606" s="1838">
        <f t="shared" si="29"/>
        <v>104643</v>
      </c>
      <c r="J606" s="1838">
        <v>0</v>
      </c>
      <c r="K606" s="1838">
        <v>0</v>
      </c>
      <c r="L606" s="1838">
        <v>0</v>
      </c>
      <c r="M606" s="1838">
        <v>0</v>
      </c>
      <c r="N606" s="1838" t="s">
        <v>3773</v>
      </c>
      <c r="O606" s="1838" t="s">
        <v>3165</v>
      </c>
      <c r="P606" s="1838"/>
    </row>
    <row r="607" spans="2:16" s="1843" customFormat="1">
      <c r="B607" s="1838">
        <f t="shared" si="30"/>
        <v>604</v>
      </c>
      <c r="C607" s="1838" t="s">
        <v>301</v>
      </c>
      <c r="D607" s="1838" t="s">
        <v>3162</v>
      </c>
      <c r="E607" s="1838" t="s">
        <v>3772</v>
      </c>
      <c r="F607" s="1839">
        <v>45234</v>
      </c>
      <c r="G607" s="1840">
        <v>-954</v>
      </c>
      <c r="H607" s="1841">
        <f t="shared" si="28"/>
        <v>148</v>
      </c>
      <c r="I607" s="1838">
        <f t="shared" si="29"/>
        <v>-954</v>
      </c>
      <c r="J607" s="1838">
        <v>0</v>
      </c>
      <c r="K607" s="1838">
        <v>0</v>
      </c>
      <c r="L607" s="1838">
        <v>0</v>
      </c>
      <c r="M607" s="1838">
        <v>0</v>
      </c>
      <c r="N607" s="1838" t="s">
        <v>3773</v>
      </c>
      <c r="O607" s="1838" t="s">
        <v>3165</v>
      </c>
      <c r="P607" s="1838"/>
    </row>
    <row r="608" spans="2:16" s="1843" customFormat="1">
      <c r="B608" s="1838">
        <f t="shared" si="30"/>
        <v>605</v>
      </c>
      <c r="C608" s="1838" t="s">
        <v>301</v>
      </c>
      <c r="D608" s="1838" t="s">
        <v>3162</v>
      </c>
      <c r="E608" s="1838" t="s">
        <v>3772</v>
      </c>
      <c r="F608" s="1839">
        <v>45236</v>
      </c>
      <c r="G608" s="1840">
        <v>87</v>
      </c>
      <c r="H608" s="1841">
        <f t="shared" si="28"/>
        <v>146</v>
      </c>
      <c r="I608" s="1838">
        <f t="shared" si="29"/>
        <v>87</v>
      </c>
      <c r="J608" s="1838">
        <v>0</v>
      </c>
      <c r="K608" s="1838">
        <v>0</v>
      </c>
      <c r="L608" s="1838">
        <v>0</v>
      </c>
      <c r="M608" s="1838">
        <v>0</v>
      </c>
      <c r="N608" s="1838" t="s">
        <v>3773</v>
      </c>
      <c r="O608" s="1838" t="s">
        <v>3165</v>
      </c>
      <c r="P608" s="1838"/>
    </row>
    <row r="609" spans="2:16" s="1843" customFormat="1">
      <c r="B609" s="1838">
        <f t="shared" si="30"/>
        <v>606</v>
      </c>
      <c r="C609" s="1838" t="s">
        <v>301</v>
      </c>
      <c r="D609" s="1838" t="s">
        <v>3162</v>
      </c>
      <c r="E609" s="1838" t="s">
        <v>3774</v>
      </c>
      <c r="F609" s="1839">
        <v>45238</v>
      </c>
      <c r="G609" s="1840">
        <v>95288</v>
      </c>
      <c r="H609" s="1841">
        <f t="shared" si="28"/>
        <v>144</v>
      </c>
      <c r="I609" s="1838">
        <f t="shared" si="29"/>
        <v>95288</v>
      </c>
      <c r="J609" s="1838">
        <v>0</v>
      </c>
      <c r="K609" s="1838">
        <v>0</v>
      </c>
      <c r="L609" s="1838">
        <v>0</v>
      </c>
      <c r="M609" s="1838">
        <v>0</v>
      </c>
      <c r="N609" s="1838" t="s">
        <v>3773</v>
      </c>
      <c r="O609" s="1838" t="s">
        <v>3165</v>
      </c>
      <c r="P609" s="1838"/>
    </row>
    <row r="610" spans="2:16" s="1843" customFormat="1">
      <c r="B610" s="1838">
        <f t="shared" si="30"/>
        <v>607</v>
      </c>
      <c r="C610" s="1838" t="s">
        <v>301</v>
      </c>
      <c r="D610" s="1838" t="s">
        <v>3162</v>
      </c>
      <c r="E610" s="1838" t="s">
        <v>3774</v>
      </c>
      <c r="F610" s="1839">
        <v>45238</v>
      </c>
      <c r="G610" s="1840">
        <v>-694</v>
      </c>
      <c r="H610" s="1841">
        <f t="shared" si="28"/>
        <v>144</v>
      </c>
      <c r="I610" s="1838">
        <f t="shared" si="29"/>
        <v>-694</v>
      </c>
      <c r="J610" s="1838">
        <v>0</v>
      </c>
      <c r="K610" s="1838">
        <v>0</v>
      </c>
      <c r="L610" s="1838">
        <v>0</v>
      </c>
      <c r="M610" s="1838">
        <v>0</v>
      </c>
      <c r="N610" s="1838" t="s">
        <v>3773</v>
      </c>
      <c r="O610" s="1838" t="s">
        <v>3165</v>
      </c>
      <c r="P610" s="1838"/>
    </row>
    <row r="611" spans="2:16" s="1843" customFormat="1">
      <c r="B611" s="1838">
        <f t="shared" si="30"/>
        <v>608</v>
      </c>
      <c r="C611" s="1838" t="s">
        <v>301</v>
      </c>
      <c r="D611" s="1838" t="s">
        <v>3162</v>
      </c>
      <c r="E611" s="1838" t="s">
        <v>3774</v>
      </c>
      <c r="F611" s="1839">
        <v>45238</v>
      </c>
      <c r="G611" s="1840">
        <v>346</v>
      </c>
      <c r="H611" s="1841">
        <f t="shared" si="28"/>
        <v>144</v>
      </c>
      <c r="I611" s="1838">
        <f t="shared" si="29"/>
        <v>346</v>
      </c>
      <c r="J611" s="1838">
        <v>0</v>
      </c>
      <c r="K611" s="1838">
        <v>0</v>
      </c>
      <c r="L611" s="1838">
        <v>0</v>
      </c>
      <c r="M611" s="1838">
        <v>0</v>
      </c>
      <c r="N611" s="1838" t="s">
        <v>3773</v>
      </c>
      <c r="O611" s="1838" t="s">
        <v>3165</v>
      </c>
      <c r="P611" s="1838"/>
    </row>
    <row r="612" spans="2:16" s="1843" customFormat="1">
      <c r="B612" s="1838">
        <f t="shared" si="30"/>
        <v>609</v>
      </c>
      <c r="C612" s="1838" t="s">
        <v>301</v>
      </c>
      <c r="D612" s="1838" t="s">
        <v>3162</v>
      </c>
      <c r="E612" s="1838" t="s">
        <v>3775</v>
      </c>
      <c r="F612" s="1839">
        <v>45239</v>
      </c>
      <c r="G612" s="1840">
        <v>86972</v>
      </c>
      <c r="H612" s="1841">
        <f t="shared" si="28"/>
        <v>143</v>
      </c>
      <c r="I612" s="1838">
        <f t="shared" si="29"/>
        <v>86972</v>
      </c>
      <c r="J612" s="1838">
        <v>0</v>
      </c>
      <c r="K612" s="1838">
        <v>0</v>
      </c>
      <c r="L612" s="1838">
        <v>0</v>
      </c>
      <c r="M612" s="1838">
        <v>0</v>
      </c>
      <c r="N612" s="1838" t="s">
        <v>3773</v>
      </c>
      <c r="O612" s="1838" t="s">
        <v>3165</v>
      </c>
      <c r="P612" s="1838"/>
    </row>
    <row r="613" spans="2:16" s="1843" customFormat="1">
      <c r="B613" s="1838">
        <f t="shared" si="30"/>
        <v>610</v>
      </c>
      <c r="C613" s="1838" t="s">
        <v>301</v>
      </c>
      <c r="D613" s="1838" t="s">
        <v>3162</v>
      </c>
      <c r="E613" s="1838" t="s">
        <v>3775</v>
      </c>
      <c r="F613" s="1839">
        <v>45239</v>
      </c>
      <c r="G613" s="1840">
        <v>-780</v>
      </c>
      <c r="H613" s="1841">
        <f t="shared" si="28"/>
        <v>143</v>
      </c>
      <c r="I613" s="1838">
        <f t="shared" si="29"/>
        <v>-780</v>
      </c>
      <c r="J613" s="1838">
        <v>0</v>
      </c>
      <c r="K613" s="1838">
        <v>0</v>
      </c>
      <c r="L613" s="1838">
        <v>0</v>
      </c>
      <c r="M613" s="1838">
        <v>0</v>
      </c>
      <c r="N613" s="1838" t="s">
        <v>3773</v>
      </c>
      <c r="O613" s="1838" t="s">
        <v>3165</v>
      </c>
      <c r="P613" s="1838"/>
    </row>
    <row r="614" spans="2:16" s="1843" customFormat="1">
      <c r="B614" s="1838">
        <f t="shared" si="30"/>
        <v>611</v>
      </c>
      <c r="C614" s="1838" t="s">
        <v>301</v>
      </c>
      <c r="D614" s="1838" t="s">
        <v>3162</v>
      </c>
      <c r="E614" s="1838" t="s">
        <v>3775</v>
      </c>
      <c r="F614" s="1839">
        <v>45239</v>
      </c>
      <c r="G614" s="1840">
        <v>260</v>
      </c>
      <c r="H614" s="1841">
        <f t="shared" si="28"/>
        <v>143</v>
      </c>
      <c r="I614" s="1838">
        <f t="shared" si="29"/>
        <v>260</v>
      </c>
      <c r="J614" s="1838">
        <v>0</v>
      </c>
      <c r="K614" s="1838">
        <v>0</v>
      </c>
      <c r="L614" s="1838">
        <v>0</v>
      </c>
      <c r="M614" s="1838">
        <v>0</v>
      </c>
      <c r="N614" s="1838" t="s">
        <v>3773</v>
      </c>
      <c r="O614" s="1838" t="s">
        <v>3165</v>
      </c>
      <c r="P614" s="1838"/>
    </row>
    <row r="615" spans="2:16" s="1843" customFormat="1">
      <c r="B615" s="1838">
        <f t="shared" si="30"/>
        <v>612</v>
      </c>
      <c r="C615" s="1838" t="s">
        <v>301</v>
      </c>
      <c r="D615" s="1838" t="s">
        <v>3162</v>
      </c>
      <c r="E615" s="1838" t="s">
        <v>3776</v>
      </c>
      <c r="F615" s="1839">
        <v>45247</v>
      </c>
      <c r="G615" s="1840">
        <v>102044</v>
      </c>
      <c r="H615" s="1841">
        <f t="shared" si="28"/>
        <v>135</v>
      </c>
      <c r="I615" s="1838">
        <f t="shared" si="29"/>
        <v>102044</v>
      </c>
      <c r="J615" s="1838">
        <v>0</v>
      </c>
      <c r="K615" s="1838">
        <v>0</v>
      </c>
      <c r="L615" s="1838">
        <v>0</v>
      </c>
      <c r="M615" s="1838">
        <v>0</v>
      </c>
      <c r="N615" s="1838" t="s">
        <v>3773</v>
      </c>
      <c r="O615" s="1838" t="s">
        <v>3165</v>
      </c>
      <c r="P615" s="1838"/>
    </row>
    <row r="616" spans="2:16" s="1843" customFormat="1">
      <c r="B616" s="1838">
        <f t="shared" si="30"/>
        <v>613</v>
      </c>
      <c r="C616" s="1838" t="s">
        <v>301</v>
      </c>
      <c r="D616" s="1838" t="s">
        <v>3162</v>
      </c>
      <c r="E616" s="1838" t="s">
        <v>3776</v>
      </c>
      <c r="F616" s="1839">
        <v>45247</v>
      </c>
      <c r="G616" s="1840">
        <v>-346</v>
      </c>
      <c r="H616" s="1841">
        <f t="shared" si="28"/>
        <v>135</v>
      </c>
      <c r="I616" s="1838">
        <f t="shared" si="29"/>
        <v>-346</v>
      </c>
      <c r="J616" s="1838">
        <v>0</v>
      </c>
      <c r="K616" s="1838">
        <v>0</v>
      </c>
      <c r="L616" s="1838">
        <v>0</v>
      </c>
      <c r="M616" s="1838">
        <v>0</v>
      </c>
      <c r="N616" s="1838" t="s">
        <v>3773</v>
      </c>
      <c r="O616" s="1838" t="s">
        <v>3165</v>
      </c>
      <c r="P616" s="1838"/>
    </row>
    <row r="617" spans="2:16" s="1843" customFormat="1">
      <c r="B617" s="1838">
        <f t="shared" si="30"/>
        <v>614</v>
      </c>
      <c r="C617" s="1838" t="s">
        <v>301</v>
      </c>
      <c r="D617" s="1838" t="s">
        <v>3162</v>
      </c>
      <c r="E617" s="1838" t="s">
        <v>3777</v>
      </c>
      <c r="F617" s="1839">
        <v>45253</v>
      </c>
      <c r="G617" s="1840">
        <v>69993</v>
      </c>
      <c r="H617" s="1841">
        <f t="shared" si="28"/>
        <v>129</v>
      </c>
      <c r="I617" s="1838">
        <f t="shared" si="29"/>
        <v>69993</v>
      </c>
      <c r="J617" s="1838">
        <v>0</v>
      </c>
      <c r="K617" s="1838">
        <v>0</v>
      </c>
      <c r="L617" s="1838">
        <v>0</v>
      </c>
      <c r="M617" s="1838">
        <v>0</v>
      </c>
      <c r="N617" s="1838" t="s">
        <v>3773</v>
      </c>
      <c r="O617" s="1838" t="s">
        <v>3165</v>
      </c>
      <c r="P617" s="1838"/>
    </row>
    <row r="618" spans="2:16" s="1843" customFormat="1">
      <c r="B618" s="1838">
        <f t="shared" si="30"/>
        <v>615</v>
      </c>
      <c r="C618" s="1838" t="s">
        <v>301</v>
      </c>
      <c r="D618" s="1838" t="s">
        <v>3162</v>
      </c>
      <c r="E618" s="1838" t="s">
        <v>3777</v>
      </c>
      <c r="F618" s="1839">
        <v>45253</v>
      </c>
      <c r="G618" s="1840">
        <v>-346</v>
      </c>
      <c r="H618" s="1841">
        <f t="shared" si="28"/>
        <v>129</v>
      </c>
      <c r="I618" s="1838">
        <f t="shared" si="29"/>
        <v>-346</v>
      </c>
      <c r="J618" s="1838">
        <v>0</v>
      </c>
      <c r="K618" s="1838">
        <v>0</v>
      </c>
      <c r="L618" s="1838">
        <v>0</v>
      </c>
      <c r="M618" s="1838">
        <v>0</v>
      </c>
      <c r="N618" s="1838" t="s">
        <v>3773</v>
      </c>
      <c r="O618" s="1838" t="s">
        <v>3165</v>
      </c>
      <c r="P618" s="1838"/>
    </row>
    <row r="619" spans="2:16" s="1843" customFormat="1">
      <c r="B619" s="1838">
        <f t="shared" si="30"/>
        <v>616</v>
      </c>
      <c r="C619" s="1838" t="s">
        <v>301</v>
      </c>
      <c r="D619" s="1838" t="s">
        <v>3162</v>
      </c>
      <c r="E619" s="1838" t="s">
        <v>3778</v>
      </c>
      <c r="F619" s="1839">
        <v>45254</v>
      </c>
      <c r="G619" s="1840">
        <v>606</v>
      </c>
      <c r="H619" s="1841">
        <f t="shared" si="28"/>
        <v>128</v>
      </c>
      <c r="I619" s="1838">
        <f t="shared" si="29"/>
        <v>606</v>
      </c>
      <c r="J619" s="1838">
        <v>0</v>
      </c>
      <c r="K619" s="1838">
        <v>0</v>
      </c>
      <c r="L619" s="1838">
        <v>0</v>
      </c>
      <c r="M619" s="1838">
        <v>0</v>
      </c>
      <c r="N619" s="1838" t="s">
        <v>3773</v>
      </c>
      <c r="O619" s="1838" t="s">
        <v>3165</v>
      </c>
      <c r="P619" s="1838"/>
    </row>
    <row r="620" spans="2:16" s="1843" customFormat="1">
      <c r="B620" s="1838">
        <f t="shared" si="30"/>
        <v>617</v>
      </c>
      <c r="C620" s="1838" t="s">
        <v>301</v>
      </c>
      <c r="D620" s="1838" t="s">
        <v>3162</v>
      </c>
      <c r="E620" s="1838" t="s">
        <v>3779</v>
      </c>
      <c r="F620" s="1839">
        <v>45255</v>
      </c>
      <c r="G620" s="1840">
        <v>161816</v>
      </c>
      <c r="H620" s="1841">
        <f t="shared" si="28"/>
        <v>127</v>
      </c>
      <c r="I620" s="1838">
        <f t="shared" si="29"/>
        <v>161816</v>
      </c>
      <c r="J620" s="1838">
        <v>0</v>
      </c>
      <c r="K620" s="1838">
        <v>0</v>
      </c>
      <c r="L620" s="1838">
        <v>0</v>
      </c>
      <c r="M620" s="1838">
        <v>0</v>
      </c>
      <c r="N620" s="1838" t="s">
        <v>3773</v>
      </c>
      <c r="O620" s="1838" t="s">
        <v>3165</v>
      </c>
      <c r="P620" s="1838"/>
    </row>
    <row r="621" spans="2:16" s="1843" customFormat="1">
      <c r="B621" s="1838">
        <f t="shared" si="30"/>
        <v>618</v>
      </c>
      <c r="C621" s="1838" t="s">
        <v>301</v>
      </c>
      <c r="D621" s="1838" t="s">
        <v>3162</v>
      </c>
      <c r="E621" s="1838" t="s">
        <v>3778</v>
      </c>
      <c r="F621" s="1839">
        <v>45255</v>
      </c>
      <c r="G621" s="1840">
        <v>147782</v>
      </c>
      <c r="H621" s="1841">
        <f t="shared" si="28"/>
        <v>127</v>
      </c>
      <c r="I621" s="1838">
        <f t="shared" si="29"/>
        <v>147782</v>
      </c>
      <c r="J621" s="1838">
        <v>0</v>
      </c>
      <c r="K621" s="1838">
        <v>0</v>
      </c>
      <c r="L621" s="1838">
        <v>0</v>
      </c>
      <c r="M621" s="1838">
        <v>0</v>
      </c>
      <c r="N621" s="1838" t="s">
        <v>3773</v>
      </c>
      <c r="O621" s="1838" t="s">
        <v>3165</v>
      </c>
      <c r="P621" s="1838"/>
    </row>
    <row r="622" spans="2:16" s="1843" customFormat="1">
      <c r="B622" s="1838">
        <f t="shared" si="30"/>
        <v>619</v>
      </c>
      <c r="C622" s="1838" t="s">
        <v>301</v>
      </c>
      <c r="D622" s="1838" t="s">
        <v>3162</v>
      </c>
      <c r="E622" s="1838" t="s">
        <v>3780</v>
      </c>
      <c r="F622" s="1839">
        <v>45260</v>
      </c>
      <c r="G622" s="1840">
        <v>-770</v>
      </c>
      <c r="H622" s="1841">
        <f t="shared" si="28"/>
        <v>122</v>
      </c>
      <c r="I622" s="1838">
        <f t="shared" si="29"/>
        <v>-770</v>
      </c>
      <c r="J622" s="1838">
        <v>0</v>
      </c>
      <c r="K622" s="1838">
        <v>0</v>
      </c>
      <c r="L622" s="1838">
        <v>0</v>
      </c>
      <c r="M622" s="1838">
        <v>0</v>
      </c>
      <c r="N622" s="1838" t="s">
        <v>3773</v>
      </c>
      <c r="O622" s="1838" t="s">
        <v>3165</v>
      </c>
      <c r="P622" s="1838"/>
    </row>
    <row r="623" spans="2:16" s="1843" customFormat="1">
      <c r="B623" s="1838">
        <f t="shared" si="30"/>
        <v>620</v>
      </c>
      <c r="C623" s="1838" t="s">
        <v>301</v>
      </c>
      <c r="D623" s="1838" t="s">
        <v>3162</v>
      </c>
      <c r="E623" s="1838" t="s">
        <v>3781</v>
      </c>
      <c r="F623" s="1839">
        <v>45267</v>
      </c>
      <c r="G623" s="1840">
        <v>110707</v>
      </c>
      <c r="H623" s="1841">
        <f t="shared" si="28"/>
        <v>115</v>
      </c>
      <c r="I623" s="1838">
        <f t="shared" si="29"/>
        <v>110707</v>
      </c>
      <c r="J623" s="1838">
        <v>0</v>
      </c>
      <c r="K623" s="1838">
        <v>0</v>
      </c>
      <c r="L623" s="1838">
        <v>0</v>
      </c>
      <c r="M623" s="1838">
        <v>0</v>
      </c>
      <c r="N623" s="1838" t="s">
        <v>3773</v>
      </c>
      <c r="O623" s="1838" t="s">
        <v>3165</v>
      </c>
      <c r="P623" s="1838"/>
    </row>
    <row r="624" spans="2:16" s="1843" customFormat="1">
      <c r="B624" s="1838">
        <f t="shared" si="30"/>
        <v>621</v>
      </c>
      <c r="C624" s="1838" t="s">
        <v>301</v>
      </c>
      <c r="D624" s="1838" t="s">
        <v>3162</v>
      </c>
      <c r="E624" s="1838" t="s">
        <v>3781</v>
      </c>
      <c r="F624" s="1839">
        <v>45267</v>
      </c>
      <c r="G624" s="1840">
        <v>-694</v>
      </c>
      <c r="H624" s="1841">
        <f t="shared" si="28"/>
        <v>115</v>
      </c>
      <c r="I624" s="1838">
        <f t="shared" si="29"/>
        <v>-694</v>
      </c>
      <c r="J624" s="1838">
        <v>0</v>
      </c>
      <c r="K624" s="1838">
        <v>0</v>
      </c>
      <c r="L624" s="1838">
        <v>0</v>
      </c>
      <c r="M624" s="1838">
        <v>0</v>
      </c>
      <c r="N624" s="1838" t="s">
        <v>3773</v>
      </c>
      <c r="O624" s="1838" t="s">
        <v>3165</v>
      </c>
      <c r="P624" s="1838"/>
    </row>
    <row r="625" spans="2:16" s="1843" customFormat="1">
      <c r="B625" s="1838">
        <f t="shared" si="30"/>
        <v>622</v>
      </c>
      <c r="C625" s="1838" t="s">
        <v>301</v>
      </c>
      <c r="D625" s="1838" t="s">
        <v>3162</v>
      </c>
      <c r="E625" s="1838" t="s">
        <v>3782</v>
      </c>
      <c r="F625" s="1839">
        <v>45270</v>
      </c>
      <c r="G625" s="1840">
        <v>-1127</v>
      </c>
      <c r="H625" s="1841">
        <f t="shared" si="28"/>
        <v>112</v>
      </c>
      <c r="I625" s="1838">
        <f t="shared" si="29"/>
        <v>-1127</v>
      </c>
      <c r="J625" s="1838">
        <v>0</v>
      </c>
      <c r="K625" s="1838">
        <v>0</v>
      </c>
      <c r="L625" s="1838">
        <v>0</v>
      </c>
      <c r="M625" s="1838">
        <v>0</v>
      </c>
      <c r="N625" s="1838" t="s">
        <v>3773</v>
      </c>
      <c r="O625" s="1838" t="s">
        <v>3165</v>
      </c>
      <c r="P625" s="1838"/>
    </row>
    <row r="626" spans="2:16" s="1843" customFormat="1">
      <c r="B626" s="1838">
        <f t="shared" si="30"/>
        <v>623</v>
      </c>
      <c r="C626" s="1838" t="s">
        <v>301</v>
      </c>
      <c r="D626" s="1838" t="s">
        <v>3162</v>
      </c>
      <c r="E626" s="1838" t="s">
        <v>3782</v>
      </c>
      <c r="F626" s="1839">
        <v>45271</v>
      </c>
      <c r="G626" s="1840">
        <v>193520</v>
      </c>
      <c r="H626" s="1841">
        <f t="shared" si="28"/>
        <v>111</v>
      </c>
      <c r="I626" s="1838">
        <f t="shared" si="29"/>
        <v>193520</v>
      </c>
      <c r="J626" s="1838">
        <v>0</v>
      </c>
      <c r="K626" s="1838">
        <v>0</v>
      </c>
      <c r="L626" s="1838">
        <v>0</v>
      </c>
      <c r="M626" s="1838">
        <v>0</v>
      </c>
      <c r="N626" s="1838" t="s">
        <v>3773</v>
      </c>
      <c r="O626" s="1838" t="s">
        <v>3165</v>
      </c>
      <c r="P626" s="1838"/>
    </row>
    <row r="627" spans="2:16" s="1843" customFormat="1">
      <c r="B627" s="1838">
        <f t="shared" si="30"/>
        <v>624</v>
      </c>
      <c r="C627" s="1838" t="s">
        <v>301</v>
      </c>
      <c r="D627" s="1838" t="s">
        <v>3162</v>
      </c>
      <c r="E627" s="1838" t="s">
        <v>3783</v>
      </c>
      <c r="F627" s="1839">
        <v>45273</v>
      </c>
      <c r="G627" s="1840">
        <v>111400</v>
      </c>
      <c r="H627" s="1841">
        <f t="shared" si="28"/>
        <v>109</v>
      </c>
      <c r="I627" s="1838">
        <f t="shared" si="29"/>
        <v>111400</v>
      </c>
      <c r="J627" s="1838">
        <v>0</v>
      </c>
      <c r="K627" s="1838">
        <v>0</v>
      </c>
      <c r="L627" s="1838">
        <v>0</v>
      </c>
      <c r="M627" s="1838">
        <v>0</v>
      </c>
      <c r="N627" s="1838" t="s">
        <v>3773</v>
      </c>
      <c r="O627" s="1838" t="s">
        <v>3165</v>
      </c>
      <c r="P627" s="1838"/>
    </row>
    <row r="628" spans="2:16" s="1843" customFormat="1">
      <c r="B628" s="1838">
        <f t="shared" si="30"/>
        <v>625</v>
      </c>
      <c r="C628" s="1838" t="s">
        <v>301</v>
      </c>
      <c r="D628" s="1838" t="s">
        <v>3162</v>
      </c>
      <c r="E628" s="1838" t="s">
        <v>3783</v>
      </c>
      <c r="F628" s="1839">
        <v>45273</v>
      </c>
      <c r="G628" s="1840">
        <v>-694</v>
      </c>
      <c r="H628" s="1841">
        <f t="shared" si="28"/>
        <v>109</v>
      </c>
      <c r="I628" s="1838">
        <f t="shared" si="29"/>
        <v>-694</v>
      </c>
      <c r="J628" s="1838">
        <v>0</v>
      </c>
      <c r="K628" s="1838">
        <v>0</v>
      </c>
      <c r="L628" s="1838">
        <v>0</v>
      </c>
      <c r="M628" s="1838">
        <v>0</v>
      </c>
      <c r="N628" s="1838" t="s">
        <v>3773</v>
      </c>
      <c r="O628" s="1838" t="s">
        <v>3165</v>
      </c>
      <c r="P628" s="1838"/>
    </row>
    <row r="629" spans="2:16" s="1843" customFormat="1">
      <c r="B629" s="1838">
        <f t="shared" si="30"/>
        <v>626</v>
      </c>
      <c r="C629" s="1838" t="s">
        <v>301</v>
      </c>
      <c r="D629" s="1838" t="s">
        <v>3162</v>
      </c>
      <c r="E629" s="1838" t="s">
        <v>3784</v>
      </c>
      <c r="F629" s="1839">
        <v>45279</v>
      </c>
      <c r="G629" s="1840">
        <v>101871</v>
      </c>
      <c r="H629" s="1841">
        <f t="shared" si="28"/>
        <v>103</v>
      </c>
      <c r="I629" s="1838">
        <f t="shared" si="29"/>
        <v>101871</v>
      </c>
      <c r="J629" s="1838">
        <v>0</v>
      </c>
      <c r="K629" s="1838">
        <v>0</v>
      </c>
      <c r="L629" s="1838">
        <v>0</v>
      </c>
      <c r="M629" s="1838">
        <v>0</v>
      </c>
      <c r="N629" s="1838" t="s">
        <v>3773</v>
      </c>
      <c r="O629" s="1838" t="s">
        <v>3165</v>
      </c>
      <c r="P629" s="1838"/>
    </row>
    <row r="630" spans="2:16" s="1843" customFormat="1">
      <c r="B630" s="1838">
        <f t="shared" si="30"/>
        <v>627</v>
      </c>
      <c r="C630" s="1838" t="s">
        <v>301</v>
      </c>
      <c r="D630" s="1838" t="s">
        <v>3162</v>
      </c>
      <c r="E630" s="1838" t="s">
        <v>3784</v>
      </c>
      <c r="F630" s="1839">
        <v>45279</v>
      </c>
      <c r="G630" s="1840">
        <v>-519</v>
      </c>
      <c r="H630" s="1841">
        <f t="shared" si="28"/>
        <v>103</v>
      </c>
      <c r="I630" s="1838">
        <f t="shared" si="29"/>
        <v>-519</v>
      </c>
      <c r="J630" s="1838">
        <v>0</v>
      </c>
      <c r="K630" s="1838">
        <v>0</v>
      </c>
      <c r="L630" s="1838">
        <v>0</v>
      </c>
      <c r="M630" s="1838">
        <v>0</v>
      </c>
      <c r="N630" s="1838" t="s">
        <v>3773</v>
      </c>
      <c r="O630" s="1838" t="s">
        <v>3165</v>
      </c>
      <c r="P630" s="1838"/>
    </row>
    <row r="631" spans="2:16" s="1843" customFormat="1">
      <c r="B631" s="1838">
        <f t="shared" si="30"/>
        <v>628</v>
      </c>
      <c r="C631" s="1838" t="s">
        <v>301</v>
      </c>
      <c r="D631" s="1838" t="s">
        <v>3162</v>
      </c>
      <c r="E631" s="1838" t="s">
        <v>3784</v>
      </c>
      <c r="F631" s="1839">
        <v>45279</v>
      </c>
      <c r="G631" s="1840">
        <v>173</v>
      </c>
      <c r="H631" s="1841">
        <f t="shared" si="28"/>
        <v>103</v>
      </c>
      <c r="I631" s="1838">
        <f t="shared" si="29"/>
        <v>173</v>
      </c>
      <c r="J631" s="1838">
        <v>0</v>
      </c>
      <c r="K631" s="1838">
        <v>0</v>
      </c>
      <c r="L631" s="1838">
        <v>0</v>
      </c>
      <c r="M631" s="1838">
        <v>0</v>
      </c>
      <c r="N631" s="1838" t="s">
        <v>3773</v>
      </c>
      <c r="O631" s="1838" t="s">
        <v>3165</v>
      </c>
      <c r="P631" s="1838"/>
    </row>
    <row r="632" spans="2:16" s="1843" customFormat="1">
      <c r="B632" s="1838">
        <f t="shared" si="30"/>
        <v>629</v>
      </c>
      <c r="C632" s="1838" t="s">
        <v>301</v>
      </c>
      <c r="D632" s="1838" t="s">
        <v>3162</v>
      </c>
      <c r="E632" s="1838" t="s">
        <v>3785</v>
      </c>
      <c r="F632" s="1839">
        <v>45280</v>
      </c>
      <c r="G632" s="1840">
        <v>95634</v>
      </c>
      <c r="H632" s="1841">
        <f t="shared" si="28"/>
        <v>102</v>
      </c>
      <c r="I632" s="1838">
        <f t="shared" si="29"/>
        <v>95634</v>
      </c>
      <c r="J632" s="1838">
        <v>0</v>
      </c>
      <c r="K632" s="1838">
        <v>0</v>
      </c>
      <c r="L632" s="1838">
        <v>0</v>
      </c>
      <c r="M632" s="1838">
        <v>0</v>
      </c>
      <c r="N632" s="1838" t="s">
        <v>3773</v>
      </c>
      <c r="O632" s="1838" t="s">
        <v>3165</v>
      </c>
      <c r="P632" s="1838"/>
    </row>
    <row r="633" spans="2:16" s="1843" customFormat="1">
      <c r="B633" s="1838">
        <f t="shared" si="30"/>
        <v>630</v>
      </c>
      <c r="C633" s="1838" t="s">
        <v>301</v>
      </c>
      <c r="D633" s="1838" t="s">
        <v>3162</v>
      </c>
      <c r="E633" s="1838" t="s">
        <v>3785</v>
      </c>
      <c r="F633" s="1839">
        <v>45280</v>
      </c>
      <c r="G633" s="1840">
        <v>-780</v>
      </c>
      <c r="H633" s="1841">
        <f t="shared" si="28"/>
        <v>102</v>
      </c>
      <c r="I633" s="1838">
        <f t="shared" si="29"/>
        <v>-780</v>
      </c>
      <c r="J633" s="1838">
        <v>0</v>
      </c>
      <c r="K633" s="1838">
        <v>0</v>
      </c>
      <c r="L633" s="1838">
        <v>0</v>
      </c>
      <c r="M633" s="1838">
        <v>0</v>
      </c>
      <c r="N633" s="1838" t="s">
        <v>3773</v>
      </c>
      <c r="O633" s="1838" t="s">
        <v>3165</v>
      </c>
      <c r="P633" s="1838"/>
    </row>
    <row r="634" spans="2:16" s="1843" customFormat="1">
      <c r="B634" s="1838">
        <f t="shared" si="30"/>
        <v>631</v>
      </c>
      <c r="C634" s="1838" t="s">
        <v>301</v>
      </c>
      <c r="D634" s="1838" t="s">
        <v>3162</v>
      </c>
      <c r="E634" s="1838" t="s">
        <v>3785</v>
      </c>
      <c r="F634" s="1839">
        <v>45280</v>
      </c>
      <c r="G634" s="1840">
        <v>173</v>
      </c>
      <c r="H634" s="1841">
        <f t="shared" si="28"/>
        <v>102</v>
      </c>
      <c r="I634" s="1838">
        <f t="shared" si="29"/>
        <v>173</v>
      </c>
      <c r="J634" s="1838">
        <v>0</v>
      </c>
      <c r="K634" s="1838">
        <v>0</v>
      </c>
      <c r="L634" s="1838">
        <v>0</v>
      </c>
      <c r="M634" s="1838">
        <v>0</v>
      </c>
      <c r="N634" s="1838" t="s">
        <v>3773</v>
      </c>
      <c r="O634" s="1838" t="s">
        <v>3165</v>
      </c>
      <c r="P634" s="1838"/>
    </row>
    <row r="635" spans="2:16" s="1843" customFormat="1">
      <c r="B635" s="1838">
        <f t="shared" si="30"/>
        <v>632</v>
      </c>
      <c r="C635" s="1838" t="s">
        <v>301</v>
      </c>
      <c r="D635" s="1838" t="s">
        <v>3162</v>
      </c>
      <c r="E635" s="1838" t="s">
        <v>3786</v>
      </c>
      <c r="F635" s="1839">
        <v>45281</v>
      </c>
      <c r="G635" s="1840">
        <v>-1300</v>
      </c>
      <c r="H635" s="1841">
        <f t="shared" si="28"/>
        <v>101</v>
      </c>
      <c r="I635" s="1838">
        <f t="shared" si="29"/>
        <v>-1300</v>
      </c>
      <c r="J635" s="1838">
        <v>0</v>
      </c>
      <c r="K635" s="1838">
        <v>0</v>
      </c>
      <c r="L635" s="1838">
        <v>0</v>
      </c>
      <c r="M635" s="1838">
        <v>0</v>
      </c>
      <c r="N635" s="1838" t="s">
        <v>3773</v>
      </c>
      <c r="O635" s="1838" t="s">
        <v>3165</v>
      </c>
      <c r="P635" s="1838"/>
    </row>
    <row r="636" spans="2:16" s="1843" customFormat="1">
      <c r="B636" s="1838">
        <f t="shared" si="30"/>
        <v>633</v>
      </c>
      <c r="C636" s="1838" t="s">
        <v>301</v>
      </c>
      <c r="D636" s="1838" t="s">
        <v>3162</v>
      </c>
      <c r="E636" s="1838" t="s">
        <v>3786</v>
      </c>
      <c r="F636" s="1839">
        <v>45282</v>
      </c>
      <c r="G636" s="1840">
        <v>140506</v>
      </c>
      <c r="H636" s="1841">
        <f t="shared" si="28"/>
        <v>100</v>
      </c>
      <c r="I636" s="1838">
        <f t="shared" si="29"/>
        <v>140506</v>
      </c>
      <c r="J636" s="1838">
        <v>0</v>
      </c>
      <c r="K636" s="1838">
        <v>0</v>
      </c>
      <c r="L636" s="1838">
        <v>0</v>
      </c>
      <c r="M636" s="1838">
        <v>0</v>
      </c>
      <c r="N636" s="1838" t="s">
        <v>3773</v>
      </c>
      <c r="O636" s="1838" t="s">
        <v>3165</v>
      </c>
      <c r="P636" s="1838"/>
    </row>
    <row r="637" spans="2:16" s="1843" customFormat="1">
      <c r="B637" s="1838">
        <f t="shared" si="30"/>
        <v>634</v>
      </c>
      <c r="C637" s="1838" t="s">
        <v>301</v>
      </c>
      <c r="D637" s="1838" t="s">
        <v>3162</v>
      </c>
      <c r="E637" s="1838" t="s">
        <v>3787</v>
      </c>
      <c r="F637" s="1839">
        <v>45283</v>
      </c>
      <c r="G637" s="1840">
        <v>103257</v>
      </c>
      <c r="H637" s="1841">
        <f t="shared" si="28"/>
        <v>99</v>
      </c>
      <c r="I637" s="1838">
        <f t="shared" si="29"/>
        <v>103257</v>
      </c>
      <c r="J637" s="1838">
        <v>0</v>
      </c>
      <c r="K637" s="1838">
        <v>0</v>
      </c>
      <c r="L637" s="1838">
        <v>0</v>
      </c>
      <c r="M637" s="1838">
        <v>0</v>
      </c>
      <c r="N637" s="1838" t="s">
        <v>3773</v>
      </c>
      <c r="O637" s="1838" t="s">
        <v>3165</v>
      </c>
      <c r="P637" s="1838"/>
    </row>
    <row r="638" spans="2:16" s="1843" customFormat="1">
      <c r="B638" s="1838">
        <f t="shared" si="30"/>
        <v>635</v>
      </c>
      <c r="C638" s="1838" t="s">
        <v>301</v>
      </c>
      <c r="D638" s="1838" t="s">
        <v>3162</v>
      </c>
      <c r="E638" s="1838" t="s">
        <v>3787</v>
      </c>
      <c r="F638" s="1839">
        <v>45283</v>
      </c>
      <c r="G638" s="1840">
        <v>-605</v>
      </c>
      <c r="H638" s="1841">
        <f t="shared" si="28"/>
        <v>99</v>
      </c>
      <c r="I638" s="1838">
        <f t="shared" si="29"/>
        <v>-605</v>
      </c>
      <c r="J638" s="1838">
        <v>0</v>
      </c>
      <c r="K638" s="1838">
        <v>0</v>
      </c>
      <c r="L638" s="1838">
        <v>0</v>
      </c>
      <c r="M638" s="1838">
        <v>0</v>
      </c>
      <c r="N638" s="1838" t="s">
        <v>3773</v>
      </c>
      <c r="O638" s="1838" t="s">
        <v>3165</v>
      </c>
      <c r="P638" s="1838"/>
    </row>
    <row r="639" spans="2:16" s="1843" customFormat="1">
      <c r="B639" s="1838">
        <f t="shared" si="30"/>
        <v>636</v>
      </c>
      <c r="C639" s="1838" t="s">
        <v>301</v>
      </c>
      <c r="D639" s="1838" t="s">
        <v>3162</v>
      </c>
      <c r="E639" s="1838" t="s">
        <v>3363</v>
      </c>
      <c r="F639" s="1839">
        <v>45291</v>
      </c>
      <c r="G639" s="1840">
        <v>-857</v>
      </c>
      <c r="H639" s="1841">
        <f t="shared" si="28"/>
        <v>91</v>
      </c>
      <c r="I639" s="1838">
        <f t="shared" si="29"/>
        <v>-857</v>
      </c>
      <c r="J639" s="1838">
        <v>0</v>
      </c>
      <c r="K639" s="1838">
        <v>0</v>
      </c>
      <c r="L639" s="1838">
        <v>0</v>
      </c>
      <c r="M639" s="1838">
        <v>0</v>
      </c>
      <c r="N639" s="1838" t="s">
        <v>3773</v>
      </c>
      <c r="O639" s="1838" t="s">
        <v>3165</v>
      </c>
      <c r="P639" s="1838"/>
    </row>
    <row r="640" spans="2:16" s="1843" customFormat="1">
      <c r="B640" s="1838">
        <f t="shared" si="30"/>
        <v>637</v>
      </c>
      <c r="C640" s="1838" t="s">
        <v>301</v>
      </c>
      <c r="D640" s="1838" t="s">
        <v>3162</v>
      </c>
      <c r="E640" s="1838" t="s">
        <v>3788</v>
      </c>
      <c r="F640" s="1839">
        <v>45306</v>
      </c>
      <c r="G640" s="1840">
        <v>105683</v>
      </c>
      <c r="H640" s="1841">
        <f t="shared" si="28"/>
        <v>76</v>
      </c>
      <c r="I640" s="1838">
        <f t="shared" si="29"/>
        <v>105683</v>
      </c>
      <c r="J640" s="1838">
        <v>0</v>
      </c>
      <c r="K640" s="1838">
        <v>0</v>
      </c>
      <c r="L640" s="1838">
        <v>0</v>
      </c>
      <c r="M640" s="1838">
        <v>0</v>
      </c>
      <c r="N640" s="1838" t="s">
        <v>3773</v>
      </c>
      <c r="O640" s="1838" t="s">
        <v>3165</v>
      </c>
      <c r="P640" s="1838"/>
    </row>
    <row r="641" spans="2:16" s="1843" customFormat="1">
      <c r="B641" s="1838">
        <f t="shared" si="30"/>
        <v>638</v>
      </c>
      <c r="C641" s="1838" t="s">
        <v>301</v>
      </c>
      <c r="D641" s="1838" t="s">
        <v>3162</v>
      </c>
      <c r="E641" s="1838" t="s">
        <v>3788</v>
      </c>
      <c r="F641" s="1839">
        <v>45306</v>
      </c>
      <c r="G641" s="1840">
        <v>-780</v>
      </c>
      <c r="H641" s="1841">
        <f t="shared" si="28"/>
        <v>76</v>
      </c>
      <c r="I641" s="1838">
        <f t="shared" si="29"/>
        <v>-780</v>
      </c>
      <c r="J641" s="1838">
        <v>0</v>
      </c>
      <c r="K641" s="1838">
        <v>0</v>
      </c>
      <c r="L641" s="1838">
        <v>0</v>
      </c>
      <c r="M641" s="1838">
        <v>0</v>
      </c>
      <c r="N641" s="1838" t="s">
        <v>3773</v>
      </c>
      <c r="O641" s="1838" t="s">
        <v>3165</v>
      </c>
      <c r="P641" s="1838"/>
    </row>
    <row r="642" spans="2:16" s="1843" customFormat="1">
      <c r="B642" s="1838">
        <f t="shared" si="30"/>
        <v>639</v>
      </c>
      <c r="C642" s="1838" t="s">
        <v>301</v>
      </c>
      <c r="D642" s="1838" t="s">
        <v>3162</v>
      </c>
      <c r="E642" s="1838" t="s">
        <v>3789</v>
      </c>
      <c r="F642" s="1839">
        <v>45310</v>
      </c>
      <c r="G642" s="1840">
        <v>101178</v>
      </c>
      <c r="H642" s="1841">
        <f t="shared" si="28"/>
        <v>72</v>
      </c>
      <c r="I642" s="1838">
        <f t="shared" si="29"/>
        <v>101178</v>
      </c>
      <c r="J642" s="1838">
        <v>0</v>
      </c>
      <c r="K642" s="1838">
        <v>0</v>
      </c>
      <c r="L642" s="1838">
        <v>0</v>
      </c>
      <c r="M642" s="1838">
        <v>0</v>
      </c>
      <c r="N642" s="1838" t="s">
        <v>3773</v>
      </c>
      <c r="O642" s="1838" t="s">
        <v>3165</v>
      </c>
      <c r="P642" s="1838"/>
    </row>
    <row r="643" spans="2:16" s="1843" customFormat="1">
      <c r="B643" s="1838">
        <f t="shared" si="30"/>
        <v>640</v>
      </c>
      <c r="C643" s="1838" t="s">
        <v>301</v>
      </c>
      <c r="D643" s="1838" t="s">
        <v>3162</v>
      </c>
      <c r="E643" s="1838" t="s">
        <v>3789</v>
      </c>
      <c r="F643" s="1839">
        <v>45310</v>
      </c>
      <c r="G643" s="1840">
        <v>-519</v>
      </c>
      <c r="H643" s="1841">
        <f t="shared" si="28"/>
        <v>72</v>
      </c>
      <c r="I643" s="1838">
        <f t="shared" si="29"/>
        <v>-519</v>
      </c>
      <c r="J643" s="1838">
        <v>0</v>
      </c>
      <c r="K643" s="1838">
        <v>0</v>
      </c>
      <c r="L643" s="1838">
        <v>0</v>
      </c>
      <c r="M643" s="1838">
        <v>0</v>
      </c>
      <c r="N643" s="1838" t="s">
        <v>3773</v>
      </c>
      <c r="O643" s="1838" t="s">
        <v>3165</v>
      </c>
      <c r="P643" s="1838"/>
    </row>
    <row r="644" spans="2:16" s="1843" customFormat="1">
      <c r="B644" s="1838">
        <f t="shared" si="30"/>
        <v>641</v>
      </c>
      <c r="C644" s="1838" t="s">
        <v>301</v>
      </c>
      <c r="D644" s="1838" t="s">
        <v>3162</v>
      </c>
      <c r="E644" s="1838" t="s">
        <v>3788</v>
      </c>
      <c r="F644" s="1839">
        <v>45310</v>
      </c>
      <c r="G644" s="1840">
        <v>260</v>
      </c>
      <c r="H644" s="1841">
        <f t="shared" si="28"/>
        <v>72</v>
      </c>
      <c r="I644" s="1838">
        <f t="shared" si="29"/>
        <v>260</v>
      </c>
      <c r="J644" s="1838">
        <v>0</v>
      </c>
      <c r="K644" s="1838">
        <v>0</v>
      </c>
      <c r="L644" s="1838">
        <v>0</v>
      </c>
      <c r="M644" s="1838">
        <v>0</v>
      </c>
      <c r="N644" s="1838" t="s">
        <v>3773</v>
      </c>
      <c r="O644" s="1838" t="s">
        <v>3165</v>
      </c>
      <c r="P644" s="1838"/>
    </row>
    <row r="645" spans="2:16" s="1843" customFormat="1">
      <c r="B645" s="1838">
        <f t="shared" si="30"/>
        <v>642</v>
      </c>
      <c r="C645" s="1838" t="s">
        <v>301</v>
      </c>
      <c r="D645" s="1838" t="s">
        <v>3162</v>
      </c>
      <c r="E645" s="1838" t="s">
        <v>3790</v>
      </c>
      <c r="F645" s="1839">
        <v>45314</v>
      </c>
      <c r="G645" s="1840">
        <v>3417</v>
      </c>
      <c r="H645" s="1841">
        <f t="shared" ref="H645:H708" si="31">+$H$2-F645</f>
        <v>68</v>
      </c>
      <c r="I645" s="1838">
        <f t="shared" ref="I645:I708" si="32">+G645</f>
        <v>3417</v>
      </c>
      <c r="J645" s="1838">
        <v>0</v>
      </c>
      <c r="K645" s="1838">
        <v>0</v>
      </c>
      <c r="L645" s="1838">
        <v>0</v>
      </c>
      <c r="M645" s="1838">
        <v>0</v>
      </c>
      <c r="N645" s="1838" t="s">
        <v>3773</v>
      </c>
      <c r="O645" s="1838" t="s">
        <v>3165</v>
      </c>
      <c r="P645" s="1838"/>
    </row>
    <row r="646" spans="2:16" s="1843" customFormat="1">
      <c r="B646" s="1838">
        <f t="shared" ref="B646:B709" si="33">+B645+1</f>
        <v>643</v>
      </c>
      <c r="C646" s="1838" t="s">
        <v>301</v>
      </c>
      <c r="D646" s="1838" t="s">
        <v>3162</v>
      </c>
      <c r="E646" s="1838" t="s">
        <v>3790</v>
      </c>
      <c r="F646" s="1839">
        <v>45314</v>
      </c>
      <c r="G646" s="1840">
        <v>-3592</v>
      </c>
      <c r="H646" s="1841">
        <f t="shared" si="31"/>
        <v>68</v>
      </c>
      <c r="I646" s="1838">
        <f t="shared" si="32"/>
        <v>-3592</v>
      </c>
      <c r="J646" s="1838">
        <v>0</v>
      </c>
      <c r="K646" s="1838">
        <v>0</v>
      </c>
      <c r="L646" s="1838">
        <v>0</v>
      </c>
      <c r="M646" s="1838">
        <v>0</v>
      </c>
      <c r="N646" s="1838" t="s">
        <v>3773</v>
      </c>
      <c r="O646" s="1838" t="s">
        <v>3165</v>
      </c>
      <c r="P646" s="1838"/>
    </row>
    <row r="647" spans="2:16" s="1843" customFormat="1">
      <c r="B647" s="1838">
        <f t="shared" si="33"/>
        <v>644</v>
      </c>
      <c r="C647" s="1838" t="s">
        <v>301</v>
      </c>
      <c r="D647" s="1838" t="s">
        <v>3162</v>
      </c>
      <c r="E647" s="1838" t="s">
        <v>3790</v>
      </c>
      <c r="F647" s="1839">
        <v>45314</v>
      </c>
      <c r="G647" s="1840">
        <v>87</v>
      </c>
      <c r="H647" s="1841">
        <f t="shared" si="31"/>
        <v>68</v>
      </c>
      <c r="I647" s="1838">
        <f t="shared" si="32"/>
        <v>87</v>
      </c>
      <c r="J647" s="1838">
        <v>0</v>
      </c>
      <c r="K647" s="1838">
        <v>0</v>
      </c>
      <c r="L647" s="1838">
        <v>0</v>
      </c>
      <c r="M647" s="1838">
        <v>0</v>
      </c>
      <c r="N647" s="1838" t="s">
        <v>3773</v>
      </c>
      <c r="O647" s="1838" t="s">
        <v>3165</v>
      </c>
      <c r="P647" s="1838"/>
    </row>
    <row r="648" spans="2:16" s="1843" customFormat="1">
      <c r="B648" s="1838">
        <f t="shared" si="33"/>
        <v>645</v>
      </c>
      <c r="C648" s="1838" t="s">
        <v>301</v>
      </c>
      <c r="D648" s="1838" t="s">
        <v>3162</v>
      </c>
      <c r="E648" s="1838" t="s">
        <v>3790</v>
      </c>
      <c r="F648" s="1839">
        <v>45315</v>
      </c>
      <c r="G648" s="1840">
        <v>58590</v>
      </c>
      <c r="H648" s="1841">
        <f t="shared" si="31"/>
        <v>67</v>
      </c>
      <c r="I648" s="1838">
        <f t="shared" si="32"/>
        <v>58590</v>
      </c>
      <c r="J648" s="1838">
        <v>0</v>
      </c>
      <c r="K648" s="1838">
        <v>0</v>
      </c>
      <c r="L648" s="1838">
        <v>0</v>
      </c>
      <c r="M648" s="1838">
        <v>0</v>
      </c>
      <c r="N648" s="1838" t="s">
        <v>3773</v>
      </c>
      <c r="O648" s="1838" t="s">
        <v>3165</v>
      </c>
      <c r="P648" s="1838"/>
    </row>
    <row r="649" spans="2:16" s="1843" customFormat="1">
      <c r="B649" s="1838">
        <f t="shared" si="33"/>
        <v>646</v>
      </c>
      <c r="C649" s="1838" t="s">
        <v>301</v>
      </c>
      <c r="D649" s="1838" t="s">
        <v>3162</v>
      </c>
      <c r="E649" s="1838" t="s">
        <v>3791</v>
      </c>
      <c r="F649" s="1839">
        <v>45315</v>
      </c>
      <c r="G649" s="1840">
        <v>176889</v>
      </c>
      <c r="H649" s="1841">
        <f t="shared" si="31"/>
        <v>67</v>
      </c>
      <c r="I649" s="1838">
        <f t="shared" si="32"/>
        <v>176889</v>
      </c>
      <c r="J649" s="1838">
        <v>0</v>
      </c>
      <c r="K649" s="1838">
        <v>0</v>
      </c>
      <c r="L649" s="1838">
        <v>0</v>
      </c>
      <c r="M649" s="1838">
        <v>0</v>
      </c>
      <c r="N649" s="1838" t="s">
        <v>3773</v>
      </c>
      <c r="O649" s="1838" t="s">
        <v>3165</v>
      </c>
      <c r="P649" s="1838"/>
    </row>
    <row r="650" spans="2:16" s="1843" customFormat="1">
      <c r="B650" s="1838">
        <f t="shared" si="33"/>
        <v>647</v>
      </c>
      <c r="C650" s="1838" t="s">
        <v>301</v>
      </c>
      <c r="D650" s="1838" t="s">
        <v>3162</v>
      </c>
      <c r="E650" s="1838" t="s">
        <v>3791</v>
      </c>
      <c r="F650" s="1839">
        <v>45315</v>
      </c>
      <c r="G650" s="1840">
        <v>-1473</v>
      </c>
      <c r="H650" s="1841">
        <f t="shared" si="31"/>
        <v>67</v>
      </c>
      <c r="I650" s="1838">
        <f t="shared" si="32"/>
        <v>-1473</v>
      </c>
      <c r="J650" s="1838">
        <v>0</v>
      </c>
      <c r="K650" s="1838">
        <v>0</v>
      </c>
      <c r="L650" s="1838">
        <v>0</v>
      </c>
      <c r="M650" s="1838">
        <v>0</v>
      </c>
      <c r="N650" s="1838" t="s">
        <v>3773</v>
      </c>
      <c r="O650" s="1838" t="s">
        <v>3165</v>
      </c>
      <c r="P650" s="1838"/>
    </row>
    <row r="651" spans="2:16" s="1843" customFormat="1">
      <c r="B651" s="1838">
        <f t="shared" si="33"/>
        <v>648</v>
      </c>
      <c r="C651" s="1838" t="s">
        <v>301</v>
      </c>
      <c r="D651" s="1838" t="s">
        <v>3162</v>
      </c>
      <c r="E651" s="1838" t="s">
        <v>3792</v>
      </c>
      <c r="F651" s="1839">
        <v>45317</v>
      </c>
      <c r="G651" s="1840">
        <v>62197</v>
      </c>
      <c r="H651" s="1841">
        <f t="shared" si="31"/>
        <v>65</v>
      </c>
      <c r="I651" s="1838">
        <f t="shared" si="32"/>
        <v>62197</v>
      </c>
      <c r="J651" s="1838">
        <v>0</v>
      </c>
      <c r="K651" s="1838">
        <v>0</v>
      </c>
      <c r="L651" s="1838">
        <v>0</v>
      </c>
      <c r="M651" s="1838">
        <v>0</v>
      </c>
      <c r="N651" s="1838" t="s">
        <v>3773</v>
      </c>
      <c r="O651" s="1838" t="s">
        <v>3165</v>
      </c>
      <c r="P651" s="1838"/>
    </row>
    <row r="652" spans="2:16" s="1843" customFormat="1">
      <c r="B652" s="1838">
        <f t="shared" si="33"/>
        <v>649</v>
      </c>
      <c r="C652" s="1838" t="s">
        <v>301</v>
      </c>
      <c r="D652" s="1838" t="s">
        <v>3162</v>
      </c>
      <c r="E652" s="1838" t="s">
        <v>3792</v>
      </c>
      <c r="F652" s="1839">
        <v>45317</v>
      </c>
      <c r="G652" s="1840">
        <v>-433</v>
      </c>
      <c r="H652" s="1841">
        <f t="shared" si="31"/>
        <v>65</v>
      </c>
      <c r="I652" s="1838">
        <f t="shared" si="32"/>
        <v>-433</v>
      </c>
      <c r="J652" s="1838">
        <v>0</v>
      </c>
      <c r="K652" s="1838">
        <v>0</v>
      </c>
      <c r="L652" s="1838">
        <v>0</v>
      </c>
      <c r="M652" s="1838">
        <v>0</v>
      </c>
      <c r="N652" s="1838" t="s">
        <v>3773</v>
      </c>
      <c r="O652" s="1838" t="s">
        <v>3165</v>
      </c>
      <c r="P652" s="1838"/>
    </row>
    <row r="653" spans="2:16" s="1843" customFormat="1">
      <c r="B653" s="1838">
        <f t="shared" si="33"/>
        <v>650</v>
      </c>
      <c r="C653" s="1838" t="s">
        <v>301</v>
      </c>
      <c r="D653" s="1838" t="s">
        <v>3162</v>
      </c>
      <c r="E653" s="1838" t="s">
        <v>3793</v>
      </c>
      <c r="F653" s="1839">
        <v>45319</v>
      </c>
      <c r="G653" s="1840">
        <v>60480</v>
      </c>
      <c r="H653" s="1841">
        <f t="shared" si="31"/>
        <v>63</v>
      </c>
      <c r="I653" s="1838">
        <f t="shared" si="32"/>
        <v>60480</v>
      </c>
      <c r="J653" s="1838">
        <v>0</v>
      </c>
      <c r="K653" s="1838">
        <v>0</v>
      </c>
      <c r="L653" s="1838">
        <v>0</v>
      </c>
      <c r="M653" s="1838">
        <v>0</v>
      </c>
      <c r="N653" s="1838" t="s">
        <v>3773</v>
      </c>
      <c r="O653" s="1838" t="s">
        <v>3165</v>
      </c>
      <c r="P653" s="1838"/>
    </row>
    <row r="654" spans="2:16" s="1843" customFormat="1">
      <c r="B654" s="1838">
        <f t="shared" si="33"/>
        <v>651</v>
      </c>
      <c r="C654" s="1838" t="s">
        <v>301</v>
      </c>
      <c r="D654" s="1838" t="s">
        <v>3162</v>
      </c>
      <c r="E654" s="1838" t="s">
        <v>3794</v>
      </c>
      <c r="F654" s="1839">
        <v>45321</v>
      </c>
      <c r="G654" s="1840">
        <v>-694</v>
      </c>
      <c r="H654" s="1841">
        <f t="shared" si="31"/>
        <v>61</v>
      </c>
      <c r="I654" s="1838">
        <f t="shared" si="32"/>
        <v>-694</v>
      </c>
      <c r="J654" s="1838">
        <v>0</v>
      </c>
      <c r="K654" s="1838">
        <v>0</v>
      </c>
      <c r="L654" s="1838">
        <v>0</v>
      </c>
      <c r="M654" s="1838">
        <v>0</v>
      </c>
      <c r="N654" s="1838" t="s">
        <v>3773</v>
      </c>
      <c r="O654" s="1838" t="s">
        <v>3165</v>
      </c>
      <c r="P654" s="1838"/>
    </row>
    <row r="655" spans="2:16" s="1843" customFormat="1">
      <c r="B655" s="1838">
        <f t="shared" si="33"/>
        <v>652</v>
      </c>
      <c r="C655" s="1838" t="s">
        <v>301</v>
      </c>
      <c r="D655" s="1838" t="s">
        <v>3162</v>
      </c>
      <c r="E655" s="1838" t="s">
        <v>3794</v>
      </c>
      <c r="F655" s="1839">
        <v>45322</v>
      </c>
      <c r="G655" s="1840">
        <v>138600</v>
      </c>
      <c r="H655" s="1841">
        <f t="shared" si="31"/>
        <v>60</v>
      </c>
      <c r="I655" s="1838">
        <f t="shared" si="32"/>
        <v>138600</v>
      </c>
      <c r="J655" s="1838">
        <v>0</v>
      </c>
      <c r="K655" s="1838">
        <v>0</v>
      </c>
      <c r="L655" s="1838">
        <v>0</v>
      </c>
      <c r="M655" s="1838">
        <v>0</v>
      </c>
      <c r="N655" s="1838" t="s">
        <v>3773</v>
      </c>
      <c r="O655" s="1838" t="s">
        <v>3165</v>
      </c>
      <c r="P655" s="1838"/>
    </row>
    <row r="656" spans="2:16" s="1843" customFormat="1">
      <c r="B656" s="1838">
        <f t="shared" si="33"/>
        <v>653</v>
      </c>
      <c r="C656" s="1838" t="s">
        <v>301</v>
      </c>
      <c r="D656" s="1838" t="s">
        <v>3162</v>
      </c>
      <c r="E656" s="1838" t="s">
        <v>3795</v>
      </c>
      <c r="F656" s="1839">
        <v>45322</v>
      </c>
      <c r="G656" s="1840">
        <v>-707</v>
      </c>
      <c r="H656" s="1841">
        <f t="shared" si="31"/>
        <v>60</v>
      </c>
      <c r="I656" s="1838">
        <f t="shared" si="32"/>
        <v>-707</v>
      </c>
      <c r="J656" s="1838">
        <v>0</v>
      </c>
      <c r="K656" s="1838">
        <v>0</v>
      </c>
      <c r="L656" s="1838">
        <v>0</v>
      </c>
      <c r="M656" s="1838">
        <v>0</v>
      </c>
      <c r="N656" s="1838" t="s">
        <v>3773</v>
      </c>
      <c r="O656" s="1838" t="s">
        <v>3165</v>
      </c>
      <c r="P656" s="1838"/>
    </row>
    <row r="657" spans="2:16" s="1843" customFormat="1">
      <c r="B657" s="1838">
        <f t="shared" si="33"/>
        <v>654</v>
      </c>
      <c r="C657" s="1838" t="s">
        <v>301</v>
      </c>
      <c r="D657" s="1838" t="s">
        <v>3162</v>
      </c>
      <c r="E657" s="1838" t="s">
        <v>3796</v>
      </c>
      <c r="F657" s="1839">
        <v>45323</v>
      </c>
      <c r="G657" s="1840">
        <v>78624</v>
      </c>
      <c r="H657" s="1841">
        <f t="shared" si="31"/>
        <v>59</v>
      </c>
      <c r="I657" s="1838">
        <f t="shared" si="32"/>
        <v>78624</v>
      </c>
      <c r="J657" s="1838">
        <v>0</v>
      </c>
      <c r="K657" s="1838">
        <v>0</v>
      </c>
      <c r="L657" s="1838">
        <v>0</v>
      </c>
      <c r="M657" s="1838">
        <v>0</v>
      </c>
      <c r="N657" s="1838" t="s">
        <v>3773</v>
      </c>
      <c r="O657" s="1838" t="s">
        <v>3165</v>
      </c>
      <c r="P657" s="1838"/>
    </row>
    <row r="658" spans="2:16" s="1843" customFormat="1">
      <c r="B658" s="1838">
        <f t="shared" si="33"/>
        <v>655</v>
      </c>
      <c r="C658" s="1838" t="s">
        <v>301</v>
      </c>
      <c r="D658" s="1838" t="s">
        <v>3162</v>
      </c>
      <c r="E658" s="1838" t="s">
        <v>3797</v>
      </c>
      <c r="F658" s="1839">
        <v>45327</v>
      </c>
      <c r="G658" s="1840">
        <v>84609</v>
      </c>
      <c r="H658" s="1841">
        <f t="shared" si="31"/>
        <v>55</v>
      </c>
      <c r="I658" s="1838">
        <f t="shared" si="32"/>
        <v>84609</v>
      </c>
      <c r="J658" s="1838">
        <v>0</v>
      </c>
      <c r="K658" s="1838">
        <v>0</v>
      </c>
      <c r="L658" s="1838">
        <v>0</v>
      </c>
      <c r="M658" s="1838">
        <v>0</v>
      </c>
      <c r="N658" s="1838" t="s">
        <v>3773</v>
      </c>
      <c r="O658" s="1838" t="s">
        <v>3165</v>
      </c>
      <c r="P658" s="1838"/>
    </row>
    <row r="659" spans="2:16" s="1843" customFormat="1">
      <c r="B659" s="1838">
        <f t="shared" si="33"/>
        <v>656</v>
      </c>
      <c r="C659" s="1838" t="s">
        <v>301</v>
      </c>
      <c r="D659" s="1838" t="s">
        <v>3162</v>
      </c>
      <c r="E659" s="1838" t="s">
        <v>3797</v>
      </c>
      <c r="F659" s="1839">
        <v>45327</v>
      </c>
      <c r="G659" s="1840">
        <v>-536</v>
      </c>
      <c r="H659" s="1841">
        <f t="shared" si="31"/>
        <v>55</v>
      </c>
      <c r="I659" s="1838">
        <f t="shared" si="32"/>
        <v>-536</v>
      </c>
      <c r="J659" s="1838">
        <v>0</v>
      </c>
      <c r="K659" s="1838">
        <v>0</v>
      </c>
      <c r="L659" s="1838">
        <v>0</v>
      </c>
      <c r="M659" s="1838">
        <v>0</v>
      </c>
      <c r="N659" s="1838" t="s">
        <v>3773</v>
      </c>
      <c r="O659" s="1838" t="s">
        <v>3165</v>
      </c>
      <c r="P659" s="1838"/>
    </row>
    <row r="660" spans="2:16" s="1843" customFormat="1">
      <c r="B660" s="1838">
        <f t="shared" si="33"/>
        <v>657</v>
      </c>
      <c r="C660" s="1838" t="s">
        <v>301</v>
      </c>
      <c r="D660" s="1838" t="s">
        <v>3162</v>
      </c>
      <c r="E660" s="1838" t="s">
        <v>3798</v>
      </c>
      <c r="F660" s="1839">
        <v>45328</v>
      </c>
      <c r="G660" s="1840">
        <v>54264</v>
      </c>
      <c r="H660" s="1841">
        <f t="shared" si="31"/>
        <v>54</v>
      </c>
      <c r="I660" s="1838">
        <f t="shared" si="32"/>
        <v>54264</v>
      </c>
      <c r="J660" s="1838">
        <v>0</v>
      </c>
      <c r="K660" s="1838">
        <v>0</v>
      </c>
      <c r="L660" s="1838">
        <v>0</v>
      </c>
      <c r="M660" s="1838">
        <v>0</v>
      </c>
      <c r="N660" s="1838" t="s">
        <v>3773</v>
      </c>
      <c r="O660" s="1838" t="s">
        <v>3165</v>
      </c>
      <c r="P660" s="1838"/>
    </row>
    <row r="661" spans="2:16" s="1843" customFormat="1">
      <c r="B661" s="1838">
        <f t="shared" si="33"/>
        <v>658</v>
      </c>
      <c r="C661" s="1838" t="s">
        <v>301</v>
      </c>
      <c r="D661" s="1838" t="s">
        <v>3162</v>
      </c>
      <c r="E661" s="1838" t="s">
        <v>3798</v>
      </c>
      <c r="F661" s="1839">
        <v>45328</v>
      </c>
      <c r="G661" s="1840">
        <v>-447</v>
      </c>
      <c r="H661" s="1841">
        <f t="shared" si="31"/>
        <v>54</v>
      </c>
      <c r="I661" s="1838">
        <f t="shared" si="32"/>
        <v>-447</v>
      </c>
      <c r="J661" s="1838">
        <v>0</v>
      </c>
      <c r="K661" s="1838">
        <v>0</v>
      </c>
      <c r="L661" s="1838">
        <v>0</v>
      </c>
      <c r="M661" s="1838">
        <v>0</v>
      </c>
      <c r="N661" s="1838" t="s">
        <v>3773</v>
      </c>
      <c r="O661" s="1838" t="s">
        <v>3165</v>
      </c>
      <c r="P661" s="1838"/>
    </row>
    <row r="662" spans="2:16" s="1843" customFormat="1">
      <c r="B662" s="1838">
        <f t="shared" si="33"/>
        <v>659</v>
      </c>
      <c r="C662" s="1838" t="s">
        <v>301</v>
      </c>
      <c r="D662" s="1838" t="s">
        <v>3162</v>
      </c>
      <c r="E662" s="1838" t="s">
        <v>3799</v>
      </c>
      <c r="F662" s="1839">
        <v>45329</v>
      </c>
      <c r="G662" s="1840">
        <v>86856</v>
      </c>
      <c r="H662" s="1841">
        <f t="shared" si="31"/>
        <v>53</v>
      </c>
      <c r="I662" s="1838">
        <f t="shared" si="32"/>
        <v>86856</v>
      </c>
      <c r="J662" s="1838">
        <v>0</v>
      </c>
      <c r="K662" s="1838">
        <v>0</v>
      </c>
      <c r="L662" s="1838">
        <v>0</v>
      </c>
      <c r="M662" s="1838">
        <v>0</v>
      </c>
      <c r="N662" s="1838" t="s">
        <v>3773</v>
      </c>
      <c r="O662" s="1838" t="s">
        <v>3165</v>
      </c>
      <c r="P662" s="1838"/>
    </row>
    <row r="663" spans="2:16" s="1843" customFormat="1">
      <c r="B663" s="1838">
        <f t="shared" si="33"/>
        <v>660</v>
      </c>
      <c r="C663" s="1838" t="s">
        <v>301</v>
      </c>
      <c r="D663" s="1838" t="s">
        <v>3162</v>
      </c>
      <c r="E663" s="1838" t="s">
        <v>3800</v>
      </c>
      <c r="F663" s="1839">
        <v>45332</v>
      </c>
      <c r="G663" s="1840">
        <v>68901</v>
      </c>
      <c r="H663" s="1841">
        <f t="shared" si="31"/>
        <v>50</v>
      </c>
      <c r="I663" s="1838">
        <f t="shared" si="32"/>
        <v>68901</v>
      </c>
      <c r="J663" s="1838">
        <v>0</v>
      </c>
      <c r="K663" s="1838">
        <v>0</v>
      </c>
      <c r="L663" s="1838">
        <v>0</v>
      </c>
      <c r="M663" s="1838">
        <v>0</v>
      </c>
      <c r="N663" s="1838" t="s">
        <v>3773</v>
      </c>
      <c r="O663" s="1838" t="s">
        <v>3165</v>
      </c>
      <c r="P663" s="1838"/>
    </row>
    <row r="664" spans="2:16" s="1843" customFormat="1">
      <c r="B664" s="1838">
        <f t="shared" si="33"/>
        <v>661</v>
      </c>
      <c r="C664" s="1838" t="s">
        <v>301</v>
      </c>
      <c r="D664" s="1838" t="s">
        <v>3162</v>
      </c>
      <c r="E664" s="1838" t="s">
        <v>3800</v>
      </c>
      <c r="F664" s="1839">
        <v>45332</v>
      </c>
      <c r="G664" s="1840">
        <v>-714</v>
      </c>
      <c r="H664" s="1841">
        <f t="shared" si="31"/>
        <v>50</v>
      </c>
      <c r="I664" s="1838">
        <f t="shared" si="32"/>
        <v>-714</v>
      </c>
      <c r="J664" s="1838">
        <v>0</v>
      </c>
      <c r="K664" s="1838">
        <v>0</v>
      </c>
      <c r="L664" s="1838">
        <v>0</v>
      </c>
      <c r="M664" s="1838">
        <v>0</v>
      </c>
      <c r="N664" s="1838" t="s">
        <v>3773</v>
      </c>
      <c r="O664" s="1838" t="s">
        <v>3165</v>
      </c>
      <c r="P664" s="1838"/>
    </row>
    <row r="665" spans="2:16" s="1843" customFormat="1">
      <c r="B665" s="1838">
        <f t="shared" si="33"/>
        <v>662</v>
      </c>
      <c r="C665" s="1838" t="s">
        <v>301</v>
      </c>
      <c r="D665" s="1838" t="s">
        <v>3162</v>
      </c>
      <c r="E665" s="1838" t="s">
        <v>3801</v>
      </c>
      <c r="F665" s="1839">
        <v>45337</v>
      </c>
      <c r="G665" s="1840">
        <v>64796</v>
      </c>
      <c r="H665" s="1841">
        <f t="shared" si="31"/>
        <v>45</v>
      </c>
      <c r="I665" s="1838">
        <f t="shared" si="32"/>
        <v>64796</v>
      </c>
      <c r="J665" s="1838">
        <v>0</v>
      </c>
      <c r="K665" s="1838">
        <v>0</v>
      </c>
      <c r="L665" s="1838">
        <v>0</v>
      </c>
      <c r="M665" s="1838">
        <v>0</v>
      </c>
      <c r="N665" s="1838" t="s">
        <v>3773</v>
      </c>
      <c r="O665" s="1838" t="s">
        <v>3165</v>
      </c>
      <c r="P665" s="1838"/>
    </row>
    <row r="666" spans="2:16" s="1843" customFormat="1">
      <c r="B666" s="1838">
        <f t="shared" si="33"/>
        <v>663</v>
      </c>
      <c r="C666" s="1838" t="s">
        <v>301</v>
      </c>
      <c r="D666" s="1838" t="s">
        <v>3162</v>
      </c>
      <c r="E666" s="1838" t="s">
        <v>3801</v>
      </c>
      <c r="F666" s="1839">
        <v>45337</v>
      </c>
      <c r="G666" s="1840">
        <v>-433</v>
      </c>
      <c r="H666" s="1841">
        <f t="shared" si="31"/>
        <v>45</v>
      </c>
      <c r="I666" s="1838">
        <f t="shared" si="32"/>
        <v>-433</v>
      </c>
      <c r="J666" s="1838">
        <v>0</v>
      </c>
      <c r="K666" s="1838">
        <v>0</v>
      </c>
      <c r="L666" s="1838">
        <v>0</v>
      </c>
      <c r="M666" s="1838">
        <v>0</v>
      </c>
      <c r="N666" s="1838" t="s">
        <v>3773</v>
      </c>
      <c r="O666" s="1838" t="s">
        <v>3165</v>
      </c>
      <c r="P666" s="1838"/>
    </row>
    <row r="667" spans="2:16" s="1843" customFormat="1">
      <c r="B667" s="1838">
        <f t="shared" si="33"/>
        <v>664</v>
      </c>
      <c r="C667" s="1838" t="s">
        <v>301</v>
      </c>
      <c r="D667" s="1838" t="s">
        <v>3162</v>
      </c>
      <c r="E667" s="1838" t="s">
        <v>3802</v>
      </c>
      <c r="F667" s="1839">
        <v>45342</v>
      </c>
      <c r="G667" s="1840">
        <v>-814</v>
      </c>
      <c r="H667" s="1841">
        <f t="shared" si="31"/>
        <v>40</v>
      </c>
      <c r="I667" s="1838">
        <f t="shared" si="32"/>
        <v>-814</v>
      </c>
      <c r="J667" s="1838">
        <v>0</v>
      </c>
      <c r="K667" s="1838">
        <v>0</v>
      </c>
      <c r="L667" s="1838">
        <v>0</v>
      </c>
      <c r="M667" s="1838">
        <v>0</v>
      </c>
      <c r="N667" s="1838" t="s">
        <v>3773</v>
      </c>
      <c r="O667" s="1838" t="s">
        <v>3165</v>
      </c>
      <c r="P667" s="1838"/>
    </row>
    <row r="668" spans="2:16" s="1843" customFormat="1">
      <c r="B668" s="1838">
        <f t="shared" si="33"/>
        <v>665</v>
      </c>
      <c r="C668" s="1838" t="s">
        <v>301</v>
      </c>
      <c r="D668" s="1838" t="s">
        <v>3162</v>
      </c>
      <c r="E668" s="1838" t="s">
        <v>3802</v>
      </c>
      <c r="F668" s="1839">
        <v>45343</v>
      </c>
      <c r="G668" s="1840">
        <v>115775</v>
      </c>
      <c r="H668" s="1841">
        <f t="shared" si="31"/>
        <v>39</v>
      </c>
      <c r="I668" s="1838">
        <f t="shared" si="32"/>
        <v>115775</v>
      </c>
      <c r="J668" s="1838">
        <v>0</v>
      </c>
      <c r="K668" s="1838">
        <v>0</v>
      </c>
      <c r="L668" s="1838">
        <v>0</v>
      </c>
      <c r="M668" s="1838">
        <v>0</v>
      </c>
      <c r="N668" s="1838" t="s">
        <v>3773</v>
      </c>
      <c r="O668" s="1838" t="s">
        <v>3165</v>
      </c>
      <c r="P668" s="1838"/>
    </row>
    <row r="669" spans="2:16" s="1843" customFormat="1">
      <c r="B669" s="1838">
        <f t="shared" si="33"/>
        <v>666</v>
      </c>
      <c r="C669" s="1838" t="s">
        <v>301</v>
      </c>
      <c r="D669" s="1838" t="s">
        <v>3162</v>
      </c>
      <c r="E669" s="1838" t="s">
        <v>3803</v>
      </c>
      <c r="F669" s="1839">
        <v>45346</v>
      </c>
      <c r="G669" s="1840">
        <v>84162</v>
      </c>
      <c r="H669" s="1841">
        <f t="shared" si="31"/>
        <v>36</v>
      </c>
      <c r="I669" s="1838">
        <f t="shared" si="32"/>
        <v>84162</v>
      </c>
      <c r="J669" s="1838">
        <v>0</v>
      </c>
      <c r="K669" s="1838">
        <v>0</v>
      </c>
      <c r="L669" s="1838">
        <v>0</v>
      </c>
      <c r="M669" s="1838">
        <v>0</v>
      </c>
      <c r="N669" s="1838" t="s">
        <v>3773</v>
      </c>
      <c r="O669" s="1838" t="s">
        <v>3165</v>
      </c>
      <c r="P669" s="1838"/>
    </row>
    <row r="670" spans="2:16" s="1843" customFormat="1">
      <c r="B670" s="1838">
        <f t="shared" si="33"/>
        <v>667</v>
      </c>
      <c r="C670" s="1838" t="s">
        <v>301</v>
      </c>
      <c r="D670" s="1838" t="s">
        <v>3162</v>
      </c>
      <c r="E670" s="1838" t="s">
        <v>3803</v>
      </c>
      <c r="F670" s="1839">
        <v>45346</v>
      </c>
      <c r="G670" s="1840">
        <v>-762</v>
      </c>
      <c r="H670" s="1841">
        <f t="shared" si="31"/>
        <v>36</v>
      </c>
      <c r="I670" s="1838">
        <f t="shared" si="32"/>
        <v>-762</v>
      </c>
      <c r="J670" s="1838">
        <v>0</v>
      </c>
      <c r="K670" s="1838">
        <v>0</v>
      </c>
      <c r="L670" s="1838">
        <v>0</v>
      </c>
      <c r="M670" s="1838">
        <v>0</v>
      </c>
      <c r="N670" s="1838" t="s">
        <v>3773</v>
      </c>
      <c r="O670" s="1838" t="s">
        <v>3165</v>
      </c>
      <c r="P670" s="1838"/>
    </row>
    <row r="671" spans="2:16" s="1843" customFormat="1">
      <c r="B671" s="1838">
        <f t="shared" si="33"/>
        <v>668</v>
      </c>
      <c r="C671" s="1838" t="s">
        <v>301</v>
      </c>
      <c r="D671" s="1838" t="s">
        <v>3162</v>
      </c>
      <c r="E671" s="1838" t="s">
        <v>3804</v>
      </c>
      <c r="F671" s="1839">
        <v>45350</v>
      </c>
      <c r="G671" s="1840">
        <v>64901</v>
      </c>
      <c r="H671" s="1841">
        <f t="shared" si="31"/>
        <v>32</v>
      </c>
      <c r="I671" s="1838">
        <f t="shared" si="32"/>
        <v>64901</v>
      </c>
      <c r="J671" s="1838">
        <v>0</v>
      </c>
      <c r="K671" s="1838">
        <v>0</v>
      </c>
      <c r="L671" s="1838">
        <v>0</v>
      </c>
      <c r="M671" s="1838">
        <v>0</v>
      </c>
      <c r="N671" s="1838" t="s">
        <v>3773</v>
      </c>
      <c r="O671" s="1838" t="s">
        <v>3165</v>
      </c>
      <c r="P671" s="1838"/>
    </row>
    <row r="672" spans="2:16" s="1843" customFormat="1">
      <c r="B672" s="1838">
        <f t="shared" si="33"/>
        <v>669</v>
      </c>
      <c r="C672" s="1838" t="s">
        <v>301</v>
      </c>
      <c r="D672" s="1838" t="s">
        <v>3162</v>
      </c>
      <c r="E672" s="1838" t="s">
        <v>3804</v>
      </c>
      <c r="F672" s="1839">
        <v>45350</v>
      </c>
      <c r="G672" s="1840">
        <v>-652</v>
      </c>
      <c r="H672" s="1841">
        <f t="shared" si="31"/>
        <v>32</v>
      </c>
      <c r="I672" s="1838">
        <f t="shared" si="32"/>
        <v>-652</v>
      </c>
      <c r="J672" s="1838">
        <v>0</v>
      </c>
      <c r="K672" s="1838">
        <v>0</v>
      </c>
      <c r="L672" s="1838">
        <v>0</v>
      </c>
      <c r="M672" s="1838">
        <v>0</v>
      </c>
      <c r="N672" s="1838" t="s">
        <v>3773</v>
      </c>
      <c r="O672" s="1838" t="s">
        <v>3165</v>
      </c>
      <c r="P672" s="1838"/>
    </row>
    <row r="673" spans="2:16" s="1843" customFormat="1">
      <c r="B673" s="1838">
        <f t="shared" si="33"/>
        <v>670</v>
      </c>
      <c r="C673" s="1838" t="s">
        <v>301</v>
      </c>
      <c r="D673" s="1838" t="s">
        <v>3162</v>
      </c>
      <c r="E673" s="1838" t="s">
        <v>3805</v>
      </c>
      <c r="F673" s="1839">
        <v>45351</v>
      </c>
      <c r="G673" s="1840">
        <v>-703</v>
      </c>
      <c r="H673" s="1841">
        <f t="shared" si="31"/>
        <v>31</v>
      </c>
      <c r="I673" s="1838">
        <f t="shared" si="32"/>
        <v>-703</v>
      </c>
      <c r="J673" s="1838">
        <v>0</v>
      </c>
      <c r="K673" s="1838">
        <v>0</v>
      </c>
      <c r="L673" s="1838">
        <v>0</v>
      </c>
      <c r="M673" s="1838">
        <v>0</v>
      </c>
      <c r="N673" s="1838" t="s">
        <v>3773</v>
      </c>
      <c r="O673" s="1838" t="s">
        <v>3165</v>
      </c>
      <c r="P673" s="1838"/>
    </row>
    <row r="674" spans="2:16" s="1843" customFormat="1">
      <c r="B674" s="1838">
        <f t="shared" si="33"/>
        <v>671</v>
      </c>
      <c r="C674" s="1838" t="s">
        <v>301</v>
      </c>
      <c r="D674" s="1838" t="s">
        <v>3162</v>
      </c>
      <c r="E674" s="1838" t="s">
        <v>3806</v>
      </c>
      <c r="F674" s="1839">
        <v>45356</v>
      </c>
      <c r="G674" s="1840">
        <v>41900</v>
      </c>
      <c r="H674" s="1841">
        <f t="shared" si="31"/>
        <v>26</v>
      </c>
      <c r="I674" s="1838">
        <f t="shared" si="32"/>
        <v>41900</v>
      </c>
      <c r="J674" s="1838">
        <v>0</v>
      </c>
      <c r="K674" s="1838">
        <v>0</v>
      </c>
      <c r="L674" s="1838">
        <v>0</v>
      </c>
      <c r="M674" s="1838">
        <v>0</v>
      </c>
      <c r="N674" s="1838" t="s">
        <v>3773</v>
      </c>
      <c r="O674" s="1838" t="s">
        <v>3165</v>
      </c>
      <c r="P674" s="1838"/>
    </row>
    <row r="675" spans="2:16" s="1843" customFormat="1">
      <c r="B675" s="1838">
        <f t="shared" si="33"/>
        <v>672</v>
      </c>
      <c r="C675" s="1838" t="s">
        <v>301</v>
      </c>
      <c r="D675" s="1838" t="s">
        <v>3162</v>
      </c>
      <c r="E675" s="1838" t="s">
        <v>3807</v>
      </c>
      <c r="F675" s="1839">
        <v>45358</v>
      </c>
      <c r="G675" s="1840">
        <v>137026</v>
      </c>
      <c r="H675" s="1841">
        <f t="shared" si="31"/>
        <v>24</v>
      </c>
      <c r="I675" s="1838">
        <f t="shared" si="32"/>
        <v>137026</v>
      </c>
      <c r="J675" s="1838">
        <v>0</v>
      </c>
      <c r="K675" s="1838">
        <v>0</v>
      </c>
      <c r="L675" s="1838">
        <v>0</v>
      </c>
      <c r="M675" s="1838">
        <v>0</v>
      </c>
      <c r="N675" s="1838" t="s">
        <v>3773</v>
      </c>
      <c r="O675" s="1838" t="s">
        <v>3165</v>
      </c>
      <c r="P675" s="1838"/>
    </row>
    <row r="676" spans="2:16" s="1843" customFormat="1">
      <c r="B676" s="1838">
        <f t="shared" si="33"/>
        <v>673</v>
      </c>
      <c r="C676" s="1838" t="s">
        <v>301</v>
      </c>
      <c r="D676" s="1838" t="s">
        <v>3162</v>
      </c>
      <c r="E676" s="1838" t="s">
        <v>3808</v>
      </c>
      <c r="F676" s="1839">
        <v>45359</v>
      </c>
      <c r="G676" s="1840">
        <v>81475</v>
      </c>
      <c r="H676" s="1841">
        <f t="shared" si="31"/>
        <v>23</v>
      </c>
      <c r="I676" s="1838">
        <f t="shared" si="32"/>
        <v>81475</v>
      </c>
      <c r="J676" s="1838">
        <v>0</v>
      </c>
      <c r="K676" s="1838">
        <v>0</v>
      </c>
      <c r="L676" s="1838">
        <v>0</v>
      </c>
      <c r="M676" s="1838">
        <v>0</v>
      </c>
      <c r="N676" s="1838" t="s">
        <v>3773</v>
      </c>
      <c r="O676" s="1838" t="s">
        <v>3165</v>
      </c>
      <c r="P676" s="1838"/>
    </row>
    <row r="677" spans="2:16" s="1843" customFormat="1">
      <c r="B677" s="1838">
        <f t="shared" si="33"/>
        <v>674</v>
      </c>
      <c r="C677" s="1838" t="s">
        <v>301</v>
      </c>
      <c r="D677" s="1838" t="s">
        <v>3162</v>
      </c>
      <c r="E677" s="1838" t="s">
        <v>3808</v>
      </c>
      <c r="F677" s="1839">
        <v>45359</v>
      </c>
      <c r="G677" s="1840">
        <v>-657</v>
      </c>
      <c r="H677" s="1841">
        <f t="shared" si="31"/>
        <v>23</v>
      </c>
      <c r="I677" s="1838">
        <f t="shared" si="32"/>
        <v>-657</v>
      </c>
      <c r="J677" s="1838">
        <v>0</v>
      </c>
      <c r="K677" s="1838">
        <v>0</v>
      </c>
      <c r="L677" s="1838">
        <v>0</v>
      </c>
      <c r="M677" s="1838">
        <v>0</v>
      </c>
      <c r="N677" s="1838" t="s">
        <v>3773</v>
      </c>
      <c r="O677" s="1838" t="s">
        <v>3165</v>
      </c>
      <c r="P677" s="1838"/>
    </row>
    <row r="678" spans="2:16" s="1843" customFormat="1">
      <c r="B678" s="1838">
        <f t="shared" si="33"/>
        <v>675</v>
      </c>
      <c r="C678" s="1838" t="s">
        <v>301</v>
      </c>
      <c r="D678" s="1838" t="s">
        <v>3162</v>
      </c>
      <c r="E678" s="1838" t="s">
        <v>3808</v>
      </c>
      <c r="F678" s="1839">
        <v>45359</v>
      </c>
      <c r="G678" s="1840">
        <v>82</v>
      </c>
      <c r="H678" s="1841">
        <f t="shared" si="31"/>
        <v>23</v>
      </c>
      <c r="I678" s="1838">
        <f t="shared" si="32"/>
        <v>82</v>
      </c>
      <c r="J678" s="1838">
        <v>0</v>
      </c>
      <c r="K678" s="1838">
        <v>0</v>
      </c>
      <c r="L678" s="1838">
        <v>0</v>
      </c>
      <c r="M678" s="1838">
        <v>0</v>
      </c>
      <c r="N678" s="1838" t="s">
        <v>3773</v>
      </c>
      <c r="O678" s="1838" t="s">
        <v>3165</v>
      </c>
      <c r="P678" s="1838"/>
    </row>
    <row r="679" spans="2:16" s="1843" customFormat="1">
      <c r="B679" s="1838">
        <f t="shared" si="33"/>
        <v>676</v>
      </c>
      <c r="C679" s="1838" t="s">
        <v>301</v>
      </c>
      <c r="D679" s="1838" t="s">
        <v>3162</v>
      </c>
      <c r="E679" s="1838" t="s">
        <v>3807</v>
      </c>
      <c r="F679" s="1839">
        <v>45359</v>
      </c>
      <c r="G679" s="1840">
        <v>-1142</v>
      </c>
      <c r="H679" s="1841">
        <f t="shared" si="31"/>
        <v>23</v>
      </c>
      <c r="I679" s="1838">
        <f t="shared" si="32"/>
        <v>-1142</v>
      </c>
      <c r="J679" s="1838">
        <v>0</v>
      </c>
      <c r="K679" s="1838">
        <v>0</v>
      </c>
      <c r="L679" s="1838">
        <v>0</v>
      </c>
      <c r="M679" s="1838">
        <v>0</v>
      </c>
      <c r="N679" s="1838" t="s">
        <v>3773</v>
      </c>
      <c r="O679" s="1838" t="s">
        <v>3165</v>
      </c>
      <c r="P679" s="1838"/>
    </row>
    <row r="680" spans="2:16" s="1843" customFormat="1">
      <c r="B680" s="1838">
        <f t="shared" si="33"/>
        <v>677</v>
      </c>
      <c r="C680" s="1838" t="s">
        <v>301</v>
      </c>
      <c r="D680" s="1838" t="s">
        <v>3162</v>
      </c>
      <c r="E680" s="1838" t="s">
        <v>3809</v>
      </c>
      <c r="F680" s="1839">
        <v>45364</v>
      </c>
      <c r="G680" s="1840">
        <v>81065</v>
      </c>
      <c r="H680" s="1841">
        <f t="shared" si="31"/>
        <v>18</v>
      </c>
      <c r="I680" s="1838">
        <f t="shared" si="32"/>
        <v>81065</v>
      </c>
      <c r="J680" s="1838">
        <v>0</v>
      </c>
      <c r="K680" s="1838">
        <v>0</v>
      </c>
      <c r="L680" s="1838">
        <v>0</v>
      </c>
      <c r="M680" s="1838">
        <v>0</v>
      </c>
      <c r="N680" s="1838" t="s">
        <v>3773</v>
      </c>
      <c r="O680" s="1838" t="s">
        <v>3165</v>
      </c>
      <c r="P680" s="1838"/>
    </row>
    <row r="681" spans="2:16" s="1843" customFormat="1">
      <c r="B681" s="1838">
        <f t="shared" si="33"/>
        <v>678</v>
      </c>
      <c r="C681" s="1838" t="s">
        <v>301</v>
      </c>
      <c r="D681" s="1838" t="s">
        <v>3162</v>
      </c>
      <c r="E681" s="1838" t="s">
        <v>3809</v>
      </c>
      <c r="F681" s="1839">
        <v>45364</v>
      </c>
      <c r="G681" s="1840">
        <v>-844</v>
      </c>
      <c r="H681" s="1841">
        <f t="shared" si="31"/>
        <v>18</v>
      </c>
      <c r="I681" s="1838">
        <f t="shared" si="32"/>
        <v>-844</v>
      </c>
      <c r="J681" s="1838">
        <v>0</v>
      </c>
      <c r="K681" s="1838">
        <v>0</v>
      </c>
      <c r="L681" s="1838">
        <v>0</v>
      </c>
      <c r="M681" s="1838">
        <v>0</v>
      </c>
      <c r="N681" s="1838" t="s">
        <v>3773</v>
      </c>
      <c r="O681" s="1838" t="s">
        <v>3165</v>
      </c>
      <c r="P681" s="1838"/>
    </row>
    <row r="682" spans="2:16" s="1843" customFormat="1">
      <c r="B682" s="1838">
        <f t="shared" si="33"/>
        <v>679</v>
      </c>
      <c r="C682" s="1838" t="s">
        <v>301</v>
      </c>
      <c r="D682" s="1838" t="s">
        <v>3162</v>
      </c>
      <c r="E682" s="1838" t="s">
        <v>3810</v>
      </c>
      <c r="F682" s="1839">
        <v>45374</v>
      </c>
      <c r="G682" s="1840">
        <v>89169</v>
      </c>
      <c r="H682" s="1841">
        <f t="shared" si="31"/>
        <v>8</v>
      </c>
      <c r="I682" s="1838">
        <f t="shared" si="32"/>
        <v>89169</v>
      </c>
      <c r="J682" s="1838">
        <v>0</v>
      </c>
      <c r="K682" s="1838">
        <v>0</v>
      </c>
      <c r="L682" s="1838">
        <v>0</v>
      </c>
      <c r="M682" s="1838">
        <v>0</v>
      </c>
      <c r="N682" s="1838" t="s">
        <v>3773</v>
      </c>
      <c r="O682" s="1838" t="s">
        <v>3165</v>
      </c>
      <c r="P682" s="1838"/>
    </row>
    <row r="683" spans="2:16" s="1843" customFormat="1">
      <c r="B683" s="1838">
        <f t="shared" si="33"/>
        <v>680</v>
      </c>
      <c r="C683" s="1838" t="s">
        <v>301</v>
      </c>
      <c r="D683" s="1838" t="s">
        <v>3162</v>
      </c>
      <c r="E683" s="1838" t="s">
        <v>3810</v>
      </c>
      <c r="F683" s="1839">
        <v>45374</v>
      </c>
      <c r="G683" s="1840">
        <v>-770</v>
      </c>
      <c r="H683" s="1841">
        <f t="shared" si="31"/>
        <v>8</v>
      </c>
      <c r="I683" s="1838">
        <f t="shared" si="32"/>
        <v>-770</v>
      </c>
      <c r="J683" s="1838">
        <v>0</v>
      </c>
      <c r="K683" s="1838">
        <v>0</v>
      </c>
      <c r="L683" s="1838">
        <v>0</v>
      </c>
      <c r="M683" s="1838">
        <v>0</v>
      </c>
      <c r="N683" s="1838" t="s">
        <v>3773</v>
      </c>
      <c r="O683" s="1838" t="s">
        <v>3165</v>
      </c>
      <c r="P683" s="1838"/>
    </row>
    <row r="684" spans="2:16" s="1843" customFormat="1">
      <c r="B684" s="1838">
        <f t="shared" si="33"/>
        <v>681</v>
      </c>
      <c r="C684" s="1838" t="s">
        <v>301</v>
      </c>
      <c r="D684" s="1838" t="s">
        <v>3162</v>
      </c>
      <c r="E684" s="1838" t="s">
        <v>3811</v>
      </c>
      <c r="F684" s="1839">
        <v>45379</v>
      </c>
      <c r="G684" s="1840">
        <v>53399</v>
      </c>
      <c r="H684" s="1841">
        <f t="shared" si="31"/>
        <v>3</v>
      </c>
      <c r="I684" s="1838">
        <f t="shared" si="32"/>
        <v>53399</v>
      </c>
      <c r="J684" s="1838">
        <v>0</v>
      </c>
      <c r="K684" s="1838">
        <v>0</v>
      </c>
      <c r="L684" s="1838">
        <v>0</v>
      </c>
      <c r="M684" s="1838">
        <v>0</v>
      </c>
      <c r="N684" s="1838" t="s">
        <v>3773</v>
      </c>
      <c r="O684" s="1838" t="s">
        <v>3165</v>
      </c>
      <c r="P684" s="1838"/>
    </row>
    <row r="685" spans="2:16" s="1843" customFormat="1">
      <c r="B685" s="1838">
        <f t="shared" si="33"/>
        <v>682</v>
      </c>
      <c r="C685" s="1838" t="s">
        <v>301</v>
      </c>
      <c r="D685" s="1838" t="s">
        <v>3162</v>
      </c>
      <c r="E685" s="1838" t="s">
        <v>3811</v>
      </c>
      <c r="F685" s="1839">
        <v>45379</v>
      </c>
      <c r="G685" s="1840">
        <v>-342</v>
      </c>
      <c r="H685" s="1841">
        <f t="shared" si="31"/>
        <v>3</v>
      </c>
      <c r="I685" s="1838">
        <f t="shared" si="32"/>
        <v>-342</v>
      </c>
      <c r="J685" s="1838">
        <v>0</v>
      </c>
      <c r="K685" s="1838">
        <v>0</v>
      </c>
      <c r="L685" s="1838">
        <v>0</v>
      </c>
      <c r="M685" s="1838">
        <v>0</v>
      </c>
      <c r="N685" s="1838" t="s">
        <v>3773</v>
      </c>
      <c r="O685" s="1838" t="s">
        <v>3165</v>
      </c>
      <c r="P685" s="1838"/>
    </row>
    <row r="686" spans="2:16" s="1843" customFormat="1">
      <c r="B686" s="1838">
        <f t="shared" si="33"/>
        <v>683</v>
      </c>
      <c r="C686" s="1838" t="s">
        <v>301</v>
      </c>
      <c r="D686" s="1838" t="s">
        <v>3162</v>
      </c>
      <c r="E686" s="1838" t="s">
        <v>3337</v>
      </c>
      <c r="F686" s="1839">
        <v>45382</v>
      </c>
      <c r="G686" s="1840">
        <v>-484</v>
      </c>
      <c r="H686" s="1841">
        <f t="shared" si="31"/>
        <v>0</v>
      </c>
      <c r="I686" s="1838">
        <f t="shared" si="32"/>
        <v>-484</v>
      </c>
      <c r="J686" s="1838">
        <v>0</v>
      </c>
      <c r="K686" s="1838">
        <v>0</v>
      </c>
      <c r="L686" s="1838">
        <v>0</v>
      </c>
      <c r="M686" s="1838">
        <v>0</v>
      </c>
      <c r="N686" s="1838" t="s">
        <v>3773</v>
      </c>
      <c r="O686" s="1838" t="s">
        <v>3165</v>
      </c>
      <c r="P686" s="1838"/>
    </row>
    <row r="687" spans="2:16" s="1843" customFormat="1">
      <c r="B687" s="1838">
        <f t="shared" si="33"/>
        <v>684</v>
      </c>
      <c r="C687" s="1838" t="s">
        <v>301</v>
      </c>
      <c r="D687" s="1838" t="s">
        <v>3162</v>
      </c>
      <c r="E687" s="1838" t="s">
        <v>3180</v>
      </c>
      <c r="F687" s="1839">
        <v>45382</v>
      </c>
      <c r="G687" s="1840">
        <v>-1</v>
      </c>
      <c r="H687" s="1841">
        <f t="shared" si="31"/>
        <v>0</v>
      </c>
      <c r="I687" s="1838">
        <f t="shared" si="32"/>
        <v>-1</v>
      </c>
      <c r="J687" s="1838">
        <v>0</v>
      </c>
      <c r="K687" s="1838">
        <v>0</v>
      </c>
      <c r="L687" s="1838">
        <v>0</v>
      </c>
      <c r="M687" s="1838">
        <v>0</v>
      </c>
      <c r="N687" s="1838" t="s">
        <v>3773</v>
      </c>
      <c r="O687" s="1838" t="s">
        <v>3165</v>
      </c>
      <c r="P687" s="1838"/>
    </row>
    <row r="688" spans="2:16" s="1843" customFormat="1">
      <c r="B688" s="1838">
        <f t="shared" si="33"/>
        <v>685</v>
      </c>
      <c r="C688" s="1838" t="s">
        <v>314</v>
      </c>
      <c r="D688" s="1838" t="s">
        <v>3162</v>
      </c>
      <c r="E688" s="1838" t="s">
        <v>3812</v>
      </c>
      <c r="F688" s="1839">
        <v>45308</v>
      </c>
      <c r="G688" s="1840">
        <v>34020</v>
      </c>
      <c r="H688" s="1841">
        <f t="shared" si="31"/>
        <v>74</v>
      </c>
      <c r="I688" s="1838">
        <f t="shared" si="32"/>
        <v>34020</v>
      </c>
      <c r="J688" s="1838">
        <v>0</v>
      </c>
      <c r="K688" s="1838">
        <v>0</v>
      </c>
      <c r="L688" s="1838">
        <v>0</v>
      </c>
      <c r="M688" s="1838">
        <v>0</v>
      </c>
      <c r="N688" s="1838" t="s">
        <v>3813</v>
      </c>
      <c r="O688" s="1838" t="s">
        <v>3489</v>
      </c>
      <c r="P688" s="1838"/>
    </row>
    <row r="689" spans="2:16" s="1843" customFormat="1">
      <c r="B689" s="1838">
        <f t="shared" si="33"/>
        <v>686</v>
      </c>
      <c r="C689" s="1838" t="s">
        <v>314</v>
      </c>
      <c r="D689" s="1838" t="s">
        <v>3162</v>
      </c>
      <c r="E689" s="1838" t="s">
        <v>3814</v>
      </c>
      <c r="F689" s="1839">
        <v>45309</v>
      </c>
      <c r="G689" s="1840">
        <v>74540</v>
      </c>
      <c r="H689" s="1841">
        <f t="shared" si="31"/>
        <v>73</v>
      </c>
      <c r="I689" s="1838">
        <f t="shared" si="32"/>
        <v>74540</v>
      </c>
      <c r="J689" s="1838">
        <v>0</v>
      </c>
      <c r="K689" s="1838">
        <v>0</v>
      </c>
      <c r="L689" s="1838">
        <v>0</v>
      </c>
      <c r="M689" s="1838">
        <v>0</v>
      </c>
      <c r="N689" s="1838" t="s">
        <v>3813</v>
      </c>
      <c r="O689" s="1838" t="s">
        <v>3489</v>
      </c>
      <c r="P689" s="1838"/>
    </row>
    <row r="690" spans="2:16" s="1843" customFormat="1">
      <c r="B690" s="1838">
        <f t="shared" si="33"/>
        <v>687</v>
      </c>
      <c r="C690" s="1838" t="s">
        <v>314</v>
      </c>
      <c r="D690" s="1838" t="s">
        <v>3162</v>
      </c>
      <c r="E690" s="1838" t="s">
        <v>3815</v>
      </c>
      <c r="F690" s="1839">
        <v>45309</v>
      </c>
      <c r="G690" s="1840">
        <v>34666</v>
      </c>
      <c r="H690" s="1841">
        <f t="shared" si="31"/>
        <v>73</v>
      </c>
      <c r="I690" s="1838">
        <f t="shared" si="32"/>
        <v>34666</v>
      </c>
      <c r="J690" s="1838">
        <v>0</v>
      </c>
      <c r="K690" s="1838">
        <v>0</v>
      </c>
      <c r="L690" s="1838">
        <v>0</v>
      </c>
      <c r="M690" s="1838">
        <v>0</v>
      </c>
      <c r="N690" s="1838" t="s">
        <v>3813</v>
      </c>
      <c r="O690" s="1838" t="s">
        <v>3489</v>
      </c>
      <c r="P690" s="1838"/>
    </row>
    <row r="691" spans="2:16" s="1843" customFormat="1">
      <c r="B691" s="1838">
        <f t="shared" si="33"/>
        <v>688</v>
      </c>
      <c r="C691" s="1838" t="s">
        <v>314</v>
      </c>
      <c r="D691" s="1838" t="s">
        <v>3162</v>
      </c>
      <c r="E691" s="1838" t="s">
        <v>3816</v>
      </c>
      <c r="F691" s="1839">
        <v>45309</v>
      </c>
      <c r="G691" s="1840">
        <v>11393</v>
      </c>
      <c r="H691" s="1841">
        <f t="shared" si="31"/>
        <v>73</v>
      </c>
      <c r="I691" s="1838">
        <f t="shared" si="32"/>
        <v>11393</v>
      </c>
      <c r="J691" s="1838">
        <v>0</v>
      </c>
      <c r="K691" s="1838">
        <v>0</v>
      </c>
      <c r="L691" s="1838">
        <v>0</v>
      </c>
      <c r="M691" s="1838">
        <v>0</v>
      </c>
      <c r="N691" s="1838" t="s">
        <v>3813</v>
      </c>
      <c r="O691" s="1838" t="s">
        <v>3489</v>
      </c>
      <c r="P691" s="1838"/>
    </row>
    <row r="692" spans="2:16" s="1843" customFormat="1">
      <c r="B692" s="1838">
        <f t="shared" si="33"/>
        <v>689</v>
      </c>
      <c r="C692" s="1838" t="s">
        <v>314</v>
      </c>
      <c r="D692" s="1838" t="s">
        <v>3162</v>
      </c>
      <c r="E692" s="1838" t="s">
        <v>3817</v>
      </c>
      <c r="F692" s="1839">
        <v>45310</v>
      </c>
      <c r="G692" s="1840">
        <v>70156</v>
      </c>
      <c r="H692" s="1841">
        <f t="shared" si="31"/>
        <v>72</v>
      </c>
      <c r="I692" s="1838">
        <f t="shared" si="32"/>
        <v>70156</v>
      </c>
      <c r="J692" s="1838">
        <v>0</v>
      </c>
      <c r="K692" s="1838">
        <v>0</v>
      </c>
      <c r="L692" s="1838">
        <v>0</v>
      </c>
      <c r="M692" s="1838">
        <v>0</v>
      </c>
      <c r="N692" s="1838" t="s">
        <v>3813</v>
      </c>
      <c r="O692" s="1838" t="s">
        <v>3489</v>
      </c>
      <c r="P692" s="1838"/>
    </row>
    <row r="693" spans="2:16" s="1843" customFormat="1">
      <c r="B693" s="1838">
        <f t="shared" si="33"/>
        <v>690</v>
      </c>
      <c r="C693" s="1838" t="s">
        <v>314</v>
      </c>
      <c r="D693" s="1838" t="s">
        <v>3162</v>
      </c>
      <c r="E693" s="1838" t="s">
        <v>3818</v>
      </c>
      <c r="F693" s="1839">
        <v>45312</v>
      </c>
      <c r="G693" s="1840">
        <v>85607</v>
      </c>
      <c r="H693" s="1841">
        <f t="shared" si="31"/>
        <v>70</v>
      </c>
      <c r="I693" s="1838">
        <f t="shared" si="32"/>
        <v>85607</v>
      </c>
      <c r="J693" s="1838">
        <v>0</v>
      </c>
      <c r="K693" s="1838">
        <v>0</v>
      </c>
      <c r="L693" s="1838">
        <v>0</v>
      </c>
      <c r="M693" s="1838">
        <v>0</v>
      </c>
      <c r="N693" s="1838" t="s">
        <v>3813</v>
      </c>
      <c r="O693" s="1838" t="s">
        <v>3489</v>
      </c>
      <c r="P693" s="1838"/>
    </row>
    <row r="694" spans="2:16" s="1843" customFormat="1">
      <c r="B694" s="1838">
        <f t="shared" si="33"/>
        <v>691</v>
      </c>
      <c r="C694" s="1838" t="s">
        <v>314</v>
      </c>
      <c r="D694" s="1838" t="s">
        <v>3162</v>
      </c>
      <c r="E694" s="1838" t="s">
        <v>3819</v>
      </c>
      <c r="F694" s="1839">
        <v>45312</v>
      </c>
      <c r="G694" s="1840">
        <v>48825</v>
      </c>
      <c r="H694" s="1841">
        <f t="shared" si="31"/>
        <v>70</v>
      </c>
      <c r="I694" s="1838">
        <f t="shared" si="32"/>
        <v>48825</v>
      </c>
      <c r="J694" s="1838">
        <v>0</v>
      </c>
      <c r="K694" s="1838">
        <v>0</v>
      </c>
      <c r="L694" s="1838">
        <v>0</v>
      </c>
      <c r="M694" s="1838">
        <v>0</v>
      </c>
      <c r="N694" s="1838" t="s">
        <v>3813</v>
      </c>
      <c r="O694" s="1838" t="s">
        <v>3489</v>
      </c>
      <c r="P694" s="1838"/>
    </row>
    <row r="695" spans="2:16" s="1843" customFormat="1">
      <c r="B695" s="1838">
        <f t="shared" si="33"/>
        <v>692</v>
      </c>
      <c r="C695" s="1838" t="s">
        <v>314</v>
      </c>
      <c r="D695" s="1838" t="s">
        <v>3162</v>
      </c>
      <c r="E695" s="1838" t="s">
        <v>3820</v>
      </c>
      <c r="F695" s="1839">
        <v>45312</v>
      </c>
      <c r="G695" s="1840">
        <v>34178</v>
      </c>
      <c r="H695" s="1841">
        <f t="shared" si="31"/>
        <v>70</v>
      </c>
      <c r="I695" s="1838">
        <f t="shared" si="32"/>
        <v>34178</v>
      </c>
      <c r="J695" s="1838">
        <v>0</v>
      </c>
      <c r="K695" s="1838">
        <v>0</v>
      </c>
      <c r="L695" s="1838">
        <v>0</v>
      </c>
      <c r="M695" s="1838">
        <v>0</v>
      </c>
      <c r="N695" s="1838" t="s">
        <v>3813</v>
      </c>
      <c r="O695" s="1838" t="s">
        <v>3489</v>
      </c>
      <c r="P695" s="1838"/>
    </row>
    <row r="696" spans="2:16" s="1843" customFormat="1">
      <c r="B696" s="1838">
        <f t="shared" si="33"/>
        <v>693</v>
      </c>
      <c r="C696" s="1838" t="s">
        <v>314</v>
      </c>
      <c r="D696" s="1838" t="s">
        <v>3162</v>
      </c>
      <c r="E696" s="1838" t="s">
        <v>3821</v>
      </c>
      <c r="F696" s="1839">
        <v>45314</v>
      </c>
      <c r="G696" s="1840">
        <v>71610</v>
      </c>
      <c r="H696" s="1841">
        <f t="shared" si="31"/>
        <v>68</v>
      </c>
      <c r="I696" s="1838">
        <f t="shared" si="32"/>
        <v>71610</v>
      </c>
      <c r="J696" s="1838">
        <v>0</v>
      </c>
      <c r="K696" s="1838">
        <v>0</v>
      </c>
      <c r="L696" s="1838">
        <v>0</v>
      </c>
      <c r="M696" s="1838">
        <v>0</v>
      </c>
      <c r="N696" s="1838" t="s">
        <v>3813</v>
      </c>
      <c r="O696" s="1838" t="s">
        <v>3489</v>
      </c>
      <c r="P696" s="1838"/>
    </row>
    <row r="697" spans="2:16" s="1843" customFormat="1">
      <c r="B697" s="1838">
        <f t="shared" si="33"/>
        <v>694</v>
      </c>
      <c r="C697" s="1838" t="s">
        <v>314</v>
      </c>
      <c r="D697" s="1838" t="s">
        <v>3162</v>
      </c>
      <c r="E697" s="1838" t="s">
        <v>3822</v>
      </c>
      <c r="F697" s="1839">
        <v>45315</v>
      </c>
      <c r="G697" s="1840">
        <v>39711</v>
      </c>
      <c r="H697" s="1841">
        <f t="shared" si="31"/>
        <v>67</v>
      </c>
      <c r="I697" s="1838">
        <f t="shared" si="32"/>
        <v>39711</v>
      </c>
      <c r="J697" s="1838">
        <v>0</v>
      </c>
      <c r="K697" s="1838">
        <v>0</v>
      </c>
      <c r="L697" s="1838">
        <v>0</v>
      </c>
      <c r="M697" s="1838">
        <v>0</v>
      </c>
      <c r="N697" s="1838" t="s">
        <v>3813</v>
      </c>
      <c r="O697" s="1838" t="s">
        <v>3489</v>
      </c>
      <c r="P697" s="1838"/>
    </row>
    <row r="698" spans="2:16" s="1843" customFormat="1">
      <c r="B698" s="1838">
        <f t="shared" si="33"/>
        <v>695</v>
      </c>
      <c r="C698" s="1838" t="s">
        <v>314</v>
      </c>
      <c r="D698" s="1838" t="s">
        <v>3162</v>
      </c>
      <c r="E698" s="1838" t="s">
        <v>3823</v>
      </c>
      <c r="F698" s="1839">
        <v>45316</v>
      </c>
      <c r="G698" s="1840">
        <v>10416</v>
      </c>
      <c r="H698" s="1841">
        <f t="shared" si="31"/>
        <v>66</v>
      </c>
      <c r="I698" s="1838">
        <f t="shared" si="32"/>
        <v>10416</v>
      </c>
      <c r="J698" s="1838">
        <v>0</v>
      </c>
      <c r="K698" s="1838">
        <v>0</v>
      </c>
      <c r="L698" s="1838">
        <v>0</v>
      </c>
      <c r="M698" s="1838">
        <v>0</v>
      </c>
      <c r="N698" s="1838" t="s">
        <v>3813</v>
      </c>
      <c r="O698" s="1838" t="s">
        <v>3489</v>
      </c>
      <c r="P698" s="1838"/>
    </row>
    <row r="699" spans="2:16" s="1843" customFormat="1">
      <c r="B699" s="1838">
        <f t="shared" si="33"/>
        <v>696</v>
      </c>
      <c r="C699" s="1838" t="s">
        <v>314</v>
      </c>
      <c r="D699" s="1838" t="s">
        <v>3162</v>
      </c>
      <c r="E699" s="1838" t="s">
        <v>3824</v>
      </c>
      <c r="F699" s="1839">
        <v>45319</v>
      </c>
      <c r="G699" s="1840">
        <v>80766</v>
      </c>
      <c r="H699" s="1841">
        <f t="shared" si="31"/>
        <v>63</v>
      </c>
      <c r="I699" s="1838">
        <f t="shared" si="32"/>
        <v>80766</v>
      </c>
      <c r="J699" s="1838">
        <v>0</v>
      </c>
      <c r="K699" s="1838">
        <v>0</v>
      </c>
      <c r="L699" s="1838">
        <v>0</v>
      </c>
      <c r="M699" s="1838">
        <v>0</v>
      </c>
      <c r="N699" s="1838" t="s">
        <v>3813</v>
      </c>
      <c r="O699" s="1838" t="s">
        <v>3489</v>
      </c>
      <c r="P699" s="1838"/>
    </row>
    <row r="700" spans="2:16" s="1843" customFormat="1">
      <c r="B700" s="1838">
        <f t="shared" si="33"/>
        <v>697</v>
      </c>
      <c r="C700" s="1838" t="s">
        <v>314</v>
      </c>
      <c r="D700" s="1838" t="s">
        <v>3162</v>
      </c>
      <c r="E700" s="1838" t="s">
        <v>3825</v>
      </c>
      <c r="F700" s="1839">
        <v>45319</v>
      </c>
      <c r="G700" s="1840">
        <v>8736</v>
      </c>
      <c r="H700" s="1841">
        <f t="shared" si="31"/>
        <v>63</v>
      </c>
      <c r="I700" s="1838">
        <f t="shared" si="32"/>
        <v>8736</v>
      </c>
      <c r="J700" s="1838">
        <v>0</v>
      </c>
      <c r="K700" s="1838">
        <v>0</v>
      </c>
      <c r="L700" s="1838">
        <v>0</v>
      </c>
      <c r="M700" s="1838">
        <v>0</v>
      </c>
      <c r="N700" s="1838" t="s">
        <v>3813</v>
      </c>
      <c r="O700" s="1838" t="s">
        <v>3489</v>
      </c>
      <c r="P700" s="1838"/>
    </row>
    <row r="701" spans="2:16" s="1843" customFormat="1">
      <c r="B701" s="1838">
        <f t="shared" si="33"/>
        <v>698</v>
      </c>
      <c r="C701" s="1838" t="s">
        <v>314</v>
      </c>
      <c r="D701" s="1838" t="s">
        <v>3162</v>
      </c>
      <c r="E701" s="1838" t="s">
        <v>3826</v>
      </c>
      <c r="F701" s="1839">
        <v>45319</v>
      </c>
      <c r="G701" s="1840">
        <v>49644</v>
      </c>
      <c r="H701" s="1841">
        <f t="shared" si="31"/>
        <v>63</v>
      </c>
      <c r="I701" s="1838">
        <f t="shared" si="32"/>
        <v>49644</v>
      </c>
      <c r="J701" s="1838">
        <v>0</v>
      </c>
      <c r="K701" s="1838">
        <v>0</v>
      </c>
      <c r="L701" s="1838">
        <v>0</v>
      </c>
      <c r="M701" s="1838">
        <v>0</v>
      </c>
      <c r="N701" s="1838" t="s">
        <v>3813</v>
      </c>
      <c r="O701" s="1838" t="s">
        <v>3489</v>
      </c>
      <c r="P701" s="1838"/>
    </row>
    <row r="702" spans="2:16" s="1843" customFormat="1">
      <c r="B702" s="1838">
        <f t="shared" si="33"/>
        <v>699</v>
      </c>
      <c r="C702" s="1838" t="s">
        <v>314</v>
      </c>
      <c r="D702" s="1838" t="s">
        <v>3162</v>
      </c>
      <c r="E702" s="1838" t="s">
        <v>3827</v>
      </c>
      <c r="F702" s="1839">
        <v>45320</v>
      </c>
      <c r="G702" s="1840">
        <v>77280</v>
      </c>
      <c r="H702" s="1841">
        <f t="shared" si="31"/>
        <v>62</v>
      </c>
      <c r="I702" s="1838">
        <f t="shared" si="32"/>
        <v>77280</v>
      </c>
      <c r="J702" s="1838">
        <v>0</v>
      </c>
      <c r="K702" s="1838">
        <v>0</v>
      </c>
      <c r="L702" s="1838">
        <v>0</v>
      </c>
      <c r="M702" s="1838">
        <v>0</v>
      </c>
      <c r="N702" s="1838" t="s">
        <v>3813</v>
      </c>
      <c r="O702" s="1838" t="s">
        <v>3489</v>
      </c>
      <c r="P702" s="1838"/>
    </row>
    <row r="703" spans="2:16" s="1843" customFormat="1">
      <c r="B703" s="1838">
        <f t="shared" si="33"/>
        <v>700</v>
      </c>
      <c r="C703" s="1838" t="s">
        <v>314</v>
      </c>
      <c r="D703" s="1838" t="s">
        <v>3162</v>
      </c>
      <c r="E703" s="1838" t="s">
        <v>3828</v>
      </c>
      <c r="F703" s="1839">
        <v>45322</v>
      </c>
      <c r="G703" s="1840">
        <v>69048</v>
      </c>
      <c r="H703" s="1841">
        <f t="shared" si="31"/>
        <v>60</v>
      </c>
      <c r="I703" s="1838">
        <f t="shared" si="32"/>
        <v>69048</v>
      </c>
      <c r="J703" s="1838">
        <v>0</v>
      </c>
      <c r="K703" s="1838">
        <v>0</v>
      </c>
      <c r="L703" s="1838">
        <v>0</v>
      </c>
      <c r="M703" s="1838">
        <v>0</v>
      </c>
      <c r="N703" s="1838" t="s">
        <v>3813</v>
      </c>
      <c r="O703" s="1838" t="s">
        <v>3489</v>
      </c>
      <c r="P703" s="1838"/>
    </row>
    <row r="704" spans="2:16" s="1843" customFormat="1">
      <c r="B704" s="1838">
        <f t="shared" si="33"/>
        <v>701</v>
      </c>
      <c r="C704" s="1838" t="s">
        <v>314</v>
      </c>
      <c r="D704" s="1838" t="s">
        <v>3162</v>
      </c>
      <c r="E704" s="1838" t="s">
        <v>3303</v>
      </c>
      <c r="F704" s="1839">
        <v>45322</v>
      </c>
      <c r="G704" s="1840">
        <v>-1395</v>
      </c>
      <c r="H704" s="1841">
        <f t="shared" si="31"/>
        <v>60</v>
      </c>
      <c r="I704" s="1838">
        <f t="shared" si="32"/>
        <v>-1395</v>
      </c>
      <c r="J704" s="1838">
        <v>0</v>
      </c>
      <c r="K704" s="1838">
        <v>0</v>
      </c>
      <c r="L704" s="1838">
        <v>0</v>
      </c>
      <c r="M704" s="1838">
        <v>0</v>
      </c>
      <c r="N704" s="1838" t="s">
        <v>3813</v>
      </c>
      <c r="O704" s="1838" t="s">
        <v>3489</v>
      </c>
      <c r="P704" s="1838"/>
    </row>
    <row r="705" spans="2:16" s="1843" customFormat="1">
      <c r="B705" s="1838">
        <f t="shared" si="33"/>
        <v>702</v>
      </c>
      <c r="C705" s="1838" t="s">
        <v>314</v>
      </c>
      <c r="D705" s="1838" t="s">
        <v>3162</v>
      </c>
      <c r="E705" s="1838" t="s">
        <v>3829</v>
      </c>
      <c r="F705" s="1839">
        <v>45323</v>
      </c>
      <c r="G705" s="1840">
        <v>54264</v>
      </c>
      <c r="H705" s="1841">
        <f t="shared" si="31"/>
        <v>59</v>
      </c>
      <c r="I705" s="1838">
        <f t="shared" si="32"/>
        <v>54264</v>
      </c>
      <c r="J705" s="1838">
        <v>0</v>
      </c>
      <c r="K705" s="1838">
        <v>0</v>
      </c>
      <c r="L705" s="1838">
        <v>0</v>
      </c>
      <c r="M705" s="1838">
        <v>0</v>
      </c>
      <c r="N705" s="1838" t="s">
        <v>3813</v>
      </c>
      <c r="O705" s="1838" t="s">
        <v>3489</v>
      </c>
      <c r="P705" s="1838"/>
    </row>
    <row r="706" spans="2:16" s="1843" customFormat="1">
      <c r="B706" s="1838">
        <f t="shared" si="33"/>
        <v>703</v>
      </c>
      <c r="C706" s="1838" t="s">
        <v>314</v>
      </c>
      <c r="D706" s="1838" t="s">
        <v>3162</v>
      </c>
      <c r="E706" s="1838" t="s">
        <v>3830</v>
      </c>
      <c r="F706" s="1839">
        <v>45324</v>
      </c>
      <c r="G706" s="1840">
        <v>12432</v>
      </c>
      <c r="H706" s="1841">
        <f t="shared" si="31"/>
        <v>58</v>
      </c>
      <c r="I706" s="1838">
        <f t="shared" si="32"/>
        <v>12432</v>
      </c>
      <c r="J706" s="1838">
        <v>0</v>
      </c>
      <c r="K706" s="1838">
        <v>0</v>
      </c>
      <c r="L706" s="1838">
        <v>0</v>
      </c>
      <c r="M706" s="1838">
        <v>0</v>
      </c>
      <c r="N706" s="1838" t="s">
        <v>3813</v>
      </c>
      <c r="O706" s="1838" t="s">
        <v>3489</v>
      </c>
      <c r="P706" s="1838"/>
    </row>
    <row r="707" spans="2:16" s="1843" customFormat="1">
      <c r="B707" s="1838">
        <f t="shared" si="33"/>
        <v>704</v>
      </c>
      <c r="C707" s="1838" t="s">
        <v>314</v>
      </c>
      <c r="D707" s="1838" t="s">
        <v>3162</v>
      </c>
      <c r="E707" s="1838" t="s">
        <v>3831</v>
      </c>
      <c r="F707" s="1839">
        <v>45324</v>
      </c>
      <c r="G707" s="1840">
        <v>75936</v>
      </c>
      <c r="H707" s="1841">
        <f t="shared" si="31"/>
        <v>58</v>
      </c>
      <c r="I707" s="1838">
        <f t="shared" si="32"/>
        <v>75936</v>
      </c>
      <c r="J707" s="1838">
        <v>0</v>
      </c>
      <c r="K707" s="1838">
        <v>0</v>
      </c>
      <c r="L707" s="1838">
        <v>0</v>
      </c>
      <c r="M707" s="1838">
        <v>0</v>
      </c>
      <c r="N707" s="1838" t="s">
        <v>3813</v>
      </c>
      <c r="O707" s="1838" t="s">
        <v>3489</v>
      </c>
      <c r="P707" s="1838"/>
    </row>
    <row r="708" spans="2:16" s="1843" customFormat="1">
      <c r="B708" s="1838">
        <f t="shared" si="33"/>
        <v>705</v>
      </c>
      <c r="C708" s="1838" t="s">
        <v>314</v>
      </c>
      <c r="D708" s="1838" t="s">
        <v>3162</v>
      </c>
      <c r="E708" s="1838" t="s">
        <v>3832</v>
      </c>
      <c r="F708" s="1839">
        <v>45325</v>
      </c>
      <c r="G708" s="1840">
        <v>46704</v>
      </c>
      <c r="H708" s="1841">
        <f t="shared" si="31"/>
        <v>57</v>
      </c>
      <c r="I708" s="1838">
        <f t="shared" si="32"/>
        <v>46704</v>
      </c>
      <c r="J708" s="1838">
        <v>0</v>
      </c>
      <c r="K708" s="1838">
        <v>0</v>
      </c>
      <c r="L708" s="1838">
        <v>0</v>
      </c>
      <c r="M708" s="1838">
        <v>0</v>
      </c>
      <c r="N708" s="1838" t="s">
        <v>3813</v>
      </c>
      <c r="O708" s="1838" t="s">
        <v>3489</v>
      </c>
      <c r="P708" s="1838"/>
    </row>
    <row r="709" spans="2:16" s="1843" customFormat="1">
      <c r="B709" s="1838">
        <f t="shared" si="33"/>
        <v>706</v>
      </c>
      <c r="C709" s="1838" t="s">
        <v>314</v>
      </c>
      <c r="D709" s="1838" t="s">
        <v>3162</v>
      </c>
      <c r="E709" s="1838" t="s">
        <v>3833</v>
      </c>
      <c r="F709" s="1839">
        <v>45326</v>
      </c>
      <c r="G709" s="1840">
        <v>70560</v>
      </c>
      <c r="H709" s="1841">
        <f t="shared" ref="H709:H772" si="34">+$H$2-F709</f>
        <v>56</v>
      </c>
      <c r="I709" s="1838">
        <f t="shared" ref="I709:I772" si="35">+G709</f>
        <v>70560</v>
      </c>
      <c r="J709" s="1838">
        <v>0</v>
      </c>
      <c r="K709" s="1838">
        <v>0</v>
      </c>
      <c r="L709" s="1838">
        <v>0</v>
      </c>
      <c r="M709" s="1838">
        <v>0</v>
      </c>
      <c r="N709" s="1838" t="s">
        <v>3813</v>
      </c>
      <c r="O709" s="1838" t="s">
        <v>3489</v>
      </c>
      <c r="P709" s="1838"/>
    </row>
    <row r="710" spans="2:16" s="1843" customFormat="1">
      <c r="B710" s="1838">
        <f t="shared" ref="B710:B773" si="36">+B709+1</f>
        <v>707</v>
      </c>
      <c r="C710" s="1838" t="s">
        <v>314</v>
      </c>
      <c r="D710" s="1838" t="s">
        <v>3162</v>
      </c>
      <c r="E710" s="1838" t="s">
        <v>3834</v>
      </c>
      <c r="F710" s="1839">
        <v>45327</v>
      </c>
      <c r="G710" s="1840">
        <v>13776</v>
      </c>
      <c r="H710" s="1841">
        <f t="shared" si="34"/>
        <v>55</v>
      </c>
      <c r="I710" s="1838">
        <f t="shared" si="35"/>
        <v>13776</v>
      </c>
      <c r="J710" s="1838">
        <v>0</v>
      </c>
      <c r="K710" s="1838">
        <v>0</v>
      </c>
      <c r="L710" s="1838">
        <v>0</v>
      </c>
      <c r="M710" s="1838">
        <v>0</v>
      </c>
      <c r="N710" s="1838" t="s">
        <v>3813</v>
      </c>
      <c r="O710" s="1838" t="s">
        <v>3489</v>
      </c>
      <c r="P710" s="1838"/>
    </row>
    <row r="711" spans="2:16" s="1843" customFormat="1">
      <c r="B711" s="1838">
        <f t="shared" si="36"/>
        <v>708</v>
      </c>
      <c r="C711" s="1838" t="s">
        <v>314</v>
      </c>
      <c r="D711" s="1838" t="s">
        <v>3162</v>
      </c>
      <c r="E711" s="1838" t="s">
        <v>3835</v>
      </c>
      <c r="F711" s="1839">
        <v>45329</v>
      </c>
      <c r="G711" s="1840">
        <v>65352</v>
      </c>
      <c r="H711" s="1841">
        <f t="shared" si="34"/>
        <v>53</v>
      </c>
      <c r="I711" s="1838">
        <f t="shared" si="35"/>
        <v>65352</v>
      </c>
      <c r="J711" s="1838">
        <v>0</v>
      </c>
      <c r="K711" s="1838">
        <v>0</v>
      </c>
      <c r="L711" s="1838">
        <v>0</v>
      </c>
      <c r="M711" s="1838">
        <v>0</v>
      </c>
      <c r="N711" s="1838" t="s">
        <v>3813</v>
      </c>
      <c r="O711" s="1838" t="s">
        <v>3489</v>
      </c>
      <c r="P711" s="1838"/>
    </row>
    <row r="712" spans="2:16" s="1843" customFormat="1">
      <c r="B712" s="1838">
        <f t="shared" si="36"/>
        <v>709</v>
      </c>
      <c r="C712" s="1838" t="s">
        <v>314</v>
      </c>
      <c r="D712" s="1838" t="s">
        <v>3162</v>
      </c>
      <c r="E712" s="1838" t="s">
        <v>3836</v>
      </c>
      <c r="F712" s="1839">
        <v>45330</v>
      </c>
      <c r="G712" s="1840">
        <v>68880</v>
      </c>
      <c r="H712" s="1841">
        <f t="shared" si="34"/>
        <v>52</v>
      </c>
      <c r="I712" s="1838">
        <f t="shared" si="35"/>
        <v>68880</v>
      </c>
      <c r="J712" s="1838">
        <v>0</v>
      </c>
      <c r="K712" s="1838">
        <v>0</v>
      </c>
      <c r="L712" s="1838">
        <v>0</v>
      </c>
      <c r="M712" s="1838">
        <v>0</v>
      </c>
      <c r="N712" s="1838" t="s">
        <v>3813</v>
      </c>
      <c r="O712" s="1838" t="s">
        <v>3489</v>
      </c>
      <c r="P712" s="1838"/>
    </row>
    <row r="713" spans="2:16" s="1843" customFormat="1">
      <c r="B713" s="1838">
        <f t="shared" si="36"/>
        <v>710</v>
      </c>
      <c r="C713" s="1838" t="s">
        <v>314</v>
      </c>
      <c r="D713" s="1838" t="s">
        <v>3162</v>
      </c>
      <c r="E713" s="1838" t="s">
        <v>3837</v>
      </c>
      <c r="F713" s="1839">
        <v>45332</v>
      </c>
      <c r="G713" s="1840">
        <v>9744</v>
      </c>
      <c r="H713" s="1841">
        <f t="shared" si="34"/>
        <v>50</v>
      </c>
      <c r="I713" s="1838">
        <f t="shared" si="35"/>
        <v>9744</v>
      </c>
      <c r="J713" s="1838">
        <v>0</v>
      </c>
      <c r="K713" s="1838">
        <v>0</v>
      </c>
      <c r="L713" s="1838">
        <v>0</v>
      </c>
      <c r="M713" s="1838">
        <v>0</v>
      </c>
      <c r="N713" s="1838" t="s">
        <v>3813</v>
      </c>
      <c r="O713" s="1838" t="s">
        <v>3489</v>
      </c>
      <c r="P713" s="1838"/>
    </row>
    <row r="714" spans="2:16" s="1843" customFormat="1">
      <c r="B714" s="1838">
        <f t="shared" si="36"/>
        <v>711</v>
      </c>
      <c r="C714" s="1838" t="s">
        <v>314</v>
      </c>
      <c r="D714" s="1838" t="s">
        <v>3162</v>
      </c>
      <c r="E714" s="1838" t="s">
        <v>3838</v>
      </c>
      <c r="F714" s="1839">
        <v>45332</v>
      </c>
      <c r="G714" s="1840">
        <v>45864</v>
      </c>
      <c r="H714" s="1841">
        <f t="shared" si="34"/>
        <v>50</v>
      </c>
      <c r="I714" s="1838">
        <f t="shared" si="35"/>
        <v>45864</v>
      </c>
      <c r="J714" s="1838">
        <v>0</v>
      </c>
      <c r="K714" s="1838">
        <v>0</v>
      </c>
      <c r="L714" s="1838">
        <v>0</v>
      </c>
      <c r="M714" s="1838">
        <v>0</v>
      </c>
      <c r="N714" s="1838" t="s">
        <v>3813</v>
      </c>
      <c r="O714" s="1838" t="s">
        <v>3489</v>
      </c>
      <c r="P714" s="1838"/>
    </row>
    <row r="715" spans="2:16" s="1843" customFormat="1">
      <c r="B715" s="1838">
        <f t="shared" si="36"/>
        <v>712</v>
      </c>
      <c r="C715" s="1838" t="s">
        <v>314</v>
      </c>
      <c r="D715" s="1838" t="s">
        <v>3162</v>
      </c>
      <c r="E715" s="1838" t="s">
        <v>3839</v>
      </c>
      <c r="F715" s="1839">
        <v>45333</v>
      </c>
      <c r="G715" s="1840">
        <v>71400</v>
      </c>
      <c r="H715" s="1841">
        <f t="shared" si="34"/>
        <v>49</v>
      </c>
      <c r="I715" s="1838">
        <f t="shared" si="35"/>
        <v>71400</v>
      </c>
      <c r="J715" s="1838">
        <v>0</v>
      </c>
      <c r="K715" s="1838">
        <v>0</v>
      </c>
      <c r="L715" s="1838">
        <v>0</v>
      </c>
      <c r="M715" s="1838">
        <v>0</v>
      </c>
      <c r="N715" s="1838" t="s">
        <v>3813</v>
      </c>
      <c r="O715" s="1838" t="s">
        <v>3489</v>
      </c>
      <c r="P715" s="1838"/>
    </row>
    <row r="716" spans="2:16" s="1843" customFormat="1">
      <c r="B716" s="1838">
        <f t="shared" si="36"/>
        <v>713</v>
      </c>
      <c r="C716" s="1838" t="s">
        <v>314</v>
      </c>
      <c r="D716" s="1838" t="s">
        <v>3162</v>
      </c>
      <c r="E716" s="1838" t="s">
        <v>3840</v>
      </c>
      <c r="F716" s="1839">
        <v>45334</v>
      </c>
      <c r="G716" s="1840">
        <v>26460</v>
      </c>
      <c r="H716" s="1841">
        <f t="shared" si="34"/>
        <v>48</v>
      </c>
      <c r="I716" s="1838">
        <f t="shared" si="35"/>
        <v>26460</v>
      </c>
      <c r="J716" s="1838">
        <v>0</v>
      </c>
      <c r="K716" s="1838">
        <v>0</v>
      </c>
      <c r="L716" s="1838">
        <v>0</v>
      </c>
      <c r="M716" s="1838">
        <v>0</v>
      </c>
      <c r="N716" s="1838" t="s">
        <v>3813</v>
      </c>
      <c r="O716" s="1838" t="s">
        <v>3489</v>
      </c>
      <c r="P716" s="1838"/>
    </row>
    <row r="717" spans="2:16" s="1843" customFormat="1">
      <c r="B717" s="1838">
        <f t="shared" si="36"/>
        <v>714</v>
      </c>
      <c r="C717" s="1838" t="s">
        <v>314</v>
      </c>
      <c r="D717" s="1838" t="s">
        <v>3162</v>
      </c>
      <c r="E717" s="1838" t="s">
        <v>3841</v>
      </c>
      <c r="F717" s="1839">
        <v>45334</v>
      </c>
      <c r="G717" s="1840">
        <v>74928</v>
      </c>
      <c r="H717" s="1841">
        <f t="shared" si="34"/>
        <v>48</v>
      </c>
      <c r="I717" s="1838">
        <f t="shared" si="35"/>
        <v>74928</v>
      </c>
      <c r="J717" s="1838">
        <v>0</v>
      </c>
      <c r="K717" s="1838">
        <v>0</v>
      </c>
      <c r="L717" s="1838">
        <v>0</v>
      </c>
      <c r="M717" s="1838">
        <v>0</v>
      </c>
      <c r="N717" s="1838" t="s">
        <v>3813</v>
      </c>
      <c r="O717" s="1838" t="s">
        <v>3489</v>
      </c>
      <c r="P717" s="1838"/>
    </row>
    <row r="718" spans="2:16" s="1843" customFormat="1">
      <c r="B718" s="1838">
        <f t="shared" si="36"/>
        <v>715</v>
      </c>
      <c r="C718" s="1838" t="s">
        <v>314</v>
      </c>
      <c r="D718" s="1838" t="s">
        <v>3162</v>
      </c>
      <c r="E718" s="1838" t="s">
        <v>3842</v>
      </c>
      <c r="F718" s="1839">
        <v>45336</v>
      </c>
      <c r="G718" s="1840">
        <v>63961</v>
      </c>
      <c r="H718" s="1841">
        <f t="shared" si="34"/>
        <v>46</v>
      </c>
      <c r="I718" s="1838">
        <f t="shared" si="35"/>
        <v>63961</v>
      </c>
      <c r="J718" s="1838">
        <v>0</v>
      </c>
      <c r="K718" s="1838">
        <v>0</v>
      </c>
      <c r="L718" s="1838">
        <v>0</v>
      </c>
      <c r="M718" s="1838">
        <v>0</v>
      </c>
      <c r="N718" s="1838" t="s">
        <v>3813</v>
      </c>
      <c r="O718" s="1838" t="s">
        <v>3489</v>
      </c>
      <c r="P718" s="1838"/>
    </row>
    <row r="719" spans="2:16" s="1843" customFormat="1">
      <c r="B719" s="1838">
        <f t="shared" si="36"/>
        <v>716</v>
      </c>
      <c r="C719" s="1838" t="s">
        <v>314</v>
      </c>
      <c r="D719" s="1838" t="s">
        <v>3162</v>
      </c>
      <c r="E719" s="1838" t="s">
        <v>3843</v>
      </c>
      <c r="F719" s="1839">
        <v>45336</v>
      </c>
      <c r="G719" s="1840">
        <v>37270</v>
      </c>
      <c r="H719" s="1841">
        <f t="shared" si="34"/>
        <v>46</v>
      </c>
      <c r="I719" s="1838">
        <f t="shared" si="35"/>
        <v>37270</v>
      </c>
      <c r="J719" s="1838">
        <v>0</v>
      </c>
      <c r="K719" s="1838">
        <v>0</v>
      </c>
      <c r="L719" s="1838">
        <v>0</v>
      </c>
      <c r="M719" s="1838">
        <v>0</v>
      </c>
      <c r="N719" s="1838" t="s">
        <v>3813</v>
      </c>
      <c r="O719" s="1838" t="s">
        <v>3489</v>
      </c>
      <c r="P719" s="1838"/>
    </row>
    <row r="720" spans="2:16" s="1843" customFormat="1">
      <c r="B720" s="1838">
        <f t="shared" si="36"/>
        <v>717</v>
      </c>
      <c r="C720" s="1838" t="s">
        <v>314</v>
      </c>
      <c r="D720" s="1838" t="s">
        <v>3162</v>
      </c>
      <c r="E720" s="1838" t="s">
        <v>3844</v>
      </c>
      <c r="F720" s="1839">
        <v>45336</v>
      </c>
      <c r="G720" s="1840">
        <v>46872</v>
      </c>
      <c r="H720" s="1841">
        <f t="shared" si="34"/>
        <v>46</v>
      </c>
      <c r="I720" s="1838">
        <f t="shared" si="35"/>
        <v>46872</v>
      </c>
      <c r="J720" s="1838">
        <v>0</v>
      </c>
      <c r="K720" s="1838">
        <v>0</v>
      </c>
      <c r="L720" s="1838">
        <v>0</v>
      </c>
      <c r="M720" s="1838">
        <v>0</v>
      </c>
      <c r="N720" s="1838" t="s">
        <v>3813</v>
      </c>
      <c r="O720" s="1838" t="s">
        <v>3489</v>
      </c>
      <c r="P720" s="1838"/>
    </row>
    <row r="721" spans="2:16" s="1843" customFormat="1">
      <c r="B721" s="1838">
        <f t="shared" si="36"/>
        <v>718</v>
      </c>
      <c r="C721" s="1838" t="s">
        <v>314</v>
      </c>
      <c r="D721" s="1838" t="s">
        <v>3162</v>
      </c>
      <c r="E721" s="1838" t="s">
        <v>3845</v>
      </c>
      <c r="F721" s="1839">
        <v>45336</v>
      </c>
      <c r="G721" s="1840">
        <v>36456</v>
      </c>
      <c r="H721" s="1841">
        <f t="shared" si="34"/>
        <v>46</v>
      </c>
      <c r="I721" s="1838">
        <f t="shared" si="35"/>
        <v>36456</v>
      </c>
      <c r="J721" s="1838">
        <v>0</v>
      </c>
      <c r="K721" s="1838">
        <v>0</v>
      </c>
      <c r="L721" s="1838">
        <v>0</v>
      </c>
      <c r="M721" s="1838">
        <v>0</v>
      </c>
      <c r="N721" s="1838" t="s">
        <v>3813</v>
      </c>
      <c r="O721" s="1838" t="s">
        <v>3489</v>
      </c>
      <c r="P721" s="1838"/>
    </row>
    <row r="722" spans="2:16" s="1843" customFormat="1">
      <c r="B722" s="1838">
        <f t="shared" si="36"/>
        <v>719</v>
      </c>
      <c r="C722" s="1838" t="s">
        <v>314</v>
      </c>
      <c r="D722" s="1838" t="s">
        <v>3162</v>
      </c>
      <c r="E722" s="1838" t="s">
        <v>3846</v>
      </c>
      <c r="F722" s="1839">
        <v>45336</v>
      </c>
      <c r="G722" s="1840">
        <v>58916</v>
      </c>
      <c r="H722" s="1841">
        <f t="shared" si="34"/>
        <v>46</v>
      </c>
      <c r="I722" s="1838">
        <f t="shared" si="35"/>
        <v>58916</v>
      </c>
      <c r="J722" s="1838">
        <v>0</v>
      </c>
      <c r="K722" s="1838">
        <v>0</v>
      </c>
      <c r="L722" s="1838">
        <v>0</v>
      </c>
      <c r="M722" s="1838">
        <v>0</v>
      </c>
      <c r="N722" s="1838" t="s">
        <v>3813</v>
      </c>
      <c r="O722" s="1838" t="s">
        <v>3489</v>
      </c>
      <c r="P722" s="1838"/>
    </row>
    <row r="723" spans="2:16" s="1843" customFormat="1">
      <c r="B723" s="1838">
        <f t="shared" si="36"/>
        <v>720</v>
      </c>
      <c r="C723" s="1838" t="s">
        <v>314</v>
      </c>
      <c r="D723" s="1838" t="s">
        <v>3162</v>
      </c>
      <c r="E723" s="1838" t="s">
        <v>3847</v>
      </c>
      <c r="F723" s="1839">
        <v>45337</v>
      </c>
      <c r="G723" s="1840">
        <v>37433</v>
      </c>
      <c r="H723" s="1841">
        <f t="shared" si="34"/>
        <v>45</v>
      </c>
      <c r="I723" s="1838">
        <f t="shared" si="35"/>
        <v>37433</v>
      </c>
      <c r="J723" s="1838">
        <v>0</v>
      </c>
      <c r="K723" s="1838">
        <v>0</v>
      </c>
      <c r="L723" s="1838">
        <v>0</v>
      </c>
      <c r="M723" s="1838">
        <v>0</v>
      </c>
      <c r="N723" s="1838" t="s">
        <v>3813</v>
      </c>
      <c r="O723" s="1838" t="s">
        <v>3489</v>
      </c>
      <c r="P723" s="1838"/>
    </row>
    <row r="724" spans="2:16" s="1843" customFormat="1">
      <c r="B724" s="1838">
        <f t="shared" si="36"/>
        <v>721</v>
      </c>
      <c r="C724" s="1838" t="s">
        <v>314</v>
      </c>
      <c r="D724" s="1838" t="s">
        <v>3162</v>
      </c>
      <c r="E724" s="1838" t="s">
        <v>3848</v>
      </c>
      <c r="F724" s="1839">
        <v>45338</v>
      </c>
      <c r="G724" s="1840">
        <v>11111</v>
      </c>
      <c r="H724" s="1841">
        <f t="shared" si="34"/>
        <v>44</v>
      </c>
      <c r="I724" s="1838">
        <f t="shared" si="35"/>
        <v>11111</v>
      </c>
      <c r="J724" s="1838">
        <v>0</v>
      </c>
      <c r="K724" s="1838">
        <v>0</v>
      </c>
      <c r="L724" s="1838">
        <v>0</v>
      </c>
      <c r="M724" s="1838">
        <v>0</v>
      </c>
      <c r="N724" s="1838" t="s">
        <v>3813</v>
      </c>
      <c r="O724" s="1838" t="s">
        <v>3489</v>
      </c>
      <c r="P724" s="1838"/>
    </row>
    <row r="725" spans="2:16" s="1843" customFormat="1">
      <c r="B725" s="1838">
        <f t="shared" si="36"/>
        <v>722</v>
      </c>
      <c r="C725" s="1838" t="s">
        <v>314</v>
      </c>
      <c r="D725" s="1838" t="s">
        <v>3162</v>
      </c>
      <c r="E725" s="1838" t="s">
        <v>3849</v>
      </c>
      <c r="F725" s="1839">
        <v>45340</v>
      </c>
      <c r="G725" s="1840">
        <v>70324</v>
      </c>
      <c r="H725" s="1841">
        <f t="shared" si="34"/>
        <v>42</v>
      </c>
      <c r="I725" s="1838">
        <f t="shared" si="35"/>
        <v>70324</v>
      </c>
      <c r="J725" s="1838">
        <v>0</v>
      </c>
      <c r="K725" s="1838">
        <v>0</v>
      </c>
      <c r="L725" s="1838">
        <v>0</v>
      </c>
      <c r="M725" s="1838">
        <v>0</v>
      </c>
      <c r="N725" s="1838" t="s">
        <v>3813</v>
      </c>
      <c r="O725" s="1838" t="s">
        <v>3489</v>
      </c>
      <c r="P725" s="1838"/>
    </row>
    <row r="726" spans="2:16" s="1843" customFormat="1">
      <c r="B726" s="1838">
        <f t="shared" si="36"/>
        <v>723</v>
      </c>
      <c r="C726" s="1838" t="s">
        <v>314</v>
      </c>
      <c r="D726" s="1838" t="s">
        <v>3162</v>
      </c>
      <c r="E726" s="1838" t="s">
        <v>3850</v>
      </c>
      <c r="F726" s="1839">
        <v>45342</v>
      </c>
      <c r="G726" s="1840">
        <v>59220</v>
      </c>
      <c r="H726" s="1841">
        <f t="shared" si="34"/>
        <v>40</v>
      </c>
      <c r="I726" s="1838">
        <f t="shared" si="35"/>
        <v>59220</v>
      </c>
      <c r="J726" s="1838">
        <v>0</v>
      </c>
      <c r="K726" s="1838">
        <v>0</v>
      </c>
      <c r="L726" s="1838">
        <v>0</v>
      </c>
      <c r="M726" s="1838">
        <v>0</v>
      </c>
      <c r="N726" s="1838" t="s">
        <v>3813</v>
      </c>
      <c r="O726" s="1838" t="s">
        <v>3489</v>
      </c>
      <c r="P726" s="1838"/>
    </row>
    <row r="727" spans="2:16" s="1843" customFormat="1">
      <c r="B727" s="1838">
        <f t="shared" si="36"/>
        <v>724</v>
      </c>
      <c r="C727" s="1838" t="s">
        <v>314</v>
      </c>
      <c r="D727" s="1838" t="s">
        <v>3162</v>
      </c>
      <c r="E727" s="1838" t="s">
        <v>3851</v>
      </c>
      <c r="F727" s="1839">
        <v>45346</v>
      </c>
      <c r="G727" s="1840">
        <v>10512</v>
      </c>
      <c r="H727" s="1841">
        <f t="shared" si="34"/>
        <v>36</v>
      </c>
      <c r="I727" s="1838">
        <f t="shared" si="35"/>
        <v>10512</v>
      </c>
      <c r="J727" s="1838">
        <v>0</v>
      </c>
      <c r="K727" s="1838">
        <v>0</v>
      </c>
      <c r="L727" s="1838">
        <v>0</v>
      </c>
      <c r="M727" s="1838">
        <v>0</v>
      </c>
      <c r="N727" s="1838" t="s">
        <v>3813</v>
      </c>
      <c r="O727" s="1838" t="s">
        <v>3489</v>
      </c>
      <c r="P727" s="1838"/>
    </row>
    <row r="728" spans="2:16" s="1843" customFormat="1">
      <c r="B728" s="1838">
        <f t="shared" si="36"/>
        <v>725</v>
      </c>
      <c r="C728" s="1838" t="s">
        <v>314</v>
      </c>
      <c r="D728" s="1838" t="s">
        <v>3162</v>
      </c>
      <c r="E728" s="1838" t="s">
        <v>3852</v>
      </c>
      <c r="F728" s="1839">
        <v>45348</v>
      </c>
      <c r="G728" s="1840">
        <v>29832</v>
      </c>
      <c r="H728" s="1841">
        <f t="shared" si="34"/>
        <v>34</v>
      </c>
      <c r="I728" s="1838">
        <f t="shared" si="35"/>
        <v>29832</v>
      </c>
      <c r="J728" s="1838">
        <v>0</v>
      </c>
      <c r="K728" s="1838">
        <v>0</v>
      </c>
      <c r="L728" s="1838">
        <v>0</v>
      </c>
      <c r="M728" s="1838">
        <v>0</v>
      </c>
      <c r="N728" s="1838" t="s">
        <v>3813</v>
      </c>
      <c r="O728" s="1838" t="s">
        <v>3489</v>
      </c>
      <c r="P728" s="1838"/>
    </row>
    <row r="729" spans="2:16" s="1843" customFormat="1">
      <c r="B729" s="1838">
        <f t="shared" si="36"/>
        <v>726</v>
      </c>
      <c r="C729" s="1838" t="s">
        <v>314</v>
      </c>
      <c r="D729" s="1838" t="s">
        <v>3162</v>
      </c>
      <c r="E729" s="1838" t="s">
        <v>3853</v>
      </c>
      <c r="F729" s="1839">
        <v>45349</v>
      </c>
      <c r="G729" s="1840">
        <v>73581</v>
      </c>
      <c r="H729" s="1841">
        <f t="shared" si="34"/>
        <v>33</v>
      </c>
      <c r="I729" s="1838">
        <f t="shared" si="35"/>
        <v>73581</v>
      </c>
      <c r="J729" s="1838">
        <v>0</v>
      </c>
      <c r="K729" s="1838">
        <v>0</v>
      </c>
      <c r="L729" s="1838">
        <v>0</v>
      </c>
      <c r="M729" s="1838">
        <v>0</v>
      </c>
      <c r="N729" s="1838" t="s">
        <v>3813</v>
      </c>
      <c r="O729" s="1838" t="s">
        <v>3489</v>
      </c>
      <c r="P729" s="1838"/>
    </row>
    <row r="730" spans="2:16" s="1843" customFormat="1">
      <c r="B730" s="1838">
        <f t="shared" si="36"/>
        <v>727</v>
      </c>
      <c r="C730" s="1838" t="s">
        <v>314</v>
      </c>
      <c r="D730" s="1838" t="s">
        <v>3162</v>
      </c>
      <c r="E730" s="1838" t="s">
        <v>3854</v>
      </c>
      <c r="F730" s="1839">
        <v>45349</v>
      </c>
      <c r="G730" s="1840">
        <v>76468</v>
      </c>
      <c r="H730" s="1841">
        <f t="shared" si="34"/>
        <v>33</v>
      </c>
      <c r="I730" s="1838">
        <f t="shared" si="35"/>
        <v>76468</v>
      </c>
      <c r="J730" s="1838">
        <v>0</v>
      </c>
      <c r="K730" s="1838">
        <v>0</v>
      </c>
      <c r="L730" s="1838">
        <v>0</v>
      </c>
      <c r="M730" s="1838">
        <v>0</v>
      </c>
      <c r="N730" s="1838" t="s">
        <v>3813</v>
      </c>
      <c r="O730" s="1838" t="s">
        <v>3489</v>
      </c>
      <c r="P730" s="1838"/>
    </row>
    <row r="731" spans="2:16" s="1843" customFormat="1">
      <c r="B731" s="1838">
        <f t="shared" si="36"/>
        <v>728</v>
      </c>
      <c r="C731" s="1838" t="s">
        <v>314</v>
      </c>
      <c r="D731" s="1838" t="s">
        <v>3162</v>
      </c>
      <c r="E731" s="1838" t="s">
        <v>3855</v>
      </c>
      <c r="F731" s="1839">
        <v>45351</v>
      </c>
      <c r="G731" s="1840">
        <v>9327</v>
      </c>
      <c r="H731" s="1841">
        <f t="shared" si="34"/>
        <v>31</v>
      </c>
      <c r="I731" s="1838">
        <f t="shared" si="35"/>
        <v>9327</v>
      </c>
      <c r="J731" s="1838">
        <v>0</v>
      </c>
      <c r="K731" s="1838">
        <v>0</v>
      </c>
      <c r="L731" s="1838">
        <v>0</v>
      </c>
      <c r="M731" s="1838">
        <v>0</v>
      </c>
      <c r="N731" s="1838" t="s">
        <v>3813</v>
      </c>
      <c r="O731" s="1838" t="s">
        <v>3489</v>
      </c>
      <c r="P731" s="1838"/>
    </row>
    <row r="732" spans="2:16" s="1843" customFormat="1">
      <c r="B732" s="1838">
        <f t="shared" si="36"/>
        <v>729</v>
      </c>
      <c r="C732" s="1838" t="s">
        <v>314</v>
      </c>
      <c r="D732" s="1838" t="s">
        <v>3162</v>
      </c>
      <c r="E732" s="1838" t="s">
        <v>3856</v>
      </c>
      <c r="F732" s="1839">
        <v>45351</v>
      </c>
      <c r="G732" s="1840">
        <v>64254</v>
      </c>
      <c r="H732" s="1841">
        <f t="shared" si="34"/>
        <v>31</v>
      </c>
      <c r="I732" s="1838">
        <f t="shared" si="35"/>
        <v>64254</v>
      </c>
      <c r="J732" s="1838">
        <v>0</v>
      </c>
      <c r="K732" s="1838">
        <v>0</v>
      </c>
      <c r="L732" s="1838">
        <v>0</v>
      </c>
      <c r="M732" s="1838">
        <v>0</v>
      </c>
      <c r="N732" s="1838" t="s">
        <v>3813</v>
      </c>
      <c r="O732" s="1838" t="s">
        <v>3489</v>
      </c>
      <c r="P732" s="1838"/>
    </row>
    <row r="733" spans="2:16" s="1843" customFormat="1">
      <c r="B733" s="1838">
        <f t="shared" si="36"/>
        <v>730</v>
      </c>
      <c r="C733" s="1838" t="s">
        <v>314</v>
      </c>
      <c r="D733" s="1838" t="s">
        <v>3162</v>
      </c>
      <c r="E733" s="1838" t="s">
        <v>3319</v>
      </c>
      <c r="F733" s="1839">
        <v>45351</v>
      </c>
      <c r="G733" s="1840">
        <v>-1322</v>
      </c>
      <c r="H733" s="1841">
        <f t="shared" si="34"/>
        <v>31</v>
      </c>
      <c r="I733" s="1838">
        <f t="shared" si="35"/>
        <v>-1322</v>
      </c>
      <c r="J733" s="1838">
        <v>0</v>
      </c>
      <c r="K733" s="1838">
        <v>0</v>
      </c>
      <c r="L733" s="1838">
        <v>0</v>
      </c>
      <c r="M733" s="1838">
        <v>0</v>
      </c>
      <c r="N733" s="1838" t="s">
        <v>3813</v>
      </c>
      <c r="O733" s="1838" t="s">
        <v>3489</v>
      </c>
      <c r="P733" s="1838"/>
    </row>
    <row r="734" spans="2:16" s="1843" customFormat="1">
      <c r="B734" s="1838">
        <f t="shared" si="36"/>
        <v>731</v>
      </c>
      <c r="C734" s="1838" t="s">
        <v>314</v>
      </c>
      <c r="D734" s="1838" t="s">
        <v>3162</v>
      </c>
      <c r="E734" s="1838" t="s">
        <v>3857</v>
      </c>
      <c r="F734" s="1839">
        <v>45354</v>
      </c>
      <c r="G734" s="1840">
        <v>43087</v>
      </c>
      <c r="H734" s="1841">
        <f t="shared" si="34"/>
        <v>28</v>
      </c>
      <c r="I734" s="1838">
        <f t="shared" si="35"/>
        <v>43087</v>
      </c>
      <c r="J734" s="1838">
        <v>0</v>
      </c>
      <c r="K734" s="1838">
        <v>0</v>
      </c>
      <c r="L734" s="1838">
        <v>0</v>
      </c>
      <c r="M734" s="1838">
        <v>0</v>
      </c>
      <c r="N734" s="1838" t="s">
        <v>3813</v>
      </c>
      <c r="O734" s="1838" t="s">
        <v>3489</v>
      </c>
      <c r="P734" s="1838"/>
    </row>
    <row r="735" spans="2:16" s="1843" customFormat="1">
      <c r="B735" s="1838">
        <f t="shared" si="36"/>
        <v>732</v>
      </c>
      <c r="C735" s="1838" t="s">
        <v>314</v>
      </c>
      <c r="D735" s="1838" t="s">
        <v>3162</v>
      </c>
      <c r="E735" s="1838" t="s">
        <v>3858</v>
      </c>
      <c r="F735" s="1839">
        <v>45354</v>
      </c>
      <c r="G735" s="1840">
        <v>9668</v>
      </c>
      <c r="H735" s="1841">
        <f t="shared" si="34"/>
        <v>28</v>
      </c>
      <c r="I735" s="1838">
        <f t="shared" si="35"/>
        <v>9668</v>
      </c>
      <c r="J735" s="1838">
        <v>0</v>
      </c>
      <c r="K735" s="1838">
        <v>0</v>
      </c>
      <c r="L735" s="1838">
        <v>0</v>
      </c>
      <c r="M735" s="1838">
        <v>0</v>
      </c>
      <c r="N735" s="1838" t="s">
        <v>3813</v>
      </c>
      <c r="O735" s="1838" t="s">
        <v>3489</v>
      </c>
      <c r="P735" s="1838"/>
    </row>
    <row r="736" spans="2:16" s="1843" customFormat="1">
      <c r="B736" s="1838">
        <f t="shared" si="36"/>
        <v>733</v>
      </c>
      <c r="C736" s="1838" t="s">
        <v>314</v>
      </c>
      <c r="D736" s="1838" t="s">
        <v>3162</v>
      </c>
      <c r="E736" s="1838" t="s">
        <v>3859</v>
      </c>
      <c r="F736" s="1839">
        <v>45355</v>
      </c>
      <c r="G736" s="1840">
        <v>53440</v>
      </c>
      <c r="H736" s="1841">
        <f t="shared" si="34"/>
        <v>27</v>
      </c>
      <c r="I736" s="1838">
        <f t="shared" si="35"/>
        <v>53440</v>
      </c>
      <c r="J736" s="1838">
        <v>0</v>
      </c>
      <c r="K736" s="1838">
        <v>0</v>
      </c>
      <c r="L736" s="1838">
        <v>0</v>
      </c>
      <c r="M736" s="1838">
        <v>0</v>
      </c>
      <c r="N736" s="1838" t="s">
        <v>3813</v>
      </c>
      <c r="O736" s="1838" t="s">
        <v>3489</v>
      </c>
      <c r="P736" s="1838"/>
    </row>
    <row r="737" spans="2:16" s="1843" customFormat="1">
      <c r="B737" s="1838">
        <f t="shared" si="36"/>
        <v>734</v>
      </c>
      <c r="C737" s="1838" t="s">
        <v>314</v>
      </c>
      <c r="D737" s="1838" t="s">
        <v>3162</v>
      </c>
      <c r="E737" s="1838" t="s">
        <v>3860</v>
      </c>
      <c r="F737" s="1839">
        <v>45356</v>
      </c>
      <c r="G737" s="1840">
        <v>57246</v>
      </c>
      <c r="H737" s="1841">
        <f t="shared" si="34"/>
        <v>26</v>
      </c>
      <c r="I737" s="1838">
        <f t="shared" si="35"/>
        <v>57246</v>
      </c>
      <c r="J737" s="1838">
        <v>0</v>
      </c>
      <c r="K737" s="1838">
        <v>0</v>
      </c>
      <c r="L737" s="1838">
        <v>0</v>
      </c>
      <c r="M737" s="1838">
        <v>0</v>
      </c>
      <c r="N737" s="1838" t="s">
        <v>3813</v>
      </c>
      <c r="O737" s="1838" t="s">
        <v>3489</v>
      </c>
      <c r="P737" s="1838"/>
    </row>
    <row r="738" spans="2:16" s="1843" customFormat="1">
      <c r="B738" s="1838">
        <f t="shared" si="36"/>
        <v>735</v>
      </c>
      <c r="C738" s="1838" t="s">
        <v>314</v>
      </c>
      <c r="D738" s="1838" t="s">
        <v>3162</v>
      </c>
      <c r="E738" s="1838" t="s">
        <v>3861</v>
      </c>
      <c r="F738" s="1839">
        <v>45356</v>
      </c>
      <c r="G738" s="1840">
        <v>12047</v>
      </c>
      <c r="H738" s="1841">
        <f t="shared" si="34"/>
        <v>26</v>
      </c>
      <c r="I738" s="1838">
        <f t="shared" si="35"/>
        <v>12047</v>
      </c>
      <c r="J738" s="1838">
        <v>0</v>
      </c>
      <c r="K738" s="1838">
        <v>0</v>
      </c>
      <c r="L738" s="1838">
        <v>0</v>
      </c>
      <c r="M738" s="1838">
        <v>0</v>
      </c>
      <c r="N738" s="1838" t="s">
        <v>3813</v>
      </c>
      <c r="O738" s="1838" t="s">
        <v>3489</v>
      </c>
      <c r="P738" s="1838"/>
    </row>
    <row r="739" spans="2:16" s="1843" customFormat="1">
      <c r="B739" s="1838">
        <f t="shared" si="36"/>
        <v>736</v>
      </c>
      <c r="C739" s="1838" t="s">
        <v>314</v>
      </c>
      <c r="D739" s="1838" t="s">
        <v>3162</v>
      </c>
      <c r="E739" s="1838" t="s">
        <v>3862</v>
      </c>
      <c r="F739" s="1839">
        <v>45357</v>
      </c>
      <c r="G739" s="1840">
        <v>68712</v>
      </c>
      <c r="H739" s="1841">
        <f t="shared" si="34"/>
        <v>25</v>
      </c>
      <c r="I739" s="1838">
        <f t="shared" si="35"/>
        <v>68712</v>
      </c>
      <c r="J739" s="1838">
        <v>0</v>
      </c>
      <c r="K739" s="1838">
        <v>0</v>
      </c>
      <c r="L739" s="1838">
        <v>0</v>
      </c>
      <c r="M739" s="1838">
        <v>0</v>
      </c>
      <c r="N739" s="1838" t="s">
        <v>3813</v>
      </c>
      <c r="O739" s="1838" t="s">
        <v>3489</v>
      </c>
      <c r="P739" s="1838"/>
    </row>
    <row r="740" spans="2:16" s="1843" customFormat="1">
      <c r="B740" s="1838">
        <f t="shared" si="36"/>
        <v>737</v>
      </c>
      <c r="C740" s="1838" t="s">
        <v>314</v>
      </c>
      <c r="D740" s="1838" t="s">
        <v>3162</v>
      </c>
      <c r="E740" s="1838" t="s">
        <v>3863</v>
      </c>
      <c r="F740" s="1839">
        <v>45359</v>
      </c>
      <c r="G740" s="1840">
        <v>60569</v>
      </c>
      <c r="H740" s="1841">
        <f t="shared" si="34"/>
        <v>23</v>
      </c>
      <c r="I740" s="1838">
        <f t="shared" si="35"/>
        <v>60569</v>
      </c>
      <c r="J740" s="1838">
        <v>0</v>
      </c>
      <c r="K740" s="1838">
        <v>0</v>
      </c>
      <c r="L740" s="1838">
        <v>0</v>
      </c>
      <c r="M740" s="1838">
        <v>0</v>
      </c>
      <c r="N740" s="1838" t="s">
        <v>3813</v>
      </c>
      <c r="O740" s="1838" t="s">
        <v>3489</v>
      </c>
      <c r="P740" s="1838"/>
    </row>
    <row r="741" spans="2:16" s="1843" customFormat="1">
      <c r="B741" s="1838">
        <f t="shared" si="36"/>
        <v>738</v>
      </c>
      <c r="C741" s="1838" t="s">
        <v>314</v>
      </c>
      <c r="D741" s="1838" t="s">
        <v>3162</v>
      </c>
      <c r="E741" s="1838" t="s">
        <v>3864</v>
      </c>
      <c r="F741" s="1839">
        <v>45360</v>
      </c>
      <c r="G741" s="1840">
        <v>11952</v>
      </c>
      <c r="H741" s="1841">
        <f t="shared" si="34"/>
        <v>22</v>
      </c>
      <c r="I741" s="1838">
        <f t="shared" si="35"/>
        <v>11952</v>
      </c>
      <c r="J741" s="1838">
        <v>0</v>
      </c>
      <c r="K741" s="1838">
        <v>0</v>
      </c>
      <c r="L741" s="1838">
        <v>0</v>
      </c>
      <c r="M741" s="1838">
        <v>0</v>
      </c>
      <c r="N741" s="1838" t="s">
        <v>3813</v>
      </c>
      <c r="O741" s="1838" t="s">
        <v>3489</v>
      </c>
      <c r="P741" s="1838"/>
    </row>
    <row r="742" spans="2:16" s="1843" customFormat="1">
      <c r="B742" s="1838">
        <f t="shared" si="36"/>
        <v>739</v>
      </c>
      <c r="C742" s="1838" t="s">
        <v>314</v>
      </c>
      <c r="D742" s="1838" t="s">
        <v>3162</v>
      </c>
      <c r="E742" s="1838" t="s">
        <v>3865</v>
      </c>
      <c r="F742" s="1839">
        <v>45360</v>
      </c>
      <c r="G742" s="1840">
        <v>4568</v>
      </c>
      <c r="H742" s="1841">
        <f t="shared" si="34"/>
        <v>22</v>
      </c>
      <c r="I742" s="1838">
        <f t="shared" si="35"/>
        <v>4568</v>
      </c>
      <c r="J742" s="1838">
        <v>0</v>
      </c>
      <c r="K742" s="1838">
        <v>0</v>
      </c>
      <c r="L742" s="1838">
        <v>0</v>
      </c>
      <c r="M742" s="1838">
        <v>0</v>
      </c>
      <c r="N742" s="1838" t="s">
        <v>3813</v>
      </c>
      <c r="O742" s="1838" t="s">
        <v>3489</v>
      </c>
      <c r="P742" s="1838"/>
    </row>
    <row r="743" spans="2:16" s="1843" customFormat="1">
      <c r="B743" s="1838">
        <f t="shared" si="36"/>
        <v>740</v>
      </c>
      <c r="C743" s="1838" t="s">
        <v>314</v>
      </c>
      <c r="D743" s="1838" t="s">
        <v>3162</v>
      </c>
      <c r="E743" s="1838" t="s">
        <v>3866</v>
      </c>
      <c r="F743" s="1839">
        <v>45361</v>
      </c>
      <c r="G743" s="1840">
        <v>8145</v>
      </c>
      <c r="H743" s="1841">
        <f t="shared" si="34"/>
        <v>21</v>
      </c>
      <c r="I743" s="1838">
        <f t="shared" si="35"/>
        <v>8145</v>
      </c>
      <c r="J743" s="1838">
        <v>0</v>
      </c>
      <c r="K743" s="1838">
        <v>0</v>
      </c>
      <c r="L743" s="1838">
        <v>0</v>
      </c>
      <c r="M743" s="1838">
        <v>0</v>
      </c>
      <c r="N743" s="1838" t="s">
        <v>3813</v>
      </c>
      <c r="O743" s="1838" t="s">
        <v>3489</v>
      </c>
      <c r="P743" s="1838"/>
    </row>
    <row r="744" spans="2:16" s="1843" customFormat="1">
      <c r="B744" s="1838">
        <f t="shared" si="36"/>
        <v>741</v>
      </c>
      <c r="C744" s="1838" t="s">
        <v>314</v>
      </c>
      <c r="D744" s="1838" t="s">
        <v>3162</v>
      </c>
      <c r="E744" s="1838" t="s">
        <v>3867</v>
      </c>
      <c r="F744" s="1839">
        <v>45362</v>
      </c>
      <c r="G744" s="1840">
        <v>65468</v>
      </c>
      <c r="H744" s="1841">
        <f t="shared" si="34"/>
        <v>20</v>
      </c>
      <c r="I744" s="1838">
        <f t="shared" si="35"/>
        <v>65468</v>
      </c>
      <c r="J744" s="1838">
        <v>0</v>
      </c>
      <c r="K744" s="1838">
        <v>0</v>
      </c>
      <c r="L744" s="1838">
        <v>0</v>
      </c>
      <c r="M744" s="1838">
        <v>0</v>
      </c>
      <c r="N744" s="1838" t="s">
        <v>3813</v>
      </c>
      <c r="O744" s="1838" t="s">
        <v>3489</v>
      </c>
      <c r="P744" s="1838"/>
    </row>
    <row r="745" spans="2:16" s="1843" customFormat="1">
      <c r="B745" s="1838">
        <f t="shared" si="36"/>
        <v>742</v>
      </c>
      <c r="C745" s="1838" t="s">
        <v>314</v>
      </c>
      <c r="D745" s="1838" t="s">
        <v>3162</v>
      </c>
      <c r="E745" s="1838" t="s">
        <v>3868</v>
      </c>
      <c r="F745" s="1839">
        <v>45362</v>
      </c>
      <c r="G745" s="1840">
        <v>47502</v>
      </c>
      <c r="H745" s="1841">
        <f t="shared" si="34"/>
        <v>20</v>
      </c>
      <c r="I745" s="1838">
        <f t="shared" si="35"/>
        <v>47502</v>
      </c>
      <c r="J745" s="1838">
        <v>0</v>
      </c>
      <c r="K745" s="1838">
        <v>0</v>
      </c>
      <c r="L745" s="1838">
        <v>0</v>
      </c>
      <c r="M745" s="1838">
        <v>0</v>
      </c>
      <c r="N745" s="1838" t="s">
        <v>3813</v>
      </c>
      <c r="O745" s="1838" t="s">
        <v>3489</v>
      </c>
      <c r="P745" s="1838"/>
    </row>
    <row r="746" spans="2:16" s="1843" customFormat="1">
      <c r="B746" s="1838">
        <f t="shared" si="36"/>
        <v>743</v>
      </c>
      <c r="C746" s="1838" t="s">
        <v>314</v>
      </c>
      <c r="D746" s="1838" t="s">
        <v>3162</v>
      </c>
      <c r="E746" s="1838" t="s">
        <v>3869</v>
      </c>
      <c r="F746" s="1839">
        <v>45363</v>
      </c>
      <c r="G746" s="1840">
        <v>64145</v>
      </c>
      <c r="H746" s="1841">
        <f t="shared" si="34"/>
        <v>19</v>
      </c>
      <c r="I746" s="1838">
        <f t="shared" si="35"/>
        <v>64145</v>
      </c>
      <c r="J746" s="1838">
        <v>0</v>
      </c>
      <c r="K746" s="1838">
        <v>0</v>
      </c>
      <c r="L746" s="1838">
        <v>0</v>
      </c>
      <c r="M746" s="1838">
        <v>0</v>
      </c>
      <c r="N746" s="1838" t="s">
        <v>3813</v>
      </c>
      <c r="O746" s="1838" t="s">
        <v>3489</v>
      </c>
      <c r="P746" s="1838"/>
    </row>
    <row r="747" spans="2:16" s="1843" customFormat="1">
      <c r="B747" s="1838">
        <f t="shared" si="36"/>
        <v>744</v>
      </c>
      <c r="C747" s="1838" t="s">
        <v>314</v>
      </c>
      <c r="D747" s="1838" t="s">
        <v>3162</v>
      </c>
      <c r="E747" s="1838" t="s">
        <v>3870</v>
      </c>
      <c r="F747" s="1839">
        <v>45368</v>
      </c>
      <c r="G747" s="1840">
        <v>71811</v>
      </c>
      <c r="H747" s="1841">
        <f t="shared" si="34"/>
        <v>14</v>
      </c>
      <c r="I747" s="1838">
        <f t="shared" si="35"/>
        <v>71811</v>
      </c>
      <c r="J747" s="1838">
        <v>0</v>
      </c>
      <c r="K747" s="1838">
        <v>0</v>
      </c>
      <c r="L747" s="1838">
        <v>0</v>
      </c>
      <c r="M747" s="1838">
        <v>0</v>
      </c>
      <c r="N747" s="1838" t="s">
        <v>3813</v>
      </c>
      <c r="O747" s="1838" t="s">
        <v>3489</v>
      </c>
      <c r="P747" s="1838"/>
    </row>
    <row r="748" spans="2:16" s="1843" customFormat="1">
      <c r="B748" s="1838">
        <f t="shared" si="36"/>
        <v>745</v>
      </c>
      <c r="C748" s="1838" t="s">
        <v>314</v>
      </c>
      <c r="D748" s="1838" t="s">
        <v>3162</v>
      </c>
      <c r="E748" s="1838" t="s">
        <v>3871</v>
      </c>
      <c r="F748" s="1839">
        <v>45369</v>
      </c>
      <c r="G748" s="1840">
        <v>11656</v>
      </c>
      <c r="H748" s="1841">
        <f t="shared" si="34"/>
        <v>13</v>
      </c>
      <c r="I748" s="1838">
        <f t="shared" si="35"/>
        <v>11656</v>
      </c>
      <c r="J748" s="1838">
        <v>0</v>
      </c>
      <c r="K748" s="1838">
        <v>0</v>
      </c>
      <c r="L748" s="1838">
        <v>0</v>
      </c>
      <c r="M748" s="1838">
        <v>0</v>
      </c>
      <c r="N748" s="1838" t="s">
        <v>3813</v>
      </c>
      <c r="O748" s="1838" t="s">
        <v>3489</v>
      </c>
      <c r="P748" s="1838"/>
    </row>
    <row r="749" spans="2:16" s="1843" customFormat="1">
      <c r="B749" s="1838">
        <f t="shared" si="36"/>
        <v>746</v>
      </c>
      <c r="C749" s="1838" t="s">
        <v>314</v>
      </c>
      <c r="D749" s="1838" t="s">
        <v>3162</v>
      </c>
      <c r="E749" s="1838" t="s">
        <v>3872</v>
      </c>
      <c r="F749" s="1839">
        <v>45370</v>
      </c>
      <c r="G749" s="1840">
        <v>7275</v>
      </c>
      <c r="H749" s="1841">
        <f t="shared" si="34"/>
        <v>12</v>
      </c>
      <c r="I749" s="1838">
        <f t="shared" si="35"/>
        <v>7275</v>
      </c>
      <c r="J749" s="1838">
        <v>0</v>
      </c>
      <c r="K749" s="1838">
        <v>0</v>
      </c>
      <c r="L749" s="1838">
        <v>0</v>
      </c>
      <c r="M749" s="1838">
        <v>0</v>
      </c>
      <c r="N749" s="1838" t="s">
        <v>3813</v>
      </c>
      <c r="O749" s="1838" t="s">
        <v>3489</v>
      </c>
      <c r="P749" s="1838"/>
    </row>
    <row r="750" spans="2:16" s="1843" customFormat="1">
      <c r="B750" s="1838">
        <f t="shared" si="36"/>
        <v>747</v>
      </c>
      <c r="C750" s="1838" t="s">
        <v>314</v>
      </c>
      <c r="D750" s="1838" t="s">
        <v>3162</v>
      </c>
      <c r="E750" s="1838" t="s">
        <v>3873</v>
      </c>
      <c r="F750" s="1839">
        <v>45371</v>
      </c>
      <c r="G750" s="1840">
        <v>73375</v>
      </c>
      <c r="H750" s="1841">
        <f t="shared" si="34"/>
        <v>11</v>
      </c>
      <c r="I750" s="1838">
        <f t="shared" si="35"/>
        <v>73375</v>
      </c>
      <c r="J750" s="1838">
        <v>0</v>
      </c>
      <c r="K750" s="1838">
        <v>0</v>
      </c>
      <c r="L750" s="1838">
        <v>0</v>
      </c>
      <c r="M750" s="1838">
        <v>0</v>
      </c>
      <c r="N750" s="1838" t="s">
        <v>3813</v>
      </c>
      <c r="O750" s="1838" t="s">
        <v>3489</v>
      </c>
      <c r="P750" s="1838"/>
    </row>
    <row r="751" spans="2:16" s="1843" customFormat="1">
      <c r="B751" s="1838">
        <f t="shared" si="36"/>
        <v>748</v>
      </c>
      <c r="C751" s="1838" t="s">
        <v>314</v>
      </c>
      <c r="D751" s="1838" t="s">
        <v>3162</v>
      </c>
      <c r="E751" s="1838" t="s">
        <v>3874</v>
      </c>
      <c r="F751" s="1839">
        <v>45373</v>
      </c>
      <c r="G751" s="1840">
        <v>77112</v>
      </c>
      <c r="H751" s="1841">
        <f t="shared" si="34"/>
        <v>9</v>
      </c>
      <c r="I751" s="1838">
        <f t="shared" si="35"/>
        <v>77112</v>
      </c>
      <c r="J751" s="1838">
        <v>0</v>
      </c>
      <c r="K751" s="1838">
        <v>0</v>
      </c>
      <c r="L751" s="1838">
        <v>0</v>
      </c>
      <c r="M751" s="1838">
        <v>0</v>
      </c>
      <c r="N751" s="1838" t="s">
        <v>3813</v>
      </c>
      <c r="O751" s="1838" t="s">
        <v>3489</v>
      </c>
      <c r="P751" s="1838"/>
    </row>
    <row r="752" spans="2:16" s="1843" customFormat="1">
      <c r="B752" s="1838">
        <f t="shared" si="36"/>
        <v>749</v>
      </c>
      <c r="C752" s="1838" t="s">
        <v>314</v>
      </c>
      <c r="D752" s="1838" t="s">
        <v>3162</v>
      </c>
      <c r="E752" s="1838" t="s">
        <v>3875</v>
      </c>
      <c r="F752" s="1839">
        <v>45374</v>
      </c>
      <c r="G752" s="1840">
        <v>8996</v>
      </c>
      <c r="H752" s="1841">
        <f t="shared" si="34"/>
        <v>8</v>
      </c>
      <c r="I752" s="1838">
        <f t="shared" si="35"/>
        <v>8996</v>
      </c>
      <c r="J752" s="1838">
        <v>0</v>
      </c>
      <c r="K752" s="1838">
        <v>0</v>
      </c>
      <c r="L752" s="1838">
        <v>0</v>
      </c>
      <c r="M752" s="1838">
        <v>0</v>
      </c>
      <c r="N752" s="1838" t="s">
        <v>3813</v>
      </c>
      <c r="O752" s="1838" t="s">
        <v>3489</v>
      </c>
      <c r="P752" s="1838"/>
    </row>
    <row r="753" spans="2:16" s="1843" customFormat="1">
      <c r="B753" s="1838">
        <f t="shared" si="36"/>
        <v>750</v>
      </c>
      <c r="C753" s="1838" t="s">
        <v>314</v>
      </c>
      <c r="D753" s="1838" t="s">
        <v>3162</v>
      </c>
      <c r="E753" s="1838" t="s">
        <v>3876</v>
      </c>
      <c r="F753" s="1839">
        <v>45378</v>
      </c>
      <c r="G753" s="1840">
        <v>66188</v>
      </c>
      <c r="H753" s="1841">
        <f t="shared" si="34"/>
        <v>4</v>
      </c>
      <c r="I753" s="1838">
        <f t="shared" si="35"/>
        <v>66188</v>
      </c>
      <c r="J753" s="1838">
        <v>0</v>
      </c>
      <c r="K753" s="1838">
        <v>0</v>
      </c>
      <c r="L753" s="1838">
        <v>0</v>
      </c>
      <c r="M753" s="1838">
        <v>0</v>
      </c>
      <c r="N753" s="1838" t="s">
        <v>3813</v>
      </c>
      <c r="O753" s="1838" t="s">
        <v>3489</v>
      </c>
      <c r="P753" s="1838"/>
    </row>
    <row r="754" spans="2:16" s="1843" customFormat="1">
      <c r="B754" s="1838">
        <f t="shared" si="36"/>
        <v>751</v>
      </c>
      <c r="C754" s="1838" t="s">
        <v>314</v>
      </c>
      <c r="D754" s="1838" t="s">
        <v>3162</v>
      </c>
      <c r="E754" s="1838" t="s">
        <v>3877</v>
      </c>
      <c r="F754" s="1839">
        <v>45379</v>
      </c>
      <c r="G754" s="1840">
        <v>12285</v>
      </c>
      <c r="H754" s="1841">
        <f t="shared" si="34"/>
        <v>3</v>
      </c>
      <c r="I754" s="1838">
        <f t="shared" si="35"/>
        <v>12285</v>
      </c>
      <c r="J754" s="1838">
        <v>0</v>
      </c>
      <c r="K754" s="1838">
        <v>0</v>
      </c>
      <c r="L754" s="1838">
        <v>0</v>
      </c>
      <c r="M754" s="1838">
        <v>0</v>
      </c>
      <c r="N754" s="1838" t="s">
        <v>3813</v>
      </c>
      <c r="O754" s="1838" t="s">
        <v>3489</v>
      </c>
      <c r="P754" s="1838"/>
    </row>
    <row r="755" spans="2:16" s="1843" customFormat="1">
      <c r="B755" s="1838">
        <f t="shared" si="36"/>
        <v>752</v>
      </c>
      <c r="C755" s="1838" t="s">
        <v>314</v>
      </c>
      <c r="D755" s="1838" t="s">
        <v>3162</v>
      </c>
      <c r="E755" s="1838" t="s">
        <v>3878</v>
      </c>
      <c r="F755" s="1839">
        <v>45379</v>
      </c>
      <c r="G755" s="1840">
        <v>11138</v>
      </c>
      <c r="H755" s="1841">
        <f t="shared" si="34"/>
        <v>3</v>
      </c>
      <c r="I755" s="1838">
        <f t="shared" si="35"/>
        <v>11138</v>
      </c>
      <c r="J755" s="1838">
        <v>0</v>
      </c>
      <c r="K755" s="1838">
        <v>0</v>
      </c>
      <c r="L755" s="1838">
        <v>0</v>
      </c>
      <c r="M755" s="1838">
        <v>0</v>
      </c>
      <c r="N755" s="1838" t="s">
        <v>3813</v>
      </c>
      <c r="O755" s="1838" t="s">
        <v>3489</v>
      </c>
      <c r="P755" s="1838"/>
    </row>
    <row r="756" spans="2:16" s="1843" customFormat="1">
      <c r="B756" s="1838">
        <f t="shared" si="36"/>
        <v>753</v>
      </c>
      <c r="C756" s="1838" t="s">
        <v>314</v>
      </c>
      <c r="D756" s="1838" t="s">
        <v>3162</v>
      </c>
      <c r="E756" s="1838" t="s">
        <v>3879</v>
      </c>
      <c r="F756" s="1839">
        <v>45380</v>
      </c>
      <c r="G756" s="1840">
        <v>9255</v>
      </c>
      <c r="H756" s="1841">
        <f t="shared" si="34"/>
        <v>2</v>
      </c>
      <c r="I756" s="1838">
        <f t="shared" si="35"/>
        <v>9255</v>
      </c>
      <c r="J756" s="1838">
        <v>0</v>
      </c>
      <c r="K756" s="1838">
        <v>0</v>
      </c>
      <c r="L756" s="1838">
        <v>0</v>
      </c>
      <c r="M756" s="1838">
        <v>0</v>
      </c>
      <c r="N756" s="1838" t="s">
        <v>3813</v>
      </c>
      <c r="O756" s="1838" t="s">
        <v>3489</v>
      </c>
      <c r="P756" s="1838"/>
    </row>
    <row r="757" spans="2:16" s="1843" customFormat="1">
      <c r="B757" s="1838">
        <f t="shared" si="36"/>
        <v>754</v>
      </c>
      <c r="C757" s="1838" t="s">
        <v>314</v>
      </c>
      <c r="D757" s="1838" t="s">
        <v>3162</v>
      </c>
      <c r="E757" s="1838" t="s">
        <v>3880</v>
      </c>
      <c r="F757" s="1839">
        <v>45380</v>
      </c>
      <c r="G757" s="1840">
        <v>39722</v>
      </c>
      <c r="H757" s="1841">
        <f t="shared" si="34"/>
        <v>2</v>
      </c>
      <c r="I757" s="1838">
        <f t="shared" si="35"/>
        <v>39722</v>
      </c>
      <c r="J757" s="1838">
        <v>0</v>
      </c>
      <c r="K757" s="1838">
        <v>0</v>
      </c>
      <c r="L757" s="1838">
        <v>0</v>
      </c>
      <c r="M757" s="1838">
        <v>0</v>
      </c>
      <c r="N757" s="1838" t="s">
        <v>3813</v>
      </c>
      <c r="O757" s="1838" t="s">
        <v>3489</v>
      </c>
      <c r="P757" s="1838"/>
    </row>
    <row r="758" spans="2:16" s="1843" customFormat="1">
      <c r="B758" s="1838">
        <f t="shared" si="36"/>
        <v>755</v>
      </c>
      <c r="C758" s="1838" t="s">
        <v>314</v>
      </c>
      <c r="D758" s="1838" t="s">
        <v>3162</v>
      </c>
      <c r="E758" s="1838" t="s">
        <v>3881</v>
      </c>
      <c r="F758" s="1839">
        <v>45380</v>
      </c>
      <c r="G758" s="1840">
        <v>11220</v>
      </c>
      <c r="H758" s="1841">
        <f t="shared" si="34"/>
        <v>2</v>
      </c>
      <c r="I758" s="1838">
        <f t="shared" si="35"/>
        <v>11220</v>
      </c>
      <c r="J758" s="1838">
        <v>0</v>
      </c>
      <c r="K758" s="1838">
        <v>0</v>
      </c>
      <c r="L758" s="1838">
        <v>0</v>
      </c>
      <c r="M758" s="1838">
        <v>0</v>
      </c>
      <c r="N758" s="1838" t="s">
        <v>3813</v>
      </c>
      <c r="O758" s="1838" t="s">
        <v>3489</v>
      </c>
      <c r="P758" s="1838"/>
    </row>
    <row r="759" spans="2:16" s="1843" customFormat="1">
      <c r="B759" s="1838">
        <f t="shared" si="36"/>
        <v>756</v>
      </c>
      <c r="C759" s="1838" t="s">
        <v>314</v>
      </c>
      <c r="D759" s="1838" t="s">
        <v>3162</v>
      </c>
      <c r="E759" s="1838" t="s">
        <v>3882</v>
      </c>
      <c r="F759" s="1839">
        <v>45382</v>
      </c>
      <c r="G759" s="1840">
        <v>33743</v>
      </c>
      <c r="H759" s="1841">
        <f t="shared" si="34"/>
        <v>0</v>
      </c>
      <c r="I759" s="1838">
        <f t="shared" si="35"/>
        <v>33743</v>
      </c>
      <c r="J759" s="1838">
        <v>0</v>
      </c>
      <c r="K759" s="1838">
        <v>0</v>
      </c>
      <c r="L759" s="1838">
        <v>0</v>
      </c>
      <c r="M759" s="1838">
        <v>0</v>
      </c>
      <c r="N759" s="1838" t="s">
        <v>3813</v>
      </c>
      <c r="O759" s="1838" t="s">
        <v>3489</v>
      </c>
      <c r="P759" s="1838"/>
    </row>
    <row r="760" spans="2:16" s="1843" customFormat="1">
      <c r="B760" s="1838">
        <f t="shared" si="36"/>
        <v>757</v>
      </c>
      <c r="C760" s="1838" t="s">
        <v>314</v>
      </c>
      <c r="D760" s="1838" t="s">
        <v>3162</v>
      </c>
      <c r="E760" s="1838" t="s">
        <v>3883</v>
      </c>
      <c r="F760" s="1839">
        <v>45382</v>
      </c>
      <c r="G760" s="1840">
        <v>47502</v>
      </c>
      <c r="H760" s="1841">
        <f t="shared" si="34"/>
        <v>0</v>
      </c>
      <c r="I760" s="1838">
        <f t="shared" si="35"/>
        <v>47502</v>
      </c>
      <c r="J760" s="1838">
        <v>0</v>
      </c>
      <c r="K760" s="1838">
        <v>0</v>
      </c>
      <c r="L760" s="1838">
        <v>0</v>
      </c>
      <c r="M760" s="1838">
        <v>0</v>
      </c>
      <c r="N760" s="1838" t="s">
        <v>3813</v>
      </c>
      <c r="O760" s="1838" t="s">
        <v>3489</v>
      </c>
      <c r="P760" s="1838"/>
    </row>
    <row r="761" spans="2:16" s="1843" customFormat="1">
      <c r="B761" s="1838">
        <f t="shared" si="36"/>
        <v>758</v>
      </c>
      <c r="C761" s="1838" t="s">
        <v>314</v>
      </c>
      <c r="D761" s="1838" t="s">
        <v>3162</v>
      </c>
      <c r="E761" s="1838" t="s">
        <v>3884</v>
      </c>
      <c r="F761" s="1839">
        <v>45382</v>
      </c>
      <c r="G761" s="1840">
        <v>4259</v>
      </c>
      <c r="H761" s="1841">
        <f t="shared" si="34"/>
        <v>0</v>
      </c>
      <c r="I761" s="1838">
        <f t="shared" si="35"/>
        <v>4259</v>
      </c>
      <c r="J761" s="1838">
        <v>0</v>
      </c>
      <c r="K761" s="1838">
        <v>0</v>
      </c>
      <c r="L761" s="1838">
        <v>0</v>
      </c>
      <c r="M761" s="1838">
        <v>0</v>
      </c>
      <c r="N761" s="1838" t="s">
        <v>3813</v>
      </c>
      <c r="O761" s="1838" t="s">
        <v>3489</v>
      </c>
      <c r="P761" s="1838"/>
    </row>
    <row r="762" spans="2:16" s="1843" customFormat="1">
      <c r="B762" s="1838">
        <f t="shared" si="36"/>
        <v>759</v>
      </c>
      <c r="C762" s="1838" t="s">
        <v>314</v>
      </c>
      <c r="D762" s="1838" t="s">
        <v>3162</v>
      </c>
      <c r="E762" s="1838" t="s">
        <v>3337</v>
      </c>
      <c r="F762" s="1839">
        <v>45382</v>
      </c>
      <c r="G762" s="1840">
        <v>-992</v>
      </c>
      <c r="H762" s="1841">
        <f t="shared" si="34"/>
        <v>0</v>
      </c>
      <c r="I762" s="1838">
        <f t="shared" si="35"/>
        <v>-992</v>
      </c>
      <c r="J762" s="1838">
        <v>0</v>
      </c>
      <c r="K762" s="1838">
        <v>0</v>
      </c>
      <c r="L762" s="1838">
        <v>0</v>
      </c>
      <c r="M762" s="1838">
        <v>0</v>
      </c>
      <c r="N762" s="1838" t="s">
        <v>3813</v>
      </c>
      <c r="O762" s="1838" t="s">
        <v>3489</v>
      </c>
      <c r="P762" s="1838"/>
    </row>
    <row r="763" spans="2:16" s="1843" customFormat="1">
      <c r="B763" s="1838">
        <f t="shared" si="36"/>
        <v>760</v>
      </c>
      <c r="C763" s="1838" t="s">
        <v>2983</v>
      </c>
      <c r="D763" s="1838" t="s">
        <v>3162</v>
      </c>
      <c r="E763" s="1838" t="s">
        <v>3885</v>
      </c>
      <c r="F763" s="1839">
        <v>45293</v>
      </c>
      <c r="G763" s="1840">
        <v>26534</v>
      </c>
      <c r="H763" s="1841">
        <f t="shared" si="34"/>
        <v>89</v>
      </c>
      <c r="I763" s="1838">
        <f t="shared" si="35"/>
        <v>26534</v>
      </c>
      <c r="J763" s="1838">
        <v>0</v>
      </c>
      <c r="K763" s="1838">
        <v>0</v>
      </c>
      <c r="L763" s="1838">
        <v>0</v>
      </c>
      <c r="M763" s="1838">
        <v>0</v>
      </c>
      <c r="N763" s="1838" t="s">
        <v>3886</v>
      </c>
      <c r="O763" s="1838" t="s">
        <v>3189</v>
      </c>
      <c r="P763" s="1838"/>
    </row>
    <row r="764" spans="2:16" s="1843" customFormat="1">
      <c r="B764" s="1838">
        <f t="shared" si="36"/>
        <v>761</v>
      </c>
      <c r="C764" s="1838" t="s">
        <v>2983</v>
      </c>
      <c r="D764" s="1838" t="s">
        <v>3162</v>
      </c>
      <c r="E764" s="1838" t="s">
        <v>3887</v>
      </c>
      <c r="F764" s="1839">
        <v>45297</v>
      </c>
      <c r="G764" s="1840">
        <v>22344</v>
      </c>
      <c r="H764" s="1841">
        <f t="shared" si="34"/>
        <v>85</v>
      </c>
      <c r="I764" s="1838">
        <f t="shared" si="35"/>
        <v>22344</v>
      </c>
      <c r="J764" s="1838">
        <v>0</v>
      </c>
      <c r="K764" s="1838">
        <v>0</v>
      </c>
      <c r="L764" s="1838">
        <v>0</v>
      </c>
      <c r="M764" s="1838">
        <v>0</v>
      </c>
      <c r="N764" s="1838" t="s">
        <v>3886</v>
      </c>
      <c r="O764" s="1838" t="s">
        <v>3189</v>
      </c>
      <c r="P764" s="1838"/>
    </row>
    <row r="765" spans="2:16" s="1843" customFormat="1">
      <c r="B765" s="1838">
        <f t="shared" si="36"/>
        <v>762</v>
      </c>
      <c r="C765" s="1838" t="s">
        <v>2983</v>
      </c>
      <c r="D765" s="1838" t="s">
        <v>3162</v>
      </c>
      <c r="E765" s="1838" t="s">
        <v>3888</v>
      </c>
      <c r="F765" s="1839">
        <v>45309</v>
      </c>
      <c r="G765" s="1840">
        <v>49639</v>
      </c>
      <c r="H765" s="1841">
        <f t="shared" si="34"/>
        <v>73</v>
      </c>
      <c r="I765" s="1838">
        <f t="shared" si="35"/>
        <v>49639</v>
      </c>
      <c r="J765" s="1838">
        <v>0</v>
      </c>
      <c r="K765" s="1838">
        <v>0</v>
      </c>
      <c r="L765" s="1838">
        <v>0</v>
      </c>
      <c r="M765" s="1838">
        <v>0</v>
      </c>
      <c r="N765" s="1838" t="s">
        <v>3886</v>
      </c>
      <c r="O765" s="1838" t="s">
        <v>3189</v>
      </c>
      <c r="P765" s="1838"/>
    </row>
    <row r="766" spans="2:16" s="1843" customFormat="1">
      <c r="B766" s="1838">
        <f t="shared" si="36"/>
        <v>763</v>
      </c>
      <c r="C766" s="1838" t="s">
        <v>2983</v>
      </c>
      <c r="D766" s="1838" t="s">
        <v>3162</v>
      </c>
      <c r="E766" s="1838" t="s">
        <v>3889</v>
      </c>
      <c r="F766" s="1839">
        <v>45309</v>
      </c>
      <c r="G766" s="1840">
        <v>53626</v>
      </c>
      <c r="H766" s="1841">
        <f t="shared" si="34"/>
        <v>73</v>
      </c>
      <c r="I766" s="1838">
        <f t="shared" si="35"/>
        <v>53626</v>
      </c>
      <c r="J766" s="1838">
        <v>0</v>
      </c>
      <c r="K766" s="1838">
        <v>0</v>
      </c>
      <c r="L766" s="1838">
        <v>0</v>
      </c>
      <c r="M766" s="1838">
        <v>0</v>
      </c>
      <c r="N766" s="1838" t="s">
        <v>3886</v>
      </c>
      <c r="O766" s="1838" t="s">
        <v>3189</v>
      </c>
      <c r="P766" s="1838"/>
    </row>
    <row r="767" spans="2:16" s="1843" customFormat="1">
      <c r="B767" s="1838">
        <f t="shared" si="36"/>
        <v>764</v>
      </c>
      <c r="C767" s="1838" t="s">
        <v>2983</v>
      </c>
      <c r="D767" s="1838" t="s">
        <v>3162</v>
      </c>
      <c r="E767" s="1838" t="s">
        <v>3890</v>
      </c>
      <c r="F767" s="1839">
        <v>45314</v>
      </c>
      <c r="G767" s="1840">
        <v>28970</v>
      </c>
      <c r="H767" s="1841">
        <f t="shared" si="34"/>
        <v>68</v>
      </c>
      <c r="I767" s="1838">
        <f t="shared" si="35"/>
        <v>28970</v>
      </c>
      <c r="J767" s="1838">
        <v>0</v>
      </c>
      <c r="K767" s="1838">
        <v>0</v>
      </c>
      <c r="L767" s="1838">
        <v>0</v>
      </c>
      <c r="M767" s="1838">
        <v>0</v>
      </c>
      <c r="N767" s="1838" t="s">
        <v>3886</v>
      </c>
      <c r="O767" s="1838" t="s">
        <v>3189</v>
      </c>
      <c r="P767" s="1838"/>
    </row>
    <row r="768" spans="2:16" s="1843" customFormat="1">
      <c r="B768" s="1838">
        <f t="shared" si="36"/>
        <v>765</v>
      </c>
      <c r="C768" s="1838" t="s">
        <v>2983</v>
      </c>
      <c r="D768" s="1838" t="s">
        <v>3162</v>
      </c>
      <c r="E768" s="1838" t="s">
        <v>3891</v>
      </c>
      <c r="F768" s="1839">
        <v>45321</v>
      </c>
      <c r="G768" s="1840">
        <v>26544</v>
      </c>
      <c r="H768" s="1841">
        <f t="shared" si="34"/>
        <v>61</v>
      </c>
      <c r="I768" s="1838">
        <f t="shared" si="35"/>
        <v>26544</v>
      </c>
      <c r="J768" s="1838">
        <v>0</v>
      </c>
      <c r="K768" s="1838">
        <v>0</v>
      </c>
      <c r="L768" s="1838">
        <v>0</v>
      </c>
      <c r="M768" s="1838">
        <v>0</v>
      </c>
      <c r="N768" s="1838" t="s">
        <v>3886</v>
      </c>
      <c r="O768" s="1838" t="s">
        <v>3189</v>
      </c>
      <c r="P768" s="1838"/>
    </row>
    <row r="769" spans="2:16" s="1843" customFormat="1">
      <c r="B769" s="1838">
        <f t="shared" si="36"/>
        <v>766</v>
      </c>
      <c r="C769" s="1838" t="s">
        <v>2983</v>
      </c>
      <c r="D769" s="1838" t="s">
        <v>3162</v>
      </c>
      <c r="E769" s="1838" t="s">
        <v>3892</v>
      </c>
      <c r="F769" s="1839">
        <v>45338</v>
      </c>
      <c r="G769" s="1840">
        <v>50941</v>
      </c>
      <c r="H769" s="1841">
        <f t="shared" si="34"/>
        <v>44</v>
      </c>
      <c r="I769" s="1838">
        <f t="shared" si="35"/>
        <v>50941</v>
      </c>
      <c r="J769" s="1838">
        <v>0</v>
      </c>
      <c r="K769" s="1838">
        <v>0</v>
      </c>
      <c r="L769" s="1838">
        <v>0</v>
      </c>
      <c r="M769" s="1838">
        <v>0</v>
      </c>
      <c r="N769" s="1838" t="s">
        <v>3886</v>
      </c>
      <c r="O769" s="1838" t="s">
        <v>3189</v>
      </c>
      <c r="P769" s="1838"/>
    </row>
    <row r="770" spans="2:16" s="1843" customFormat="1">
      <c r="B770" s="1838">
        <f t="shared" si="36"/>
        <v>767</v>
      </c>
      <c r="C770" s="1838" t="s">
        <v>2983</v>
      </c>
      <c r="D770" s="1838" t="s">
        <v>3162</v>
      </c>
      <c r="E770" s="1838" t="s">
        <v>3893</v>
      </c>
      <c r="F770" s="1839">
        <v>45339</v>
      </c>
      <c r="G770" s="1840">
        <v>69775</v>
      </c>
      <c r="H770" s="1841">
        <f t="shared" si="34"/>
        <v>43</v>
      </c>
      <c r="I770" s="1838">
        <f t="shared" si="35"/>
        <v>69775</v>
      </c>
      <c r="J770" s="1838">
        <v>0</v>
      </c>
      <c r="K770" s="1838">
        <v>0</v>
      </c>
      <c r="L770" s="1838">
        <v>0</v>
      </c>
      <c r="M770" s="1838">
        <v>0</v>
      </c>
      <c r="N770" s="1838" t="s">
        <v>3886</v>
      </c>
      <c r="O770" s="1838" t="s">
        <v>3189</v>
      </c>
      <c r="P770" s="1838"/>
    </row>
    <row r="771" spans="2:16" s="1843" customFormat="1">
      <c r="B771" s="1838">
        <f t="shared" si="36"/>
        <v>768</v>
      </c>
      <c r="C771" s="1838" t="s">
        <v>2987</v>
      </c>
      <c r="D771" s="1838" t="s">
        <v>3162</v>
      </c>
      <c r="E771" s="1838" t="s">
        <v>3894</v>
      </c>
      <c r="F771" s="1839">
        <v>45275</v>
      </c>
      <c r="G771" s="1840">
        <v>297200</v>
      </c>
      <c r="H771" s="1841">
        <f t="shared" si="34"/>
        <v>107</v>
      </c>
      <c r="I771" s="1838">
        <f t="shared" si="35"/>
        <v>297200</v>
      </c>
      <c r="J771" s="1838">
        <v>0</v>
      </c>
      <c r="K771" s="1838">
        <v>0</v>
      </c>
      <c r="L771" s="1838">
        <v>0</v>
      </c>
      <c r="M771" s="1838">
        <v>0</v>
      </c>
      <c r="N771" s="1838" t="s">
        <v>3895</v>
      </c>
      <c r="O771" s="1838" t="s">
        <v>3763</v>
      </c>
      <c r="P771" s="1838"/>
    </row>
    <row r="772" spans="2:16" s="1843" customFormat="1">
      <c r="B772" s="1838">
        <f t="shared" si="36"/>
        <v>769</v>
      </c>
      <c r="C772" s="1838" t="s">
        <v>2987</v>
      </c>
      <c r="D772" s="1838" t="s">
        <v>3162</v>
      </c>
      <c r="E772" s="1838" t="s">
        <v>3896</v>
      </c>
      <c r="F772" s="1839">
        <v>45275</v>
      </c>
      <c r="G772" s="1840">
        <v>292880</v>
      </c>
      <c r="H772" s="1841">
        <f t="shared" si="34"/>
        <v>107</v>
      </c>
      <c r="I772" s="1838">
        <f t="shared" si="35"/>
        <v>292880</v>
      </c>
      <c r="J772" s="1838">
        <v>0</v>
      </c>
      <c r="K772" s="1838">
        <v>0</v>
      </c>
      <c r="L772" s="1838">
        <v>0</v>
      </c>
      <c r="M772" s="1838">
        <v>0</v>
      </c>
      <c r="N772" s="1838" t="s">
        <v>3895</v>
      </c>
      <c r="O772" s="1838" t="s">
        <v>3763</v>
      </c>
      <c r="P772" s="1838"/>
    </row>
    <row r="773" spans="2:16" s="1843" customFormat="1">
      <c r="B773" s="1838">
        <f t="shared" si="36"/>
        <v>770</v>
      </c>
      <c r="C773" s="1838" t="s">
        <v>2987</v>
      </c>
      <c r="D773" s="1838" t="s">
        <v>3162</v>
      </c>
      <c r="E773" s="1838" t="s">
        <v>3897</v>
      </c>
      <c r="F773" s="1839">
        <v>45328</v>
      </c>
      <c r="G773" s="1840">
        <v>251712</v>
      </c>
      <c r="H773" s="1841">
        <f t="shared" ref="H773:H836" si="37">+$H$2-F773</f>
        <v>54</v>
      </c>
      <c r="I773" s="1838">
        <f t="shared" ref="I773:I836" si="38">+G773</f>
        <v>251712</v>
      </c>
      <c r="J773" s="1838">
        <v>0</v>
      </c>
      <c r="K773" s="1838">
        <v>0</v>
      </c>
      <c r="L773" s="1838">
        <v>0</v>
      </c>
      <c r="M773" s="1838">
        <v>0</v>
      </c>
      <c r="N773" s="1838" t="s">
        <v>3895</v>
      </c>
      <c r="O773" s="1838" t="s">
        <v>3763</v>
      </c>
      <c r="P773" s="1838"/>
    </row>
    <row r="774" spans="2:16" s="1843" customFormat="1">
      <c r="B774" s="1838">
        <f t="shared" ref="B774:B837" si="39">+B773+1</f>
        <v>771</v>
      </c>
      <c r="C774" s="1838" t="s">
        <v>2987</v>
      </c>
      <c r="D774" s="1838" t="s">
        <v>3162</v>
      </c>
      <c r="E774" s="1838" t="s">
        <v>3898</v>
      </c>
      <c r="F774" s="1839">
        <v>45328</v>
      </c>
      <c r="G774" s="1840">
        <v>249768</v>
      </c>
      <c r="H774" s="1841">
        <f t="shared" si="37"/>
        <v>54</v>
      </c>
      <c r="I774" s="1838">
        <f t="shared" si="38"/>
        <v>249768</v>
      </c>
      <c r="J774" s="1838">
        <v>0</v>
      </c>
      <c r="K774" s="1838">
        <v>0</v>
      </c>
      <c r="L774" s="1838">
        <v>0</v>
      </c>
      <c r="M774" s="1838">
        <v>0</v>
      </c>
      <c r="N774" s="1838" t="s">
        <v>3895</v>
      </c>
      <c r="O774" s="1838" t="s">
        <v>3763</v>
      </c>
      <c r="P774" s="1838"/>
    </row>
    <row r="775" spans="2:16" s="1843" customFormat="1">
      <c r="B775" s="1838">
        <f t="shared" si="39"/>
        <v>772</v>
      </c>
      <c r="C775" s="1838" t="s">
        <v>2987</v>
      </c>
      <c r="D775" s="1838" t="s">
        <v>3162</v>
      </c>
      <c r="E775" s="1838" t="s">
        <v>3899</v>
      </c>
      <c r="F775" s="1839">
        <v>45328</v>
      </c>
      <c r="G775" s="1840">
        <v>208584</v>
      </c>
      <c r="H775" s="1841">
        <f t="shared" si="37"/>
        <v>54</v>
      </c>
      <c r="I775" s="1838">
        <f t="shared" si="38"/>
        <v>208584</v>
      </c>
      <c r="J775" s="1838">
        <v>0</v>
      </c>
      <c r="K775" s="1838">
        <v>0</v>
      </c>
      <c r="L775" s="1838">
        <v>0</v>
      </c>
      <c r="M775" s="1838">
        <v>0</v>
      </c>
      <c r="N775" s="1838" t="s">
        <v>3895</v>
      </c>
      <c r="O775" s="1838" t="s">
        <v>3763</v>
      </c>
      <c r="P775" s="1838"/>
    </row>
    <row r="776" spans="2:16" s="1843" customFormat="1">
      <c r="B776" s="1838">
        <f t="shared" si="39"/>
        <v>773</v>
      </c>
      <c r="C776" s="1838" t="s">
        <v>411</v>
      </c>
      <c r="D776" s="1838" t="s">
        <v>3162</v>
      </c>
      <c r="E776" s="1838" t="s">
        <v>3900</v>
      </c>
      <c r="F776" s="1839">
        <v>45323</v>
      </c>
      <c r="G776" s="1840">
        <v>47968</v>
      </c>
      <c r="H776" s="1841">
        <f t="shared" si="37"/>
        <v>59</v>
      </c>
      <c r="I776" s="1838">
        <f t="shared" si="38"/>
        <v>47968</v>
      </c>
      <c r="J776" s="1838">
        <v>0</v>
      </c>
      <c r="K776" s="1838">
        <v>0</v>
      </c>
      <c r="L776" s="1838">
        <v>0</v>
      </c>
      <c r="M776" s="1838">
        <v>0</v>
      </c>
      <c r="N776" s="1838" t="s">
        <v>3182</v>
      </c>
      <c r="O776" s="1838" t="s">
        <v>3183</v>
      </c>
      <c r="P776" s="1838"/>
    </row>
    <row r="777" spans="2:16" s="1843" customFormat="1">
      <c r="B777" s="1838">
        <f t="shared" si="39"/>
        <v>774</v>
      </c>
      <c r="C777" s="1838" t="s">
        <v>411</v>
      </c>
      <c r="D777" s="1838" t="s">
        <v>3162</v>
      </c>
      <c r="E777" s="1838" t="s">
        <v>3901</v>
      </c>
      <c r="F777" s="1839">
        <v>45324</v>
      </c>
      <c r="G777" s="1840">
        <v>56984</v>
      </c>
      <c r="H777" s="1841">
        <f t="shared" si="37"/>
        <v>58</v>
      </c>
      <c r="I777" s="1838">
        <f t="shared" si="38"/>
        <v>56984</v>
      </c>
      <c r="J777" s="1838">
        <v>0</v>
      </c>
      <c r="K777" s="1838">
        <v>0</v>
      </c>
      <c r="L777" s="1838">
        <v>0</v>
      </c>
      <c r="M777" s="1838">
        <v>0</v>
      </c>
      <c r="N777" s="1838" t="s">
        <v>3182</v>
      </c>
      <c r="O777" s="1838" t="s">
        <v>3183</v>
      </c>
      <c r="P777" s="1838"/>
    </row>
    <row r="778" spans="2:16" s="1843" customFormat="1">
      <c r="B778" s="1838">
        <f t="shared" si="39"/>
        <v>775</v>
      </c>
      <c r="C778" s="1838" t="s">
        <v>411</v>
      </c>
      <c r="D778" s="1838" t="s">
        <v>3162</v>
      </c>
      <c r="E778" s="1838" t="s">
        <v>3902</v>
      </c>
      <c r="F778" s="1839">
        <v>45325</v>
      </c>
      <c r="G778" s="1840">
        <v>57324</v>
      </c>
      <c r="H778" s="1841">
        <f t="shared" si="37"/>
        <v>57</v>
      </c>
      <c r="I778" s="1838">
        <f t="shared" si="38"/>
        <v>57324</v>
      </c>
      <c r="J778" s="1838">
        <v>0</v>
      </c>
      <c r="K778" s="1838">
        <v>0</v>
      </c>
      <c r="L778" s="1838">
        <v>0</v>
      </c>
      <c r="M778" s="1838">
        <v>0</v>
      </c>
      <c r="N778" s="1838" t="s">
        <v>3182</v>
      </c>
      <c r="O778" s="1838" t="s">
        <v>3183</v>
      </c>
      <c r="P778" s="1838"/>
    </row>
    <row r="779" spans="2:16" s="1843" customFormat="1">
      <c r="B779" s="1838">
        <f t="shared" si="39"/>
        <v>776</v>
      </c>
      <c r="C779" s="1838" t="s">
        <v>411</v>
      </c>
      <c r="D779" s="1838" t="s">
        <v>3162</v>
      </c>
      <c r="E779" s="1838" t="s">
        <v>3903</v>
      </c>
      <c r="F779" s="1839">
        <v>45329</v>
      </c>
      <c r="G779" s="1840">
        <v>54262</v>
      </c>
      <c r="H779" s="1841">
        <f t="shared" si="37"/>
        <v>53</v>
      </c>
      <c r="I779" s="1838">
        <f t="shared" si="38"/>
        <v>54262</v>
      </c>
      <c r="J779" s="1838">
        <v>0</v>
      </c>
      <c r="K779" s="1838">
        <v>0</v>
      </c>
      <c r="L779" s="1838">
        <v>0</v>
      </c>
      <c r="M779" s="1838">
        <v>0</v>
      </c>
      <c r="N779" s="1838" t="s">
        <v>3182</v>
      </c>
      <c r="O779" s="1838" t="s">
        <v>3183</v>
      </c>
      <c r="P779" s="1838"/>
    </row>
    <row r="780" spans="2:16" s="1843" customFormat="1">
      <c r="B780" s="1838">
        <f t="shared" si="39"/>
        <v>777</v>
      </c>
      <c r="C780" s="1838" t="s">
        <v>411</v>
      </c>
      <c r="D780" s="1838" t="s">
        <v>3162</v>
      </c>
      <c r="E780" s="1838" t="s">
        <v>3904</v>
      </c>
      <c r="F780" s="1839">
        <v>45332</v>
      </c>
      <c r="G780" s="1840">
        <v>52816</v>
      </c>
      <c r="H780" s="1841">
        <f t="shared" si="37"/>
        <v>50</v>
      </c>
      <c r="I780" s="1838">
        <f t="shared" si="38"/>
        <v>52816</v>
      </c>
      <c r="J780" s="1838">
        <v>0</v>
      </c>
      <c r="K780" s="1838">
        <v>0</v>
      </c>
      <c r="L780" s="1838">
        <v>0</v>
      </c>
      <c r="M780" s="1838">
        <v>0</v>
      </c>
      <c r="N780" s="1838" t="s">
        <v>3182</v>
      </c>
      <c r="O780" s="1838" t="s">
        <v>3183</v>
      </c>
      <c r="P780" s="1838"/>
    </row>
    <row r="781" spans="2:16" s="1843" customFormat="1">
      <c r="B781" s="1838">
        <f t="shared" si="39"/>
        <v>778</v>
      </c>
      <c r="C781" s="1838" t="s">
        <v>411</v>
      </c>
      <c r="D781" s="1838" t="s">
        <v>3162</v>
      </c>
      <c r="E781" s="1838" t="s">
        <v>3905</v>
      </c>
      <c r="F781" s="1839">
        <v>45333</v>
      </c>
      <c r="G781" s="1840">
        <v>51795</v>
      </c>
      <c r="H781" s="1841">
        <f t="shared" si="37"/>
        <v>49</v>
      </c>
      <c r="I781" s="1838">
        <f t="shared" si="38"/>
        <v>51795</v>
      </c>
      <c r="J781" s="1838">
        <v>0</v>
      </c>
      <c r="K781" s="1838">
        <v>0</v>
      </c>
      <c r="L781" s="1838">
        <v>0</v>
      </c>
      <c r="M781" s="1838">
        <v>0</v>
      </c>
      <c r="N781" s="1838" t="s">
        <v>3182</v>
      </c>
      <c r="O781" s="1838" t="s">
        <v>3183</v>
      </c>
      <c r="P781" s="1838"/>
    </row>
    <row r="782" spans="2:16" s="1843" customFormat="1">
      <c r="B782" s="1838">
        <f t="shared" si="39"/>
        <v>779</v>
      </c>
      <c r="C782" s="1838" t="s">
        <v>411</v>
      </c>
      <c r="D782" s="1838" t="s">
        <v>3162</v>
      </c>
      <c r="E782" s="1838" t="s">
        <v>3906</v>
      </c>
      <c r="F782" s="1839">
        <v>45333</v>
      </c>
      <c r="G782" s="1840">
        <v>58004</v>
      </c>
      <c r="H782" s="1841">
        <f t="shared" si="37"/>
        <v>49</v>
      </c>
      <c r="I782" s="1838">
        <f t="shared" si="38"/>
        <v>58004</v>
      </c>
      <c r="J782" s="1838">
        <v>0</v>
      </c>
      <c r="K782" s="1838">
        <v>0</v>
      </c>
      <c r="L782" s="1838">
        <v>0</v>
      </c>
      <c r="M782" s="1838">
        <v>0</v>
      </c>
      <c r="N782" s="1838" t="s">
        <v>3182</v>
      </c>
      <c r="O782" s="1838" t="s">
        <v>3183</v>
      </c>
      <c r="P782" s="1838"/>
    </row>
    <row r="783" spans="2:16" s="1843" customFormat="1">
      <c r="B783" s="1838">
        <f t="shared" si="39"/>
        <v>780</v>
      </c>
      <c r="C783" s="1838" t="s">
        <v>411</v>
      </c>
      <c r="D783" s="1838" t="s">
        <v>3162</v>
      </c>
      <c r="E783" s="1838" t="s">
        <v>3907</v>
      </c>
      <c r="F783" s="1839">
        <v>45334</v>
      </c>
      <c r="G783" s="1840">
        <v>55623</v>
      </c>
      <c r="H783" s="1841">
        <f t="shared" si="37"/>
        <v>48</v>
      </c>
      <c r="I783" s="1838">
        <f t="shared" si="38"/>
        <v>55623</v>
      </c>
      <c r="J783" s="1838">
        <v>0</v>
      </c>
      <c r="K783" s="1838">
        <v>0</v>
      </c>
      <c r="L783" s="1838">
        <v>0</v>
      </c>
      <c r="M783" s="1838">
        <v>0</v>
      </c>
      <c r="N783" s="1838" t="s">
        <v>3182</v>
      </c>
      <c r="O783" s="1838" t="s">
        <v>3183</v>
      </c>
      <c r="P783" s="1838"/>
    </row>
    <row r="784" spans="2:16" s="1843" customFormat="1">
      <c r="B784" s="1838">
        <f t="shared" si="39"/>
        <v>781</v>
      </c>
      <c r="C784" s="1838" t="s">
        <v>411</v>
      </c>
      <c r="D784" s="1838" t="s">
        <v>3162</v>
      </c>
      <c r="E784" s="1838" t="s">
        <v>3908</v>
      </c>
      <c r="F784" s="1839">
        <v>45336</v>
      </c>
      <c r="G784" s="1840">
        <v>55554</v>
      </c>
      <c r="H784" s="1841">
        <f t="shared" si="37"/>
        <v>46</v>
      </c>
      <c r="I784" s="1838">
        <f t="shared" si="38"/>
        <v>55554</v>
      </c>
      <c r="J784" s="1838">
        <v>0</v>
      </c>
      <c r="K784" s="1838">
        <v>0</v>
      </c>
      <c r="L784" s="1838">
        <v>0</v>
      </c>
      <c r="M784" s="1838">
        <v>0</v>
      </c>
      <c r="N784" s="1838" t="s">
        <v>3182</v>
      </c>
      <c r="O784" s="1838" t="s">
        <v>3183</v>
      </c>
      <c r="P784" s="1838"/>
    </row>
    <row r="785" spans="2:16" s="1843" customFormat="1">
      <c r="B785" s="1838">
        <f t="shared" si="39"/>
        <v>782</v>
      </c>
      <c r="C785" s="1838" t="s">
        <v>411</v>
      </c>
      <c r="D785" s="1838" t="s">
        <v>3162</v>
      </c>
      <c r="E785" s="1838" t="s">
        <v>3909</v>
      </c>
      <c r="F785" s="1839">
        <v>45337</v>
      </c>
      <c r="G785" s="1840">
        <v>48219</v>
      </c>
      <c r="H785" s="1841">
        <f t="shared" si="37"/>
        <v>45</v>
      </c>
      <c r="I785" s="1838">
        <f t="shared" si="38"/>
        <v>48219</v>
      </c>
      <c r="J785" s="1838">
        <v>0</v>
      </c>
      <c r="K785" s="1838">
        <v>0</v>
      </c>
      <c r="L785" s="1838">
        <v>0</v>
      </c>
      <c r="M785" s="1838">
        <v>0</v>
      </c>
      <c r="N785" s="1838" t="s">
        <v>3182</v>
      </c>
      <c r="O785" s="1838" t="s">
        <v>3183</v>
      </c>
      <c r="P785" s="1838"/>
    </row>
    <row r="786" spans="2:16" s="1843" customFormat="1">
      <c r="B786" s="1838">
        <f t="shared" si="39"/>
        <v>783</v>
      </c>
      <c r="C786" s="1838" t="s">
        <v>411</v>
      </c>
      <c r="D786" s="1838" t="s">
        <v>3162</v>
      </c>
      <c r="E786" s="1838" t="s">
        <v>3910</v>
      </c>
      <c r="F786" s="1839">
        <v>45338</v>
      </c>
      <c r="G786" s="1840">
        <v>54259</v>
      </c>
      <c r="H786" s="1841">
        <f t="shared" si="37"/>
        <v>44</v>
      </c>
      <c r="I786" s="1838">
        <f t="shared" si="38"/>
        <v>54259</v>
      </c>
      <c r="J786" s="1838">
        <v>0</v>
      </c>
      <c r="K786" s="1838">
        <v>0</v>
      </c>
      <c r="L786" s="1838">
        <v>0</v>
      </c>
      <c r="M786" s="1838">
        <v>0</v>
      </c>
      <c r="N786" s="1838" t="s">
        <v>3182</v>
      </c>
      <c r="O786" s="1838" t="s">
        <v>3183</v>
      </c>
      <c r="P786" s="1838"/>
    </row>
    <row r="787" spans="2:16" s="1843" customFormat="1">
      <c r="B787" s="1838">
        <f t="shared" si="39"/>
        <v>784</v>
      </c>
      <c r="C787" s="1838" t="s">
        <v>411</v>
      </c>
      <c r="D787" s="1838" t="s">
        <v>3162</v>
      </c>
      <c r="E787" s="1838" t="s">
        <v>3911</v>
      </c>
      <c r="F787" s="1839">
        <v>45341</v>
      </c>
      <c r="G787" s="1840">
        <v>48348</v>
      </c>
      <c r="H787" s="1841">
        <f t="shared" si="37"/>
        <v>41</v>
      </c>
      <c r="I787" s="1838">
        <f t="shared" si="38"/>
        <v>48348</v>
      </c>
      <c r="J787" s="1838">
        <v>0</v>
      </c>
      <c r="K787" s="1838">
        <v>0</v>
      </c>
      <c r="L787" s="1838">
        <v>0</v>
      </c>
      <c r="M787" s="1838">
        <v>0</v>
      </c>
      <c r="N787" s="1838" t="s">
        <v>3182</v>
      </c>
      <c r="O787" s="1838" t="s">
        <v>3183</v>
      </c>
      <c r="P787" s="1838"/>
    </row>
    <row r="788" spans="2:16" s="1843" customFormat="1">
      <c r="B788" s="1838">
        <f t="shared" si="39"/>
        <v>785</v>
      </c>
      <c r="C788" s="1838" t="s">
        <v>411</v>
      </c>
      <c r="D788" s="1838" t="s">
        <v>3162</v>
      </c>
      <c r="E788" s="1838" t="s">
        <v>3912</v>
      </c>
      <c r="F788" s="1839">
        <v>45341</v>
      </c>
      <c r="G788" s="1840">
        <v>51351</v>
      </c>
      <c r="H788" s="1841">
        <f t="shared" si="37"/>
        <v>41</v>
      </c>
      <c r="I788" s="1838">
        <f t="shared" si="38"/>
        <v>51351</v>
      </c>
      <c r="J788" s="1838">
        <v>0</v>
      </c>
      <c r="K788" s="1838">
        <v>0</v>
      </c>
      <c r="L788" s="1838">
        <v>0</v>
      </c>
      <c r="M788" s="1838">
        <v>0</v>
      </c>
      <c r="N788" s="1838" t="s">
        <v>3182</v>
      </c>
      <c r="O788" s="1838" t="s">
        <v>3183</v>
      </c>
      <c r="P788" s="1838"/>
    </row>
    <row r="789" spans="2:16" s="1843" customFormat="1">
      <c r="B789" s="1838">
        <f t="shared" si="39"/>
        <v>786</v>
      </c>
      <c r="C789" s="1838" t="s">
        <v>411</v>
      </c>
      <c r="D789" s="1838" t="s">
        <v>3162</v>
      </c>
      <c r="E789" s="1838" t="s">
        <v>3913</v>
      </c>
      <c r="F789" s="1839">
        <v>45343</v>
      </c>
      <c r="G789" s="1840">
        <v>51952</v>
      </c>
      <c r="H789" s="1841">
        <f t="shared" si="37"/>
        <v>39</v>
      </c>
      <c r="I789" s="1838">
        <f t="shared" si="38"/>
        <v>51952</v>
      </c>
      <c r="J789" s="1838">
        <v>0</v>
      </c>
      <c r="K789" s="1838">
        <v>0</v>
      </c>
      <c r="L789" s="1838">
        <v>0</v>
      </c>
      <c r="M789" s="1838">
        <v>0</v>
      </c>
      <c r="N789" s="1838" t="s">
        <v>3182</v>
      </c>
      <c r="O789" s="1838" t="s">
        <v>3183</v>
      </c>
      <c r="P789" s="1838"/>
    </row>
    <row r="790" spans="2:16" s="1843" customFormat="1">
      <c r="B790" s="1838">
        <f t="shared" si="39"/>
        <v>787</v>
      </c>
      <c r="C790" s="1838" t="s">
        <v>411</v>
      </c>
      <c r="D790" s="1838" t="s">
        <v>3162</v>
      </c>
      <c r="E790" s="1838" t="s">
        <v>3914</v>
      </c>
      <c r="F790" s="1839">
        <v>45346</v>
      </c>
      <c r="G790" s="1840">
        <v>49249</v>
      </c>
      <c r="H790" s="1841">
        <f t="shared" si="37"/>
        <v>36</v>
      </c>
      <c r="I790" s="1838">
        <f t="shared" si="38"/>
        <v>49249</v>
      </c>
      <c r="J790" s="1838">
        <v>0</v>
      </c>
      <c r="K790" s="1838">
        <v>0</v>
      </c>
      <c r="L790" s="1838">
        <v>0</v>
      </c>
      <c r="M790" s="1838">
        <v>0</v>
      </c>
      <c r="N790" s="1838" t="s">
        <v>3182</v>
      </c>
      <c r="O790" s="1838" t="s">
        <v>3183</v>
      </c>
      <c r="P790" s="1838"/>
    </row>
    <row r="791" spans="2:16" s="1843" customFormat="1">
      <c r="B791" s="1838">
        <f t="shared" si="39"/>
        <v>788</v>
      </c>
      <c r="C791" s="1838" t="s">
        <v>411</v>
      </c>
      <c r="D791" s="1838" t="s">
        <v>3162</v>
      </c>
      <c r="E791" s="1838" t="s">
        <v>3915</v>
      </c>
      <c r="F791" s="1839">
        <v>45351</v>
      </c>
      <c r="G791" s="1840">
        <v>46021</v>
      </c>
      <c r="H791" s="1841">
        <f t="shared" si="37"/>
        <v>31</v>
      </c>
      <c r="I791" s="1838">
        <f t="shared" si="38"/>
        <v>46021</v>
      </c>
      <c r="J791" s="1838">
        <v>0</v>
      </c>
      <c r="K791" s="1838">
        <v>0</v>
      </c>
      <c r="L791" s="1838">
        <v>0</v>
      </c>
      <c r="M791" s="1838">
        <v>0</v>
      </c>
      <c r="N791" s="1838" t="s">
        <v>3182</v>
      </c>
      <c r="O791" s="1838" t="s">
        <v>3183</v>
      </c>
      <c r="P791" s="1838"/>
    </row>
    <row r="792" spans="2:16" s="1843" customFormat="1">
      <c r="B792" s="1838">
        <f t="shared" si="39"/>
        <v>789</v>
      </c>
      <c r="C792" s="1838" t="s">
        <v>411</v>
      </c>
      <c r="D792" s="1838" t="s">
        <v>3162</v>
      </c>
      <c r="E792" s="1838" t="s">
        <v>3916</v>
      </c>
      <c r="F792" s="1839">
        <v>45351</v>
      </c>
      <c r="G792" s="1840">
        <v>46321</v>
      </c>
      <c r="H792" s="1841">
        <f t="shared" si="37"/>
        <v>31</v>
      </c>
      <c r="I792" s="1838">
        <f t="shared" si="38"/>
        <v>46321</v>
      </c>
      <c r="J792" s="1838">
        <v>0</v>
      </c>
      <c r="K792" s="1838">
        <v>0</v>
      </c>
      <c r="L792" s="1838">
        <v>0</v>
      </c>
      <c r="M792" s="1838">
        <v>0</v>
      </c>
      <c r="N792" s="1838" t="s">
        <v>3182</v>
      </c>
      <c r="O792" s="1838" t="s">
        <v>3183</v>
      </c>
      <c r="P792" s="1838"/>
    </row>
    <row r="793" spans="2:16" s="1843" customFormat="1">
      <c r="B793" s="1838">
        <f t="shared" si="39"/>
        <v>790</v>
      </c>
      <c r="C793" s="1838" t="s">
        <v>411</v>
      </c>
      <c r="D793" s="1838" t="s">
        <v>3162</v>
      </c>
      <c r="E793" s="1838" t="s">
        <v>3805</v>
      </c>
      <c r="F793" s="1839">
        <v>45351</v>
      </c>
      <c r="G793" s="1840">
        <v>-886</v>
      </c>
      <c r="H793" s="1841">
        <f t="shared" si="37"/>
        <v>31</v>
      </c>
      <c r="I793" s="1838">
        <f t="shared" si="38"/>
        <v>-886</v>
      </c>
      <c r="J793" s="1838">
        <v>0</v>
      </c>
      <c r="K793" s="1838">
        <v>0</v>
      </c>
      <c r="L793" s="1838">
        <v>0</v>
      </c>
      <c r="M793" s="1838">
        <v>0</v>
      </c>
      <c r="N793" s="1838" t="s">
        <v>3182</v>
      </c>
      <c r="O793" s="1838" t="s">
        <v>3183</v>
      </c>
      <c r="P793" s="1838"/>
    </row>
    <row r="794" spans="2:16" s="1843" customFormat="1">
      <c r="B794" s="1838">
        <f t="shared" si="39"/>
        <v>791</v>
      </c>
      <c r="C794" s="1838" t="s">
        <v>411</v>
      </c>
      <c r="D794" s="1838" t="s">
        <v>3162</v>
      </c>
      <c r="E794" s="1838" t="s">
        <v>3917</v>
      </c>
      <c r="F794" s="1839">
        <v>45352</v>
      </c>
      <c r="G794" s="1840">
        <v>47072</v>
      </c>
      <c r="H794" s="1841">
        <f t="shared" si="37"/>
        <v>30</v>
      </c>
      <c r="I794" s="1838">
        <f t="shared" si="38"/>
        <v>47072</v>
      </c>
      <c r="J794" s="1838">
        <v>0</v>
      </c>
      <c r="K794" s="1838">
        <v>0</v>
      </c>
      <c r="L794" s="1838">
        <v>0</v>
      </c>
      <c r="M794" s="1838">
        <v>0</v>
      </c>
      <c r="N794" s="1838" t="s">
        <v>3182</v>
      </c>
      <c r="O794" s="1838" t="s">
        <v>3183</v>
      </c>
      <c r="P794" s="1838"/>
    </row>
    <row r="795" spans="2:16" s="1843" customFormat="1">
      <c r="B795" s="1838">
        <f t="shared" si="39"/>
        <v>792</v>
      </c>
      <c r="C795" s="1838" t="s">
        <v>411</v>
      </c>
      <c r="D795" s="1838" t="s">
        <v>3162</v>
      </c>
      <c r="E795" s="1838" t="s">
        <v>3918</v>
      </c>
      <c r="F795" s="1839">
        <v>45354</v>
      </c>
      <c r="G795" s="1840">
        <v>47694</v>
      </c>
      <c r="H795" s="1841">
        <f t="shared" si="37"/>
        <v>28</v>
      </c>
      <c r="I795" s="1838">
        <f t="shared" si="38"/>
        <v>47694</v>
      </c>
      <c r="J795" s="1838">
        <v>0</v>
      </c>
      <c r="K795" s="1838">
        <v>0</v>
      </c>
      <c r="L795" s="1838">
        <v>0</v>
      </c>
      <c r="M795" s="1838">
        <v>0</v>
      </c>
      <c r="N795" s="1838" t="s">
        <v>3182</v>
      </c>
      <c r="O795" s="1838" t="s">
        <v>3183</v>
      </c>
      <c r="P795" s="1838"/>
    </row>
    <row r="796" spans="2:16" s="1843" customFormat="1">
      <c r="B796" s="1838">
        <f t="shared" si="39"/>
        <v>793</v>
      </c>
      <c r="C796" s="1838" t="s">
        <v>411</v>
      </c>
      <c r="D796" s="1838" t="s">
        <v>3162</v>
      </c>
      <c r="E796" s="1838" t="s">
        <v>3919</v>
      </c>
      <c r="F796" s="1839">
        <v>45355</v>
      </c>
      <c r="G796" s="1840">
        <v>59888</v>
      </c>
      <c r="H796" s="1841">
        <f t="shared" si="37"/>
        <v>27</v>
      </c>
      <c r="I796" s="1838">
        <f t="shared" si="38"/>
        <v>59888</v>
      </c>
      <c r="J796" s="1838">
        <v>0</v>
      </c>
      <c r="K796" s="1838">
        <v>0</v>
      </c>
      <c r="L796" s="1838">
        <v>0</v>
      </c>
      <c r="M796" s="1838">
        <v>0</v>
      </c>
      <c r="N796" s="1838" t="s">
        <v>3182</v>
      </c>
      <c r="O796" s="1838" t="s">
        <v>3183</v>
      </c>
      <c r="P796" s="1838"/>
    </row>
    <row r="797" spans="2:16" s="1843" customFormat="1">
      <c r="B797" s="1838">
        <f t="shared" si="39"/>
        <v>794</v>
      </c>
      <c r="C797" s="1838" t="s">
        <v>411</v>
      </c>
      <c r="D797" s="1838" t="s">
        <v>3162</v>
      </c>
      <c r="E797" s="1838" t="s">
        <v>3920</v>
      </c>
      <c r="F797" s="1839">
        <v>45356</v>
      </c>
      <c r="G797" s="1840">
        <v>45225</v>
      </c>
      <c r="H797" s="1841">
        <f t="shared" si="37"/>
        <v>26</v>
      </c>
      <c r="I797" s="1838">
        <f t="shared" si="38"/>
        <v>45225</v>
      </c>
      <c r="J797" s="1838">
        <v>0</v>
      </c>
      <c r="K797" s="1838">
        <v>0</v>
      </c>
      <c r="L797" s="1838">
        <v>0</v>
      </c>
      <c r="M797" s="1838">
        <v>0</v>
      </c>
      <c r="N797" s="1838" t="s">
        <v>3182</v>
      </c>
      <c r="O797" s="1838" t="s">
        <v>3183</v>
      </c>
      <c r="P797" s="1838"/>
    </row>
    <row r="798" spans="2:16" s="1843" customFormat="1">
      <c r="B798" s="1838">
        <f t="shared" si="39"/>
        <v>795</v>
      </c>
      <c r="C798" s="1838" t="s">
        <v>411</v>
      </c>
      <c r="D798" s="1838" t="s">
        <v>3162</v>
      </c>
      <c r="E798" s="1838" t="s">
        <v>3921</v>
      </c>
      <c r="F798" s="1839">
        <v>45357</v>
      </c>
      <c r="G798" s="1840">
        <v>46922</v>
      </c>
      <c r="H798" s="1841">
        <f t="shared" si="37"/>
        <v>25</v>
      </c>
      <c r="I798" s="1838">
        <f t="shared" si="38"/>
        <v>46922</v>
      </c>
      <c r="J798" s="1838">
        <v>0</v>
      </c>
      <c r="K798" s="1838">
        <v>0</v>
      </c>
      <c r="L798" s="1838">
        <v>0</v>
      </c>
      <c r="M798" s="1838">
        <v>0</v>
      </c>
      <c r="N798" s="1838" t="s">
        <v>3182</v>
      </c>
      <c r="O798" s="1838" t="s">
        <v>3183</v>
      </c>
      <c r="P798" s="1838"/>
    </row>
    <row r="799" spans="2:16" s="1843" customFormat="1">
      <c r="B799" s="1838">
        <f t="shared" si="39"/>
        <v>796</v>
      </c>
      <c r="C799" s="1838" t="s">
        <v>411</v>
      </c>
      <c r="D799" s="1838" t="s">
        <v>3162</v>
      </c>
      <c r="E799" s="1838" t="s">
        <v>3922</v>
      </c>
      <c r="F799" s="1839">
        <v>45380</v>
      </c>
      <c r="G799" s="1840">
        <v>50614</v>
      </c>
      <c r="H799" s="1841">
        <f t="shared" si="37"/>
        <v>2</v>
      </c>
      <c r="I799" s="1838">
        <f t="shared" si="38"/>
        <v>50614</v>
      </c>
      <c r="J799" s="1838">
        <v>0</v>
      </c>
      <c r="K799" s="1838">
        <v>0</v>
      </c>
      <c r="L799" s="1838">
        <v>0</v>
      </c>
      <c r="M799" s="1838">
        <v>0</v>
      </c>
      <c r="N799" s="1838" t="s">
        <v>3182</v>
      </c>
      <c r="O799" s="1838" t="s">
        <v>3183</v>
      </c>
      <c r="P799" s="1838"/>
    </row>
    <row r="800" spans="2:16" s="1843" customFormat="1">
      <c r="B800" s="1838">
        <f t="shared" si="39"/>
        <v>797</v>
      </c>
      <c r="C800" s="1838" t="s">
        <v>411</v>
      </c>
      <c r="D800" s="1838" t="s">
        <v>3162</v>
      </c>
      <c r="E800" s="1838" t="s">
        <v>3923</v>
      </c>
      <c r="F800" s="1839">
        <v>45380</v>
      </c>
      <c r="G800" s="1840">
        <v>59623</v>
      </c>
      <c r="H800" s="1841">
        <f t="shared" si="37"/>
        <v>2</v>
      </c>
      <c r="I800" s="1838">
        <f t="shared" si="38"/>
        <v>59623</v>
      </c>
      <c r="J800" s="1838">
        <v>0</v>
      </c>
      <c r="K800" s="1838">
        <v>0</v>
      </c>
      <c r="L800" s="1838">
        <v>0</v>
      </c>
      <c r="M800" s="1838">
        <v>0</v>
      </c>
      <c r="N800" s="1838" t="s">
        <v>3182</v>
      </c>
      <c r="O800" s="1838" t="s">
        <v>3183</v>
      </c>
      <c r="P800" s="1838"/>
    </row>
    <row r="801" spans="2:16" s="1843" customFormat="1">
      <c r="B801" s="1838">
        <f t="shared" si="39"/>
        <v>798</v>
      </c>
      <c r="C801" s="1838" t="s">
        <v>411</v>
      </c>
      <c r="D801" s="1838" t="s">
        <v>3162</v>
      </c>
      <c r="E801" s="1838" t="s">
        <v>3924</v>
      </c>
      <c r="F801" s="1839">
        <v>45381</v>
      </c>
      <c r="G801" s="1840">
        <v>51024</v>
      </c>
      <c r="H801" s="1841">
        <f t="shared" si="37"/>
        <v>1</v>
      </c>
      <c r="I801" s="1838">
        <f t="shared" si="38"/>
        <v>51024</v>
      </c>
      <c r="J801" s="1838">
        <v>0</v>
      </c>
      <c r="K801" s="1838">
        <v>0</v>
      </c>
      <c r="L801" s="1838">
        <v>0</v>
      </c>
      <c r="M801" s="1838">
        <v>0</v>
      </c>
      <c r="N801" s="1838" t="s">
        <v>3182</v>
      </c>
      <c r="O801" s="1838" t="s">
        <v>3183</v>
      </c>
      <c r="P801" s="1838"/>
    </row>
    <row r="802" spans="2:16" s="1843" customFormat="1">
      <c r="B802" s="1838">
        <f t="shared" si="39"/>
        <v>799</v>
      </c>
      <c r="C802" s="1838" t="s">
        <v>411</v>
      </c>
      <c r="D802" s="1838" t="s">
        <v>3162</v>
      </c>
      <c r="E802" s="1838" t="s">
        <v>3925</v>
      </c>
      <c r="F802" s="1839">
        <v>45382</v>
      </c>
      <c r="G802" s="1840">
        <v>51515</v>
      </c>
      <c r="H802" s="1841">
        <f t="shared" si="37"/>
        <v>0</v>
      </c>
      <c r="I802" s="1838">
        <f t="shared" si="38"/>
        <v>51515</v>
      </c>
      <c r="J802" s="1838">
        <v>0</v>
      </c>
      <c r="K802" s="1838">
        <v>0</v>
      </c>
      <c r="L802" s="1838">
        <v>0</v>
      </c>
      <c r="M802" s="1838">
        <v>0</v>
      </c>
      <c r="N802" s="1838" t="s">
        <v>3182</v>
      </c>
      <c r="O802" s="1838" t="s">
        <v>3183</v>
      </c>
      <c r="P802" s="1838"/>
    </row>
    <row r="803" spans="2:16" s="1843" customFormat="1">
      <c r="B803" s="1838">
        <f t="shared" si="39"/>
        <v>800</v>
      </c>
      <c r="C803" s="1838" t="s">
        <v>411</v>
      </c>
      <c r="D803" s="1838" t="s">
        <v>3162</v>
      </c>
      <c r="E803" s="1838" t="s">
        <v>3926</v>
      </c>
      <c r="F803" s="1839">
        <v>45382</v>
      </c>
      <c r="G803" s="1840">
        <v>53481</v>
      </c>
      <c r="H803" s="1841">
        <f t="shared" si="37"/>
        <v>0</v>
      </c>
      <c r="I803" s="1838">
        <f t="shared" si="38"/>
        <v>53481</v>
      </c>
      <c r="J803" s="1838">
        <v>0</v>
      </c>
      <c r="K803" s="1838">
        <v>0</v>
      </c>
      <c r="L803" s="1838">
        <v>0</v>
      </c>
      <c r="M803" s="1838">
        <v>0</v>
      </c>
      <c r="N803" s="1838" t="s">
        <v>3182</v>
      </c>
      <c r="O803" s="1838" t="s">
        <v>3183</v>
      </c>
      <c r="P803" s="1838"/>
    </row>
    <row r="804" spans="2:16" s="1843" customFormat="1">
      <c r="B804" s="1838">
        <f t="shared" si="39"/>
        <v>801</v>
      </c>
      <c r="C804" s="1838" t="s">
        <v>411</v>
      </c>
      <c r="D804" s="1838" t="s">
        <v>3162</v>
      </c>
      <c r="E804" s="1838" t="s">
        <v>3337</v>
      </c>
      <c r="F804" s="1839">
        <v>45382</v>
      </c>
      <c r="G804" s="1840">
        <v>-513</v>
      </c>
      <c r="H804" s="1841">
        <f t="shared" si="37"/>
        <v>0</v>
      </c>
      <c r="I804" s="1838">
        <f t="shared" si="38"/>
        <v>-513</v>
      </c>
      <c r="J804" s="1838">
        <v>0</v>
      </c>
      <c r="K804" s="1838">
        <v>0</v>
      </c>
      <c r="L804" s="1838">
        <v>0</v>
      </c>
      <c r="M804" s="1838">
        <v>0</v>
      </c>
      <c r="N804" s="1838" t="s">
        <v>3182</v>
      </c>
      <c r="O804" s="1838" t="s">
        <v>3183</v>
      </c>
      <c r="P804" s="1838"/>
    </row>
    <row r="805" spans="2:16" s="1843" customFormat="1">
      <c r="B805" s="1838">
        <f t="shared" si="39"/>
        <v>802</v>
      </c>
      <c r="C805" s="1838" t="s">
        <v>411</v>
      </c>
      <c r="D805" s="1838" t="s">
        <v>3162</v>
      </c>
      <c r="E805" s="1838" t="s">
        <v>3180</v>
      </c>
      <c r="F805" s="1839">
        <v>45382</v>
      </c>
      <c r="G805" s="1840">
        <v>1</v>
      </c>
      <c r="H805" s="1841">
        <f t="shared" si="37"/>
        <v>0</v>
      </c>
      <c r="I805" s="1838">
        <f t="shared" si="38"/>
        <v>1</v>
      </c>
      <c r="J805" s="1838">
        <v>0</v>
      </c>
      <c r="K805" s="1838">
        <v>0</v>
      </c>
      <c r="L805" s="1838">
        <v>0</v>
      </c>
      <c r="M805" s="1838">
        <v>0</v>
      </c>
      <c r="N805" s="1838" t="s">
        <v>3182</v>
      </c>
      <c r="O805" s="1838" t="s">
        <v>3183</v>
      </c>
      <c r="P805" s="1838"/>
    </row>
    <row r="806" spans="2:16" s="1843" customFormat="1">
      <c r="B806" s="1838">
        <f t="shared" si="39"/>
        <v>803</v>
      </c>
      <c r="C806" s="1838" t="s">
        <v>2682</v>
      </c>
      <c r="D806" s="1838" t="s">
        <v>3162</v>
      </c>
      <c r="E806" s="1838" t="s">
        <v>3927</v>
      </c>
      <c r="F806" s="1839">
        <v>45328</v>
      </c>
      <c r="G806" s="1840">
        <v>24290</v>
      </c>
      <c r="H806" s="1841">
        <f t="shared" si="37"/>
        <v>54</v>
      </c>
      <c r="I806" s="1838">
        <f t="shared" si="38"/>
        <v>24290</v>
      </c>
      <c r="J806" s="1838">
        <v>0</v>
      </c>
      <c r="K806" s="1838">
        <v>0</v>
      </c>
      <c r="L806" s="1838">
        <v>0</v>
      </c>
      <c r="M806" s="1838">
        <v>0</v>
      </c>
      <c r="N806" s="1838" t="s">
        <v>3182</v>
      </c>
      <c r="O806" s="1838" t="s">
        <v>3183</v>
      </c>
      <c r="P806" s="1838" t="s">
        <v>3184</v>
      </c>
    </row>
    <row r="807" spans="2:16" s="1843" customFormat="1">
      <c r="B807" s="1838">
        <f t="shared" si="39"/>
        <v>804</v>
      </c>
      <c r="C807" s="1838" t="s">
        <v>2682</v>
      </c>
      <c r="D807" s="1838" t="s">
        <v>3162</v>
      </c>
      <c r="E807" s="1838" t="s">
        <v>3779</v>
      </c>
      <c r="F807" s="1839">
        <v>45329</v>
      </c>
      <c r="G807" s="1840">
        <v>87649</v>
      </c>
      <c r="H807" s="1841">
        <f t="shared" si="37"/>
        <v>53</v>
      </c>
      <c r="I807" s="1838">
        <f t="shared" si="38"/>
        <v>87649</v>
      </c>
      <c r="J807" s="1838">
        <v>0</v>
      </c>
      <c r="K807" s="1838">
        <v>0</v>
      </c>
      <c r="L807" s="1838">
        <v>0</v>
      </c>
      <c r="M807" s="1838">
        <v>0</v>
      </c>
      <c r="N807" s="1838" t="s">
        <v>3182</v>
      </c>
      <c r="O807" s="1838" t="s">
        <v>3183</v>
      </c>
      <c r="P807" s="1838" t="s">
        <v>3184</v>
      </c>
    </row>
    <row r="808" spans="2:16" s="1843" customFormat="1">
      <c r="B808" s="1838">
        <f t="shared" si="39"/>
        <v>805</v>
      </c>
      <c r="C808" s="1838" t="s">
        <v>2682</v>
      </c>
      <c r="D808" s="1838" t="s">
        <v>3162</v>
      </c>
      <c r="E808" s="1838" t="s">
        <v>3778</v>
      </c>
      <c r="F808" s="1839">
        <v>45329</v>
      </c>
      <c r="G808" s="1840">
        <v>9684</v>
      </c>
      <c r="H808" s="1841">
        <f t="shared" si="37"/>
        <v>53</v>
      </c>
      <c r="I808" s="1838">
        <f t="shared" si="38"/>
        <v>9684</v>
      </c>
      <c r="J808" s="1838">
        <v>0</v>
      </c>
      <c r="K808" s="1838">
        <v>0</v>
      </c>
      <c r="L808" s="1838">
        <v>0</v>
      </c>
      <c r="M808" s="1838">
        <v>0</v>
      </c>
      <c r="N808" s="1838" t="s">
        <v>3182</v>
      </c>
      <c r="O808" s="1838" t="s">
        <v>3183</v>
      </c>
      <c r="P808" s="1838" t="s">
        <v>3184</v>
      </c>
    </row>
    <row r="809" spans="2:16" s="1843" customFormat="1">
      <c r="B809" s="1838">
        <f t="shared" si="39"/>
        <v>806</v>
      </c>
      <c r="C809" s="1838" t="s">
        <v>2682</v>
      </c>
      <c r="D809" s="1838" t="s">
        <v>3162</v>
      </c>
      <c r="E809" s="1838" t="s">
        <v>3928</v>
      </c>
      <c r="F809" s="1839">
        <v>45329</v>
      </c>
      <c r="G809" s="1840">
        <v>57096</v>
      </c>
      <c r="H809" s="1841">
        <f t="shared" si="37"/>
        <v>53</v>
      </c>
      <c r="I809" s="1838">
        <f t="shared" si="38"/>
        <v>57096</v>
      </c>
      <c r="J809" s="1838">
        <v>0</v>
      </c>
      <c r="K809" s="1838">
        <v>0</v>
      </c>
      <c r="L809" s="1838">
        <v>0</v>
      </c>
      <c r="M809" s="1838">
        <v>0</v>
      </c>
      <c r="N809" s="1838" t="s">
        <v>3182</v>
      </c>
      <c r="O809" s="1838" t="s">
        <v>3183</v>
      </c>
      <c r="P809" s="1838" t="s">
        <v>3184</v>
      </c>
    </row>
    <row r="810" spans="2:16" s="1843" customFormat="1">
      <c r="B810" s="1838">
        <f t="shared" si="39"/>
        <v>807</v>
      </c>
      <c r="C810" s="1838" t="s">
        <v>2682</v>
      </c>
      <c r="D810" s="1838" t="s">
        <v>3162</v>
      </c>
      <c r="E810" s="1838" t="s">
        <v>3781</v>
      </c>
      <c r="F810" s="1839">
        <v>45330</v>
      </c>
      <c r="G810" s="1840">
        <v>19199</v>
      </c>
      <c r="H810" s="1841">
        <f t="shared" si="37"/>
        <v>52</v>
      </c>
      <c r="I810" s="1838">
        <f t="shared" si="38"/>
        <v>19199</v>
      </c>
      <c r="J810" s="1838">
        <v>0</v>
      </c>
      <c r="K810" s="1838">
        <v>0</v>
      </c>
      <c r="L810" s="1838">
        <v>0</v>
      </c>
      <c r="M810" s="1838">
        <v>0</v>
      </c>
      <c r="N810" s="1838" t="s">
        <v>3182</v>
      </c>
      <c r="O810" s="1838" t="s">
        <v>3183</v>
      </c>
      <c r="P810" s="1838" t="s">
        <v>3184</v>
      </c>
    </row>
    <row r="811" spans="2:16" s="1843" customFormat="1">
      <c r="B811" s="1838">
        <f t="shared" si="39"/>
        <v>808</v>
      </c>
      <c r="C811" s="1838" t="s">
        <v>2682</v>
      </c>
      <c r="D811" s="1838" t="s">
        <v>3162</v>
      </c>
      <c r="E811" s="1838" t="s">
        <v>3783</v>
      </c>
      <c r="F811" s="1839">
        <v>45330</v>
      </c>
      <c r="G811" s="1840">
        <v>22372</v>
      </c>
      <c r="H811" s="1841">
        <f t="shared" si="37"/>
        <v>52</v>
      </c>
      <c r="I811" s="1838">
        <f t="shared" si="38"/>
        <v>22372</v>
      </c>
      <c r="J811" s="1838">
        <v>0</v>
      </c>
      <c r="K811" s="1838">
        <v>0</v>
      </c>
      <c r="L811" s="1838">
        <v>0</v>
      </c>
      <c r="M811" s="1838">
        <v>0</v>
      </c>
      <c r="N811" s="1838" t="s">
        <v>3182</v>
      </c>
      <c r="O811" s="1838" t="s">
        <v>3183</v>
      </c>
      <c r="P811" s="1838" t="s">
        <v>3184</v>
      </c>
    </row>
    <row r="812" spans="2:16" s="1843" customFormat="1">
      <c r="B812" s="1838">
        <f t="shared" si="39"/>
        <v>809</v>
      </c>
      <c r="C812" s="1838" t="s">
        <v>2682</v>
      </c>
      <c r="D812" s="1838" t="s">
        <v>3162</v>
      </c>
      <c r="E812" s="1838" t="s">
        <v>3782</v>
      </c>
      <c r="F812" s="1839">
        <v>45330</v>
      </c>
      <c r="G812" s="1840">
        <v>17475</v>
      </c>
      <c r="H812" s="1841">
        <f t="shared" si="37"/>
        <v>52</v>
      </c>
      <c r="I812" s="1838">
        <f t="shared" si="38"/>
        <v>17475</v>
      </c>
      <c r="J812" s="1838">
        <v>0</v>
      </c>
      <c r="K812" s="1838">
        <v>0</v>
      </c>
      <c r="L812" s="1838">
        <v>0</v>
      </c>
      <c r="M812" s="1838">
        <v>0</v>
      </c>
      <c r="N812" s="1838" t="s">
        <v>3182</v>
      </c>
      <c r="O812" s="1838" t="s">
        <v>3183</v>
      </c>
      <c r="P812" s="1838" t="s">
        <v>3184</v>
      </c>
    </row>
    <row r="813" spans="2:16" s="1843" customFormat="1">
      <c r="B813" s="1838">
        <f t="shared" si="39"/>
        <v>810</v>
      </c>
      <c r="C813" s="1838" t="s">
        <v>2682</v>
      </c>
      <c r="D813" s="1838" t="s">
        <v>3162</v>
      </c>
      <c r="E813" s="1838" t="s">
        <v>3929</v>
      </c>
      <c r="F813" s="1839">
        <v>45331</v>
      </c>
      <c r="G813" s="1840">
        <v>24040</v>
      </c>
      <c r="H813" s="1841">
        <f t="shared" si="37"/>
        <v>51</v>
      </c>
      <c r="I813" s="1838">
        <f t="shared" si="38"/>
        <v>24040</v>
      </c>
      <c r="J813" s="1838">
        <v>0</v>
      </c>
      <c r="K813" s="1838">
        <v>0</v>
      </c>
      <c r="L813" s="1838">
        <v>0</v>
      </c>
      <c r="M813" s="1838">
        <v>0</v>
      </c>
      <c r="N813" s="1838" t="s">
        <v>3182</v>
      </c>
      <c r="O813" s="1838" t="s">
        <v>3183</v>
      </c>
      <c r="P813" s="1838" t="s">
        <v>3184</v>
      </c>
    </row>
    <row r="814" spans="2:16" s="1843" customFormat="1">
      <c r="B814" s="1838">
        <f t="shared" si="39"/>
        <v>811</v>
      </c>
      <c r="C814" s="1838" t="s">
        <v>2682</v>
      </c>
      <c r="D814" s="1838" t="s">
        <v>3162</v>
      </c>
      <c r="E814" s="1838" t="s">
        <v>3930</v>
      </c>
      <c r="F814" s="1839">
        <v>45331</v>
      </c>
      <c r="G814" s="1840">
        <v>4590</v>
      </c>
      <c r="H814" s="1841">
        <f t="shared" si="37"/>
        <v>51</v>
      </c>
      <c r="I814" s="1838">
        <f t="shared" si="38"/>
        <v>4590</v>
      </c>
      <c r="J814" s="1838">
        <v>0</v>
      </c>
      <c r="K814" s="1838">
        <v>0</v>
      </c>
      <c r="L814" s="1838">
        <v>0</v>
      </c>
      <c r="M814" s="1838">
        <v>0</v>
      </c>
      <c r="N814" s="1838" t="s">
        <v>3182</v>
      </c>
      <c r="O814" s="1838" t="s">
        <v>3183</v>
      </c>
      <c r="P814" s="1838" t="s">
        <v>3184</v>
      </c>
    </row>
    <row r="815" spans="2:16" s="1843" customFormat="1">
      <c r="B815" s="1838">
        <f t="shared" si="39"/>
        <v>812</v>
      </c>
      <c r="C815" s="1838" t="s">
        <v>2682</v>
      </c>
      <c r="D815" s="1838" t="s">
        <v>3162</v>
      </c>
      <c r="E815" s="1838" t="s">
        <v>3931</v>
      </c>
      <c r="F815" s="1839">
        <v>45332</v>
      </c>
      <c r="G815" s="1840">
        <v>83476</v>
      </c>
      <c r="H815" s="1841">
        <f t="shared" si="37"/>
        <v>50</v>
      </c>
      <c r="I815" s="1838">
        <f t="shared" si="38"/>
        <v>83476</v>
      </c>
      <c r="J815" s="1838">
        <v>0</v>
      </c>
      <c r="K815" s="1838">
        <v>0</v>
      </c>
      <c r="L815" s="1838">
        <v>0</v>
      </c>
      <c r="M815" s="1838">
        <v>0</v>
      </c>
      <c r="N815" s="1838" t="s">
        <v>3182</v>
      </c>
      <c r="O815" s="1838" t="s">
        <v>3183</v>
      </c>
      <c r="P815" s="1838" t="s">
        <v>3184</v>
      </c>
    </row>
    <row r="816" spans="2:16" s="1843" customFormat="1">
      <c r="B816" s="1838">
        <f t="shared" si="39"/>
        <v>813</v>
      </c>
      <c r="C816" s="1838" t="s">
        <v>2682</v>
      </c>
      <c r="D816" s="1838" t="s">
        <v>3162</v>
      </c>
      <c r="E816" s="1838" t="s">
        <v>3932</v>
      </c>
      <c r="F816" s="1839">
        <v>45332</v>
      </c>
      <c r="G816" s="1840">
        <v>26044</v>
      </c>
      <c r="H816" s="1841">
        <f t="shared" si="37"/>
        <v>50</v>
      </c>
      <c r="I816" s="1838">
        <f t="shared" si="38"/>
        <v>26044</v>
      </c>
      <c r="J816" s="1838">
        <v>0</v>
      </c>
      <c r="K816" s="1838">
        <v>0</v>
      </c>
      <c r="L816" s="1838">
        <v>0</v>
      </c>
      <c r="M816" s="1838">
        <v>0</v>
      </c>
      <c r="N816" s="1838" t="s">
        <v>3182</v>
      </c>
      <c r="O816" s="1838" t="s">
        <v>3183</v>
      </c>
      <c r="P816" s="1838" t="s">
        <v>3184</v>
      </c>
    </row>
    <row r="817" spans="2:16" s="1843" customFormat="1">
      <c r="B817" s="1838">
        <f t="shared" si="39"/>
        <v>814</v>
      </c>
      <c r="C817" s="1838" t="s">
        <v>2682</v>
      </c>
      <c r="D817" s="1838" t="s">
        <v>3162</v>
      </c>
      <c r="E817" s="1838" t="s">
        <v>3933</v>
      </c>
      <c r="F817" s="1839">
        <v>45332</v>
      </c>
      <c r="G817" s="1840">
        <v>26879</v>
      </c>
      <c r="H817" s="1841">
        <f t="shared" si="37"/>
        <v>50</v>
      </c>
      <c r="I817" s="1838">
        <f t="shared" si="38"/>
        <v>26879</v>
      </c>
      <c r="J817" s="1838">
        <v>0</v>
      </c>
      <c r="K817" s="1838">
        <v>0</v>
      </c>
      <c r="L817" s="1838">
        <v>0</v>
      </c>
      <c r="M817" s="1838">
        <v>0</v>
      </c>
      <c r="N817" s="1838" t="s">
        <v>3182</v>
      </c>
      <c r="O817" s="1838" t="s">
        <v>3183</v>
      </c>
      <c r="P817" s="1838" t="s">
        <v>3184</v>
      </c>
    </row>
    <row r="818" spans="2:16" s="1843" customFormat="1">
      <c r="B818" s="1838">
        <f t="shared" si="39"/>
        <v>815</v>
      </c>
      <c r="C818" s="1838" t="s">
        <v>2682</v>
      </c>
      <c r="D818" s="1838" t="s">
        <v>3162</v>
      </c>
      <c r="E818" s="1838" t="s">
        <v>3934</v>
      </c>
      <c r="F818" s="1839">
        <v>45332</v>
      </c>
      <c r="G818" s="1840">
        <v>18364</v>
      </c>
      <c r="H818" s="1841">
        <f t="shared" si="37"/>
        <v>50</v>
      </c>
      <c r="I818" s="1838">
        <f t="shared" si="38"/>
        <v>18364</v>
      </c>
      <c r="J818" s="1838">
        <v>0</v>
      </c>
      <c r="K818" s="1838">
        <v>0</v>
      </c>
      <c r="L818" s="1838">
        <v>0</v>
      </c>
      <c r="M818" s="1838">
        <v>0</v>
      </c>
      <c r="N818" s="1838" t="s">
        <v>3182</v>
      </c>
      <c r="O818" s="1838" t="s">
        <v>3183</v>
      </c>
      <c r="P818" s="1838" t="s">
        <v>3184</v>
      </c>
    </row>
    <row r="819" spans="2:16" s="1843" customFormat="1">
      <c r="B819" s="1838">
        <f t="shared" si="39"/>
        <v>816</v>
      </c>
      <c r="C819" s="1838" t="s">
        <v>2682</v>
      </c>
      <c r="D819" s="1838" t="s">
        <v>3162</v>
      </c>
      <c r="E819" s="1838" t="s">
        <v>3935</v>
      </c>
      <c r="F819" s="1839">
        <v>45332</v>
      </c>
      <c r="G819" s="1840">
        <v>7179</v>
      </c>
      <c r="H819" s="1841">
        <f t="shared" si="37"/>
        <v>50</v>
      </c>
      <c r="I819" s="1838">
        <f t="shared" si="38"/>
        <v>7179</v>
      </c>
      <c r="J819" s="1838">
        <v>0</v>
      </c>
      <c r="K819" s="1838">
        <v>0</v>
      </c>
      <c r="L819" s="1838">
        <v>0</v>
      </c>
      <c r="M819" s="1838">
        <v>0</v>
      </c>
      <c r="N819" s="1838" t="s">
        <v>3182</v>
      </c>
      <c r="O819" s="1838" t="s">
        <v>3183</v>
      </c>
      <c r="P819" s="1838" t="s">
        <v>3184</v>
      </c>
    </row>
    <row r="820" spans="2:16" s="1843" customFormat="1">
      <c r="B820" s="1838">
        <f t="shared" si="39"/>
        <v>817</v>
      </c>
      <c r="C820" s="1838" t="s">
        <v>2682</v>
      </c>
      <c r="D820" s="1838" t="s">
        <v>3162</v>
      </c>
      <c r="E820" s="1838" t="s">
        <v>3936</v>
      </c>
      <c r="F820" s="1839">
        <v>45332</v>
      </c>
      <c r="G820" s="1840">
        <v>9099</v>
      </c>
      <c r="H820" s="1841">
        <f t="shared" si="37"/>
        <v>50</v>
      </c>
      <c r="I820" s="1838">
        <f t="shared" si="38"/>
        <v>9099</v>
      </c>
      <c r="J820" s="1838">
        <v>0</v>
      </c>
      <c r="K820" s="1838">
        <v>0</v>
      </c>
      <c r="L820" s="1838">
        <v>0</v>
      </c>
      <c r="M820" s="1838">
        <v>0</v>
      </c>
      <c r="N820" s="1838" t="s">
        <v>3182</v>
      </c>
      <c r="O820" s="1838" t="s">
        <v>3183</v>
      </c>
      <c r="P820" s="1838" t="s">
        <v>3184</v>
      </c>
    </row>
    <row r="821" spans="2:16" s="1843" customFormat="1">
      <c r="B821" s="1838">
        <f t="shared" si="39"/>
        <v>818</v>
      </c>
      <c r="C821" s="1838" t="s">
        <v>2682</v>
      </c>
      <c r="D821" s="1838" t="s">
        <v>3162</v>
      </c>
      <c r="E821" s="1838" t="s">
        <v>3937</v>
      </c>
      <c r="F821" s="1839">
        <v>45335</v>
      </c>
      <c r="G821" s="1840">
        <v>23446</v>
      </c>
      <c r="H821" s="1841">
        <f t="shared" si="37"/>
        <v>47</v>
      </c>
      <c r="I821" s="1838">
        <f t="shared" si="38"/>
        <v>23446</v>
      </c>
      <c r="J821" s="1838">
        <v>0</v>
      </c>
      <c r="K821" s="1838">
        <v>0</v>
      </c>
      <c r="L821" s="1838">
        <v>0</v>
      </c>
      <c r="M821" s="1838">
        <v>0</v>
      </c>
      <c r="N821" s="1838" t="s">
        <v>3182</v>
      </c>
      <c r="O821" s="1838" t="s">
        <v>3183</v>
      </c>
      <c r="P821" s="1838" t="s">
        <v>3184</v>
      </c>
    </row>
    <row r="822" spans="2:16" s="1843" customFormat="1">
      <c r="B822" s="1838">
        <f t="shared" si="39"/>
        <v>819</v>
      </c>
      <c r="C822" s="1838" t="s">
        <v>2682</v>
      </c>
      <c r="D822" s="1838" t="s">
        <v>3162</v>
      </c>
      <c r="E822" s="1838" t="s">
        <v>3938</v>
      </c>
      <c r="F822" s="1839">
        <v>45335</v>
      </c>
      <c r="G822" s="1840">
        <v>14218</v>
      </c>
      <c r="H822" s="1841">
        <f t="shared" si="37"/>
        <v>47</v>
      </c>
      <c r="I822" s="1838">
        <f t="shared" si="38"/>
        <v>14218</v>
      </c>
      <c r="J822" s="1838">
        <v>0</v>
      </c>
      <c r="K822" s="1838">
        <v>0</v>
      </c>
      <c r="L822" s="1838">
        <v>0</v>
      </c>
      <c r="M822" s="1838">
        <v>0</v>
      </c>
      <c r="N822" s="1838" t="s">
        <v>3182</v>
      </c>
      <c r="O822" s="1838" t="s">
        <v>3183</v>
      </c>
      <c r="P822" s="1838" t="s">
        <v>3184</v>
      </c>
    </row>
    <row r="823" spans="2:16" s="1843" customFormat="1">
      <c r="B823" s="1838">
        <f t="shared" si="39"/>
        <v>820</v>
      </c>
      <c r="C823" s="1838" t="s">
        <v>2682</v>
      </c>
      <c r="D823" s="1838" t="s">
        <v>3162</v>
      </c>
      <c r="E823" s="1838" t="s">
        <v>3805</v>
      </c>
      <c r="F823" s="1839">
        <v>45351</v>
      </c>
      <c r="G823" s="1840">
        <v>-911</v>
      </c>
      <c r="H823" s="1841">
        <f t="shared" si="37"/>
        <v>31</v>
      </c>
      <c r="I823" s="1838">
        <f t="shared" si="38"/>
        <v>-911</v>
      </c>
      <c r="J823" s="1838">
        <v>0</v>
      </c>
      <c r="K823" s="1838">
        <v>0</v>
      </c>
      <c r="L823" s="1838">
        <v>0</v>
      </c>
      <c r="M823" s="1838">
        <v>0</v>
      </c>
      <c r="N823" s="1838" t="s">
        <v>3182</v>
      </c>
      <c r="O823" s="1838" t="s">
        <v>3183</v>
      </c>
      <c r="P823" s="1838" t="s">
        <v>3184</v>
      </c>
    </row>
    <row r="824" spans="2:16" s="1843" customFormat="1">
      <c r="B824" s="1838">
        <f t="shared" si="39"/>
        <v>821</v>
      </c>
      <c r="C824" s="1838" t="s">
        <v>333</v>
      </c>
      <c r="D824" s="1838" t="s">
        <v>3162</v>
      </c>
      <c r="E824" s="1838" t="s">
        <v>3939</v>
      </c>
      <c r="F824" s="1839">
        <v>45292</v>
      </c>
      <c r="G824" s="1840">
        <v>23182</v>
      </c>
      <c r="H824" s="1841">
        <f t="shared" si="37"/>
        <v>90</v>
      </c>
      <c r="I824" s="1838">
        <f t="shared" si="38"/>
        <v>23182</v>
      </c>
      <c r="J824" s="1838">
        <v>0</v>
      </c>
      <c r="K824" s="1838">
        <v>0</v>
      </c>
      <c r="L824" s="1838">
        <v>0</v>
      </c>
      <c r="M824" s="1838">
        <v>0</v>
      </c>
      <c r="N824" s="1838" t="s">
        <v>3940</v>
      </c>
      <c r="O824" s="1838" t="s">
        <v>3297</v>
      </c>
      <c r="P824" s="1838"/>
    </row>
    <row r="825" spans="2:16" s="1843" customFormat="1">
      <c r="B825" s="1838">
        <f t="shared" si="39"/>
        <v>822</v>
      </c>
      <c r="C825" s="1838" t="s">
        <v>333</v>
      </c>
      <c r="D825" s="1838" t="s">
        <v>3162</v>
      </c>
      <c r="E825" s="1838" t="s">
        <v>3941</v>
      </c>
      <c r="F825" s="1839">
        <v>45296</v>
      </c>
      <c r="G825" s="1840">
        <v>21785</v>
      </c>
      <c r="H825" s="1841">
        <f t="shared" si="37"/>
        <v>86</v>
      </c>
      <c r="I825" s="1838">
        <f t="shared" si="38"/>
        <v>21785</v>
      </c>
      <c r="J825" s="1838">
        <v>0</v>
      </c>
      <c r="K825" s="1838">
        <v>0</v>
      </c>
      <c r="L825" s="1838">
        <v>0</v>
      </c>
      <c r="M825" s="1838">
        <v>0</v>
      </c>
      <c r="N825" s="1838" t="s">
        <v>3940</v>
      </c>
      <c r="O825" s="1838" t="s">
        <v>3297</v>
      </c>
      <c r="P825" s="1838"/>
    </row>
    <row r="826" spans="2:16" s="1843" customFormat="1">
      <c r="B826" s="1838">
        <f t="shared" si="39"/>
        <v>823</v>
      </c>
      <c r="C826" s="1838" t="s">
        <v>333</v>
      </c>
      <c r="D826" s="1838" t="s">
        <v>3162</v>
      </c>
      <c r="E826" s="1838" t="s">
        <v>3942</v>
      </c>
      <c r="F826" s="1839">
        <v>45297</v>
      </c>
      <c r="G826" s="1840">
        <v>43082</v>
      </c>
      <c r="H826" s="1841">
        <f t="shared" si="37"/>
        <v>85</v>
      </c>
      <c r="I826" s="1838">
        <f t="shared" si="38"/>
        <v>43082</v>
      </c>
      <c r="J826" s="1838">
        <v>0</v>
      </c>
      <c r="K826" s="1838">
        <v>0</v>
      </c>
      <c r="L826" s="1838">
        <v>0</v>
      </c>
      <c r="M826" s="1838">
        <v>0</v>
      </c>
      <c r="N826" s="1838" t="s">
        <v>3940</v>
      </c>
      <c r="O826" s="1838" t="s">
        <v>3297</v>
      </c>
      <c r="P826" s="1838"/>
    </row>
    <row r="827" spans="2:16" s="1843" customFormat="1">
      <c r="B827" s="1838">
        <f t="shared" si="39"/>
        <v>824</v>
      </c>
      <c r="C827" s="1838" t="s">
        <v>333</v>
      </c>
      <c r="D827" s="1838" t="s">
        <v>3162</v>
      </c>
      <c r="E827" s="1838" t="s">
        <v>3943</v>
      </c>
      <c r="F827" s="1839">
        <v>45299</v>
      </c>
      <c r="G827" s="1840">
        <v>23741</v>
      </c>
      <c r="H827" s="1841">
        <f t="shared" si="37"/>
        <v>83</v>
      </c>
      <c r="I827" s="1838">
        <f t="shared" si="38"/>
        <v>23741</v>
      </c>
      <c r="J827" s="1838">
        <v>0</v>
      </c>
      <c r="K827" s="1838">
        <v>0</v>
      </c>
      <c r="L827" s="1838">
        <v>0</v>
      </c>
      <c r="M827" s="1838">
        <v>0</v>
      </c>
      <c r="N827" s="1838" t="s">
        <v>3940</v>
      </c>
      <c r="O827" s="1838" t="s">
        <v>3297</v>
      </c>
      <c r="P827" s="1838"/>
    </row>
    <row r="828" spans="2:16" s="1843" customFormat="1">
      <c r="B828" s="1838">
        <f t="shared" si="39"/>
        <v>825</v>
      </c>
      <c r="C828" s="1838" t="s">
        <v>333</v>
      </c>
      <c r="D828" s="1838" t="s">
        <v>3162</v>
      </c>
      <c r="E828" s="1838" t="s">
        <v>3944</v>
      </c>
      <c r="F828" s="1839">
        <v>45302</v>
      </c>
      <c r="G828" s="1840">
        <v>12824</v>
      </c>
      <c r="H828" s="1841">
        <f t="shared" si="37"/>
        <v>80</v>
      </c>
      <c r="I828" s="1838">
        <f t="shared" si="38"/>
        <v>12824</v>
      </c>
      <c r="J828" s="1838">
        <v>0</v>
      </c>
      <c r="K828" s="1838">
        <v>0</v>
      </c>
      <c r="L828" s="1838">
        <v>0</v>
      </c>
      <c r="M828" s="1838">
        <v>0</v>
      </c>
      <c r="N828" s="1838" t="s">
        <v>3940</v>
      </c>
      <c r="O828" s="1838" t="s">
        <v>3297</v>
      </c>
      <c r="P828" s="1838"/>
    </row>
    <row r="829" spans="2:16" s="1843" customFormat="1">
      <c r="B829" s="1838">
        <f t="shared" si="39"/>
        <v>826</v>
      </c>
      <c r="C829" s="1838" t="s">
        <v>333</v>
      </c>
      <c r="D829" s="1838" t="s">
        <v>3162</v>
      </c>
      <c r="E829" s="1838" t="s">
        <v>3945</v>
      </c>
      <c r="F829" s="1839">
        <v>45302</v>
      </c>
      <c r="G829" s="1840">
        <v>24428</v>
      </c>
      <c r="H829" s="1841">
        <f t="shared" si="37"/>
        <v>80</v>
      </c>
      <c r="I829" s="1838">
        <f t="shared" si="38"/>
        <v>24428</v>
      </c>
      <c r="J829" s="1838">
        <v>0</v>
      </c>
      <c r="K829" s="1838">
        <v>0</v>
      </c>
      <c r="L829" s="1838">
        <v>0</v>
      </c>
      <c r="M829" s="1838">
        <v>0</v>
      </c>
      <c r="N829" s="1838" t="s">
        <v>3940</v>
      </c>
      <c r="O829" s="1838" t="s">
        <v>3297</v>
      </c>
      <c r="P829" s="1838"/>
    </row>
    <row r="830" spans="2:16" s="1843" customFormat="1">
      <c r="B830" s="1838">
        <f t="shared" si="39"/>
        <v>827</v>
      </c>
      <c r="C830" s="1838" t="s">
        <v>333</v>
      </c>
      <c r="D830" s="1838" t="s">
        <v>3162</v>
      </c>
      <c r="E830" s="1838" t="s">
        <v>3946</v>
      </c>
      <c r="F830" s="1839">
        <v>45306</v>
      </c>
      <c r="G830" s="1840">
        <v>23599</v>
      </c>
      <c r="H830" s="1841">
        <f t="shared" si="37"/>
        <v>76</v>
      </c>
      <c r="I830" s="1838">
        <f t="shared" si="38"/>
        <v>23599</v>
      </c>
      <c r="J830" s="1838">
        <v>0</v>
      </c>
      <c r="K830" s="1838">
        <v>0</v>
      </c>
      <c r="L830" s="1838">
        <v>0</v>
      </c>
      <c r="M830" s="1838">
        <v>0</v>
      </c>
      <c r="N830" s="1838" t="s">
        <v>3940</v>
      </c>
      <c r="O830" s="1838" t="s">
        <v>3297</v>
      </c>
      <c r="P830" s="1838"/>
    </row>
    <row r="831" spans="2:16" s="1843" customFormat="1">
      <c r="B831" s="1838">
        <f t="shared" si="39"/>
        <v>828</v>
      </c>
      <c r="C831" s="1838" t="s">
        <v>333</v>
      </c>
      <c r="D831" s="1838" t="s">
        <v>3162</v>
      </c>
      <c r="E831" s="1838" t="s">
        <v>3947</v>
      </c>
      <c r="F831" s="1839">
        <v>45307</v>
      </c>
      <c r="G831" s="1840">
        <v>52755</v>
      </c>
      <c r="H831" s="1841">
        <f t="shared" si="37"/>
        <v>75</v>
      </c>
      <c r="I831" s="1838">
        <f t="shared" si="38"/>
        <v>52755</v>
      </c>
      <c r="J831" s="1838">
        <v>0</v>
      </c>
      <c r="K831" s="1838">
        <v>0</v>
      </c>
      <c r="L831" s="1838">
        <v>0</v>
      </c>
      <c r="M831" s="1838">
        <v>0</v>
      </c>
      <c r="N831" s="1838" t="s">
        <v>3940</v>
      </c>
      <c r="O831" s="1838" t="s">
        <v>3297</v>
      </c>
      <c r="P831" s="1838"/>
    </row>
    <row r="832" spans="2:16" s="1843" customFormat="1">
      <c r="B832" s="1838">
        <f t="shared" si="39"/>
        <v>829</v>
      </c>
      <c r="C832" s="1838" t="s">
        <v>333</v>
      </c>
      <c r="D832" s="1838" t="s">
        <v>3162</v>
      </c>
      <c r="E832" s="1838" t="s">
        <v>3948</v>
      </c>
      <c r="F832" s="1839">
        <v>45308</v>
      </c>
      <c r="G832" s="1840">
        <v>26618</v>
      </c>
      <c r="H832" s="1841">
        <f t="shared" si="37"/>
        <v>74</v>
      </c>
      <c r="I832" s="1838">
        <f t="shared" si="38"/>
        <v>26618</v>
      </c>
      <c r="J832" s="1838">
        <v>0</v>
      </c>
      <c r="K832" s="1838">
        <v>0</v>
      </c>
      <c r="L832" s="1838">
        <v>0</v>
      </c>
      <c r="M832" s="1838">
        <v>0</v>
      </c>
      <c r="N832" s="1838" t="s">
        <v>3940</v>
      </c>
      <c r="O832" s="1838" t="s">
        <v>3297</v>
      </c>
      <c r="P832" s="1838"/>
    </row>
    <row r="833" spans="2:16" s="1843" customFormat="1">
      <c r="B833" s="1838">
        <f t="shared" si="39"/>
        <v>830</v>
      </c>
      <c r="C833" s="1838" t="s">
        <v>333</v>
      </c>
      <c r="D833" s="1838" t="s">
        <v>3162</v>
      </c>
      <c r="E833" s="1838" t="s">
        <v>3949</v>
      </c>
      <c r="F833" s="1839">
        <v>45311</v>
      </c>
      <c r="G833" s="1840">
        <v>28970</v>
      </c>
      <c r="H833" s="1841">
        <f t="shared" si="37"/>
        <v>71</v>
      </c>
      <c r="I833" s="1838">
        <f t="shared" si="38"/>
        <v>28970</v>
      </c>
      <c r="J833" s="1838">
        <v>0</v>
      </c>
      <c r="K833" s="1838">
        <v>0</v>
      </c>
      <c r="L833" s="1838">
        <v>0</v>
      </c>
      <c r="M833" s="1838">
        <v>0</v>
      </c>
      <c r="N833" s="1838" t="s">
        <v>3940</v>
      </c>
      <c r="O833" s="1838" t="s">
        <v>3297</v>
      </c>
      <c r="P833" s="1838"/>
    </row>
    <row r="834" spans="2:16" s="1843" customFormat="1">
      <c r="B834" s="1838">
        <f t="shared" si="39"/>
        <v>831</v>
      </c>
      <c r="C834" s="1838" t="s">
        <v>333</v>
      </c>
      <c r="D834" s="1838" t="s">
        <v>3162</v>
      </c>
      <c r="E834" s="1838" t="s">
        <v>3950</v>
      </c>
      <c r="F834" s="1839">
        <v>45314</v>
      </c>
      <c r="G834" s="1840">
        <v>46058</v>
      </c>
      <c r="H834" s="1841">
        <f t="shared" si="37"/>
        <v>68</v>
      </c>
      <c r="I834" s="1838">
        <f t="shared" si="38"/>
        <v>46058</v>
      </c>
      <c r="J834" s="1838">
        <v>0</v>
      </c>
      <c r="K834" s="1838">
        <v>0</v>
      </c>
      <c r="L834" s="1838">
        <v>0</v>
      </c>
      <c r="M834" s="1838">
        <v>0</v>
      </c>
      <c r="N834" s="1838" t="s">
        <v>3940</v>
      </c>
      <c r="O834" s="1838" t="s">
        <v>3297</v>
      </c>
      <c r="P834" s="1838"/>
    </row>
    <row r="835" spans="2:16" s="1843" customFormat="1">
      <c r="B835" s="1838">
        <f t="shared" si="39"/>
        <v>832</v>
      </c>
      <c r="C835" s="1838" t="s">
        <v>333</v>
      </c>
      <c r="D835" s="1838" t="s">
        <v>3162</v>
      </c>
      <c r="E835" s="1838" t="s">
        <v>3951</v>
      </c>
      <c r="F835" s="1839">
        <v>45316</v>
      </c>
      <c r="G835" s="1840">
        <v>28970</v>
      </c>
      <c r="H835" s="1841">
        <f t="shared" si="37"/>
        <v>66</v>
      </c>
      <c r="I835" s="1838">
        <f t="shared" si="38"/>
        <v>28970</v>
      </c>
      <c r="J835" s="1838">
        <v>0</v>
      </c>
      <c r="K835" s="1838">
        <v>0</v>
      </c>
      <c r="L835" s="1838">
        <v>0</v>
      </c>
      <c r="M835" s="1838">
        <v>0</v>
      </c>
      <c r="N835" s="1838" t="s">
        <v>3940</v>
      </c>
      <c r="O835" s="1838" t="s">
        <v>3297</v>
      </c>
      <c r="P835" s="1838"/>
    </row>
    <row r="836" spans="2:16" s="1843" customFormat="1">
      <c r="B836" s="1838">
        <f t="shared" si="39"/>
        <v>833</v>
      </c>
      <c r="C836" s="1838" t="s">
        <v>333</v>
      </c>
      <c r="D836" s="1838" t="s">
        <v>3162</v>
      </c>
      <c r="E836" s="1838" t="s">
        <v>3952</v>
      </c>
      <c r="F836" s="1839">
        <v>45318</v>
      </c>
      <c r="G836" s="1840">
        <v>69983</v>
      </c>
      <c r="H836" s="1841">
        <f t="shared" si="37"/>
        <v>64</v>
      </c>
      <c r="I836" s="1838">
        <f t="shared" si="38"/>
        <v>69983</v>
      </c>
      <c r="J836" s="1838">
        <v>0</v>
      </c>
      <c r="K836" s="1838">
        <v>0</v>
      </c>
      <c r="L836" s="1838">
        <v>0</v>
      </c>
      <c r="M836" s="1838">
        <v>0</v>
      </c>
      <c r="N836" s="1838" t="s">
        <v>3940</v>
      </c>
      <c r="O836" s="1838" t="s">
        <v>3297</v>
      </c>
      <c r="P836" s="1838"/>
    </row>
    <row r="837" spans="2:16" s="1843" customFormat="1">
      <c r="B837" s="1838">
        <f t="shared" si="39"/>
        <v>834</v>
      </c>
      <c r="C837" s="1838" t="s">
        <v>333</v>
      </c>
      <c r="D837" s="1838" t="s">
        <v>3162</v>
      </c>
      <c r="E837" s="1838" t="s">
        <v>3953</v>
      </c>
      <c r="F837" s="1839">
        <v>45318</v>
      </c>
      <c r="G837" s="1840">
        <v>25032</v>
      </c>
      <c r="H837" s="1841">
        <f t="shared" ref="H837:H900" si="40">+$H$2-F837</f>
        <v>64</v>
      </c>
      <c r="I837" s="1838">
        <f t="shared" ref="I837:I900" si="41">+G837</f>
        <v>25032</v>
      </c>
      <c r="J837" s="1838">
        <v>0</v>
      </c>
      <c r="K837" s="1838">
        <v>0</v>
      </c>
      <c r="L837" s="1838">
        <v>0</v>
      </c>
      <c r="M837" s="1838">
        <v>0</v>
      </c>
      <c r="N837" s="1838" t="s">
        <v>3940</v>
      </c>
      <c r="O837" s="1838" t="s">
        <v>3297</v>
      </c>
      <c r="P837" s="1838"/>
    </row>
    <row r="838" spans="2:16" s="1843" customFormat="1">
      <c r="B838" s="1838">
        <f t="shared" ref="B838:B901" si="42">+B837+1</f>
        <v>835</v>
      </c>
      <c r="C838" s="1838" t="s">
        <v>333</v>
      </c>
      <c r="D838" s="1838" t="s">
        <v>3162</v>
      </c>
      <c r="E838" s="1838" t="s">
        <v>3954</v>
      </c>
      <c r="F838" s="1839">
        <v>45318</v>
      </c>
      <c r="G838" s="1840">
        <v>54936</v>
      </c>
      <c r="H838" s="1841">
        <f t="shared" si="40"/>
        <v>64</v>
      </c>
      <c r="I838" s="1838">
        <f t="shared" si="41"/>
        <v>54936</v>
      </c>
      <c r="J838" s="1838">
        <v>0</v>
      </c>
      <c r="K838" s="1838">
        <v>0</v>
      </c>
      <c r="L838" s="1838">
        <v>0</v>
      </c>
      <c r="M838" s="1838">
        <v>0</v>
      </c>
      <c r="N838" s="1838" t="s">
        <v>3940</v>
      </c>
      <c r="O838" s="1838" t="s">
        <v>3297</v>
      </c>
      <c r="P838" s="1838"/>
    </row>
    <row r="839" spans="2:16" s="1843" customFormat="1">
      <c r="B839" s="1838">
        <f t="shared" si="42"/>
        <v>836</v>
      </c>
      <c r="C839" s="1838" t="s">
        <v>333</v>
      </c>
      <c r="D839" s="1838" t="s">
        <v>3162</v>
      </c>
      <c r="E839" s="1838" t="s">
        <v>3955</v>
      </c>
      <c r="F839" s="1839">
        <v>45322</v>
      </c>
      <c r="G839" s="1840">
        <v>28140</v>
      </c>
      <c r="H839" s="1841">
        <f t="shared" si="40"/>
        <v>60</v>
      </c>
      <c r="I839" s="1838">
        <f t="shared" si="41"/>
        <v>28140</v>
      </c>
      <c r="J839" s="1838">
        <v>0</v>
      </c>
      <c r="K839" s="1838">
        <v>0</v>
      </c>
      <c r="L839" s="1838">
        <v>0</v>
      </c>
      <c r="M839" s="1838">
        <v>0</v>
      </c>
      <c r="N839" s="1838" t="s">
        <v>3940</v>
      </c>
      <c r="O839" s="1838" t="s">
        <v>3297</v>
      </c>
      <c r="P839" s="1838"/>
    </row>
    <row r="840" spans="2:16" s="1843" customFormat="1">
      <c r="B840" s="1838">
        <f t="shared" si="42"/>
        <v>837</v>
      </c>
      <c r="C840" s="1838" t="s">
        <v>333</v>
      </c>
      <c r="D840" s="1838" t="s">
        <v>3162</v>
      </c>
      <c r="E840" s="1838" t="s">
        <v>3956</v>
      </c>
      <c r="F840" s="1839">
        <v>45322</v>
      </c>
      <c r="G840" s="1840">
        <v>157584</v>
      </c>
      <c r="H840" s="1841">
        <f t="shared" si="40"/>
        <v>60</v>
      </c>
      <c r="I840" s="1838">
        <f t="shared" si="41"/>
        <v>157584</v>
      </c>
      <c r="J840" s="1838">
        <v>0</v>
      </c>
      <c r="K840" s="1838">
        <v>0</v>
      </c>
      <c r="L840" s="1838">
        <v>0</v>
      </c>
      <c r="M840" s="1838">
        <v>0</v>
      </c>
      <c r="N840" s="1838" t="s">
        <v>3940</v>
      </c>
      <c r="O840" s="1838" t="s">
        <v>3297</v>
      </c>
      <c r="P840" s="1838"/>
    </row>
    <row r="841" spans="2:16" s="1843" customFormat="1">
      <c r="B841" s="1838">
        <f t="shared" si="42"/>
        <v>838</v>
      </c>
      <c r="C841" s="1838" t="s">
        <v>333</v>
      </c>
      <c r="D841" s="1838" t="s">
        <v>3162</v>
      </c>
      <c r="E841" s="1838" t="s">
        <v>3303</v>
      </c>
      <c r="F841" s="1839">
        <v>45322</v>
      </c>
      <c r="G841" s="1840">
        <v>-180</v>
      </c>
      <c r="H841" s="1841">
        <f t="shared" si="40"/>
        <v>60</v>
      </c>
      <c r="I841" s="1838">
        <f t="shared" si="41"/>
        <v>-180</v>
      </c>
      <c r="J841" s="1838">
        <v>0</v>
      </c>
      <c r="K841" s="1838">
        <v>0</v>
      </c>
      <c r="L841" s="1838">
        <v>0</v>
      </c>
      <c r="M841" s="1838">
        <v>0</v>
      </c>
      <c r="N841" s="1838" t="s">
        <v>3940</v>
      </c>
      <c r="O841" s="1838" t="s">
        <v>3297</v>
      </c>
      <c r="P841" s="1838"/>
    </row>
    <row r="842" spans="2:16" s="1843" customFormat="1">
      <c r="B842" s="1838">
        <f t="shared" si="42"/>
        <v>839</v>
      </c>
      <c r="C842" s="1838" t="s">
        <v>333</v>
      </c>
      <c r="D842" s="1838" t="s">
        <v>3162</v>
      </c>
      <c r="E842" s="1838" t="s">
        <v>3957</v>
      </c>
      <c r="F842" s="1839">
        <v>45328</v>
      </c>
      <c r="G842" s="1840">
        <v>60480</v>
      </c>
      <c r="H842" s="1841">
        <f t="shared" si="40"/>
        <v>54</v>
      </c>
      <c r="I842" s="1838">
        <f t="shared" si="41"/>
        <v>60480</v>
      </c>
      <c r="J842" s="1838">
        <v>0</v>
      </c>
      <c r="K842" s="1838">
        <v>0</v>
      </c>
      <c r="L842" s="1838">
        <v>0</v>
      </c>
      <c r="M842" s="1838">
        <v>0</v>
      </c>
      <c r="N842" s="1838" t="s">
        <v>3940</v>
      </c>
      <c r="O842" s="1838" t="s">
        <v>3297</v>
      </c>
      <c r="P842" s="1838"/>
    </row>
    <row r="843" spans="2:16" s="1843" customFormat="1">
      <c r="B843" s="1838">
        <f t="shared" si="42"/>
        <v>840</v>
      </c>
      <c r="C843" s="1838" t="s">
        <v>333</v>
      </c>
      <c r="D843" s="1838" t="s">
        <v>3162</v>
      </c>
      <c r="E843" s="1838" t="s">
        <v>3958</v>
      </c>
      <c r="F843" s="1839">
        <v>45329</v>
      </c>
      <c r="G843" s="1840">
        <v>29400</v>
      </c>
      <c r="H843" s="1841">
        <f t="shared" si="40"/>
        <v>53</v>
      </c>
      <c r="I843" s="1838">
        <f t="shared" si="41"/>
        <v>29400</v>
      </c>
      <c r="J843" s="1838">
        <v>0</v>
      </c>
      <c r="K843" s="1838">
        <v>0</v>
      </c>
      <c r="L843" s="1838">
        <v>0</v>
      </c>
      <c r="M843" s="1838">
        <v>0</v>
      </c>
      <c r="N843" s="1838" t="s">
        <v>3940</v>
      </c>
      <c r="O843" s="1838" t="s">
        <v>3297</v>
      </c>
      <c r="P843" s="1838"/>
    </row>
    <row r="844" spans="2:16" s="1843" customFormat="1">
      <c r="B844" s="1838">
        <f t="shared" si="42"/>
        <v>841</v>
      </c>
      <c r="C844" s="1838" t="s">
        <v>333</v>
      </c>
      <c r="D844" s="1838" t="s">
        <v>3162</v>
      </c>
      <c r="E844" s="1838" t="s">
        <v>3959</v>
      </c>
      <c r="F844" s="1839">
        <v>45331</v>
      </c>
      <c r="G844" s="1840">
        <v>30240</v>
      </c>
      <c r="H844" s="1841">
        <f t="shared" si="40"/>
        <v>51</v>
      </c>
      <c r="I844" s="1838">
        <f t="shared" si="41"/>
        <v>30240</v>
      </c>
      <c r="J844" s="1838">
        <v>0</v>
      </c>
      <c r="K844" s="1838">
        <v>0</v>
      </c>
      <c r="L844" s="1838">
        <v>0</v>
      </c>
      <c r="M844" s="1838">
        <v>0</v>
      </c>
      <c r="N844" s="1838" t="s">
        <v>3940</v>
      </c>
      <c r="O844" s="1838" t="s">
        <v>3297</v>
      </c>
      <c r="P844" s="1838"/>
    </row>
    <row r="845" spans="2:16" s="1843" customFormat="1">
      <c r="B845" s="1838">
        <f t="shared" si="42"/>
        <v>842</v>
      </c>
      <c r="C845" s="1838" t="s">
        <v>333</v>
      </c>
      <c r="D845" s="1838" t="s">
        <v>3162</v>
      </c>
      <c r="E845" s="1838" t="s">
        <v>3960</v>
      </c>
      <c r="F845" s="1839">
        <v>45335</v>
      </c>
      <c r="G845" s="1840">
        <v>31736</v>
      </c>
      <c r="H845" s="1841">
        <f t="shared" si="40"/>
        <v>47</v>
      </c>
      <c r="I845" s="1838">
        <f t="shared" si="41"/>
        <v>31736</v>
      </c>
      <c r="J845" s="1838">
        <v>0</v>
      </c>
      <c r="K845" s="1838">
        <v>0</v>
      </c>
      <c r="L845" s="1838">
        <v>0</v>
      </c>
      <c r="M845" s="1838">
        <v>0</v>
      </c>
      <c r="N845" s="1838" t="s">
        <v>3940</v>
      </c>
      <c r="O845" s="1838" t="s">
        <v>3297</v>
      </c>
      <c r="P845" s="1838"/>
    </row>
    <row r="846" spans="2:16" s="1843" customFormat="1">
      <c r="B846" s="1838">
        <f t="shared" si="42"/>
        <v>843</v>
      </c>
      <c r="C846" s="1838" t="s">
        <v>333</v>
      </c>
      <c r="D846" s="1838" t="s">
        <v>3162</v>
      </c>
      <c r="E846" s="1838" t="s">
        <v>3961</v>
      </c>
      <c r="F846" s="1839">
        <v>45337</v>
      </c>
      <c r="G846" s="1840">
        <v>23517</v>
      </c>
      <c r="H846" s="1841">
        <f t="shared" si="40"/>
        <v>45</v>
      </c>
      <c r="I846" s="1838">
        <f t="shared" si="41"/>
        <v>23517</v>
      </c>
      <c r="J846" s="1838">
        <v>0</v>
      </c>
      <c r="K846" s="1838">
        <v>0</v>
      </c>
      <c r="L846" s="1838">
        <v>0</v>
      </c>
      <c r="M846" s="1838">
        <v>0</v>
      </c>
      <c r="N846" s="1838" t="s">
        <v>3940</v>
      </c>
      <c r="O846" s="1838" t="s">
        <v>3297</v>
      </c>
      <c r="P846" s="1838"/>
    </row>
    <row r="847" spans="2:16" s="1843" customFormat="1">
      <c r="B847" s="1838">
        <f t="shared" si="42"/>
        <v>844</v>
      </c>
      <c r="C847" s="1838" t="s">
        <v>333</v>
      </c>
      <c r="D847" s="1838" t="s">
        <v>3162</v>
      </c>
      <c r="E847" s="1838" t="s">
        <v>3962</v>
      </c>
      <c r="F847" s="1839">
        <v>45337</v>
      </c>
      <c r="G847" s="1840">
        <v>30434</v>
      </c>
      <c r="H847" s="1841">
        <f t="shared" si="40"/>
        <v>45</v>
      </c>
      <c r="I847" s="1838">
        <f t="shared" si="41"/>
        <v>30434</v>
      </c>
      <c r="J847" s="1838">
        <v>0</v>
      </c>
      <c r="K847" s="1838">
        <v>0</v>
      </c>
      <c r="L847" s="1838">
        <v>0</v>
      </c>
      <c r="M847" s="1838">
        <v>0</v>
      </c>
      <c r="N847" s="1838" t="s">
        <v>3940</v>
      </c>
      <c r="O847" s="1838" t="s">
        <v>3297</v>
      </c>
      <c r="P847" s="1838"/>
    </row>
    <row r="848" spans="2:16" s="1843" customFormat="1">
      <c r="B848" s="1838">
        <f t="shared" si="42"/>
        <v>845</v>
      </c>
      <c r="C848" s="1838" t="s">
        <v>333</v>
      </c>
      <c r="D848" s="1838" t="s">
        <v>3162</v>
      </c>
      <c r="E848" s="1838" t="s">
        <v>3963</v>
      </c>
      <c r="F848" s="1839">
        <v>45338</v>
      </c>
      <c r="G848" s="1840">
        <v>46154</v>
      </c>
      <c r="H848" s="1841">
        <f t="shared" si="40"/>
        <v>44</v>
      </c>
      <c r="I848" s="1838">
        <f t="shared" si="41"/>
        <v>46154</v>
      </c>
      <c r="J848" s="1838">
        <v>0</v>
      </c>
      <c r="K848" s="1838">
        <v>0</v>
      </c>
      <c r="L848" s="1838">
        <v>0</v>
      </c>
      <c r="M848" s="1838">
        <v>0</v>
      </c>
      <c r="N848" s="1838" t="s">
        <v>3940</v>
      </c>
      <c r="O848" s="1838" t="s">
        <v>3297</v>
      </c>
      <c r="P848" s="1838"/>
    </row>
    <row r="849" spans="2:16" s="1843" customFormat="1">
      <c r="B849" s="1838">
        <f t="shared" si="42"/>
        <v>846</v>
      </c>
      <c r="C849" s="1838" t="s">
        <v>333</v>
      </c>
      <c r="D849" s="1838" t="s">
        <v>3162</v>
      </c>
      <c r="E849" s="1838" t="s">
        <v>3964</v>
      </c>
      <c r="F849" s="1839">
        <v>45339</v>
      </c>
      <c r="G849" s="1840">
        <v>24553</v>
      </c>
      <c r="H849" s="1841">
        <f t="shared" si="40"/>
        <v>43</v>
      </c>
      <c r="I849" s="1838">
        <f t="shared" si="41"/>
        <v>24553</v>
      </c>
      <c r="J849" s="1838">
        <v>0</v>
      </c>
      <c r="K849" s="1838">
        <v>0</v>
      </c>
      <c r="L849" s="1838">
        <v>0</v>
      </c>
      <c r="M849" s="1838">
        <v>0</v>
      </c>
      <c r="N849" s="1838" t="s">
        <v>3940</v>
      </c>
      <c r="O849" s="1838" t="s">
        <v>3297</v>
      </c>
      <c r="P849" s="1838"/>
    </row>
    <row r="850" spans="2:16" s="1843" customFormat="1">
      <c r="B850" s="1838">
        <f t="shared" si="42"/>
        <v>847</v>
      </c>
      <c r="C850" s="1838" t="s">
        <v>333</v>
      </c>
      <c r="D850" s="1838" t="s">
        <v>3162</v>
      </c>
      <c r="E850" s="1838" t="s">
        <v>3965</v>
      </c>
      <c r="F850" s="1839">
        <v>45339</v>
      </c>
      <c r="G850" s="1840">
        <v>47397</v>
      </c>
      <c r="H850" s="1841">
        <f t="shared" si="40"/>
        <v>43</v>
      </c>
      <c r="I850" s="1838">
        <f t="shared" si="41"/>
        <v>47397</v>
      </c>
      <c r="J850" s="1838">
        <v>0</v>
      </c>
      <c r="K850" s="1838">
        <v>0</v>
      </c>
      <c r="L850" s="1838">
        <v>0</v>
      </c>
      <c r="M850" s="1838">
        <v>0</v>
      </c>
      <c r="N850" s="1838" t="s">
        <v>3940</v>
      </c>
      <c r="O850" s="1838" t="s">
        <v>3297</v>
      </c>
      <c r="P850" s="1838"/>
    </row>
    <row r="851" spans="2:16" s="1843" customFormat="1">
      <c r="B851" s="1838">
        <f t="shared" si="42"/>
        <v>848</v>
      </c>
      <c r="C851" s="1838" t="s">
        <v>333</v>
      </c>
      <c r="D851" s="1838" t="s">
        <v>3162</v>
      </c>
      <c r="E851" s="1838" t="s">
        <v>3966</v>
      </c>
      <c r="F851" s="1839">
        <v>45341</v>
      </c>
      <c r="G851" s="1840">
        <v>28560</v>
      </c>
      <c r="H851" s="1841">
        <f t="shared" si="40"/>
        <v>41</v>
      </c>
      <c r="I851" s="1838">
        <f t="shared" si="41"/>
        <v>28560</v>
      </c>
      <c r="J851" s="1838">
        <v>0</v>
      </c>
      <c r="K851" s="1838">
        <v>0</v>
      </c>
      <c r="L851" s="1838">
        <v>0</v>
      </c>
      <c r="M851" s="1838">
        <v>0</v>
      </c>
      <c r="N851" s="1838" t="s">
        <v>3940</v>
      </c>
      <c r="O851" s="1838" t="s">
        <v>3297</v>
      </c>
      <c r="P851" s="1838"/>
    </row>
    <row r="852" spans="2:16" s="1843" customFormat="1">
      <c r="B852" s="1838">
        <f t="shared" si="42"/>
        <v>849</v>
      </c>
      <c r="C852" s="1838" t="s">
        <v>333</v>
      </c>
      <c r="D852" s="1838" t="s">
        <v>3162</v>
      </c>
      <c r="E852" s="1838" t="s">
        <v>3967</v>
      </c>
      <c r="F852" s="1839">
        <v>45341</v>
      </c>
      <c r="G852" s="1840">
        <v>31091</v>
      </c>
      <c r="H852" s="1841">
        <f t="shared" si="40"/>
        <v>41</v>
      </c>
      <c r="I852" s="1838">
        <f t="shared" si="41"/>
        <v>31091</v>
      </c>
      <c r="J852" s="1838">
        <v>0</v>
      </c>
      <c r="K852" s="1838">
        <v>0</v>
      </c>
      <c r="L852" s="1838">
        <v>0</v>
      </c>
      <c r="M852" s="1838">
        <v>0</v>
      </c>
      <c r="N852" s="1838" t="s">
        <v>3940</v>
      </c>
      <c r="O852" s="1838" t="s">
        <v>3297</v>
      </c>
      <c r="P852" s="1838"/>
    </row>
    <row r="853" spans="2:16" s="1843" customFormat="1">
      <c r="B853" s="1838">
        <f t="shared" si="42"/>
        <v>850</v>
      </c>
      <c r="C853" s="1838" t="s">
        <v>333</v>
      </c>
      <c r="D853" s="1838" t="s">
        <v>3162</v>
      </c>
      <c r="E853" s="1838" t="s">
        <v>3968</v>
      </c>
      <c r="F853" s="1839">
        <v>45341</v>
      </c>
      <c r="G853" s="1840">
        <v>46562</v>
      </c>
      <c r="H853" s="1841">
        <f t="shared" si="40"/>
        <v>41</v>
      </c>
      <c r="I853" s="1838">
        <f t="shared" si="41"/>
        <v>46562</v>
      </c>
      <c r="J853" s="1838">
        <v>0</v>
      </c>
      <c r="K853" s="1838">
        <v>0</v>
      </c>
      <c r="L853" s="1838">
        <v>0</v>
      </c>
      <c r="M853" s="1838">
        <v>0</v>
      </c>
      <c r="N853" s="1838" t="s">
        <v>3940</v>
      </c>
      <c r="O853" s="1838" t="s">
        <v>3297</v>
      </c>
      <c r="P853" s="1838"/>
    </row>
    <row r="854" spans="2:16" s="1843" customFormat="1">
      <c r="B854" s="1838">
        <f t="shared" si="42"/>
        <v>851</v>
      </c>
      <c r="C854" s="1838" t="s">
        <v>333</v>
      </c>
      <c r="D854" s="1838" t="s">
        <v>3162</v>
      </c>
      <c r="E854" s="1838" t="s">
        <v>3969</v>
      </c>
      <c r="F854" s="1839">
        <v>45343</v>
      </c>
      <c r="G854" s="1840">
        <v>24798</v>
      </c>
      <c r="H854" s="1841">
        <f t="shared" si="40"/>
        <v>39</v>
      </c>
      <c r="I854" s="1838">
        <f t="shared" si="41"/>
        <v>24798</v>
      </c>
      <c r="J854" s="1838">
        <v>0</v>
      </c>
      <c r="K854" s="1838">
        <v>0</v>
      </c>
      <c r="L854" s="1838">
        <v>0</v>
      </c>
      <c r="M854" s="1838">
        <v>0</v>
      </c>
      <c r="N854" s="1838" t="s">
        <v>3940</v>
      </c>
      <c r="O854" s="1838" t="s">
        <v>3297</v>
      </c>
      <c r="P854" s="1838"/>
    </row>
    <row r="855" spans="2:16" s="1843" customFormat="1">
      <c r="B855" s="1838">
        <f t="shared" si="42"/>
        <v>852</v>
      </c>
      <c r="C855" s="1838" t="s">
        <v>333</v>
      </c>
      <c r="D855" s="1838" t="s">
        <v>3162</v>
      </c>
      <c r="E855" s="1838" t="s">
        <v>3970</v>
      </c>
      <c r="F855" s="1839">
        <v>45345</v>
      </c>
      <c r="G855" s="1840">
        <v>25909</v>
      </c>
      <c r="H855" s="1841">
        <f t="shared" si="40"/>
        <v>37</v>
      </c>
      <c r="I855" s="1838">
        <f t="shared" si="41"/>
        <v>25909</v>
      </c>
      <c r="J855" s="1838">
        <v>0</v>
      </c>
      <c r="K855" s="1838">
        <v>0</v>
      </c>
      <c r="L855" s="1838">
        <v>0</v>
      </c>
      <c r="M855" s="1838">
        <v>0</v>
      </c>
      <c r="N855" s="1838" t="s">
        <v>3940</v>
      </c>
      <c r="O855" s="1838" t="s">
        <v>3297</v>
      </c>
      <c r="P855" s="1838"/>
    </row>
    <row r="856" spans="2:16" s="1843" customFormat="1">
      <c r="B856" s="1838">
        <f t="shared" si="42"/>
        <v>853</v>
      </c>
      <c r="C856" s="1838" t="s">
        <v>333</v>
      </c>
      <c r="D856" s="1838" t="s">
        <v>3162</v>
      </c>
      <c r="E856" s="1838" t="s">
        <v>3971</v>
      </c>
      <c r="F856" s="1839">
        <v>45348</v>
      </c>
      <c r="G856" s="1840">
        <v>22652</v>
      </c>
      <c r="H856" s="1841">
        <f t="shared" si="40"/>
        <v>34</v>
      </c>
      <c r="I856" s="1838">
        <f t="shared" si="41"/>
        <v>22652</v>
      </c>
      <c r="J856" s="1838">
        <v>0</v>
      </c>
      <c r="K856" s="1838">
        <v>0</v>
      </c>
      <c r="L856" s="1838">
        <v>0</v>
      </c>
      <c r="M856" s="1838">
        <v>0</v>
      </c>
      <c r="N856" s="1838" t="s">
        <v>3940</v>
      </c>
      <c r="O856" s="1838" t="s">
        <v>3297</v>
      </c>
      <c r="P856" s="1838"/>
    </row>
    <row r="857" spans="2:16" s="1843" customFormat="1">
      <c r="B857" s="1838">
        <f t="shared" si="42"/>
        <v>854</v>
      </c>
      <c r="C857" s="1838" t="s">
        <v>333</v>
      </c>
      <c r="D857" s="1838" t="s">
        <v>3162</v>
      </c>
      <c r="E857" s="1838" t="s">
        <v>3972</v>
      </c>
      <c r="F857" s="1839">
        <v>45350</v>
      </c>
      <c r="G857" s="1840">
        <v>26649</v>
      </c>
      <c r="H857" s="1841">
        <f t="shared" si="40"/>
        <v>32</v>
      </c>
      <c r="I857" s="1838">
        <f t="shared" si="41"/>
        <v>26649</v>
      </c>
      <c r="J857" s="1838">
        <v>0</v>
      </c>
      <c r="K857" s="1838">
        <v>0</v>
      </c>
      <c r="L857" s="1838">
        <v>0</v>
      </c>
      <c r="M857" s="1838">
        <v>0</v>
      </c>
      <c r="N857" s="1838" t="s">
        <v>3940</v>
      </c>
      <c r="O857" s="1838" t="s">
        <v>3297</v>
      </c>
      <c r="P857" s="1838"/>
    </row>
    <row r="858" spans="2:16" s="1843" customFormat="1">
      <c r="B858" s="1838">
        <f t="shared" si="42"/>
        <v>855</v>
      </c>
      <c r="C858" s="1838" t="s">
        <v>333</v>
      </c>
      <c r="D858" s="1838" t="s">
        <v>3162</v>
      </c>
      <c r="E858" s="1838" t="s">
        <v>3319</v>
      </c>
      <c r="F858" s="1839">
        <v>45351</v>
      </c>
      <c r="G858" s="1840">
        <v>-530</v>
      </c>
      <c r="H858" s="1841">
        <f t="shared" si="40"/>
        <v>31</v>
      </c>
      <c r="I858" s="1838">
        <f t="shared" si="41"/>
        <v>-530</v>
      </c>
      <c r="J858" s="1838">
        <v>0</v>
      </c>
      <c r="K858" s="1838">
        <v>0</v>
      </c>
      <c r="L858" s="1838">
        <v>0</v>
      </c>
      <c r="M858" s="1838">
        <v>0</v>
      </c>
      <c r="N858" s="1838" t="s">
        <v>3940</v>
      </c>
      <c r="O858" s="1838" t="s">
        <v>3297</v>
      </c>
      <c r="P858" s="1838"/>
    </row>
    <row r="859" spans="2:16" s="1843" customFormat="1">
      <c r="B859" s="1838">
        <f t="shared" si="42"/>
        <v>856</v>
      </c>
      <c r="C859" s="1838" t="s">
        <v>333</v>
      </c>
      <c r="D859" s="1838" t="s">
        <v>3162</v>
      </c>
      <c r="E859" s="1838" t="s">
        <v>3180</v>
      </c>
      <c r="F859" s="1839">
        <v>45351</v>
      </c>
      <c r="G859" s="1840">
        <v>-3.3</v>
      </c>
      <c r="H859" s="1841">
        <f t="shared" si="40"/>
        <v>31</v>
      </c>
      <c r="I859" s="1838">
        <f t="shared" si="41"/>
        <v>-3.3</v>
      </c>
      <c r="J859" s="1838">
        <v>0</v>
      </c>
      <c r="K859" s="1838">
        <v>0</v>
      </c>
      <c r="L859" s="1838">
        <v>0</v>
      </c>
      <c r="M859" s="1838">
        <v>0</v>
      </c>
      <c r="N859" s="1838" t="s">
        <v>3940</v>
      </c>
      <c r="O859" s="1838" t="s">
        <v>3297</v>
      </c>
      <c r="P859" s="1838"/>
    </row>
    <row r="860" spans="2:16" s="1843" customFormat="1">
      <c r="B860" s="1838">
        <f t="shared" si="42"/>
        <v>857</v>
      </c>
      <c r="C860" s="1838" t="s">
        <v>333</v>
      </c>
      <c r="D860" s="1838" t="s">
        <v>3162</v>
      </c>
      <c r="E860" s="1838" t="s">
        <v>3973</v>
      </c>
      <c r="F860" s="1839">
        <v>45353</v>
      </c>
      <c r="G860" s="1840">
        <v>50337</v>
      </c>
      <c r="H860" s="1841">
        <f t="shared" si="40"/>
        <v>29</v>
      </c>
      <c r="I860" s="1838">
        <f t="shared" si="41"/>
        <v>50337</v>
      </c>
      <c r="J860" s="1838">
        <v>0</v>
      </c>
      <c r="K860" s="1838">
        <v>0</v>
      </c>
      <c r="L860" s="1838">
        <v>0</v>
      </c>
      <c r="M860" s="1838">
        <v>0</v>
      </c>
      <c r="N860" s="1838" t="s">
        <v>3940</v>
      </c>
      <c r="O860" s="1838" t="s">
        <v>3297</v>
      </c>
      <c r="P860" s="1838"/>
    </row>
    <row r="861" spans="2:16" s="1843" customFormat="1">
      <c r="B861" s="1838">
        <f t="shared" si="42"/>
        <v>858</v>
      </c>
      <c r="C861" s="1838" t="s">
        <v>333</v>
      </c>
      <c r="D861" s="1838" t="s">
        <v>3162</v>
      </c>
      <c r="E861" s="1838" t="s">
        <v>3974</v>
      </c>
      <c r="F861" s="1839">
        <v>45353</v>
      </c>
      <c r="G861" s="1840">
        <v>26187</v>
      </c>
      <c r="H861" s="1841">
        <f t="shared" si="40"/>
        <v>29</v>
      </c>
      <c r="I861" s="1838">
        <f t="shared" si="41"/>
        <v>26187</v>
      </c>
      <c r="J861" s="1838">
        <v>0</v>
      </c>
      <c r="K861" s="1838">
        <v>0</v>
      </c>
      <c r="L861" s="1838">
        <v>0</v>
      </c>
      <c r="M861" s="1838">
        <v>0</v>
      </c>
      <c r="N861" s="1838" t="s">
        <v>3940</v>
      </c>
      <c r="O861" s="1838" t="s">
        <v>3297</v>
      </c>
      <c r="P861" s="1838"/>
    </row>
    <row r="862" spans="2:16" s="1843" customFormat="1">
      <c r="B862" s="1838">
        <f t="shared" si="42"/>
        <v>859</v>
      </c>
      <c r="C862" s="1838" t="s">
        <v>333</v>
      </c>
      <c r="D862" s="1838" t="s">
        <v>3162</v>
      </c>
      <c r="E862" s="1838" t="s">
        <v>3975</v>
      </c>
      <c r="F862" s="1839">
        <v>45356</v>
      </c>
      <c r="G862" s="1840">
        <v>23142</v>
      </c>
      <c r="H862" s="1841">
        <f t="shared" si="40"/>
        <v>26</v>
      </c>
      <c r="I862" s="1838">
        <f t="shared" si="41"/>
        <v>23142</v>
      </c>
      <c r="J862" s="1838">
        <v>0</v>
      </c>
      <c r="K862" s="1838">
        <v>0</v>
      </c>
      <c r="L862" s="1838">
        <v>0</v>
      </c>
      <c r="M862" s="1838">
        <v>0</v>
      </c>
      <c r="N862" s="1838" t="s">
        <v>3940</v>
      </c>
      <c r="O862" s="1838" t="s">
        <v>3297</v>
      </c>
      <c r="P862" s="1838"/>
    </row>
    <row r="863" spans="2:16" s="1843" customFormat="1">
      <c r="B863" s="1838">
        <f t="shared" si="42"/>
        <v>860</v>
      </c>
      <c r="C863" s="1838" t="s">
        <v>333</v>
      </c>
      <c r="D863" s="1838" t="s">
        <v>3162</v>
      </c>
      <c r="E863" s="1838" t="s">
        <v>3976</v>
      </c>
      <c r="F863" s="1839">
        <v>45360</v>
      </c>
      <c r="G863" s="1840">
        <v>25274</v>
      </c>
      <c r="H863" s="1841">
        <f t="shared" si="40"/>
        <v>22</v>
      </c>
      <c r="I863" s="1838">
        <f t="shared" si="41"/>
        <v>25274</v>
      </c>
      <c r="J863" s="1838">
        <v>0</v>
      </c>
      <c r="K863" s="1838">
        <v>0</v>
      </c>
      <c r="L863" s="1838">
        <v>0</v>
      </c>
      <c r="M863" s="1838">
        <v>0</v>
      </c>
      <c r="N863" s="1838" t="s">
        <v>3940</v>
      </c>
      <c r="O863" s="1838" t="s">
        <v>3297</v>
      </c>
      <c r="P863" s="1838"/>
    </row>
    <row r="864" spans="2:16" s="1843" customFormat="1">
      <c r="B864" s="1838">
        <f t="shared" si="42"/>
        <v>861</v>
      </c>
      <c r="C864" s="1838" t="s">
        <v>333</v>
      </c>
      <c r="D864" s="1838" t="s">
        <v>3162</v>
      </c>
      <c r="E864" s="1838" t="s">
        <v>3977</v>
      </c>
      <c r="F864" s="1839">
        <v>45363</v>
      </c>
      <c r="G864" s="1840">
        <v>26127</v>
      </c>
      <c r="H864" s="1841">
        <f t="shared" si="40"/>
        <v>19</v>
      </c>
      <c r="I864" s="1838">
        <f t="shared" si="41"/>
        <v>26127</v>
      </c>
      <c r="J864" s="1838">
        <v>0</v>
      </c>
      <c r="K864" s="1838">
        <v>0</v>
      </c>
      <c r="L864" s="1838">
        <v>0</v>
      </c>
      <c r="M864" s="1838">
        <v>0</v>
      </c>
      <c r="N864" s="1838" t="s">
        <v>3940</v>
      </c>
      <c r="O864" s="1838" t="s">
        <v>3297</v>
      </c>
      <c r="P864" s="1838"/>
    </row>
    <row r="865" spans="2:16" s="1843" customFormat="1">
      <c r="B865" s="1838">
        <f t="shared" si="42"/>
        <v>862</v>
      </c>
      <c r="C865" s="1838" t="s">
        <v>333</v>
      </c>
      <c r="D865" s="1838" t="s">
        <v>3162</v>
      </c>
      <c r="E865" s="1838" t="s">
        <v>3978</v>
      </c>
      <c r="F865" s="1839">
        <v>45365</v>
      </c>
      <c r="G865" s="1840">
        <v>51629</v>
      </c>
      <c r="H865" s="1841">
        <f t="shared" si="40"/>
        <v>17</v>
      </c>
      <c r="I865" s="1838">
        <f t="shared" si="41"/>
        <v>51629</v>
      </c>
      <c r="J865" s="1838">
        <v>0</v>
      </c>
      <c r="K865" s="1838">
        <v>0</v>
      </c>
      <c r="L865" s="1838">
        <v>0</v>
      </c>
      <c r="M865" s="1838">
        <v>0</v>
      </c>
      <c r="N865" s="1838" t="s">
        <v>3940</v>
      </c>
      <c r="O865" s="1838" t="s">
        <v>3297</v>
      </c>
      <c r="P865" s="1838"/>
    </row>
    <row r="866" spans="2:16" s="1843" customFormat="1">
      <c r="B866" s="1838">
        <f t="shared" si="42"/>
        <v>863</v>
      </c>
      <c r="C866" s="1838" t="s">
        <v>333</v>
      </c>
      <c r="D866" s="1838" t="s">
        <v>3162</v>
      </c>
      <c r="E866" s="1838" t="s">
        <v>3979</v>
      </c>
      <c r="F866" s="1839">
        <v>45367</v>
      </c>
      <c r="G866" s="1840">
        <v>26127</v>
      </c>
      <c r="H866" s="1841">
        <f t="shared" si="40"/>
        <v>15</v>
      </c>
      <c r="I866" s="1838">
        <f t="shared" si="41"/>
        <v>26127</v>
      </c>
      <c r="J866" s="1838">
        <v>0</v>
      </c>
      <c r="K866" s="1838">
        <v>0</v>
      </c>
      <c r="L866" s="1838">
        <v>0</v>
      </c>
      <c r="M866" s="1838">
        <v>0</v>
      </c>
      <c r="N866" s="1838" t="s">
        <v>3940</v>
      </c>
      <c r="O866" s="1838" t="s">
        <v>3297</v>
      </c>
      <c r="P866" s="1838"/>
    </row>
    <row r="867" spans="2:16" s="1843" customFormat="1">
      <c r="B867" s="1838">
        <f t="shared" si="42"/>
        <v>864</v>
      </c>
      <c r="C867" s="1838" t="s">
        <v>333</v>
      </c>
      <c r="D867" s="1838" t="s">
        <v>3162</v>
      </c>
      <c r="E867" s="1838" t="s">
        <v>3337</v>
      </c>
      <c r="F867" s="1839">
        <v>45382</v>
      </c>
      <c r="G867" s="1840">
        <v>-229</v>
      </c>
      <c r="H867" s="1841">
        <f t="shared" si="40"/>
        <v>0</v>
      </c>
      <c r="I867" s="1838">
        <f t="shared" si="41"/>
        <v>-229</v>
      </c>
      <c r="J867" s="1838">
        <v>0</v>
      </c>
      <c r="K867" s="1838">
        <v>0</v>
      </c>
      <c r="L867" s="1838">
        <v>0</v>
      </c>
      <c r="M867" s="1838">
        <v>0</v>
      </c>
      <c r="N867" s="1838" t="s">
        <v>3940</v>
      </c>
      <c r="O867" s="1838" t="s">
        <v>3297</v>
      </c>
      <c r="P867" s="1838"/>
    </row>
    <row r="868" spans="2:16" s="1843" customFormat="1">
      <c r="B868" s="1838">
        <f t="shared" si="42"/>
        <v>865</v>
      </c>
      <c r="C868" s="1838" t="s">
        <v>2998</v>
      </c>
      <c r="D868" s="1838" t="s">
        <v>3162</v>
      </c>
      <c r="E868" s="1838" t="s">
        <v>3980</v>
      </c>
      <c r="F868" s="1839">
        <v>45325</v>
      </c>
      <c r="G868" s="1840">
        <v>40152</v>
      </c>
      <c r="H868" s="1841">
        <f t="shared" si="40"/>
        <v>57</v>
      </c>
      <c r="I868" s="1838">
        <f t="shared" si="41"/>
        <v>40152</v>
      </c>
      <c r="J868" s="1838">
        <v>0</v>
      </c>
      <c r="K868" s="1838">
        <v>0</v>
      </c>
      <c r="L868" s="1838">
        <v>0</v>
      </c>
      <c r="M868" s="1838">
        <v>0</v>
      </c>
      <c r="N868" s="1838" t="s">
        <v>3981</v>
      </c>
      <c r="O868" s="1838" t="s">
        <v>3189</v>
      </c>
      <c r="P868" s="1838"/>
    </row>
    <row r="869" spans="2:16" s="1843" customFormat="1">
      <c r="B869" s="1838">
        <f t="shared" si="42"/>
        <v>866</v>
      </c>
      <c r="C869" s="1838" t="s">
        <v>2998</v>
      </c>
      <c r="D869" s="1838" t="s">
        <v>3162</v>
      </c>
      <c r="E869" s="1838" t="s">
        <v>3982</v>
      </c>
      <c r="F869" s="1839">
        <v>45329</v>
      </c>
      <c r="G869" s="1840">
        <v>55944</v>
      </c>
      <c r="H869" s="1841">
        <f t="shared" si="40"/>
        <v>53</v>
      </c>
      <c r="I869" s="1838">
        <f t="shared" si="41"/>
        <v>55944</v>
      </c>
      <c r="J869" s="1838">
        <v>0</v>
      </c>
      <c r="K869" s="1838">
        <v>0</v>
      </c>
      <c r="L869" s="1838">
        <v>0</v>
      </c>
      <c r="M869" s="1838">
        <v>0</v>
      </c>
      <c r="N869" s="1838" t="s">
        <v>3981</v>
      </c>
      <c r="O869" s="1838" t="s">
        <v>3189</v>
      </c>
      <c r="P869" s="1838"/>
    </row>
    <row r="870" spans="2:16" s="1843" customFormat="1">
      <c r="B870" s="1838">
        <f t="shared" si="42"/>
        <v>867</v>
      </c>
      <c r="C870" s="1838" t="s">
        <v>2998</v>
      </c>
      <c r="D870" s="1838" t="s">
        <v>3162</v>
      </c>
      <c r="E870" s="1838" t="s">
        <v>3983</v>
      </c>
      <c r="F870" s="1839">
        <v>45331</v>
      </c>
      <c r="G870" s="1840">
        <v>66444</v>
      </c>
      <c r="H870" s="1841">
        <f t="shared" si="40"/>
        <v>51</v>
      </c>
      <c r="I870" s="1838">
        <f t="shared" si="41"/>
        <v>66444</v>
      </c>
      <c r="J870" s="1838">
        <v>0</v>
      </c>
      <c r="K870" s="1838">
        <v>0</v>
      </c>
      <c r="L870" s="1838">
        <v>0</v>
      </c>
      <c r="M870" s="1838">
        <v>0</v>
      </c>
      <c r="N870" s="1838" t="s">
        <v>3981</v>
      </c>
      <c r="O870" s="1838" t="s">
        <v>3189</v>
      </c>
      <c r="P870" s="1838"/>
    </row>
    <row r="871" spans="2:16" s="1843" customFormat="1">
      <c r="B871" s="1838">
        <f t="shared" si="42"/>
        <v>868</v>
      </c>
      <c r="C871" s="1838" t="s">
        <v>2998</v>
      </c>
      <c r="D871" s="1838" t="s">
        <v>3162</v>
      </c>
      <c r="E871" s="1838" t="s">
        <v>3984</v>
      </c>
      <c r="F871" s="1839">
        <v>45339</v>
      </c>
      <c r="G871" s="1840">
        <v>34188</v>
      </c>
      <c r="H871" s="1841">
        <f t="shared" si="40"/>
        <v>43</v>
      </c>
      <c r="I871" s="1838">
        <f t="shared" si="41"/>
        <v>34188</v>
      </c>
      <c r="J871" s="1838">
        <v>0</v>
      </c>
      <c r="K871" s="1838">
        <v>0</v>
      </c>
      <c r="L871" s="1838">
        <v>0</v>
      </c>
      <c r="M871" s="1838">
        <v>0</v>
      </c>
      <c r="N871" s="1838" t="s">
        <v>3981</v>
      </c>
      <c r="O871" s="1838" t="s">
        <v>3189</v>
      </c>
      <c r="P871" s="1838"/>
    </row>
    <row r="872" spans="2:16" s="1843" customFormat="1">
      <c r="B872" s="1838">
        <f t="shared" si="42"/>
        <v>869</v>
      </c>
      <c r="C872" s="1838" t="s">
        <v>2998</v>
      </c>
      <c r="D872" s="1838" t="s">
        <v>3162</v>
      </c>
      <c r="E872" s="1838" t="s">
        <v>3985</v>
      </c>
      <c r="F872" s="1839">
        <v>45340</v>
      </c>
      <c r="G872" s="1840">
        <v>34052</v>
      </c>
      <c r="H872" s="1841">
        <f t="shared" si="40"/>
        <v>42</v>
      </c>
      <c r="I872" s="1838">
        <f t="shared" si="41"/>
        <v>34052</v>
      </c>
      <c r="J872" s="1838">
        <v>0</v>
      </c>
      <c r="K872" s="1838">
        <v>0</v>
      </c>
      <c r="L872" s="1838">
        <v>0</v>
      </c>
      <c r="M872" s="1838">
        <v>0</v>
      </c>
      <c r="N872" s="1838" t="s">
        <v>3981</v>
      </c>
      <c r="O872" s="1838" t="s">
        <v>3189</v>
      </c>
      <c r="P872" s="1838"/>
    </row>
    <row r="873" spans="2:16" s="1843" customFormat="1">
      <c r="B873" s="1838">
        <f t="shared" si="42"/>
        <v>870</v>
      </c>
      <c r="C873" s="1838" t="s">
        <v>2998</v>
      </c>
      <c r="D873" s="1838" t="s">
        <v>3162</v>
      </c>
      <c r="E873" s="1838" t="s">
        <v>3986</v>
      </c>
      <c r="F873" s="1839">
        <v>45346</v>
      </c>
      <c r="G873" s="1840">
        <v>39529</v>
      </c>
      <c r="H873" s="1841">
        <f t="shared" si="40"/>
        <v>36</v>
      </c>
      <c r="I873" s="1838">
        <f t="shared" si="41"/>
        <v>39529</v>
      </c>
      <c r="J873" s="1838">
        <v>0</v>
      </c>
      <c r="K873" s="1838">
        <v>0</v>
      </c>
      <c r="L873" s="1838">
        <v>0</v>
      </c>
      <c r="M873" s="1838">
        <v>0</v>
      </c>
      <c r="N873" s="1838" t="s">
        <v>3981</v>
      </c>
      <c r="O873" s="1838" t="s">
        <v>3189</v>
      </c>
      <c r="P873" s="1838"/>
    </row>
    <row r="874" spans="2:16" s="1843" customFormat="1">
      <c r="B874" s="1838">
        <f t="shared" si="42"/>
        <v>871</v>
      </c>
      <c r="C874" s="1838" t="s">
        <v>2998</v>
      </c>
      <c r="D874" s="1838" t="s">
        <v>3162</v>
      </c>
      <c r="E874" s="1838" t="s">
        <v>3987</v>
      </c>
      <c r="F874" s="1839">
        <v>45347</v>
      </c>
      <c r="G874" s="1840">
        <v>55815</v>
      </c>
      <c r="H874" s="1841">
        <f t="shared" si="40"/>
        <v>35</v>
      </c>
      <c r="I874" s="1838">
        <f t="shared" si="41"/>
        <v>55815</v>
      </c>
      <c r="J874" s="1838">
        <v>0</v>
      </c>
      <c r="K874" s="1838">
        <v>0</v>
      </c>
      <c r="L874" s="1838">
        <v>0</v>
      </c>
      <c r="M874" s="1838">
        <v>0</v>
      </c>
      <c r="N874" s="1838" t="s">
        <v>3981</v>
      </c>
      <c r="O874" s="1838" t="s">
        <v>3189</v>
      </c>
      <c r="P874" s="1838"/>
    </row>
    <row r="875" spans="2:16" s="1843" customFormat="1">
      <c r="B875" s="1838">
        <f t="shared" si="42"/>
        <v>872</v>
      </c>
      <c r="C875" s="1838" t="s">
        <v>2998</v>
      </c>
      <c r="D875" s="1838" t="s">
        <v>3162</v>
      </c>
      <c r="E875" s="1838" t="s">
        <v>3988</v>
      </c>
      <c r="F875" s="1839">
        <v>45350</v>
      </c>
      <c r="G875" s="1840">
        <v>46267</v>
      </c>
      <c r="H875" s="1841">
        <f t="shared" si="40"/>
        <v>32</v>
      </c>
      <c r="I875" s="1838">
        <f t="shared" si="41"/>
        <v>46267</v>
      </c>
      <c r="J875" s="1838">
        <v>0</v>
      </c>
      <c r="K875" s="1838">
        <v>0</v>
      </c>
      <c r="L875" s="1838">
        <v>0</v>
      </c>
      <c r="M875" s="1838">
        <v>0</v>
      </c>
      <c r="N875" s="1838" t="s">
        <v>3981</v>
      </c>
      <c r="O875" s="1838" t="s">
        <v>3189</v>
      </c>
      <c r="P875" s="1838"/>
    </row>
    <row r="876" spans="2:16" s="1843" customFormat="1">
      <c r="B876" s="1838">
        <f t="shared" si="42"/>
        <v>873</v>
      </c>
      <c r="C876" s="1838" t="s">
        <v>2998</v>
      </c>
      <c r="D876" s="1838" t="s">
        <v>3162</v>
      </c>
      <c r="E876" s="1838" t="s">
        <v>3989</v>
      </c>
      <c r="F876" s="1839">
        <v>45355</v>
      </c>
      <c r="G876" s="1840">
        <v>51156</v>
      </c>
      <c r="H876" s="1841">
        <f t="shared" si="40"/>
        <v>27</v>
      </c>
      <c r="I876" s="1838">
        <f t="shared" si="41"/>
        <v>51156</v>
      </c>
      <c r="J876" s="1838">
        <v>0</v>
      </c>
      <c r="K876" s="1838">
        <v>0</v>
      </c>
      <c r="L876" s="1838">
        <v>0</v>
      </c>
      <c r="M876" s="1838">
        <v>0</v>
      </c>
      <c r="N876" s="1838" t="s">
        <v>3981</v>
      </c>
      <c r="O876" s="1838" t="s">
        <v>3189</v>
      </c>
      <c r="P876" s="1838"/>
    </row>
    <row r="877" spans="2:16" s="1843" customFormat="1">
      <c r="B877" s="1838">
        <f t="shared" si="42"/>
        <v>874</v>
      </c>
      <c r="C877" s="1838" t="s">
        <v>350</v>
      </c>
      <c r="D877" s="1838" t="s">
        <v>3162</v>
      </c>
      <c r="E877" s="1838" t="s">
        <v>3990</v>
      </c>
      <c r="F877" s="1839">
        <v>45262</v>
      </c>
      <c r="G877" s="1840">
        <v>201072</v>
      </c>
      <c r="H877" s="1841">
        <f t="shared" si="40"/>
        <v>120</v>
      </c>
      <c r="I877" s="1838">
        <f t="shared" si="41"/>
        <v>201072</v>
      </c>
      <c r="J877" s="1838">
        <v>0</v>
      </c>
      <c r="K877" s="1838">
        <v>0</v>
      </c>
      <c r="L877" s="1838">
        <v>0</v>
      </c>
      <c r="M877" s="1838">
        <v>0</v>
      </c>
      <c r="N877" s="1838" t="s">
        <v>3991</v>
      </c>
      <c r="O877" s="1838" t="s">
        <v>3165</v>
      </c>
      <c r="P877" s="1838"/>
    </row>
    <row r="878" spans="2:16" s="1843" customFormat="1">
      <c r="B878" s="1838">
        <f t="shared" si="42"/>
        <v>875</v>
      </c>
      <c r="C878" s="1838" t="s">
        <v>350</v>
      </c>
      <c r="D878" s="1838" t="s">
        <v>3162</v>
      </c>
      <c r="E878" s="1838" t="s">
        <v>3992</v>
      </c>
      <c r="F878" s="1839">
        <v>45277</v>
      </c>
      <c r="G878" s="1840">
        <v>234584</v>
      </c>
      <c r="H878" s="1841">
        <f t="shared" si="40"/>
        <v>105</v>
      </c>
      <c r="I878" s="1838">
        <f t="shared" si="41"/>
        <v>234584</v>
      </c>
      <c r="J878" s="1838">
        <v>0</v>
      </c>
      <c r="K878" s="1838">
        <v>0</v>
      </c>
      <c r="L878" s="1838">
        <v>0</v>
      </c>
      <c r="M878" s="1838">
        <v>0</v>
      </c>
      <c r="N878" s="1838" t="s">
        <v>3991</v>
      </c>
      <c r="O878" s="1838" t="s">
        <v>3165</v>
      </c>
      <c r="P878" s="1838"/>
    </row>
    <row r="879" spans="2:16" s="1843" customFormat="1">
      <c r="B879" s="1838">
        <f t="shared" si="42"/>
        <v>876</v>
      </c>
      <c r="C879" s="1838" t="s">
        <v>350</v>
      </c>
      <c r="D879" s="1838" t="s">
        <v>3162</v>
      </c>
      <c r="E879" s="1838" t="s">
        <v>3993</v>
      </c>
      <c r="F879" s="1839">
        <v>45318</v>
      </c>
      <c r="G879" s="1840">
        <v>342672</v>
      </c>
      <c r="H879" s="1841">
        <f t="shared" si="40"/>
        <v>64</v>
      </c>
      <c r="I879" s="1838">
        <f t="shared" si="41"/>
        <v>342672</v>
      </c>
      <c r="J879" s="1838">
        <v>0</v>
      </c>
      <c r="K879" s="1838">
        <v>0</v>
      </c>
      <c r="L879" s="1838">
        <v>0</v>
      </c>
      <c r="M879" s="1838">
        <v>0</v>
      </c>
      <c r="N879" s="1838" t="s">
        <v>3991</v>
      </c>
      <c r="O879" s="1838" t="s">
        <v>3165</v>
      </c>
      <c r="P879" s="1838"/>
    </row>
    <row r="880" spans="2:16" s="1843" customFormat="1">
      <c r="B880" s="1838">
        <f t="shared" si="42"/>
        <v>877</v>
      </c>
      <c r="C880" s="1838" t="s">
        <v>350</v>
      </c>
      <c r="D880" s="1838" t="s">
        <v>3162</v>
      </c>
      <c r="E880" s="1838" t="s">
        <v>3994</v>
      </c>
      <c r="F880" s="1839">
        <v>45351</v>
      </c>
      <c r="G880" s="1840">
        <v>268096</v>
      </c>
      <c r="H880" s="1841">
        <f t="shared" si="40"/>
        <v>31</v>
      </c>
      <c r="I880" s="1838">
        <f t="shared" si="41"/>
        <v>268096</v>
      </c>
      <c r="J880" s="1838">
        <v>0</v>
      </c>
      <c r="K880" s="1838">
        <v>0</v>
      </c>
      <c r="L880" s="1838">
        <v>0</v>
      </c>
      <c r="M880" s="1838">
        <v>0</v>
      </c>
      <c r="N880" s="1838" t="s">
        <v>3991</v>
      </c>
      <c r="O880" s="1838" t="s">
        <v>3165</v>
      </c>
      <c r="P880" s="1838"/>
    </row>
    <row r="881" spans="2:16" s="1843" customFormat="1">
      <c r="B881" s="1838">
        <f t="shared" si="42"/>
        <v>878</v>
      </c>
      <c r="C881" s="1838" t="s">
        <v>3002</v>
      </c>
      <c r="D881" s="1838" t="s">
        <v>3162</v>
      </c>
      <c r="E881" s="1838" t="s">
        <v>3995</v>
      </c>
      <c r="F881" s="1839">
        <v>45295</v>
      </c>
      <c r="G881" s="1840">
        <v>8260</v>
      </c>
      <c r="H881" s="1841">
        <f t="shared" si="40"/>
        <v>87</v>
      </c>
      <c r="I881" s="1838">
        <f t="shared" si="41"/>
        <v>8260</v>
      </c>
      <c r="J881" s="1838">
        <v>0</v>
      </c>
      <c r="K881" s="1838">
        <v>0</v>
      </c>
      <c r="L881" s="1838">
        <v>0</v>
      </c>
      <c r="M881" s="1838">
        <v>0</v>
      </c>
      <c r="N881" s="1838" t="s">
        <v>3996</v>
      </c>
      <c r="O881" s="1838" t="s">
        <v>3763</v>
      </c>
      <c r="P881" s="1838"/>
    </row>
    <row r="882" spans="2:16" s="1843" customFormat="1">
      <c r="B882" s="1838">
        <f t="shared" si="42"/>
        <v>879</v>
      </c>
      <c r="C882" s="1838" t="s">
        <v>3002</v>
      </c>
      <c r="D882" s="1838" t="s">
        <v>3162</v>
      </c>
      <c r="E882" s="1838" t="s">
        <v>3997</v>
      </c>
      <c r="F882" s="1839">
        <v>45302</v>
      </c>
      <c r="G882" s="1840">
        <v>26974</v>
      </c>
      <c r="H882" s="1841">
        <f t="shared" si="40"/>
        <v>80</v>
      </c>
      <c r="I882" s="1838">
        <f t="shared" si="41"/>
        <v>26974</v>
      </c>
      <c r="J882" s="1838">
        <v>0</v>
      </c>
      <c r="K882" s="1838">
        <v>0</v>
      </c>
      <c r="L882" s="1838">
        <v>0</v>
      </c>
      <c r="M882" s="1838">
        <v>0</v>
      </c>
      <c r="N882" s="1838" t="s">
        <v>3996</v>
      </c>
      <c r="O882" s="1838" t="s">
        <v>3763</v>
      </c>
      <c r="P882" s="1838"/>
    </row>
    <row r="883" spans="2:16" s="1843" customFormat="1">
      <c r="B883" s="1838">
        <f t="shared" si="42"/>
        <v>880</v>
      </c>
      <c r="C883" s="1838" t="s">
        <v>3002</v>
      </c>
      <c r="D883" s="1838" t="s">
        <v>3162</v>
      </c>
      <c r="E883" s="1838" t="s">
        <v>3998</v>
      </c>
      <c r="F883" s="1839">
        <v>45303</v>
      </c>
      <c r="G883" s="1840">
        <v>50740</v>
      </c>
      <c r="H883" s="1841">
        <f t="shared" si="40"/>
        <v>79</v>
      </c>
      <c r="I883" s="1838">
        <f t="shared" si="41"/>
        <v>50740</v>
      </c>
      <c r="J883" s="1838">
        <v>0</v>
      </c>
      <c r="K883" s="1838">
        <v>0</v>
      </c>
      <c r="L883" s="1838">
        <v>0</v>
      </c>
      <c r="M883" s="1838">
        <v>0</v>
      </c>
      <c r="N883" s="1838" t="s">
        <v>3996</v>
      </c>
      <c r="O883" s="1838" t="s">
        <v>3763</v>
      </c>
      <c r="P883" s="1838"/>
    </row>
    <row r="884" spans="2:16" s="1843" customFormat="1">
      <c r="B884" s="1838">
        <f t="shared" si="42"/>
        <v>881</v>
      </c>
      <c r="C884" s="1838" t="s">
        <v>3002</v>
      </c>
      <c r="D884" s="1838" t="s">
        <v>3162</v>
      </c>
      <c r="E884" s="1838" t="s">
        <v>3999</v>
      </c>
      <c r="F884" s="1839">
        <v>45321</v>
      </c>
      <c r="G884" s="1840">
        <v>31453</v>
      </c>
      <c r="H884" s="1841">
        <f t="shared" si="40"/>
        <v>61</v>
      </c>
      <c r="I884" s="1838">
        <f t="shared" si="41"/>
        <v>31453</v>
      </c>
      <c r="J884" s="1838">
        <v>0</v>
      </c>
      <c r="K884" s="1838">
        <v>0</v>
      </c>
      <c r="L884" s="1838">
        <v>0</v>
      </c>
      <c r="M884" s="1838">
        <v>0</v>
      </c>
      <c r="N884" s="1838" t="s">
        <v>3996</v>
      </c>
      <c r="O884" s="1838" t="s">
        <v>3763</v>
      </c>
      <c r="P884" s="1838"/>
    </row>
    <row r="885" spans="2:16" s="1843" customFormat="1">
      <c r="B885" s="1838">
        <f t="shared" si="42"/>
        <v>882</v>
      </c>
      <c r="C885" s="1838" t="s">
        <v>3002</v>
      </c>
      <c r="D885" s="1838" t="s">
        <v>3162</v>
      </c>
      <c r="E885" s="1838" t="s">
        <v>4000</v>
      </c>
      <c r="F885" s="1839">
        <v>45322</v>
      </c>
      <c r="G885" s="1840">
        <v>25370</v>
      </c>
      <c r="H885" s="1841">
        <f t="shared" si="40"/>
        <v>60</v>
      </c>
      <c r="I885" s="1838">
        <f t="shared" si="41"/>
        <v>25370</v>
      </c>
      <c r="J885" s="1838">
        <v>0</v>
      </c>
      <c r="K885" s="1838">
        <v>0</v>
      </c>
      <c r="L885" s="1838">
        <v>0</v>
      </c>
      <c r="M885" s="1838">
        <v>0</v>
      </c>
      <c r="N885" s="1838" t="s">
        <v>3996</v>
      </c>
      <c r="O885" s="1838" t="s">
        <v>3763</v>
      </c>
      <c r="P885" s="1838"/>
    </row>
    <row r="886" spans="2:16" s="1843" customFormat="1">
      <c r="B886" s="1838">
        <f t="shared" si="42"/>
        <v>883</v>
      </c>
      <c r="C886" s="1838" t="s">
        <v>3002</v>
      </c>
      <c r="D886" s="1838" t="s">
        <v>3162</v>
      </c>
      <c r="E886" s="1838" t="s">
        <v>4001</v>
      </c>
      <c r="F886" s="1839">
        <v>45353</v>
      </c>
      <c r="G886" s="1840">
        <v>29311</v>
      </c>
      <c r="H886" s="1841">
        <f t="shared" si="40"/>
        <v>29</v>
      </c>
      <c r="I886" s="1838">
        <f t="shared" si="41"/>
        <v>29311</v>
      </c>
      <c r="J886" s="1838">
        <v>0</v>
      </c>
      <c r="K886" s="1838">
        <v>0</v>
      </c>
      <c r="L886" s="1838">
        <v>0</v>
      </c>
      <c r="M886" s="1838">
        <v>0</v>
      </c>
      <c r="N886" s="1838" t="s">
        <v>3996</v>
      </c>
      <c r="O886" s="1838" t="s">
        <v>3763</v>
      </c>
      <c r="P886" s="1838"/>
    </row>
    <row r="887" spans="2:16" s="1843" customFormat="1">
      <c r="B887" s="1838">
        <f t="shared" si="42"/>
        <v>884</v>
      </c>
      <c r="C887" s="1838" t="s">
        <v>3002</v>
      </c>
      <c r="D887" s="1838" t="s">
        <v>3162</v>
      </c>
      <c r="E887" s="1838" t="s">
        <v>4002</v>
      </c>
      <c r="F887" s="1839">
        <v>45358</v>
      </c>
      <c r="G887" s="1840">
        <v>25370</v>
      </c>
      <c r="H887" s="1841">
        <f t="shared" si="40"/>
        <v>24</v>
      </c>
      <c r="I887" s="1838">
        <f t="shared" si="41"/>
        <v>25370</v>
      </c>
      <c r="J887" s="1838">
        <v>0</v>
      </c>
      <c r="K887" s="1838">
        <v>0</v>
      </c>
      <c r="L887" s="1838">
        <v>0</v>
      </c>
      <c r="M887" s="1838">
        <v>0</v>
      </c>
      <c r="N887" s="1838" t="s">
        <v>3996</v>
      </c>
      <c r="O887" s="1838" t="s">
        <v>3763</v>
      </c>
      <c r="P887" s="1838"/>
    </row>
    <row r="888" spans="2:16" s="1843" customFormat="1">
      <c r="B888" s="1838">
        <f t="shared" si="42"/>
        <v>885</v>
      </c>
      <c r="C888" s="1838" t="s">
        <v>2999</v>
      </c>
      <c r="D888" s="1838" t="s">
        <v>3162</v>
      </c>
      <c r="E888" s="1838" t="s">
        <v>4003</v>
      </c>
      <c r="F888" s="1839">
        <v>45339</v>
      </c>
      <c r="G888" s="1840">
        <v>52914</v>
      </c>
      <c r="H888" s="1841">
        <f t="shared" si="40"/>
        <v>43</v>
      </c>
      <c r="I888" s="1838">
        <f t="shared" si="41"/>
        <v>52914</v>
      </c>
      <c r="J888" s="1838">
        <v>0</v>
      </c>
      <c r="K888" s="1838">
        <v>0</v>
      </c>
      <c r="L888" s="1838">
        <v>0</v>
      </c>
      <c r="M888" s="1838">
        <v>0</v>
      </c>
      <c r="N888" s="1838" t="s">
        <v>3182</v>
      </c>
      <c r="O888" s="1838" t="s">
        <v>3183</v>
      </c>
      <c r="P888" s="1838"/>
    </row>
    <row r="889" spans="2:16" s="1843" customFormat="1">
      <c r="B889" s="1838">
        <f t="shared" si="42"/>
        <v>886</v>
      </c>
      <c r="C889" s="1838" t="s">
        <v>2999</v>
      </c>
      <c r="D889" s="1838" t="s">
        <v>3162</v>
      </c>
      <c r="E889" s="1838" t="s">
        <v>4003</v>
      </c>
      <c r="F889" s="1839">
        <v>45339</v>
      </c>
      <c r="G889" s="1840">
        <v>-466</v>
      </c>
      <c r="H889" s="1841">
        <f t="shared" si="40"/>
        <v>43</v>
      </c>
      <c r="I889" s="1838">
        <f t="shared" si="41"/>
        <v>-466</v>
      </c>
      <c r="J889" s="1838">
        <v>0</v>
      </c>
      <c r="K889" s="1838">
        <v>0</v>
      </c>
      <c r="L889" s="1838">
        <v>0</v>
      </c>
      <c r="M889" s="1838">
        <v>0</v>
      </c>
      <c r="N889" s="1838" t="s">
        <v>3182</v>
      </c>
      <c r="O889" s="1838" t="s">
        <v>3183</v>
      </c>
      <c r="P889" s="1838"/>
    </row>
    <row r="890" spans="2:16" s="1843" customFormat="1">
      <c r="B890" s="1838">
        <f t="shared" si="42"/>
        <v>887</v>
      </c>
      <c r="C890" s="1838" t="s">
        <v>2999</v>
      </c>
      <c r="D890" s="1838" t="s">
        <v>3162</v>
      </c>
      <c r="E890" s="1838" t="s">
        <v>4004</v>
      </c>
      <c r="F890" s="1839">
        <v>45347</v>
      </c>
      <c r="G890" s="1840">
        <v>51892</v>
      </c>
      <c r="H890" s="1841">
        <f t="shared" si="40"/>
        <v>35</v>
      </c>
      <c r="I890" s="1838">
        <f t="shared" si="41"/>
        <v>51892</v>
      </c>
      <c r="J890" s="1838">
        <v>0</v>
      </c>
      <c r="K890" s="1838">
        <v>0</v>
      </c>
      <c r="L890" s="1838">
        <v>0</v>
      </c>
      <c r="M890" s="1838">
        <v>0</v>
      </c>
      <c r="N890" s="1838" t="s">
        <v>3182</v>
      </c>
      <c r="O890" s="1838" t="s">
        <v>3183</v>
      </c>
      <c r="P890" s="1838"/>
    </row>
    <row r="891" spans="2:16" s="1843" customFormat="1">
      <c r="B891" s="1838">
        <f t="shared" si="42"/>
        <v>888</v>
      </c>
      <c r="C891" s="1838" t="s">
        <v>2999</v>
      </c>
      <c r="D891" s="1838" t="s">
        <v>3162</v>
      </c>
      <c r="E891" s="1838" t="s">
        <v>4004</v>
      </c>
      <c r="F891" s="1839">
        <v>45347</v>
      </c>
      <c r="G891" s="1840">
        <v>-667</v>
      </c>
      <c r="H891" s="1841">
        <f t="shared" si="40"/>
        <v>35</v>
      </c>
      <c r="I891" s="1838">
        <f t="shared" si="41"/>
        <v>-667</v>
      </c>
      <c r="J891" s="1838">
        <v>0</v>
      </c>
      <c r="K891" s="1838">
        <v>0</v>
      </c>
      <c r="L891" s="1838">
        <v>0</v>
      </c>
      <c r="M891" s="1838">
        <v>0</v>
      </c>
      <c r="N891" s="1838" t="s">
        <v>3182</v>
      </c>
      <c r="O891" s="1838" t="s">
        <v>3183</v>
      </c>
      <c r="P891" s="1838"/>
    </row>
    <row r="892" spans="2:16" s="1843" customFormat="1">
      <c r="B892" s="1838">
        <f t="shared" si="42"/>
        <v>889</v>
      </c>
      <c r="C892" s="1838" t="s">
        <v>16</v>
      </c>
      <c r="D892" s="1838" t="s">
        <v>3162</v>
      </c>
      <c r="E892" s="1838" t="s">
        <v>4005</v>
      </c>
      <c r="F892" s="1839">
        <v>45351</v>
      </c>
      <c r="G892" s="1840">
        <v>210890</v>
      </c>
      <c r="H892" s="1841">
        <f t="shared" si="40"/>
        <v>31</v>
      </c>
      <c r="I892" s="1838">
        <f t="shared" si="41"/>
        <v>210890</v>
      </c>
      <c r="J892" s="1838">
        <v>0</v>
      </c>
      <c r="K892" s="1838">
        <v>0</v>
      </c>
      <c r="L892" s="1838">
        <v>0</v>
      </c>
      <c r="M892" s="1838">
        <v>0</v>
      </c>
      <c r="N892" s="1838" t="s">
        <v>4006</v>
      </c>
      <c r="O892" s="1838" t="s">
        <v>3189</v>
      </c>
      <c r="P892" s="1838"/>
    </row>
    <row r="893" spans="2:16" s="1843" customFormat="1">
      <c r="B893" s="1838">
        <f t="shared" si="42"/>
        <v>890</v>
      </c>
      <c r="C893" s="1838" t="s">
        <v>2997</v>
      </c>
      <c r="D893" s="1838" t="s">
        <v>3162</v>
      </c>
      <c r="E893" s="1838" t="s">
        <v>4007</v>
      </c>
      <c r="F893" s="1839">
        <v>45311</v>
      </c>
      <c r="G893" s="1840">
        <v>54505</v>
      </c>
      <c r="H893" s="1841">
        <f t="shared" si="40"/>
        <v>71</v>
      </c>
      <c r="I893" s="1838">
        <f t="shared" si="41"/>
        <v>54505</v>
      </c>
      <c r="J893" s="1838">
        <v>0</v>
      </c>
      <c r="K893" s="1838">
        <v>0</v>
      </c>
      <c r="L893" s="1838">
        <v>0</v>
      </c>
      <c r="M893" s="1838">
        <v>0</v>
      </c>
      <c r="N893" s="1838" t="s">
        <v>3182</v>
      </c>
      <c r="O893" s="1838" t="s">
        <v>3183</v>
      </c>
      <c r="P893" s="1838"/>
    </row>
    <row r="894" spans="2:16" s="1843" customFormat="1">
      <c r="B894" s="1838">
        <f t="shared" si="42"/>
        <v>891</v>
      </c>
      <c r="C894" s="1838" t="s">
        <v>2997</v>
      </c>
      <c r="D894" s="1838" t="s">
        <v>3162</v>
      </c>
      <c r="E894" s="1838" t="s">
        <v>4008</v>
      </c>
      <c r="F894" s="1839">
        <v>45357</v>
      </c>
      <c r="G894" s="1840">
        <v>68492</v>
      </c>
      <c r="H894" s="1841">
        <f t="shared" si="40"/>
        <v>25</v>
      </c>
      <c r="I894" s="1838">
        <f t="shared" si="41"/>
        <v>68492</v>
      </c>
      <c r="J894" s="1838">
        <v>0</v>
      </c>
      <c r="K894" s="1838">
        <v>0</v>
      </c>
      <c r="L894" s="1838">
        <v>0</v>
      </c>
      <c r="M894" s="1838">
        <v>0</v>
      </c>
      <c r="N894" s="1838" t="s">
        <v>3182</v>
      </c>
      <c r="O894" s="1838" t="s">
        <v>3183</v>
      </c>
      <c r="P894" s="1838"/>
    </row>
    <row r="895" spans="2:16" s="1843" customFormat="1">
      <c r="B895" s="1838">
        <f t="shared" si="42"/>
        <v>892</v>
      </c>
      <c r="C895" s="1838" t="s">
        <v>10</v>
      </c>
      <c r="D895" s="1838" t="s">
        <v>3162</v>
      </c>
      <c r="E895" s="1838" t="s">
        <v>4009</v>
      </c>
      <c r="F895" s="1839">
        <v>45366</v>
      </c>
      <c r="G895" s="1840">
        <v>1018930</v>
      </c>
      <c r="H895" s="1841">
        <f t="shared" si="40"/>
        <v>16</v>
      </c>
      <c r="I895" s="1838">
        <f t="shared" si="41"/>
        <v>1018930</v>
      </c>
      <c r="J895" s="1838">
        <v>0</v>
      </c>
      <c r="K895" s="1838">
        <v>0</v>
      </c>
      <c r="L895" s="1838">
        <v>0</v>
      </c>
      <c r="M895" s="1838">
        <v>0</v>
      </c>
      <c r="N895" s="1838" t="s">
        <v>4010</v>
      </c>
      <c r="O895" s="1838" t="s">
        <v>3189</v>
      </c>
      <c r="P895" s="1838"/>
    </row>
    <row r="896" spans="2:16" s="1843" customFormat="1">
      <c r="B896" s="1838">
        <f t="shared" si="42"/>
        <v>893</v>
      </c>
      <c r="C896" s="1838" t="s">
        <v>3003</v>
      </c>
      <c r="D896" s="1838" t="s">
        <v>3162</v>
      </c>
      <c r="E896" s="1838" t="s">
        <v>4011</v>
      </c>
      <c r="F896" s="1839">
        <v>45307</v>
      </c>
      <c r="G896" s="1840">
        <v>29917</v>
      </c>
      <c r="H896" s="1841">
        <f t="shared" si="40"/>
        <v>75</v>
      </c>
      <c r="I896" s="1838">
        <f t="shared" si="41"/>
        <v>29917</v>
      </c>
      <c r="J896" s="1838">
        <v>0</v>
      </c>
      <c r="K896" s="1838">
        <v>0</v>
      </c>
      <c r="L896" s="1838">
        <v>0</v>
      </c>
      <c r="M896" s="1838">
        <v>0</v>
      </c>
      <c r="N896" s="1838" t="s">
        <v>3182</v>
      </c>
      <c r="O896" s="1838" t="s">
        <v>3183</v>
      </c>
      <c r="P896" s="1838"/>
    </row>
    <row r="897" spans="2:16" s="1843" customFormat="1">
      <c r="B897" s="1838">
        <f t="shared" si="42"/>
        <v>894</v>
      </c>
      <c r="C897" s="1838" t="s">
        <v>3003</v>
      </c>
      <c r="D897" s="1838" t="s">
        <v>3162</v>
      </c>
      <c r="E897" s="1838" t="s">
        <v>4012</v>
      </c>
      <c r="F897" s="1839">
        <v>45307</v>
      </c>
      <c r="G897" s="1840">
        <v>40194</v>
      </c>
      <c r="H897" s="1841">
        <f t="shared" si="40"/>
        <v>75</v>
      </c>
      <c r="I897" s="1838">
        <f t="shared" si="41"/>
        <v>40194</v>
      </c>
      <c r="J897" s="1838">
        <v>0</v>
      </c>
      <c r="K897" s="1838">
        <v>0</v>
      </c>
      <c r="L897" s="1838">
        <v>0</v>
      </c>
      <c r="M897" s="1838">
        <v>0</v>
      </c>
      <c r="N897" s="1838" t="s">
        <v>3182</v>
      </c>
      <c r="O897" s="1838" t="s">
        <v>3183</v>
      </c>
      <c r="P897" s="1838"/>
    </row>
    <row r="898" spans="2:16" s="1843" customFormat="1">
      <c r="B898" s="1838">
        <f t="shared" si="42"/>
        <v>895</v>
      </c>
      <c r="C898" s="1838" t="s">
        <v>3003</v>
      </c>
      <c r="D898" s="1838" t="s">
        <v>3162</v>
      </c>
      <c r="E898" s="1838" t="s">
        <v>4013</v>
      </c>
      <c r="F898" s="1839">
        <v>45308</v>
      </c>
      <c r="G898" s="1840">
        <v>68906</v>
      </c>
      <c r="H898" s="1841">
        <f t="shared" si="40"/>
        <v>74</v>
      </c>
      <c r="I898" s="1838">
        <f t="shared" si="41"/>
        <v>68906</v>
      </c>
      <c r="J898" s="1838">
        <v>0</v>
      </c>
      <c r="K898" s="1838">
        <v>0</v>
      </c>
      <c r="L898" s="1838">
        <v>0</v>
      </c>
      <c r="M898" s="1838">
        <v>0</v>
      </c>
      <c r="N898" s="1838" t="s">
        <v>3182</v>
      </c>
      <c r="O898" s="1838" t="s">
        <v>3183</v>
      </c>
      <c r="P898" s="1838"/>
    </row>
    <row r="899" spans="2:16" s="1843" customFormat="1">
      <c r="B899" s="1838">
        <f t="shared" si="42"/>
        <v>896</v>
      </c>
      <c r="C899" s="1838" t="s">
        <v>3003</v>
      </c>
      <c r="D899" s="1838" t="s">
        <v>3162</v>
      </c>
      <c r="E899" s="1838" t="s">
        <v>4014</v>
      </c>
      <c r="F899" s="1839">
        <v>45308</v>
      </c>
      <c r="G899" s="1840">
        <v>52999</v>
      </c>
      <c r="H899" s="1841">
        <f t="shared" si="40"/>
        <v>74</v>
      </c>
      <c r="I899" s="1838">
        <f t="shared" si="41"/>
        <v>52999</v>
      </c>
      <c r="J899" s="1838">
        <v>0</v>
      </c>
      <c r="K899" s="1838">
        <v>0</v>
      </c>
      <c r="L899" s="1838">
        <v>0</v>
      </c>
      <c r="M899" s="1838">
        <v>0</v>
      </c>
      <c r="N899" s="1838" t="s">
        <v>3182</v>
      </c>
      <c r="O899" s="1838" t="s">
        <v>3183</v>
      </c>
      <c r="P899" s="1838"/>
    </row>
    <row r="900" spans="2:16" s="1843" customFormat="1">
      <c r="B900" s="1838">
        <f t="shared" si="42"/>
        <v>897</v>
      </c>
      <c r="C900" s="1838" t="s">
        <v>3003</v>
      </c>
      <c r="D900" s="1838" t="s">
        <v>3162</v>
      </c>
      <c r="E900" s="1838" t="s">
        <v>4015</v>
      </c>
      <c r="F900" s="1839">
        <v>45309</v>
      </c>
      <c r="G900" s="1840">
        <v>76004</v>
      </c>
      <c r="H900" s="1841">
        <f t="shared" si="40"/>
        <v>73</v>
      </c>
      <c r="I900" s="1838">
        <f t="shared" si="41"/>
        <v>76004</v>
      </c>
      <c r="J900" s="1838">
        <v>0</v>
      </c>
      <c r="K900" s="1838">
        <v>0</v>
      </c>
      <c r="L900" s="1838">
        <v>0</v>
      </c>
      <c r="M900" s="1838">
        <v>0</v>
      </c>
      <c r="N900" s="1838" t="s">
        <v>3182</v>
      </c>
      <c r="O900" s="1838" t="s">
        <v>3183</v>
      </c>
      <c r="P900" s="1838"/>
    </row>
    <row r="901" spans="2:16" s="1843" customFormat="1">
      <c r="B901" s="1838">
        <f t="shared" si="42"/>
        <v>898</v>
      </c>
      <c r="C901" s="1838" t="s">
        <v>3003</v>
      </c>
      <c r="D901" s="1838" t="s">
        <v>3162</v>
      </c>
      <c r="E901" s="1838" t="s">
        <v>4016</v>
      </c>
      <c r="F901" s="1839">
        <v>45309</v>
      </c>
      <c r="G901" s="1840">
        <v>62984</v>
      </c>
      <c r="H901" s="1841">
        <f t="shared" ref="H901:H964" si="43">+$H$2-F901</f>
        <v>73</v>
      </c>
      <c r="I901" s="1838">
        <f t="shared" ref="I901:I964" si="44">+G901</f>
        <v>62984</v>
      </c>
      <c r="J901" s="1838">
        <v>0</v>
      </c>
      <c r="K901" s="1838">
        <v>0</v>
      </c>
      <c r="L901" s="1838">
        <v>0</v>
      </c>
      <c r="M901" s="1838">
        <v>0</v>
      </c>
      <c r="N901" s="1838" t="s">
        <v>3182</v>
      </c>
      <c r="O901" s="1838" t="s">
        <v>3183</v>
      </c>
      <c r="P901" s="1838"/>
    </row>
    <row r="902" spans="2:16" s="1843" customFormat="1">
      <c r="B902" s="1838">
        <f t="shared" ref="B902:B965" si="45">+B901+1</f>
        <v>899</v>
      </c>
      <c r="C902" s="1838" t="s">
        <v>3003</v>
      </c>
      <c r="D902" s="1838" t="s">
        <v>3162</v>
      </c>
      <c r="E902" s="1838" t="s">
        <v>4017</v>
      </c>
      <c r="F902" s="1839">
        <v>45309</v>
      </c>
      <c r="G902" s="1840">
        <v>44268</v>
      </c>
      <c r="H902" s="1841">
        <f t="shared" si="43"/>
        <v>73</v>
      </c>
      <c r="I902" s="1838">
        <f t="shared" si="44"/>
        <v>44268</v>
      </c>
      <c r="J902" s="1838">
        <v>0</v>
      </c>
      <c r="K902" s="1838">
        <v>0</v>
      </c>
      <c r="L902" s="1838">
        <v>0</v>
      </c>
      <c r="M902" s="1838">
        <v>0</v>
      </c>
      <c r="N902" s="1838" t="s">
        <v>3182</v>
      </c>
      <c r="O902" s="1838" t="s">
        <v>3183</v>
      </c>
      <c r="P902" s="1838"/>
    </row>
    <row r="903" spans="2:16" s="1843" customFormat="1">
      <c r="B903" s="1838">
        <f t="shared" si="45"/>
        <v>900</v>
      </c>
      <c r="C903" s="1838" t="s">
        <v>3003</v>
      </c>
      <c r="D903" s="1838" t="s">
        <v>3162</v>
      </c>
      <c r="E903" s="1838" t="s">
        <v>4018</v>
      </c>
      <c r="F903" s="1839">
        <v>45310</v>
      </c>
      <c r="G903" s="1840">
        <v>81212</v>
      </c>
      <c r="H903" s="1841">
        <f t="shared" si="43"/>
        <v>72</v>
      </c>
      <c r="I903" s="1838">
        <f t="shared" si="44"/>
        <v>81212</v>
      </c>
      <c r="J903" s="1838">
        <v>0</v>
      </c>
      <c r="K903" s="1838">
        <v>0</v>
      </c>
      <c r="L903" s="1838">
        <v>0</v>
      </c>
      <c r="M903" s="1838">
        <v>0</v>
      </c>
      <c r="N903" s="1838" t="s">
        <v>3182</v>
      </c>
      <c r="O903" s="1838" t="s">
        <v>3183</v>
      </c>
      <c r="P903" s="1838"/>
    </row>
    <row r="904" spans="2:16" s="1843" customFormat="1">
      <c r="B904" s="1838">
        <f t="shared" si="45"/>
        <v>901</v>
      </c>
      <c r="C904" s="1838" t="s">
        <v>3003</v>
      </c>
      <c r="D904" s="1838" t="s">
        <v>3162</v>
      </c>
      <c r="E904" s="1838" t="s">
        <v>4019</v>
      </c>
      <c r="F904" s="1839">
        <v>45310</v>
      </c>
      <c r="G904" s="1840">
        <v>50778</v>
      </c>
      <c r="H904" s="1841">
        <f t="shared" si="43"/>
        <v>72</v>
      </c>
      <c r="I904" s="1838">
        <f t="shared" si="44"/>
        <v>50778</v>
      </c>
      <c r="J904" s="1838">
        <v>0</v>
      </c>
      <c r="K904" s="1838">
        <v>0</v>
      </c>
      <c r="L904" s="1838">
        <v>0</v>
      </c>
      <c r="M904" s="1838">
        <v>0</v>
      </c>
      <c r="N904" s="1838" t="s">
        <v>3182</v>
      </c>
      <c r="O904" s="1838" t="s">
        <v>3183</v>
      </c>
      <c r="P904" s="1838"/>
    </row>
    <row r="905" spans="2:16" s="1843" customFormat="1">
      <c r="B905" s="1838">
        <f t="shared" si="45"/>
        <v>902</v>
      </c>
      <c r="C905" s="1838" t="s">
        <v>3003</v>
      </c>
      <c r="D905" s="1838" t="s">
        <v>3162</v>
      </c>
      <c r="E905" s="1838" t="s">
        <v>4020</v>
      </c>
      <c r="F905" s="1839">
        <v>45310</v>
      </c>
      <c r="G905" s="1840">
        <v>48581</v>
      </c>
      <c r="H905" s="1841">
        <f t="shared" si="43"/>
        <v>72</v>
      </c>
      <c r="I905" s="1838">
        <f t="shared" si="44"/>
        <v>48581</v>
      </c>
      <c r="J905" s="1838">
        <v>0</v>
      </c>
      <c r="K905" s="1838">
        <v>0</v>
      </c>
      <c r="L905" s="1838">
        <v>0</v>
      </c>
      <c r="M905" s="1838">
        <v>0</v>
      </c>
      <c r="N905" s="1838" t="s">
        <v>3182</v>
      </c>
      <c r="O905" s="1838" t="s">
        <v>3183</v>
      </c>
      <c r="P905" s="1838"/>
    </row>
    <row r="906" spans="2:16" s="1843" customFormat="1">
      <c r="B906" s="1838">
        <f t="shared" si="45"/>
        <v>903</v>
      </c>
      <c r="C906" s="1838" t="s">
        <v>3003</v>
      </c>
      <c r="D906" s="1838" t="s">
        <v>3162</v>
      </c>
      <c r="E906" s="1838" t="s">
        <v>4021</v>
      </c>
      <c r="F906" s="1839">
        <v>45310</v>
      </c>
      <c r="G906" s="1840">
        <v>61275</v>
      </c>
      <c r="H906" s="1841">
        <f t="shared" si="43"/>
        <v>72</v>
      </c>
      <c r="I906" s="1838">
        <f t="shared" si="44"/>
        <v>61275</v>
      </c>
      <c r="J906" s="1838">
        <v>0</v>
      </c>
      <c r="K906" s="1838">
        <v>0</v>
      </c>
      <c r="L906" s="1838">
        <v>0</v>
      </c>
      <c r="M906" s="1838">
        <v>0</v>
      </c>
      <c r="N906" s="1838" t="s">
        <v>3182</v>
      </c>
      <c r="O906" s="1838" t="s">
        <v>3183</v>
      </c>
      <c r="P906" s="1838"/>
    </row>
    <row r="907" spans="2:16" s="1843" customFormat="1">
      <c r="B907" s="1838">
        <f t="shared" si="45"/>
        <v>904</v>
      </c>
      <c r="C907" s="1838" t="s">
        <v>3003</v>
      </c>
      <c r="D907" s="1838" t="s">
        <v>3162</v>
      </c>
      <c r="E907" s="1838" t="s">
        <v>4022</v>
      </c>
      <c r="F907" s="1839">
        <v>45310</v>
      </c>
      <c r="G907" s="1840">
        <v>53708</v>
      </c>
      <c r="H907" s="1841">
        <f t="shared" si="43"/>
        <v>72</v>
      </c>
      <c r="I907" s="1838">
        <f t="shared" si="44"/>
        <v>53708</v>
      </c>
      <c r="J907" s="1838">
        <v>0</v>
      </c>
      <c r="K907" s="1838">
        <v>0</v>
      </c>
      <c r="L907" s="1838">
        <v>0</v>
      </c>
      <c r="M907" s="1838">
        <v>0</v>
      </c>
      <c r="N907" s="1838" t="s">
        <v>3182</v>
      </c>
      <c r="O907" s="1838" t="s">
        <v>3183</v>
      </c>
      <c r="P907" s="1838"/>
    </row>
    <row r="908" spans="2:16" s="1843" customFormat="1">
      <c r="B908" s="1838">
        <f t="shared" si="45"/>
        <v>905</v>
      </c>
      <c r="C908" s="1838" t="s">
        <v>3003</v>
      </c>
      <c r="D908" s="1838" t="s">
        <v>3162</v>
      </c>
      <c r="E908" s="1838" t="s">
        <v>4023</v>
      </c>
      <c r="F908" s="1839">
        <v>45311</v>
      </c>
      <c r="G908" s="1840">
        <v>40037</v>
      </c>
      <c r="H908" s="1841">
        <f t="shared" si="43"/>
        <v>71</v>
      </c>
      <c r="I908" s="1838">
        <f t="shared" si="44"/>
        <v>40037</v>
      </c>
      <c r="J908" s="1838">
        <v>0</v>
      </c>
      <c r="K908" s="1838">
        <v>0</v>
      </c>
      <c r="L908" s="1838">
        <v>0</v>
      </c>
      <c r="M908" s="1838">
        <v>0</v>
      </c>
      <c r="N908" s="1838" t="s">
        <v>3182</v>
      </c>
      <c r="O908" s="1838" t="s">
        <v>3183</v>
      </c>
      <c r="P908" s="1838"/>
    </row>
    <row r="909" spans="2:16" s="1843" customFormat="1">
      <c r="B909" s="1838">
        <f t="shared" si="45"/>
        <v>906</v>
      </c>
      <c r="C909" s="1838" t="s">
        <v>3003</v>
      </c>
      <c r="D909" s="1838" t="s">
        <v>3162</v>
      </c>
      <c r="E909" s="1838" t="s">
        <v>4024</v>
      </c>
      <c r="F909" s="1839">
        <v>45311</v>
      </c>
      <c r="G909" s="1840">
        <v>49557</v>
      </c>
      <c r="H909" s="1841">
        <f t="shared" si="43"/>
        <v>71</v>
      </c>
      <c r="I909" s="1838">
        <f t="shared" si="44"/>
        <v>49557</v>
      </c>
      <c r="J909" s="1838">
        <v>0</v>
      </c>
      <c r="K909" s="1838">
        <v>0</v>
      </c>
      <c r="L909" s="1838">
        <v>0</v>
      </c>
      <c r="M909" s="1838">
        <v>0</v>
      </c>
      <c r="N909" s="1838" t="s">
        <v>3182</v>
      </c>
      <c r="O909" s="1838" t="s">
        <v>3183</v>
      </c>
      <c r="P909" s="1838"/>
    </row>
    <row r="910" spans="2:16" s="1843" customFormat="1">
      <c r="B910" s="1838">
        <f t="shared" si="45"/>
        <v>907</v>
      </c>
      <c r="C910" s="1838" t="s">
        <v>3003</v>
      </c>
      <c r="D910" s="1838" t="s">
        <v>3162</v>
      </c>
      <c r="E910" s="1838" t="s">
        <v>4025</v>
      </c>
      <c r="F910" s="1839">
        <v>45311</v>
      </c>
      <c r="G910" s="1840">
        <v>38084</v>
      </c>
      <c r="H910" s="1841">
        <f t="shared" si="43"/>
        <v>71</v>
      </c>
      <c r="I910" s="1838">
        <f t="shared" si="44"/>
        <v>38084</v>
      </c>
      <c r="J910" s="1838">
        <v>0</v>
      </c>
      <c r="K910" s="1838">
        <v>0</v>
      </c>
      <c r="L910" s="1838">
        <v>0</v>
      </c>
      <c r="M910" s="1838">
        <v>0</v>
      </c>
      <c r="N910" s="1838" t="s">
        <v>3182</v>
      </c>
      <c r="O910" s="1838" t="s">
        <v>3183</v>
      </c>
      <c r="P910" s="1838"/>
    </row>
    <row r="911" spans="2:16" s="1843" customFormat="1">
      <c r="B911" s="1838">
        <f t="shared" si="45"/>
        <v>908</v>
      </c>
      <c r="C911" s="1838" t="s">
        <v>3003</v>
      </c>
      <c r="D911" s="1838" t="s">
        <v>3162</v>
      </c>
      <c r="E911" s="1838" t="s">
        <v>4026</v>
      </c>
      <c r="F911" s="1839">
        <v>45312</v>
      </c>
      <c r="G911" s="1840">
        <v>48825</v>
      </c>
      <c r="H911" s="1841">
        <f t="shared" si="43"/>
        <v>70</v>
      </c>
      <c r="I911" s="1838">
        <f t="shared" si="44"/>
        <v>48825</v>
      </c>
      <c r="J911" s="1838">
        <v>0</v>
      </c>
      <c r="K911" s="1838">
        <v>0</v>
      </c>
      <c r="L911" s="1838">
        <v>0</v>
      </c>
      <c r="M911" s="1838">
        <v>0</v>
      </c>
      <c r="N911" s="1838" t="s">
        <v>3182</v>
      </c>
      <c r="O911" s="1838" t="s">
        <v>3183</v>
      </c>
      <c r="P911" s="1838"/>
    </row>
    <row r="912" spans="2:16" s="1843" customFormat="1">
      <c r="B912" s="1838">
        <f t="shared" si="45"/>
        <v>909</v>
      </c>
      <c r="C912" s="1838" t="s">
        <v>3003</v>
      </c>
      <c r="D912" s="1838" t="s">
        <v>3162</v>
      </c>
      <c r="E912" s="1838" t="s">
        <v>4027</v>
      </c>
      <c r="F912" s="1839">
        <v>45312</v>
      </c>
      <c r="G912" s="1840">
        <v>57614</v>
      </c>
      <c r="H912" s="1841">
        <f t="shared" si="43"/>
        <v>70</v>
      </c>
      <c r="I912" s="1838">
        <f t="shared" si="44"/>
        <v>57614</v>
      </c>
      <c r="J912" s="1838">
        <v>0</v>
      </c>
      <c r="K912" s="1838">
        <v>0</v>
      </c>
      <c r="L912" s="1838">
        <v>0</v>
      </c>
      <c r="M912" s="1838">
        <v>0</v>
      </c>
      <c r="N912" s="1838" t="s">
        <v>3182</v>
      </c>
      <c r="O912" s="1838" t="s">
        <v>3183</v>
      </c>
      <c r="P912" s="1838"/>
    </row>
    <row r="913" spans="2:16" s="1843" customFormat="1">
      <c r="B913" s="1838">
        <f t="shared" si="45"/>
        <v>910</v>
      </c>
      <c r="C913" s="1838" t="s">
        <v>3003</v>
      </c>
      <c r="D913" s="1838" t="s">
        <v>3162</v>
      </c>
      <c r="E913" s="1838" t="s">
        <v>4028</v>
      </c>
      <c r="F913" s="1839">
        <v>45312</v>
      </c>
      <c r="G913" s="1840">
        <v>68274</v>
      </c>
      <c r="H913" s="1841">
        <f t="shared" si="43"/>
        <v>70</v>
      </c>
      <c r="I913" s="1838">
        <f t="shared" si="44"/>
        <v>68274</v>
      </c>
      <c r="J913" s="1838">
        <v>0</v>
      </c>
      <c r="K913" s="1838">
        <v>0</v>
      </c>
      <c r="L913" s="1838">
        <v>0</v>
      </c>
      <c r="M913" s="1838">
        <v>0</v>
      </c>
      <c r="N913" s="1838" t="s">
        <v>3182</v>
      </c>
      <c r="O913" s="1838" t="s">
        <v>3183</v>
      </c>
      <c r="P913" s="1838"/>
    </row>
    <row r="914" spans="2:16" s="1843" customFormat="1">
      <c r="B914" s="1838">
        <f t="shared" si="45"/>
        <v>911</v>
      </c>
      <c r="C914" s="1838" t="s">
        <v>3003</v>
      </c>
      <c r="D914" s="1838" t="s">
        <v>3162</v>
      </c>
      <c r="E914" s="1838" t="s">
        <v>4029</v>
      </c>
      <c r="F914" s="1839">
        <v>45312</v>
      </c>
      <c r="G914" s="1840">
        <v>44268</v>
      </c>
      <c r="H914" s="1841">
        <f t="shared" si="43"/>
        <v>70</v>
      </c>
      <c r="I914" s="1838">
        <f t="shared" si="44"/>
        <v>44268</v>
      </c>
      <c r="J914" s="1838">
        <v>0</v>
      </c>
      <c r="K914" s="1838">
        <v>0</v>
      </c>
      <c r="L914" s="1838">
        <v>0</v>
      </c>
      <c r="M914" s="1838">
        <v>0</v>
      </c>
      <c r="N914" s="1838" t="s">
        <v>3182</v>
      </c>
      <c r="O914" s="1838" t="s">
        <v>3183</v>
      </c>
      <c r="P914" s="1838"/>
    </row>
    <row r="915" spans="2:16" s="1843" customFormat="1">
      <c r="B915" s="1838">
        <f t="shared" si="45"/>
        <v>912</v>
      </c>
      <c r="C915" s="1838" t="s">
        <v>3003</v>
      </c>
      <c r="D915" s="1838" t="s">
        <v>3162</v>
      </c>
      <c r="E915" s="1838" t="s">
        <v>4030</v>
      </c>
      <c r="F915" s="1839">
        <v>45312</v>
      </c>
      <c r="G915" s="1840">
        <v>51510</v>
      </c>
      <c r="H915" s="1841">
        <f t="shared" si="43"/>
        <v>70</v>
      </c>
      <c r="I915" s="1838">
        <f t="shared" si="44"/>
        <v>51510</v>
      </c>
      <c r="J915" s="1838">
        <v>0</v>
      </c>
      <c r="K915" s="1838">
        <v>0</v>
      </c>
      <c r="L915" s="1838">
        <v>0</v>
      </c>
      <c r="M915" s="1838">
        <v>0</v>
      </c>
      <c r="N915" s="1838" t="s">
        <v>3182</v>
      </c>
      <c r="O915" s="1838" t="s">
        <v>3183</v>
      </c>
      <c r="P915" s="1838"/>
    </row>
    <row r="916" spans="2:16" s="1843" customFormat="1">
      <c r="B916" s="1838">
        <f t="shared" si="45"/>
        <v>913</v>
      </c>
      <c r="C916" s="1838" t="s">
        <v>3003</v>
      </c>
      <c r="D916" s="1838" t="s">
        <v>3162</v>
      </c>
      <c r="E916" s="1838" t="s">
        <v>4031</v>
      </c>
      <c r="F916" s="1839">
        <v>45313</v>
      </c>
      <c r="G916" s="1840">
        <v>47360</v>
      </c>
      <c r="H916" s="1841">
        <f t="shared" si="43"/>
        <v>69</v>
      </c>
      <c r="I916" s="1838">
        <f t="shared" si="44"/>
        <v>47360</v>
      </c>
      <c r="J916" s="1838">
        <v>0</v>
      </c>
      <c r="K916" s="1838">
        <v>0</v>
      </c>
      <c r="L916" s="1838">
        <v>0</v>
      </c>
      <c r="M916" s="1838">
        <v>0</v>
      </c>
      <c r="N916" s="1838" t="s">
        <v>3182</v>
      </c>
      <c r="O916" s="1838" t="s">
        <v>3183</v>
      </c>
      <c r="P916" s="1838"/>
    </row>
    <row r="917" spans="2:16" s="1843" customFormat="1">
      <c r="B917" s="1838">
        <f t="shared" si="45"/>
        <v>914</v>
      </c>
      <c r="C917" s="1838" t="s">
        <v>3003</v>
      </c>
      <c r="D917" s="1838" t="s">
        <v>3162</v>
      </c>
      <c r="E917" s="1838" t="s">
        <v>4032</v>
      </c>
      <c r="F917" s="1839">
        <v>45313</v>
      </c>
      <c r="G917" s="1840">
        <v>117180</v>
      </c>
      <c r="H917" s="1841">
        <f t="shared" si="43"/>
        <v>69</v>
      </c>
      <c r="I917" s="1838">
        <f t="shared" si="44"/>
        <v>117180</v>
      </c>
      <c r="J917" s="1838">
        <v>0</v>
      </c>
      <c r="K917" s="1838">
        <v>0</v>
      </c>
      <c r="L917" s="1838">
        <v>0</v>
      </c>
      <c r="M917" s="1838">
        <v>0</v>
      </c>
      <c r="N917" s="1838" t="s">
        <v>3182</v>
      </c>
      <c r="O917" s="1838" t="s">
        <v>3183</v>
      </c>
      <c r="P917" s="1838"/>
    </row>
    <row r="918" spans="2:16" s="1843" customFormat="1">
      <c r="B918" s="1838">
        <f t="shared" si="45"/>
        <v>915</v>
      </c>
      <c r="C918" s="1838" t="s">
        <v>3003</v>
      </c>
      <c r="D918" s="1838" t="s">
        <v>3162</v>
      </c>
      <c r="E918" s="1838" t="s">
        <v>4033</v>
      </c>
      <c r="F918" s="1839">
        <v>45313</v>
      </c>
      <c r="G918" s="1840">
        <v>85362</v>
      </c>
      <c r="H918" s="1841">
        <f t="shared" si="43"/>
        <v>69</v>
      </c>
      <c r="I918" s="1838">
        <f t="shared" si="44"/>
        <v>85362</v>
      </c>
      <c r="J918" s="1838">
        <v>0</v>
      </c>
      <c r="K918" s="1838">
        <v>0</v>
      </c>
      <c r="L918" s="1838">
        <v>0</v>
      </c>
      <c r="M918" s="1838">
        <v>0</v>
      </c>
      <c r="N918" s="1838" t="s">
        <v>3182</v>
      </c>
      <c r="O918" s="1838" t="s">
        <v>3183</v>
      </c>
      <c r="P918" s="1838"/>
    </row>
    <row r="919" spans="2:16" s="1843" customFormat="1">
      <c r="B919" s="1838">
        <f t="shared" si="45"/>
        <v>916</v>
      </c>
      <c r="C919" s="1838" t="s">
        <v>3003</v>
      </c>
      <c r="D919" s="1838" t="s">
        <v>3162</v>
      </c>
      <c r="E919" s="1838" t="s">
        <v>4034</v>
      </c>
      <c r="F919" s="1839">
        <v>45313</v>
      </c>
      <c r="G919" s="1840">
        <v>42803</v>
      </c>
      <c r="H919" s="1841">
        <f t="shared" si="43"/>
        <v>69</v>
      </c>
      <c r="I919" s="1838">
        <f t="shared" si="44"/>
        <v>42803</v>
      </c>
      <c r="J919" s="1838">
        <v>0</v>
      </c>
      <c r="K919" s="1838">
        <v>0</v>
      </c>
      <c r="L919" s="1838">
        <v>0</v>
      </c>
      <c r="M919" s="1838">
        <v>0</v>
      </c>
      <c r="N919" s="1838" t="s">
        <v>3182</v>
      </c>
      <c r="O919" s="1838" t="s">
        <v>3183</v>
      </c>
      <c r="P919" s="1838"/>
    </row>
    <row r="920" spans="2:16" s="1843" customFormat="1">
      <c r="B920" s="1838">
        <f t="shared" si="45"/>
        <v>917</v>
      </c>
      <c r="C920" s="1838" t="s">
        <v>3003</v>
      </c>
      <c r="D920" s="1838" t="s">
        <v>3162</v>
      </c>
      <c r="E920" s="1838" t="s">
        <v>4035</v>
      </c>
      <c r="F920" s="1839">
        <v>45313</v>
      </c>
      <c r="G920" s="1840">
        <v>76493</v>
      </c>
      <c r="H920" s="1841">
        <f t="shared" si="43"/>
        <v>69</v>
      </c>
      <c r="I920" s="1838">
        <f t="shared" si="44"/>
        <v>76493</v>
      </c>
      <c r="J920" s="1838">
        <v>0</v>
      </c>
      <c r="K920" s="1838">
        <v>0</v>
      </c>
      <c r="L920" s="1838">
        <v>0</v>
      </c>
      <c r="M920" s="1838">
        <v>0</v>
      </c>
      <c r="N920" s="1838" t="s">
        <v>3182</v>
      </c>
      <c r="O920" s="1838" t="s">
        <v>3183</v>
      </c>
      <c r="P920" s="1838"/>
    </row>
    <row r="921" spans="2:16" s="1843" customFormat="1">
      <c r="B921" s="1838">
        <f t="shared" si="45"/>
        <v>918</v>
      </c>
      <c r="C921" s="1838" t="s">
        <v>3003</v>
      </c>
      <c r="D921" s="1838" t="s">
        <v>3162</v>
      </c>
      <c r="E921" s="1838" t="s">
        <v>4036</v>
      </c>
      <c r="F921" s="1839">
        <v>45314</v>
      </c>
      <c r="G921" s="1840">
        <v>47360</v>
      </c>
      <c r="H921" s="1841">
        <f t="shared" si="43"/>
        <v>68</v>
      </c>
      <c r="I921" s="1838">
        <f t="shared" si="44"/>
        <v>47360</v>
      </c>
      <c r="J921" s="1838">
        <v>0</v>
      </c>
      <c r="K921" s="1838">
        <v>0</v>
      </c>
      <c r="L921" s="1838">
        <v>0</v>
      </c>
      <c r="M921" s="1838">
        <v>0</v>
      </c>
      <c r="N921" s="1838" t="s">
        <v>3182</v>
      </c>
      <c r="O921" s="1838" t="s">
        <v>3183</v>
      </c>
      <c r="P921" s="1838"/>
    </row>
    <row r="922" spans="2:16" s="1843" customFormat="1">
      <c r="B922" s="1838">
        <f t="shared" si="45"/>
        <v>919</v>
      </c>
      <c r="C922" s="1838" t="s">
        <v>3003</v>
      </c>
      <c r="D922" s="1838" t="s">
        <v>3162</v>
      </c>
      <c r="E922" s="1838" t="s">
        <v>4037</v>
      </c>
      <c r="F922" s="1839">
        <v>45314</v>
      </c>
      <c r="G922" s="1840">
        <v>45489</v>
      </c>
      <c r="H922" s="1841">
        <f t="shared" si="43"/>
        <v>68</v>
      </c>
      <c r="I922" s="1838">
        <f t="shared" si="44"/>
        <v>45489</v>
      </c>
      <c r="J922" s="1838">
        <v>0</v>
      </c>
      <c r="K922" s="1838">
        <v>0</v>
      </c>
      <c r="L922" s="1838">
        <v>0</v>
      </c>
      <c r="M922" s="1838">
        <v>0</v>
      </c>
      <c r="N922" s="1838" t="s">
        <v>3182</v>
      </c>
      <c r="O922" s="1838" t="s">
        <v>3183</v>
      </c>
      <c r="P922" s="1838"/>
    </row>
    <row r="923" spans="2:16" s="1843" customFormat="1">
      <c r="B923" s="1838">
        <f t="shared" si="45"/>
        <v>920</v>
      </c>
      <c r="C923" s="1838" t="s">
        <v>3003</v>
      </c>
      <c r="D923" s="1838" t="s">
        <v>3162</v>
      </c>
      <c r="E923" s="1838" t="s">
        <v>4038</v>
      </c>
      <c r="F923" s="1839">
        <v>45314</v>
      </c>
      <c r="G923" s="1840">
        <v>52568</v>
      </c>
      <c r="H923" s="1841">
        <f t="shared" si="43"/>
        <v>68</v>
      </c>
      <c r="I923" s="1838">
        <f t="shared" si="44"/>
        <v>52568</v>
      </c>
      <c r="J923" s="1838">
        <v>0</v>
      </c>
      <c r="K923" s="1838">
        <v>0</v>
      </c>
      <c r="L923" s="1838">
        <v>0</v>
      </c>
      <c r="M923" s="1838">
        <v>0</v>
      </c>
      <c r="N923" s="1838" t="s">
        <v>3182</v>
      </c>
      <c r="O923" s="1838" t="s">
        <v>3183</v>
      </c>
      <c r="P923" s="1838"/>
    </row>
    <row r="924" spans="2:16" s="1843" customFormat="1">
      <c r="B924" s="1838">
        <f t="shared" si="45"/>
        <v>921</v>
      </c>
      <c r="C924" s="1838" t="s">
        <v>3003</v>
      </c>
      <c r="D924" s="1838" t="s">
        <v>3162</v>
      </c>
      <c r="E924" s="1838" t="s">
        <v>4039</v>
      </c>
      <c r="F924" s="1839">
        <v>45314</v>
      </c>
      <c r="G924" s="1840">
        <v>41501</v>
      </c>
      <c r="H924" s="1841">
        <f t="shared" si="43"/>
        <v>68</v>
      </c>
      <c r="I924" s="1838">
        <f t="shared" si="44"/>
        <v>41501</v>
      </c>
      <c r="J924" s="1838">
        <v>0</v>
      </c>
      <c r="K924" s="1838">
        <v>0</v>
      </c>
      <c r="L924" s="1838">
        <v>0</v>
      </c>
      <c r="M924" s="1838">
        <v>0</v>
      </c>
      <c r="N924" s="1838" t="s">
        <v>3182</v>
      </c>
      <c r="O924" s="1838" t="s">
        <v>3183</v>
      </c>
      <c r="P924" s="1838"/>
    </row>
    <row r="925" spans="2:16" s="1843" customFormat="1">
      <c r="B925" s="1838">
        <f t="shared" si="45"/>
        <v>922</v>
      </c>
      <c r="C925" s="1838" t="s">
        <v>3003</v>
      </c>
      <c r="D925" s="1838" t="s">
        <v>3162</v>
      </c>
      <c r="E925" s="1838" t="s">
        <v>4040</v>
      </c>
      <c r="F925" s="1839">
        <v>45315</v>
      </c>
      <c r="G925" s="1840">
        <v>81375</v>
      </c>
      <c r="H925" s="1841">
        <f t="shared" si="43"/>
        <v>67</v>
      </c>
      <c r="I925" s="1838">
        <f t="shared" si="44"/>
        <v>81375</v>
      </c>
      <c r="J925" s="1838">
        <v>0</v>
      </c>
      <c r="K925" s="1838">
        <v>0</v>
      </c>
      <c r="L925" s="1838">
        <v>0</v>
      </c>
      <c r="M925" s="1838">
        <v>0</v>
      </c>
      <c r="N925" s="1838" t="s">
        <v>3182</v>
      </c>
      <c r="O925" s="1838" t="s">
        <v>3183</v>
      </c>
      <c r="P925" s="1838"/>
    </row>
    <row r="926" spans="2:16" s="1843" customFormat="1">
      <c r="B926" s="1838">
        <f t="shared" si="45"/>
        <v>923</v>
      </c>
      <c r="C926" s="1838" t="s">
        <v>3003</v>
      </c>
      <c r="D926" s="1838" t="s">
        <v>3162</v>
      </c>
      <c r="E926" s="1838" t="s">
        <v>4041</v>
      </c>
      <c r="F926" s="1839">
        <v>45316</v>
      </c>
      <c r="G926" s="1840">
        <v>42803</v>
      </c>
      <c r="H926" s="1841">
        <f t="shared" si="43"/>
        <v>66</v>
      </c>
      <c r="I926" s="1838">
        <f t="shared" si="44"/>
        <v>42803</v>
      </c>
      <c r="J926" s="1838">
        <v>0</v>
      </c>
      <c r="K926" s="1838">
        <v>0</v>
      </c>
      <c r="L926" s="1838">
        <v>0</v>
      </c>
      <c r="M926" s="1838">
        <v>0</v>
      </c>
      <c r="N926" s="1838" t="s">
        <v>3182</v>
      </c>
      <c r="O926" s="1838" t="s">
        <v>3183</v>
      </c>
      <c r="P926" s="1838"/>
    </row>
    <row r="927" spans="2:16" s="1843" customFormat="1">
      <c r="B927" s="1838">
        <f t="shared" si="45"/>
        <v>924</v>
      </c>
      <c r="C927" s="1838" t="s">
        <v>3003</v>
      </c>
      <c r="D927" s="1838" t="s">
        <v>3162</v>
      </c>
      <c r="E927" s="1838" t="s">
        <v>4042</v>
      </c>
      <c r="F927" s="1839">
        <v>45316</v>
      </c>
      <c r="G927" s="1840">
        <v>45245</v>
      </c>
      <c r="H927" s="1841">
        <f t="shared" si="43"/>
        <v>66</v>
      </c>
      <c r="I927" s="1838">
        <f t="shared" si="44"/>
        <v>45245</v>
      </c>
      <c r="J927" s="1838">
        <v>0</v>
      </c>
      <c r="K927" s="1838">
        <v>0</v>
      </c>
      <c r="L927" s="1838">
        <v>0</v>
      </c>
      <c r="M927" s="1838">
        <v>0</v>
      </c>
      <c r="N927" s="1838" t="s">
        <v>3182</v>
      </c>
      <c r="O927" s="1838" t="s">
        <v>3183</v>
      </c>
      <c r="P927" s="1838"/>
    </row>
    <row r="928" spans="2:16" s="1843" customFormat="1">
      <c r="B928" s="1838">
        <f t="shared" si="45"/>
        <v>925</v>
      </c>
      <c r="C928" s="1838" t="s">
        <v>3003</v>
      </c>
      <c r="D928" s="1838" t="s">
        <v>3162</v>
      </c>
      <c r="E928" s="1838" t="s">
        <v>4043</v>
      </c>
      <c r="F928" s="1839">
        <v>45316</v>
      </c>
      <c r="G928" s="1840">
        <v>47523</v>
      </c>
      <c r="H928" s="1841">
        <f t="shared" si="43"/>
        <v>66</v>
      </c>
      <c r="I928" s="1838">
        <f t="shared" si="44"/>
        <v>47523</v>
      </c>
      <c r="J928" s="1838">
        <v>0</v>
      </c>
      <c r="K928" s="1838">
        <v>0</v>
      </c>
      <c r="L928" s="1838">
        <v>0</v>
      </c>
      <c r="M928" s="1838">
        <v>0</v>
      </c>
      <c r="N928" s="1838" t="s">
        <v>3182</v>
      </c>
      <c r="O928" s="1838" t="s">
        <v>3183</v>
      </c>
      <c r="P928" s="1838"/>
    </row>
    <row r="929" spans="2:16" s="1843" customFormat="1">
      <c r="B929" s="1838">
        <f t="shared" si="45"/>
        <v>926</v>
      </c>
      <c r="C929" s="1838" t="s">
        <v>3003</v>
      </c>
      <c r="D929" s="1838" t="s">
        <v>3162</v>
      </c>
      <c r="E929" s="1838" t="s">
        <v>4044</v>
      </c>
      <c r="F929" s="1839">
        <v>45316</v>
      </c>
      <c r="G929" s="1840">
        <v>58997</v>
      </c>
      <c r="H929" s="1841">
        <f t="shared" si="43"/>
        <v>66</v>
      </c>
      <c r="I929" s="1838">
        <f t="shared" si="44"/>
        <v>58997</v>
      </c>
      <c r="J929" s="1838">
        <v>0</v>
      </c>
      <c r="K929" s="1838">
        <v>0</v>
      </c>
      <c r="L929" s="1838">
        <v>0</v>
      </c>
      <c r="M929" s="1838">
        <v>0</v>
      </c>
      <c r="N929" s="1838" t="s">
        <v>3182</v>
      </c>
      <c r="O929" s="1838" t="s">
        <v>3183</v>
      </c>
      <c r="P929" s="1838"/>
    </row>
    <row r="930" spans="2:16" s="1843" customFormat="1">
      <c r="B930" s="1838">
        <f t="shared" si="45"/>
        <v>927</v>
      </c>
      <c r="C930" s="1838" t="s">
        <v>3003</v>
      </c>
      <c r="D930" s="1838" t="s">
        <v>3162</v>
      </c>
      <c r="E930" s="1838" t="s">
        <v>4045</v>
      </c>
      <c r="F930" s="1839">
        <v>45316</v>
      </c>
      <c r="G930" s="1840">
        <v>43943</v>
      </c>
      <c r="H930" s="1841">
        <f t="shared" si="43"/>
        <v>66</v>
      </c>
      <c r="I930" s="1838">
        <f t="shared" si="44"/>
        <v>43943</v>
      </c>
      <c r="J930" s="1838">
        <v>0</v>
      </c>
      <c r="K930" s="1838">
        <v>0</v>
      </c>
      <c r="L930" s="1838">
        <v>0</v>
      </c>
      <c r="M930" s="1838">
        <v>0</v>
      </c>
      <c r="N930" s="1838" t="s">
        <v>3182</v>
      </c>
      <c r="O930" s="1838" t="s">
        <v>3183</v>
      </c>
      <c r="P930" s="1838"/>
    </row>
    <row r="931" spans="2:16" s="1843" customFormat="1">
      <c r="B931" s="1838">
        <f t="shared" si="45"/>
        <v>928</v>
      </c>
      <c r="C931" s="1838" t="s">
        <v>3003</v>
      </c>
      <c r="D931" s="1838" t="s">
        <v>3162</v>
      </c>
      <c r="E931" s="1838" t="s">
        <v>4046</v>
      </c>
      <c r="F931" s="1839">
        <v>45316</v>
      </c>
      <c r="G931" s="1840">
        <v>44024</v>
      </c>
      <c r="H931" s="1841">
        <f t="shared" si="43"/>
        <v>66</v>
      </c>
      <c r="I931" s="1838">
        <f t="shared" si="44"/>
        <v>44024</v>
      </c>
      <c r="J931" s="1838">
        <v>0</v>
      </c>
      <c r="K931" s="1838">
        <v>0</v>
      </c>
      <c r="L931" s="1838">
        <v>0</v>
      </c>
      <c r="M931" s="1838">
        <v>0</v>
      </c>
      <c r="N931" s="1838" t="s">
        <v>3182</v>
      </c>
      <c r="O931" s="1838" t="s">
        <v>3183</v>
      </c>
      <c r="P931" s="1838"/>
    </row>
    <row r="932" spans="2:16" s="1843" customFormat="1">
      <c r="B932" s="1838">
        <f t="shared" si="45"/>
        <v>929</v>
      </c>
      <c r="C932" s="1838" t="s">
        <v>3003</v>
      </c>
      <c r="D932" s="1838" t="s">
        <v>3162</v>
      </c>
      <c r="E932" s="1838" t="s">
        <v>4047</v>
      </c>
      <c r="F932" s="1839">
        <v>45316</v>
      </c>
      <c r="G932" s="1840">
        <v>42966</v>
      </c>
      <c r="H932" s="1841">
        <f t="shared" si="43"/>
        <v>66</v>
      </c>
      <c r="I932" s="1838">
        <f t="shared" si="44"/>
        <v>42966</v>
      </c>
      <c r="J932" s="1838">
        <v>0</v>
      </c>
      <c r="K932" s="1838">
        <v>0</v>
      </c>
      <c r="L932" s="1838">
        <v>0</v>
      </c>
      <c r="M932" s="1838">
        <v>0</v>
      </c>
      <c r="N932" s="1838" t="s">
        <v>3182</v>
      </c>
      <c r="O932" s="1838" t="s">
        <v>3183</v>
      </c>
      <c r="P932" s="1838"/>
    </row>
    <row r="933" spans="2:16" s="1843" customFormat="1">
      <c r="B933" s="1838">
        <f t="shared" si="45"/>
        <v>930</v>
      </c>
      <c r="C933" s="1838" t="s">
        <v>3003</v>
      </c>
      <c r="D933" s="1838" t="s">
        <v>3162</v>
      </c>
      <c r="E933" s="1838" t="s">
        <v>4048</v>
      </c>
      <c r="F933" s="1839">
        <v>45318</v>
      </c>
      <c r="G933" s="1840">
        <v>79968</v>
      </c>
      <c r="H933" s="1841">
        <f t="shared" si="43"/>
        <v>64</v>
      </c>
      <c r="I933" s="1838">
        <f t="shared" si="44"/>
        <v>79968</v>
      </c>
      <c r="J933" s="1838">
        <v>0</v>
      </c>
      <c r="K933" s="1838">
        <v>0</v>
      </c>
      <c r="L933" s="1838">
        <v>0</v>
      </c>
      <c r="M933" s="1838">
        <v>0</v>
      </c>
      <c r="N933" s="1838" t="s">
        <v>3182</v>
      </c>
      <c r="O933" s="1838" t="s">
        <v>3183</v>
      </c>
      <c r="P933" s="1838"/>
    </row>
    <row r="934" spans="2:16" s="1843" customFormat="1">
      <c r="B934" s="1838">
        <f t="shared" si="45"/>
        <v>931</v>
      </c>
      <c r="C934" s="1838" t="s">
        <v>3003</v>
      </c>
      <c r="D934" s="1838" t="s">
        <v>3162</v>
      </c>
      <c r="E934" s="1838" t="s">
        <v>4049</v>
      </c>
      <c r="F934" s="1839">
        <v>45318</v>
      </c>
      <c r="G934" s="1840">
        <v>50652</v>
      </c>
      <c r="H934" s="1841">
        <f t="shared" si="43"/>
        <v>64</v>
      </c>
      <c r="I934" s="1838">
        <f t="shared" si="44"/>
        <v>50652</v>
      </c>
      <c r="J934" s="1838">
        <v>0</v>
      </c>
      <c r="K934" s="1838">
        <v>0</v>
      </c>
      <c r="L934" s="1838">
        <v>0</v>
      </c>
      <c r="M934" s="1838">
        <v>0</v>
      </c>
      <c r="N934" s="1838" t="s">
        <v>3182</v>
      </c>
      <c r="O934" s="1838" t="s">
        <v>3183</v>
      </c>
      <c r="P934" s="1838"/>
    </row>
    <row r="935" spans="2:16" s="1843" customFormat="1">
      <c r="B935" s="1838">
        <f t="shared" si="45"/>
        <v>932</v>
      </c>
      <c r="C935" s="1838" t="s">
        <v>3003</v>
      </c>
      <c r="D935" s="1838" t="s">
        <v>3162</v>
      </c>
      <c r="E935" s="1838" t="s">
        <v>4050</v>
      </c>
      <c r="F935" s="1839">
        <v>45318</v>
      </c>
      <c r="G935" s="1840">
        <v>84168</v>
      </c>
      <c r="H935" s="1841">
        <f t="shared" si="43"/>
        <v>64</v>
      </c>
      <c r="I935" s="1838">
        <f t="shared" si="44"/>
        <v>84168</v>
      </c>
      <c r="J935" s="1838">
        <v>0</v>
      </c>
      <c r="K935" s="1838">
        <v>0</v>
      </c>
      <c r="L935" s="1838">
        <v>0</v>
      </c>
      <c r="M935" s="1838">
        <v>0</v>
      </c>
      <c r="N935" s="1838" t="s">
        <v>3182</v>
      </c>
      <c r="O935" s="1838" t="s">
        <v>3183</v>
      </c>
      <c r="P935" s="1838"/>
    </row>
    <row r="936" spans="2:16" s="1843" customFormat="1">
      <c r="B936" s="1838">
        <f t="shared" si="45"/>
        <v>933</v>
      </c>
      <c r="C936" s="1838" t="s">
        <v>3003</v>
      </c>
      <c r="D936" s="1838" t="s">
        <v>3162</v>
      </c>
      <c r="E936" s="1838" t="s">
        <v>4051</v>
      </c>
      <c r="F936" s="1839">
        <v>45318</v>
      </c>
      <c r="G936" s="1840">
        <v>46200</v>
      </c>
      <c r="H936" s="1841">
        <f t="shared" si="43"/>
        <v>64</v>
      </c>
      <c r="I936" s="1838">
        <f t="shared" si="44"/>
        <v>46200</v>
      </c>
      <c r="J936" s="1838">
        <v>0</v>
      </c>
      <c r="K936" s="1838">
        <v>0</v>
      </c>
      <c r="L936" s="1838">
        <v>0</v>
      </c>
      <c r="M936" s="1838">
        <v>0</v>
      </c>
      <c r="N936" s="1838" t="s">
        <v>3182</v>
      </c>
      <c r="O936" s="1838" t="s">
        <v>3183</v>
      </c>
      <c r="P936" s="1838"/>
    </row>
    <row r="937" spans="2:16" s="1843" customFormat="1">
      <c r="B937" s="1838">
        <f t="shared" si="45"/>
        <v>934</v>
      </c>
      <c r="C937" s="1838" t="s">
        <v>3003</v>
      </c>
      <c r="D937" s="1838" t="s">
        <v>3162</v>
      </c>
      <c r="E937" s="1838" t="s">
        <v>4052</v>
      </c>
      <c r="F937" s="1839">
        <v>45318</v>
      </c>
      <c r="G937" s="1840">
        <v>51912</v>
      </c>
      <c r="H937" s="1841">
        <f t="shared" si="43"/>
        <v>64</v>
      </c>
      <c r="I937" s="1838">
        <f t="shared" si="44"/>
        <v>51912</v>
      </c>
      <c r="J937" s="1838">
        <v>0</v>
      </c>
      <c r="K937" s="1838">
        <v>0</v>
      </c>
      <c r="L937" s="1838">
        <v>0</v>
      </c>
      <c r="M937" s="1838">
        <v>0</v>
      </c>
      <c r="N937" s="1838" t="s">
        <v>3182</v>
      </c>
      <c r="O937" s="1838" t="s">
        <v>3183</v>
      </c>
      <c r="P937" s="1838"/>
    </row>
    <row r="938" spans="2:16" s="1843" customFormat="1">
      <c r="B938" s="1838">
        <f t="shared" si="45"/>
        <v>935</v>
      </c>
      <c r="C938" s="1838" t="s">
        <v>3003</v>
      </c>
      <c r="D938" s="1838" t="s">
        <v>3162</v>
      </c>
      <c r="E938" s="1838" t="s">
        <v>4053</v>
      </c>
      <c r="F938" s="1839">
        <v>45318</v>
      </c>
      <c r="G938" s="1840">
        <v>60228</v>
      </c>
      <c r="H938" s="1841">
        <f t="shared" si="43"/>
        <v>64</v>
      </c>
      <c r="I938" s="1838">
        <f t="shared" si="44"/>
        <v>60228</v>
      </c>
      <c r="J938" s="1838">
        <v>0</v>
      </c>
      <c r="K938" s="1838">
        <v>0</v>
      </c>
      <c r="L938" s="1838">
        <v>0</v>
      </c>
      <c r="M938" s="1838">
        <v>0</v>
      </c>
      <c r="N938" s="1838" t="s">
        <v>3182</v>
      </c>
      <c r="O938" s="1838" t="s">
        <v>3183</v>
      </c>
      <c r="P938" s="1838"/>
    </row>
    <row r="939" spans="2:16" s="1843" customFormat="1">
      <c r="B939" s="1838">
        <f t="shared" si="45"/>
        <v>936</v>
      </c>
      <c r="C939" s="1838" t="s">
        <v>3003</v>
      </c>
      <c r="D939" s="1838" t="s">
        <v>3162</v>
      </c>
      <c r="E939" s="1838" t="s">
        <v>4054</v>
      </c>
      <c r="F939" s="1839">
        <v>45319</v>
      </c>
      <c r="G939" s="1840">
        <v>73080</v>
      </c>
      <c r="H939" s="1841">
        <f t="shared" si="43"/>
        <v>63</v>
      </c>
      <c r="I939" s="1838">
        <f t="shared" si="44"/>
        <v>73080</v>
      </c>
      <c r="J939" s="1838">
        <v>0</v>
      </c>
      <c r="K939" s="1838">
        <v>0</v>
      </c>
      <c r="L939" s="1838">
        <v>0</v>
      </c>
      <c r="M939" s="1838">
        <v>0</v>
      </c>
      <c r="N939" s="1838" t="s">
        <v>3182</v>
      </c>
      <c r="O939" s="1838" t="s">
        <v>3183</v>
      </c>
      <c r="P939" s="1838"/>
    </row>
    <row r="940" spans="2:16" s="1843" customFormat="1">
      <c r="B940" s="1838">
        <f t="shared" si="45"/>
        <v>937</v>
      </c>
      <c r="C940" s="1838" t="s">
        <v>3003</v>
      </c>
      <c r="D940" s="1838" t="s">
        <v>3162</v>
      </c>
      <c r="E940" s="1838" t="s">
        <v>4055</v>
      </c>
      <c r="F940" s="1839">
        <v>45319</v>
      </c>
      <c r="G940" s="1840">
        <v>52668</v>
      </c>
      <c r="H940" s="1841">
        <f t="shared" si="43"/>
        <v>63</v>
      </c>
      <c r="I940" s="1838">
        <f t="shared" si="44"/>
        <v>52668</v>
      </c>
      <c r="J940" s="1838">
        <v>0</v>
      </c>
      <c r="K940" s="1838">
        <v>0</v>
      </c>
      <c r="L940" s="1838">
        <v>0</v>
      </c>
      <c r="M940" s="1838">
        <v>0</v>
      </c>
      <c r="N940" s="1838" t="s">
        <v>3182</v>
      </c>
      <c r="O940" s="1838" t="s">
        <v>3183</v>
      </c>
      <c r="P940" s="1838"/>
    </row>
    <row r="941" spans="2:16" s="1843" customFormat="1">
      <c r="B941" s="1838">
        <f t="shared" si="45"/>
        <v>938</v>
      </c>
      <c r="C941" s="1838" t="s">
        <v>3003</v>
      </c>
      <c r="D941" s="1838" t="s">
        <v>3162</v>
      </c>
      <c r="E941" s="1838" t="s">
        <v>4056</v>
      </c>
      <c r="F941" s="1839">
        <v>45319</v>
      </c>
      <c r="G941" s="1840">
        <v>51660</v>
      </c>
      <c r="H941" s="1841">
        <f t="shared" si="43"/>
        <v>63</v>
      </c>
      <c r="I941" s="1838">
        <f t="shared" si="44"/>
        <v>51660</v>
      </c>
      <c r="J941" s="1838">
        <v>0</v>
      </c>
      <c r="K941" s="1838">
        <v>0</v>
      </c>
      <c r="L941" s="1838">
        <v>0</v>
      </c>
      <c r="M941" s="1838">
        <v>0</v>
      </c>
      <c r="N941" s="1838" t="s">
        <v>3182</v>
      </c>
      <c r="O941" s="1838" t="s">
        <v>3183</v>
      </c>
      <c r="P941" s="1838"/>
    </row>
    <row r="942" spans="2:16" s="1843" customFormat="1">
      <c r="B942" s="1838">
        <f t="shared" si="45"/>
        <v>939</v>
      </c>
      <c r="C942" s="1838" t="s">
        <v>3003</v>
      </c>
      <c r="D942" s="1838" t="s">
        <v>3162</v>
      </c>
      <c r="E942" s="1838" t="s">
        <v>4057</v>
      </c>
      <c r="F942" s="1839">
        <v>45319</v>
      </c>
      <c r="G942" s="1840">
        <v>64344</v>
      </c>
      <c r="H942" s="1841">
        <f t="shared" si="43"/>
        <v>63</v>
      </c>
      <c r="I942" s="1838">
        <f t="shared" si="44"/>
        <v>64344</v>
      </c>
      <c r="J942" s="1838">
        <v>0</v>
      </c>
      <c r="K942" s="1838">
        <v>0</v>
      </c>
      <c r="L942" s="1838">
        <v>0</v>
      </c>
      <c r="M942" s="1838">
        <v>0</v>
      </c>
      <c r="N942" s="1838" t="s">
        <v>3182</v>
      </c>
      <c r="O942" s="1838" t="s">
        <v>3183</v>
      </c>
      <c r="P942" s="1838"/>
    </row>
    <row r="943" spans="2:16" s="1843" customFormat="1">
      <c r="B943" s="1838">
        <f t="shared" si="45"/>
        <v>940</v>
      </c>
      <c r="C943" s="1838" t="s">
        <v>3003</v>
      </c>
      <c r="D943" s="1838" t="s">
        <v>3162</v>
      </c>
      <c r="E943" s="1838" t="s">
        <v>4058</v>
      </c>
      <c r="F943" s="1839">
        <v>45319</v>
      </c>
      <c r="G943" s="1840">
        <v>64008</v>
      </c>
      <c r="H943" s="1841">
        <f t="shared" si="43"/>
        <v>63</v>
      </c>
      <c r="I943" s="1838">
        <f t="shared" si="44"/>
        <v>64008</v>
      </c>
      <c r="J943" s="1838">
        <v>0</v>
      </c>
      <c r="K943" s="1838">
        <v>0</v>
      </c>
      <c r="L943" s="1838">
        <v>0</v>
      </c>
      <c r="M943" s="1838">
        <v>0</v>
      </c>
      <c r="N943" s="1838" t="s">
        <v>3182</v>
      </c>
      <c r="O943" s="1838" t="s">
        <v>3183</v>
      </c>
      <c r="P943" s="1838"/>
    </row>
    <row r="944" spans="2:16" s="1843" customFormat="1">
      <c r="B944" s="1838">
        <f t="shared" si="45"/>
        <v>941</v>
      </c>
      <c r="C944" s="1838" t="s">
        <v>3003</v>
      </c>
      <c r="D944" s="1838" t="s">
        <v>3162</v>
      </c>
      <c r="E944" s="1838" t="s">
        <v>4059</v>
      </c>
      <c r="F944" s="1839">
        <v>45320</v>
      </c>
      <c r="G944" s="1840">
        <v>46956</v>
      </c>
      <c r="H944" s="1841">
        <f t="shared" si="43"/>
        <v>62</v>
      </c>
      <c r="I944" s="1838">
        <f t="shared" si="44"/>
        <v>46956</v>
      </c>
      <c r="J944" s="1838">
        <v>0</v>
      </c>
      <c r="K944" s="1838">
        <v>0</v>
      </c>
      <c r="L944" s="1838">
        <v>0</v>
      </c>
      <c r="M944" s="1838">
        <v>0</v>
      </c>
      <c r="N944" s="1838" t="s">
        <v>3182</v>
      </c>
      <c r="O944" s="1838" t="s">
        <v>3183</v>
      </c>
      <c r="P944" s="1838"/>
    </row>
    <row r="945" spans="2:16" s="1843" customFormat="1">
      <c r="B945" s="1838">
        <f t="shared" si="45"/>
        <v>942</v>
      </c>
      <c r="C945" s="1838" t="s">
        <v>3003</v>
      </c>
      <c r="D945" s="1838" t="s">
        <v>3162</v>
      </c>
      <c r="E945" s="1838" t="s">
        <v>4060</v>
      </c>
      <c r="F945" s="1839">
        <v>45320</v>
      </c>
      <c r="G945" s="1840">
        <v>46200</v>
      </c>
      <c r="H945" s="1841">
        <f t="shared" si="43"/>
        <v>62</v>
      </c>
      <c r="I945" s="1838">
        <f t="shared" si="44"/>
        <v>46200</v>
      </c>
      <c r="J945" s="1838">
        <v>0</v>
      </c>
      <c r="K945" s="1838">
        <v>0</v>
      </c>
      <c r="L945" s="1838">
        <v>0</v>
      </c>
      <c r="M945" s="1838">
        <v>0</v>
      </c>
      <c r="N945" s="1838" t="s">
        <v>3182</v>
      </c>
      <c r="O945" s="1838" t="s">
        <v>3183</v>
      </c>
      <c r="P945" s="1838"/>
    </row>
    <row r="946" spans="2:16" s="1843" customFormat="1">
      <c r="B946" s="1838">
        <f t="shared" si="45"/>
        <v>943</v>
      </c>
      <c r="C946" s="1838" t="s">
        <v>3003</v>
      </c>
      <c r="D946" s="1838" t="s">
        <v>3162</v>
      </c>
      <c r="E946" s="1838" t="s">
        <v>4061</v>
      </c>
      <c r="F946" s="1839">
        <v>45321</v>
      </c>
      <c r="G946" s="1840">
        <v>46956</v>
      </c>
      <c r="H946" s="1841">
        <f t="shared" si="43"/>
        <v>61</v>
      </c>
      <c r="I946" s="1838">
        <f t="shared" si="44"/>
        <v>46956</v>
      </c>
      <c r="J946" s="1838">
        <v>0</v>
      </c>
      <c r="K946" s="1838">
        <v>0</v>
      </c>
      <c r="L946" s="1838">
        <v>0</v>
      </c>
      <c r="M946" s="1838">
        <v>0</v>
      </c>
      <c r="N946" s="1838" t="s">
        <v>3182</v>
      </c>
      <c r="O946" s="1838" t="s">
        <v>3183</v>
      </c>
      <c r="P946" s="1838"/>
    </row>
    <row r="947" spans="2:16" s="1843" customFormat="1">
      <c r="B947" s="1838">
        <f t="shared" si="45"/>
        <v>944</v>
      </c>
      <c r="C947" s="1838" t="s">
        <v>3003</v>
      </c>
      <c r="D947" s="1838" t="s">
        <v>3162</v>
      </c>
      <c r="E947" s="1838" t="s">
        <v>4062</v>
      </c>
      <c r="F947" s="1839">
        <v>45321</v>
      </c>
      <c r="G947" s="1840">
        <v>39312</v>
      </c>
      <c r="H947" s="1841">
        <f t="shared" si="43"/>
        <v>61</v>
      </c>
      <c r="I947" s="1838">
        <f t="shared" si="44"/>
        <v>39312</v>
      </c>
      <c r="J947" s="1838">
        <v>0</v>
      </c>
      <c r="K947" s="1838">
        <v>0</v>
      </c>
      <c r="L947" s="1838">
        <v>0</v>
      </c>
      <c r="M947" s="1838">
        <v>0</v>
      </c>
      <c r="N947" s="1838" t="s">
        <v>3182</v>
      </c>
      <c r="O947" s="1838" t="s">
        <v>3183</v>
      </c>
      <c r="P947" s="1838"/>
    </row>
    <row r="948" spans="2:16" s="1843" customFormat="1">
      <c r="B948" s="1838">
        <f t="shared" si="45"/>
        <v>945</v>
      </c>
      <c r="C948" s="1838" t="s">
        <v>3003</v>
      </c>
      <c r="D948" s="1838" t="s">
        <v>3162</v>
      </c>
      <c r="E948" s="1838" t="s">
        <v>4063</v>
      </c>
      <c r="F948" s="1839">
        <v>45321</v>
      </c>
      <c r="G948" s="1840">
        <v>59388</v>
      </c>
      <c r="H948" s="1841">
        <f t="shared" si="43"/>
        <v>61</v>
      </c>
      <c r="I948" s="1838">
        <f t="shared" si="44"/>
        <v>59388</v>
      </c>
      <c r="J948" s="1838">
        <v>0</v>
      </c>
      <c r="K948" s="1838">
        <v>0</v>
      </c>
      <c r="L948" s="1838">
        <v>0</v>
      </c>
      <c r="M948" s="1838">
        <v>0</v>
      </c>
      <c r="N948" s="1838" t="s">
        <v>3182</v>
      </c>
      <c r="O948" s="1838" t="s">
        <v>3183</v>
      </c>
      <c r="P948" s="1838"/>
    </row>
    <row r="949" spans="2:16" s="1843" customFormat="1">
      <c r="B949" s="1838">
        <f t="shared" si="45"/>
        <v>946</v>
      </c>
      <c r="C949" s="1838" t="s">
        <v>3003</v>
      </c>
      <c r="D949" s="1838" t="s">
        <v>3162</v>
      </c>
      <c r="E949" s="1838" t="s">
        <v>4064</v>
      </c>
      <c r="F949" s="1839">
        <v>45321</v>
      </c>
      <c r="G949" s="1840">
        <v>53424</v>
      </c>
      <c r="H949" s="1841">
        <f t="shared" si="43"/>
        <v>61</v>
      </c>
      <c r="I949" s="1838">
        <f t="shared" si="44"/>
        <v>53424</v>
      </c>
      <c r="J949" s="1838">
        <v>0</v>
      </c>
      <c r="K949" s="1838">
        <v>0</v>
      </c>
      <c r="L949" s="1838">
        <v>0</v>
      </c>
      <c r="M949" s="1838">
        <v>0</v>
      </c>
      <c r="N949" s="1838" t="s">
        <v>3182</v>
      </c>
      <c r="O949" s="1838" t="s">
        <v>3183</v>
      </c>
      <c r="P949" s="1838"/>
    </row>
    <row r="950" spans="2:16" s="1843" customFormat="1">
      <c r="B950" s="1838">
        <f t="shared" si="45"/>
        <v>947</v>
      </c>
      <c r="C950" s="1838" t="s">
        <v>3003</v>
      </c>
      <c r="D950" s="1838" t="s">
        <v>3162</v>
      </c>
      <c r="E950" s="1838" t="s">
        <v>4065</v>
      </c>
      <c r="F950" s="1839">
        <v>45321</v>
      </c>
      <c r="G950" s="1840">
        <v>53256</v>
      </c>
      <c r="H950" s="1841">
        <f t="shared" si="43"/>
        <v>61</v>
      </c>
      <c r="I950" s="1838">
        <f t="shared" si="44"/>
        <v>53256</v>
      </c>
      <c r="J950" s="1838">
        <v>0</v>
      </c>
      <c r="K950" s="1838">
        <v>0</v>
      </c>
      <c r="L950" s="1838">
        <v>0</v>
      </c>
      <c r="M950" s="1838">
        <v>0</v>
      </c>
      <c r="N950" s="1838" t="s">
        <v>3182</v>
      </c>
      <c r="O950" s="1838" t="s">
        <v>3183</v>
      </c>
      <c r="P950" s="1838"/>
    </row>
    <row r="951" spans="2:16" s="1843" customFormat="1">
      <c r="B951" s="1838">
        <f t="shared" si="45"/>
        <v>948</v>
      </c>
      <c r="C951" s="1838" t="s">
        <v>3003</v>
      </c>
      <c r="D951" s="1838" t="s">
        <v>3162</v>
      </c>
      <c r="E951" s="1838" t="s">
        <v>4066</v>
      </c>
      <c r="F951" s="1839">
        <v>45321</v>
      </c>
      <c r="G951" s="1840">
        <v>55188</v>
      </c>
      <c r="H951" s="1841">
        <f t="shared" si="43"/>
        <v>61</v>
      </c>
      <c r="I951" s="1838">
        <f t="shared" si="44"/>
        <v>55188</v>
      </c>
      <c r="J951" s="1838">
        <v>0</v>
      </c>
      <c r="K951" s="1838">
        <v>0</v>
      </c>
      <c r="L951" s="1838">
        <v>0</v>
      </c>
      <c r="M951" s="1838">
        <v>0</v>
      </c>
      <c r="N951" s="1838" t="s">
        <v>3182</v>
      </c>
      <c r="O951" s="1838" t="s">
        <v>3183</v>
      </c>
      <c r="P951" s="1838"/>
    </row>
    <row r="952" spans="2:16" s="1843" customFormat="1">
      <c r="B952" s="1838">
        <f t="shared" si="45"/>
        <v>949</v>
      </c>
      <c r="C952" s="1838" t="s">
        <v>3003</v>
      </c>
      <c r="D952" s="1838" t="s">
        <v>3162</v>
      </c>
      <c r="E952" s="1838" t="s">
        <v>4067</v>
      </c>
      <c r="F952" s="1839">
        <v>45322</v>
      </c>
      <c r="G952" s="1840">
        <v>79800</v>
      </c>
      <c r="H952" s="1841">
        <f t="shared" si="43"/>
        <v>60</v>
      </c>
      <c r="I952" s="1838">
        <f t="shared" si="44"/>
        <v>79800</v>
      </c>
      <c r="J952" s="1838">
        <v>0</v>
      </c>
      <c r="K952" s="1838">
        <v>0</v>
      </c>
      <c r="L952" s="1838">
        <v>0</v>
      </c>
      <c r="M952" s="1838">
        <v>0</v>
      </c>
      <c r="N952" s="1838" t="s">
        <v>3182</v>
      </c>
      <c r="O952" s="1838" t="s">
        <v>3183</v>
      </c>
      <c r="P952" s="1838"/>
    </row>
    <row r="953" spans="2:16" s="1843" customFormat="1">
      <c r="B953" s="1838">
        <f t="shared" si="45"/>
        <v>950</v>
      </c>
      <c r="C953" s="1838" t="s">
        <v>3003</v>
      </c>
      <c r="D953" s="1838" t="s">
        <v>3162</v>
      </c>
      <c r="E953" s="1838" t="s">
        <v>4068</v>
      </c>
      <c r="F953" s="1839">
        <v>45322</v>
      </c>
      <c r="G953" s="1840">
        <v>58632</v>
      </c>
      <c r="H953" s="1841">
        <f t="shared" si="43"/>
        <v>60</v>
      </c>
      <c r="I953" s="1838">
        <f t="shared" si="44"/>
        <v>58632</v>
      </c>
      <c r="J953" s="1838">
        <v>0</v>
      </c>
      <c r="K953" s="1838">
        <v>0</v>
      </c>
      <c r="L953" s="1838">
        <v>0</v>
      </c>
      <c r="M953" s="1838">
        <v>0</v>
      </c>
      <c r="N953" s="1838" t="s">
        <v>3182</v>
      </c>
      <c r="O953" s="1838" t="s">
        <v>3183</v>
      </c>
      <c r="P953" s="1838"/>
    </row>
    <row r="954" spans="2:16" s="1843" customFormat="1">
      <c r="B954" s="1838">
        <f t="shared" si="45"/>
        <v>951</v>
      </c>
      <c r="C954" s="1838" t="s">
        <v>3003</v>
      </c>
      <c r="D954" s="1838" t="s">
        <v>3162</v>
      </c>
      <c r="E954" s="1838" t="s">
        <v>4069</v>
      </c>
      <c r="F954" s="1839">
        <v>45322</v>
      </c>
      <c r="G954" s="1840">
        <v>91056</v>
      </c>
      <c r="H954" s="1841">
        <f t="shared" si="43"/>
        <v>60</v>
      </c>
      <c r="I954" s="1838">
        <f t="shared" si="44"/>
        <v>91056</v>
      </c>
      <c r="J954" s="1838">
        <v>0</v>
      </c>
      <c r="K954" s="1838">
        <v>0</v>
      </c>
      <c r="L954" s="1838">
        <v>0</v>
      </c>
      <c r="M954" s="1838">
        <v>0</v>
      </c>
      <c r="N954" s="1838" t="s">
        <v>3182</v>
      </c>
      <c r="O954" s="1838" t="s">
        <v>3183</v>
      </c>
      <c r="P954" s="1838"/>
    </row>
    <row r="955" spans="2:16" s="1843" customFormat="1">
      <c r="B955" s="1838">
        <f t="shared" si="45"/>
        <v>952</v>
      </c>
      <c r="C955" s="1838" t="s">
        <v>3003</v>
      </c>
      <c r="D955" s="1838" t="s">
        <v>3162</v>
      </c>
      <c r="E955" s="1838" t="s">
        <v>3303</v>
      </c>
      <c r="F955" s="1839">
        <v>45322</v>
      </c>
      <c r="G955" s="1840">
        <v>-4785</v>
      </c>
      <c r="H955" s="1841">
        <f t="shared" si="43"/>
        <v>60</v>
      </c>
      <c r="I955" s="1838">
        <f t="shared" si="44"/>
        <v>-4785</v>
      </c>
      <c r="J955" s="1838">
        <v>0</v>
      </c>
      <c r="K955" s="1838">
        <v>0</v>
      </c>
      <c r="L955" s="1838">
        <v>0</v>
      </c>
      <c r="M955" s="1838">
        <v>0</v>
      </c>
      <c r="N955" s="1838" t="s">
        <v>3182</v>
      </c>
      <c r="O955" s="1838" t="s">
        <v>3183</v>
      </c>
      <c r="P955" s="1838"/>
    </row>
    <row r="956" spans="2:16" s="1843" customFormat="1">
      <c r="B956" s="1838">
        <f t="shared" si="45"/>
        <v>953</v>
      </c>
      <c r="C956" s="1838" t="s">
        <v>3003</v>
      </c>
      <c r="D956" s="1838" t="s">
        <v>3162</v>
      </c>
      <c r="E956" s="1838" t="s">
        <v>4070</v>
      </c>
      <c r="F956" s="1839">
        <v>45323</v>
      </c>
      <c r="G956" s="1840">
        <v>36204</v>
      </c>
      <c r="H956" s="1841">
        <f t="shared" si="43"/>
        <v>59</v>
      </c>
      <c r="I956" s="1838">
        <f t="shared" si="44"/>
        <v>36204</v>
      </c>
      <c r="J956" s="1838">
        <v>0</v>
      </c>
      <c r="K956" s="1838">
        <v>0</v>
      </c>
      <c r="L956" s="1838">
        <v>0</v>
      </c>
      <c r="M956" s="1838">
        <v>0</v>
      </c>
      <c r="N956" s="1838" t="s">
        <v>3182</v>
      </c>
      <c r="O956" s="1838" t="s">
        <v>3183</v>
      </c>
      <c r="P956" s="1838"/>
    </row>
    <row r="957" spans="2:16" s="1843" customFormat="1">
      <c r="B957" s="1838">
        <f t="shared" si="45"/>
        <v>954</v>
      </c>
      <c r="C957" s="1838" t="s">
        <v>3003</v>
      </c>
      <c r="D957" s="1838" t="s">
        <v>3162</v>
      </c>
      <c r="E957" s="1838" t="s">
        <v>4071</v>
      </c>
      <c r="F957" s="1839">
        <v>45323</v>
      </c>
      <c r="G957" s="1840">
        <v>26292</v>
      </c>
      <c r="H957" s="1841">
        <f t="shared" si="43"/>
        <v>59</v>
      </c>
      <c r="I957" s="1838">
        <f t="shared" si="44"/>
        <v>26292</v>
      </c>
      <c r="J957" s="1838">
        <v>0</v>
      </c>
      <c r="K957" s="1838">
        <v>0</v>
      </c>
      <c r="L957" s="1838">
        <v>0</v>
      </c>
      <c r="M957" s="1838">
        <v>0</v>
      </c>
      <c r="N957" s="1838" t="s">
        <v>3182</v>
      </c>
      <c r="O957" s="1838" t="s">
        <v>3183</v>
      </c>
      <c r="P957" s="1838"/>
    </row>
    <row r="958" spans="2:16" s="1843" customFormat="1">
      <c r="B958" s="1838">
        <f t="shared" si="45"/>
        <v>955</v>
      </c>
      <c r="C958" s="1838" t="s">
        <v>3003</v>
      </c>
      <c r="D958" s="1838" t="s">
        <v>3162</v>
      </c>
      <c r="E958" s="1838" t="s">
        <v>4072</v>
      </c>
      <c r="F958" s="1839">
        <v>45323</v>
      </c>
      <c r="G958" s="1840">
        <v>53592</v>
      </c>
      <c r="H958" s="1841">
        <f t="shared" si="43"/>
        <v>59</v>
      </c>
      <c r="I958" s="1838">
        <f t="shared" si="44"/>
        <v>53592</v>
      </c>
      <c r="J958" s="1838">
        <v>0</v>
      </c>
      <c r="K958" s="1838">
        <v>0</v>
      </c>
      <c r="L958" s="1838">
        <v>0</v>
      </c>
      <c r="M958" s="1838">
        <v>0</v>
      </c>
      <c r="N958" s="1838" t="s">
        <v>3182</v>
      </c>
      <c r="O958" s="1838" t="s">
        <v>3183</v>
      </c>
      <c r="P958" s="1838"/>
    </row>
    <row r="959" spans="2:16" s="1843" customFormat="1">
      <c r="B959" s="1838">
        <f t="shared" si="45"/>
        <v>956</v>
      </c>
      <c r="C959" s="1838" t="s">
        <v>3003</v>
      </c>
      <c r="D959" s="1838" t="s">
        <v>3162</v>
      </c>
      <c r="E959" s="1838" t="s">
        <v>4073</v>
      </c>
      <c r="F959" s="1839">
        <v>45323</v>
      </c>
      <c r="G959" s="1840">
        <v>50652</v>
      </c>
      <c r="H959" s="1841">
        <f t="shared" si="43"/>
        <v>59</v>
      </c>
      <c r="I959" s="1838">
        <f t="shared" si="44"/>
        <v>50652</v>
      </c>
      <c r="J959" s="1838">
        <v>0</v>
      </c>
      <c r="K959" s="1838">
        <v>0</v>
      </c>
      <c r="L959" s="1838">
        <v>0</v>
      </c>
      <c r="M959" s="1838">
        <v>0</v>
      </c>
      <c r="N959" s="1838" t="s">
        <v>3182</v>
      </c>
      <c r="O959" s="1838" t="s">
        <v>3183</v>
      </c>
      <c r="P959" s="1838"/>
    </row>
    <row r="960" spans="2:16" s="1843" customFormat="1">
      <c r="B960" s="1838">
        <f t="shared" si="45"/>
        <v>957</v>
      </c>
      <c r="C960" s="1838" t="s">
        <v>3003</v>
      </c>
      <c r="D960" s="1838" t="s">
        <v>3162</v>
      </c>
      <c r="E960" s="1838" t="s">
        <v>4074</v>
      </c>
      <c r="F960" s="1839">
        <v>45323</v>
      </c>
      <c r="G960" s="1840">
        <v>62664</v>
      </c>
      <c r="H960" s="1841">
        <f t="shared" si="43"/>
        <v>59</v>
      </c>
      <c r="I960" s="1838">
        <f t="shared" si="44"/>
        <v>62664</v>
      </c>
      <c r="J960" s="1838">
        <v>0</v>
      </c>
      <c r="K960" s="1838">
        <v>0</v>
      </c>
      <c r="L960" s="1838">
        <v>0</v>
      </c>
      <c r="M960" s="1838">
        <v>0</v>
      </c>
      <c r="N960" s="1838" t="s">
        <v>3182</v>
      </c>
      <c r="O960" s="1838" t="s">
        <v>3183</v>
      </c>
      <c r="P960" s="1838"/>
    </row>
    <row r="961" spans="2:16" s="1843" customFormat="1">
      <c r="B961" s="1838">
        <f t="shared" si="45"/>
        <v>958</v>
      </c>
      <c r="C961" s="1838" t="s">
        <v>3003</v>
      </c>
      <c r="D961" s="1838" t="s">
        <v>3162</v>
      </c>
      <c r="E961" s="1838" t="s">
        <v>4075</v>
      </c>
      <c r="F961" s="1839">
        <v>45323</v>
      </c>
      <c r="G961" s="1840">
        <v>80640</v>
      </c>
      <c r="H961" s="1841">
        <f t="shared" si="43"/>
        <v>59</v>
      </c>
      <c r="I961" s="1838">
        <f t="shared" si="44"/>
        <v>80640</v>
      </c>
      <c r="J961" s="1838">
        <v>0</v>
      </c>
      <c r="K961" s="1838">
        <v>0</v>
      </c>
      <c r="L961" s="1838">
        <v>0</v>
      </c>
      <c r="M961" s="1838">
        <v>0</v>
      </c>
      <c r="N961" s="1838" t="s">
        <v>3182</v>
      </c>
      <c r="O961" s="1838" t="s">
        <v>3183</v>
      </c>
      <c r="P961" s="1838"/>
    </row>
    <row r="962" spans="2:16" s="1843" customFormat="1">
      <c r="B962" s="1838">
        <f t="shared" si="45"/>
        <v>959</v>
      </c>
      <c r="C962" s="1838" t="s">
        <v>3003</v>
      </c>
      <c r="D962" s="1838" t="s">
        <v>3162</v>
      </c>
      <c r="E962" s="1838" t="s">
        <v>4076</v>
      </c>
      <c r="F962" s="1839">
        <v>45324</v>
      </c>
      <c r="G962" s="1840">
        <v>48216</v>
      </c>
      <c r="H962" s="1841">
        <f t="shared" si="43"/>
        <v>58</v>
      </c>
      <c r="I962" s="1838">
        <f t="shared" si="44"/>
        <v>48216</v>
      </c>
      <c r="J962" s="1838">
        <v>0</v>
      </c>
      <c r="K962" s="1838">
        <v>0</v>
      </c>
      <c r="L962" s="1838">
        <v>0</v>
      </c>
      <c r="M962" s="1838">
        <v>0</v>
      </c>
      <c r="N962" s="1838" t="s">
        <v>3182</v>
      </c>
      <c r="O962" s="1838" t="s">
        <v>3183</v>
      </c>
      <c r="P962" s="1838"/>
    </row>
    <row r="963" spans="2:16" s="1843" customFormat="1">
      <c r="B963" s="1838">
        <f t="shared" si="45"/>
        <v>960</v>
      </c>
      <c r="C963" s="1838" t="s">
        <v>3003</v>
      </c>
      <c r="D963" s="1838" t="s">
        <v>3162</v>
      </c>
      <c r="E963" s="1838" t="s">
        <v>4077</v>
      </c>
      <c r="F963" s="1839">
        <v>45324</v>
      </c>
      <c r="G963" s="1840">
        <v>65352</v>
      </c>
      <c r="H963" s="1841">
        <f t="shared" si="43"/>
        <v>58</v>
      </c>
      <c r="I963" s="1838">
        <f t="shared" si="44"/>
        <v>65352</v>
      </c>
      <c r="J963" s="1838">
        <v>0</v>
      </c>
      <c r="K963" s="1838">
        <v>0</v>
      </c>
      <c r="L963" s="1838">
        <v>0</v>
      </c>
      <c r="M963" s="1838">
        <v>0</v>
      </c>
      <c r="N963" s="1838" t="s">
        <v>3182</v>
      </c>
      <c r="O963" s="1838" t="s">
        <v>3183</v>
      </c>
      <c r="P963" s="1838"/>
    </row>
    <row r="964" spans="2:16" s="1843" customFormat="1">
      <c r="B964" s="1838">
        <f t="shared" si="45"/>
        <v>961</v>
      </c>
      <c r="C964" s="1838" t="s">
        <v>3003</v>
      </c>
      <c r="D964" s="1838" t="s">
        <v>3162</v>
      </c>
      <c r="E964" s="1838" t="s">
        <v>4078</v>
      </c>
      <c r="F964" s="1839">
        <v>45324</v>
      </c>
      <c r="G964" s="1840">
        <v>52668</v>
      </c>
      <c r="H964" s="1841">
        <f t="shared" si="43"/>
        <v>58</v>
      </c>
      <c r="I964" s="1838">
        <f t="shared" si="44"/>
        <v>52668</v>
      </c>
      <c r="J964" s="1838">
        <v>0</v>
      </c>
      <c r="K964" s="1838">
        <v>0</v>
      </c>
      <c r="L964" s="1838">
        <v>0</v>
      </c>
      <c r="M964" s="1838">
        <v>0</v>
      </c>
      <c r="N964" s="1838" t="s">
        <v>3182</v>
      </c>
      <c r="O964" s="1838" t="s">
        <v>3183</v>
      </c>
      <c r="P964" s="1838"/>
    </row>
    <row r="965" spans="2:16" s="1843" customFormat="1">
      <c r="B965" s="1838">
        <f t="shared" si="45"/>
        <v>962</v>
      </c>
      <c r="C965" s="1838" t="s">
        <v>3003</v>
      </c>
      <c r="D965" s="1838" t="s">
        <v>3162</v>
      </c>
      <c r="E965" s="1838" t="s">
        <v>4079</v>
      </c>
      <c r="F965" s="1839">
        <v>45324</v>
      </c>
      <c r="G965" s="1840">
        <v>49812</v>
      </c>
      <c r="H965" s="1841">
        <f t="shared" ref="H965:H1028" si="46">+$H$2-F965</f>
        <v>58</v>
      </c>
      <c r="I965" s="1838">
        <f t="shared" ref="I965:I1028" si="47">+G965</f>
        <v>49812</v>
      </c>
      <c r="J965" s="1838">
        <v>0</v>
      </c>
      <c r="K965" s="1838">
        <v>0</v>
      </c>
      <c r="L965" s="1838">
        <v>0</v>
      </c>
      <c r="M965" s="1838">
        <v>0</v>
      </c>
      <c r="N965" s="1838" t="s">
        <v>3182</v>
      </c>
      <c r="O965" s="1838" t="s">
        <v>3183</v>
      </c>
      <c r="P965" s="1838"/>
    </row>
    <row r="966" spans="2:16" s="1843" customFormat="1">
      <c r="B966" s="1838">
        <f t="shared" ref="B966:B1029" si="48">+B965+1</f>
        <v>963</v>
      </c>
      <c r="C966" s="1838" t="s">
        <v>3003</v>
      </c>
      <c r="D966" s="1838" t="s">
        <v>3162</v>
      </c>
      <c r="E966" s="1838" t="s">
        <v>4080</v>
      </c>
      <c r="F966" s="1839">
        <v>45324</v>
      </c>
      <c r="G966" s="1840">
        <v>61824</v>
      </c>
      <c r="H966" s="1841">
        <f t="shared" si="46"/>
        <v>58</v>
      </c>
      <c r="I966" s="1838">
        <f t="shared" si="47"/>
        <v>61824</v>
      </c>
      <c r="J966" s="1838">
        <v>0</v>
      </c>
      <c r="K966" s="1838">
        <v>0</v>
      </c>
      <c r="L966" s="1838">
        <v>0</v>
      </c>
      <c r="M966" s="1838">
        <v>0</v>
      </c>
      <c r="N966" s="1838" t="s">
        <v>3182</v>
      </c>
      <c r="O966" s="1838" t="s">
        <v>3183</v>
      </c>
      <c r="P966" s="1838"/>
    </row>
    <row r="967" spans="2:16" s="1843" customFormat="1">
      <c r="B967" s="1838">
        <f t="shared" si="48"/>
        <v>964</v>
      </c>
      <c r="C967" s="1838" t="s">
        <v>3003</v>
      </c>
      <c r="D967" s="1838" t="s">
        <v>3162</v>
      </c>
      <c r="E967" s="1838" t="s">
        <v>4081</v>
      </c>
      <c r="F967" s="1839">
        <v>45325</v>
      </c>
      <c r="G967" s="1840">
        <v>50148</v>
      </c>
      <c r="H967" s="1841">
        <f t="shared" si="46"/>
        <v>57</v>
      </c>
      <c r="I967" s="1838">
        <f t="shared" si="47"/>
        <v>50148</v>
      </c>
      <c r="J967" s="1838">
        <v>0</v>
      </c>
      <c r="K967" s="1838">
        <v>0</v>
      </c>
      <c r="L967" s="1838">
        <v>0</v>
      </c>
      <c r="M967" s="1838">
        <v>0</v>
      </c>
      <c r="N967" s="1838" t="s">
        <v>3182</v>
      </c>
      <c r="O967" s="1838" t="s">
        <v>3183</v>
      </c>
      <c r="P967" s="1838"/>
    </row>
    <row r="968" spans="2:16" s="1843" customFormat="1">
      <c r="B968" s="1838">
        <f t="shared" si="48"/>
        <v>965</v>
      </c>
      <c r="C968" s="1838" t="s">
        <v>3003</v>
      </c>
      <c r="D968" s="1838" t="s">
        <v>3162</v>
      </c>
      <c r="E968" s="1838" t="s">
        <v>4082</v>
      </c>
      <c r="F968" s="1839">
        <v>45325</v>
      </c>
      <c r="G968" s="1840">
        <v>54012</v>
      </c>
      <c r="H968" s="1841">
        <f t="shared" si="46"/>
        <v>57</v>
      </c>
      <c r="I968" s="1838">
        <f t="shared" si="47"/>
        <v>54012</v>
      </c>
      <c r="J968" s="1838">
        <v>0</v>
      </c>
      <c r="K968" s="1838">
        <v>0</v>
      </c>
      <c r="L968" s="1838">
        <v>0</v>
      </c>
      <c r="M968" s="1838">
        <v>0</v>
      </c>
      <c r="N968" s="1838" t="s">
        <v>3182</v>
      </c>
      <c r="O968" s="1838" t="s">
        <v>3183</v>
      </c>
      <c r="P968" s="1838"/>
    </row>
    <row r="969" spans="2:16" s="1843" customFormat="1">
      <c r="B969" s="1838">
        <f t="shared" si="48"/>
        <v>966</v>
      </c>
      <c r="C969" s="1838" t="s">
        <v>3003</v>
      </c>
      <c r="D969" s="1838" t="s">
        <v>3162</v>
      </c>
      <c r="E969" s="1838" t="s">
        <v>4083</v>
      </c>
      <c r="F969" s="1839">
        <v>45325</v>
      </c>
      <c r="G969" s="1840">
        <v>44688</v>
      </c>
      <c r="H969" s="1841">
        <f t="shared" si="46"/>
        <v>57</v>
      </c>
      <c r="I969" s="1838">
        <f t="shared" si="47"/>
        <v>44688</v>
      </c>
      <c r="J969" s="1838">
        <v>0</v>
      </c>
      <c r="K969" s="1838">
        <v>0</v>
      </c>
      <c r="L969" s="1838">
        <v>0</v>
      </c>
      <c r="M969" s="1838">
        <v>0</v>
      </c>
      <c r="N969" s="1838" t="s">
        <v>3182</v>
      </c>
      <c r="O969" s="1838" t="s">
        <v>3183</v>
      </c>
      <c r="P969" s="1838"/>
    </row>
    <row r="970" spans="2:16" s="1843" customFormat="1">
      <c r="B970" s="1838">
        <f t="shared" si="48"/>
        <v>967</v>
      </c>
      <c r="C970" s="1838" t="s">
        <v>3003</v>
      </c>
      <c r="D970" s="1838" t="s">
        <v>3162</v>
      </c>
      <c r="E970" s="1838" t="s">
        <v>4084</v>
      </c>
      <c r="F970" s="1839">
        <v>45325</v>
      </c>
      <c r="G970" s="1840">
        <v>54180</v>
      </c>
      <c r="H970" s="1841">
        <f t="shared" si="46"/>
        <v>57</v>
      </c>
      <c r="I970" s="1838">
        <f t="shared" si="47"/>
        <v>54180</v>
      </c>
      <c r="J970" s="1838">
        <v>0</v>
      </c>
      <c r="K970" s="1838">
        <v>0</v>
      </c>
      <c r="L970" s="1838">
        <v>0</v>
      </c>
      <c r="M970" s="1838">
        <v>0</v>
      </c>
      <c r="N970" s="1838" t="s">
        <v>3182</v>
      </c>
      <c r="O970" s="1838" t="s">
        <v>3183</v>
      </c>
      <c r="P970" s="1838"/>
    </row>
    <row r="971" spans="2:16" s="1843" customFormat="1">
      <c r="B971" s="1838">
        <f t="shared" si="48"/>
        <v>968</v>
      </c>
      <c r="C971" s="1838" t="s">
        <v>3003</v>
      </c>
      <c r="D971" s="1838" t="s">
        <v>3162</v>
      </c>
      <c r="E971" s="1838" t="s">
        <v>4085</v>
      </c>
      <c r="F971" s="1839">
        <v>45326</v>
      </c>
      <c r="G971" s="1840">
        <v>79716</v>
      </c>
      <c r="H971" s="1841">
        <f t="shared" si="46"/>
        <v>56</v>
      </c>
      <c r="I971" s="1838">
        <f t="shared" si="47"/>
        <v>79716</v>
      </c>
      <c r="J971" s="1838">
        <v>0</v>
      </c>
      <c r="K971" s="1838">
        <v>0</v>
      </c>
      <c r="L971" s="1838">
        <v>0</v>
      </c>
      <c r="M971" s="1838">
        <v>0</v>
      </c>
      <c r="N971" s="1838" t="s">
        <v>3182</v>
      </c>
      <c r="O971" s="1838" t="s">
        <v>3183</v>
      </c>
      <c r="P971" s="1838"/>
    </row>
    <row r="972" spans="2:16" s="1843" customFormat="1">
      <c r="B972" s="1838">
        <f t="shared" si="48"/>
        <v>969</v>
      </c>
      <c r="C972" s="1838" t="s">
        <v>3003</v>
      </c>
      <c r="D972" s="1838" t="s">
        <v>3162</v>
      </c>
      <c r="E972" s="1838" t="s">
        <v>4086</v>
      </c>
      <c r="F972" s="1839">
        <v>45326</v>
      </c>
      <c r="G972" s="1840">
        <v>64512</v>
      </c>
      <c r="H972" s="1841">
        <f t="shared" si="46"/>
        <v>56</v>
      </c>
      <c r="I972" s="1838">
        <f t="shared" si="47"/>
        <v>64512</v>
      </c>
      <c r="J972" s="1838">
        <v>0</v>
      </c>
      <c r="K972" s="1838">
        <v>0</v>
      </c>
      <c r="L972" s="1838">
        <v>0</v>
      </c>
      <c r="M972" s="1838">
        <v>0</v>
      </c>
      <c r="N972" s="1838" t="s">
        <v>3182</v>
      </c>
      <c r="O972" s="1838" t="s">
        <v>3183</v>
      </c>
      <c r="P972" s="1838"/>
    </row>
    <row r="973" spans="2:16" s="1843" customFormat="1">
      <c r="B973" s="1838">
        <f t="shared" si="48"/>
        <v>970</v>
      </c>
      <c r="C973" s="1838" t="s">
        <v>3003</v>
      </c>
      <c r="D973" s="1838" t="s">
        <v>3162</v>
      </c>
      <c r="E973" s="1838" t="s">
        <v>4087</v>
      </c>
      <c r="F973" s="1839">
        <v>45326</v>
      </c>
      <c r="G973" s="1840">
        <v>82572</v>
      </c>
      <c r="H973" s="1841">
        <f t="shared" si="46"/>
        <v>56</v>
      </c>
      <c r="I973" s="1838">
        <f t="shared" si="47"/>
        <v>82572</v>
      </c>
      <c r="J973" s="1838">
        <v>0</v>
      </c>
      <c r="K973" s="1838">
        <v>0</v>
      </c>
      <c r="L973" s="1838">
        <v>0</v>
      </c>
      <c r="M973" s="1838">
        <v>0</v>
      </c>
      <c r="N973" s="1838" t="s">
        <v>3182</v>
      </c>
      <c r="O973" s="1838" t="s">
        <v>3183</v>
      </c>
      <c r="P973" s="1838"/>
    </row>
    <row r="974" spans="2:16" s="1843" customFormat="1">
      <c r="B974" s="1838">
        <f t="shared" si="48"/>
        <v>971</v>
      </c>
      <c r="C974" s="1838" t="s">
        <v>3003</v>
      </c>
      <c r="D974" s="1838" t="s">
        <v>3162</v>
      </c>
      <c r="E974" s="1838" t="s">
        <v>4088</v>
      </c>
      <c r="F974" s="1839">
        <v>45326</v>
      </c>
      <c r="G974" s="1840">
        <v>78960</v>
      </c>
      <c r="H974" s="1841">
        <f t="shared" si="46"/>
        <v>56</v>
      </c>
      <c r="I974" s="1838">
        <f t="shared" si="47"/>
        <v>78960</v>
      </c>
      <c r="J974" s="1838">
        <v>0</v>
      </c>
      <c r="K974" s="1838">
        <v>0</v>
      </c>
      <c r="L974" s="1838">
        <v>0</v>
      </c>
      <c r="M974" s="1838">
        <v>0</v>
      </c>
      <c r="N974" s="1838" t="s">
        <v>3182</v>
      </c>
      <c r="O974" s="1838" t="s">
        <v>3183</v>
      </c>
      <c r="P974" s="1838"/>
    </row>
    <row r="975" spans="2:16" s="1843" customFormat="1">
      <c r="B975" s="1838">
        <f t="shared" si="48"/>
        <v>972</v>
      </c>
      <c r="C975" s="1838" t="s">
        <v>3003</v>
      </c>
      <c r="D975" s="1838" t="s">
        <v>3162</v>
      </c>
      <c r="E975" s="1838" t="s">
        <v>4089</v>
      </c>
      <c r="F975" s="1839">
        <v>45327</v>
      </c>
      <c r="G975" s="1840">
        <v>76944</v>
      </c>
      <c r="H975" s="1841">
        <f t="shared" si="46"/>
        <v>55</v>
      </c>
      <c r="I975" s="1838">
        <f t="shared" si="47"/>
        <v>76944</v>
      </c>
      <c r="J975" s="1838">
        <v>0</v>
      </c>
      <c r="K975" s="1838">
        <v>0</v>
      </c>
      <c r="L975" s="1838">
        <v>0</v>
      </c>
      <c r="M975" s="1838">
        <v>0</v>
      </c>
      <c r="N975" s="1838" t="s">
        <v>3182</v>
      </c>
      <c r="O975" s="1838" t="s">
        <v>3183</v>
      </c>
      <c r="P975" s="1838"/>
    </row>
    <row r="976" spans="2:16" s="1843" customFormat="1">
      <c r="B976" s="1838">
        <f t="shared" si="48"/>
        <v>973</v>
      </c>
      <c r="C976" s="1838" t="s">
        <v>3003</v>
      </c>
      <c r="D976" s="1838" t="s">
        <v>3162</v>
      </c>
      <c r="E976" s="1838" t="s">
        <v>4090</v>
      </c>
      <c r="F976" s="1839">
        <v>45327</v>
      </c>
      <c r="G976" s="1840">
        <v>54600</v>
      </c>
      <c r="H976" s="1841">
        <f t="shared" si="46"/>
        <v>55</v>
      </c>
      <c r="I976" s="1838">
        <f t="shared" si="47"/>
        <v>54600</v>
      </c>
      <c r="J976" s="1838">
        <v>0</v>
      </c>
      <c r="K976" s="1838">
        <v>0</v>
      </c>
      <c r="L976" s="1838">
        <v>0</v>
      </c>
      <c r="M976" s="1838">
        <v>0</v>
      </c>
      <c r="N976" s="1838" t="s">
        <v>3182</v>
      </c>
      <c r="O976" s="1838" t="s">
        <v>3183</v>
      </c>
      <c r="P976" s="1838"/>
    </row>
    <row r="977" spans="2:16" s="1843" customFormat="1">
      <c r="B977" s="1838">
        <f t="shared" si="48"/>
        <v>974</v>
      </c>
      <c r="C977" s="1838" t="s">
        <v>3003</v>
      </c>
      <c r="D977" s="1838" t="s">
        <v>3162</v>
      </c>
      <c r="E977" s="1838" t="s">
        <v>4091</v>
      </c>
      <c r="F977" s="1839">
        <v>45327</v>
      </c>
      <c r="G977" s="1840">
        <v>52164</v>
      </c>
      <c r="H977" s="1841">
        <f t="shared" si="46"/>
        <v>55</v>
      </c>
      <c r="I977" s="1838">
        <f t="shared" si="47"/>
        <v>52164</v>
      </c>
      <c r="J977" s="1838">
        <v>0</v>
      </c>
      <c r="K977" s="1838">
        <v>0</v>
      </c>
      <c r="L977" s="1838">
        <v>0</v>
      </c>
      <c r="M977" s="1838">
        <v>0</v>
      </c>
      <c r="N977" s="1838" t="s">
        <v>3182</v>
      </c>
      <c r="O977" s="1838" t="s">
        <v>3183</v>
      </c>
      <c r="P977" s="1838"/>
    </row>
    <row r="978" spans="2:16" s="1843" customFormat="1">
      <c r="B978" s="1838">
        <f t="shared" si="48"/>
        <v>975</v>
      </c>
      <c r="C978" s="1838" t="s">
        <v>3003</v>
      </c>
      <c r="D978" s="1838" t="s">
        <v>3162</v>
      </c>
      <c r="E978" s="1838" t="s">
        <v>4092</v>
      </c>
      <c r="F978" s="1839">
        <v>45327</v>
      </c>
      <c r="G978" s="1840">
        <v>47460</v>
      </c>
      <c r="H978" s="1841">
        <f t="shared" si="46"/>
        <v>55</v>
      </c>
      <c r="I978" s="1838">
        <f t="shared" si="47"/>
        <v>47460</v>
      </c>
      <c r="J978" s="1838">
        <v>0</v>
      </c>
      <c r="K978" s="1838">
        <v>0</v>
      </c>
      <c r="L978" s="1838">
        <v>0</v>
      </c>
      <c r="M978" s="1838">
        <v>0</v>
      </c>
      <c r="N978" s="1838" t="s">
        <v>3182</v>
      </c>
      <c r="O978" s="1838" t="s">
        <v>3183</v>
      </c>
      <c r="P978" s="1838"/>
    </row>
    <row r="979" spans="2:16" s="1843" customFormat="1">
      <c r="B979" s="1838">
        <f t="shared" si="48"/>
        <v>976</v>
      </c>
      <c r="C979" s="1838" t="s">
        <v>3003</v>
      </c>
      <c r="D979" s="1838" t="s">
        <v>3162</v>
      </c>
      <c r="E979" s="1838" t="s">
        <v>4093</v>
      </c>
      <c r="F979" s="1839">
        <v>45327</v>
      </c>
      <c r="G979" s="1840">
        <v>85932</v>
      </c>
      <c r="H979" s="1841">
        <f t="shared" si="46"/>
        <v>55</v>
      </c>
      <c r="I979" s="1838">
        <f t="shared" si="47"/>
        <v>85932</v>
      </c>
      <c r="J979" s="1838">
        <v>0</v>
      </c>
      <c r="K979" s="1838">
        <v>0</v>
      </c>
      <c r="L979" s="1838">
        <v>0</v>
      </c>
      <c r="M979" s="1838">
        <v>0</v>
      </c>
      <c r="N979" s="1838" t="s">
        <v>3182</v>
      </c>
      <c r="O979" s="1838" t="s">
        <v>3183</v>
      </c>
      <c r="P979" s="1838"/>
    </row>
    <row r="980" spans="2:16" s="1843" customFormat="1">
      <c r="B980" s="1838">
        <f t="shared" si="48"/>
        <v>977</v>
      </c>
      <c r="C980" s="1838" t="s">
        <v>3003</v>
      </c>
      <c r="D980" s="1838" t="s">
        <v>3162</v>
      </c>
      <c r="E980" s="1838" t="s">
        <v>4094</v>
      </c>
      <c r="F980" s="1839">
        <v>45327</v>
      </c>
      <c r="G980" s="1840">
        <v>77700</v>
      </c>
      <c r="H980" s="1841">
        <f t="shared" si="46"/>
        <v>55</v>
      </c>
      <c r="I980" s="1838">
        <f t="shared" si="47"/>
        <v>77700</v>
      </c>
      <c r="J980" s="1838">
        <v>0</v>
      </c>
      <c r="K980" s="1838">
        <v>0</v>
      </c>
      <c r="L980" s="1838">
        <v>0</v>
      </c>
      <c r="M980" s="1838">
        <v>0</v>
      </c>
      <c r="N980" s="1838" t="s">
        <v>3182</v>
      </c>
      <c r="O980" s="1838" t="s">
        <v>3183</v>
      </c>
      <c r="P980" s="1838"/>
    </row>
    <row r="981" spans="2:16" s="1843" customFormat="1">
      <c r="B981" s="1838">
        <f t="shared" si="48"/>
        <v>978</v>
      </c>
      <c r="C981" s="1838" t="s">
        <v>3003</v>
      </c>
      <c r="D981" s="1838" t="s">
        <v>3162</v>
      </c>
      <c r="E981" s="1838" t="s">
        <v>4095</v>
      </c>
      <c r="F981" s="1839">
        <v>45328</v>
      </c>
      <c r="G981" s="1840">
        <v>37548</v>
      </c>
      <c r="H981" s="1841">
        <f t="shared" si="46"/>
        <v>54</v>
      </c>
      <c r="I981" s="1838">
        <f t="shared" si="47"/>
        <v>37548</v>
      </c>
      <c r="J981" s="1838">
        <v>0</v>
      </c>
      <c r="K981" s="1838">
        <v>0</v>
      </c>
      <c r="L981" s="1838">
        <v>0</v>
      </c>
      <c r="M981" s="1838">
        <v>0</v>
      </c>
      <c r="N981" s="1838" t="s">
        <v>3182</v>
      </c>
      <c r="O981" s="1838" t="s">
        <v>3183</v>
      </c>
      <c r="P981" s="1838"/>
    </row>
    <row r="982" spans="2:16" s="1843" customFormat="1">
      <c r="B982" s="1838">
        <f t="shared" si="48"/>
        <v>979</v>
      </c>
      <c r="C982" s="1838" t="s">
        <v>3003</v>
      </c>
      <c r="D982" s="1838" t="s">
        <v>3162</v>
      </c>
      <c r="E982" s="1838" t="s">
        <v>4096</v>
      </c>
      <c r="F982" s="1839">
        <v>45328</v>
      </c>
      <c r="G982" s="1840">
        <v>50988</v>
      </c>
      <c r="H982" s="1841">
        <f t="shared" si="46"/>
        <v>54</v>
      </c>
      <c r="I982" s="1838">
        <f t="shared" si="47"/>
        <v>50988</v>
      </c>
      <c r="J982" s="1838">
        <v>0</v>
      </c>
      <c r="K982" s="1838">
        <v>0</v>
      </c>
      <c r="L982" s="1838">
        <v>0</v>
      </c>
      <c r="M982" s="1838">
        <v>0</v>
      </c>
      <c r="N982" s="1838" t="s">
        <v>3182</v>
      </c>
      <c r="O982" s="1838" t="s">
        <v>3183</v>
      </c>
      <c r="P982" s="1838"/>
    </row>
    <row r="983" spans="2:16" s="1843" customFormat="1">
      <c r="B983" s="1838">
        <f t="shared" si="48"/>
        <v>980</v>
      </c>
      <c r="C983" s="1838" t="s">
        <v>3003</v>
      </c>
      <c r="D983" s="1838" t="s">
        <v>3162</v>
      </c>
      <c r="E983" s="1838" t="s">
        <v>4097</v>
      </c>
      <c r="F983" s="1839">
        <v>45328</v>
      </c>
      <c r="G983" s="1840">
        <v>71400</v>
      </c>
      <c r="H983" s="1841">
        <f t="shared" si="46"/>
        <v>54</v>
      </c>
      <c r="I983" s="1838">
        <f t="shared" si="47"/>
        <v>71400</v>
      </c>
      <c r="J983" s="1838">
        <v>0</v>
      </c>
      <c r="K983" s="1838">
        <v>0</v>
      </c>
      <c r="L983" s="1838">
        <v>0</v>
      </c>
      <c r="M983" s="1838">
        <v>0</v>
      </c>
      <c r="N983" s="1838" t="s">
        <v>3182</v>
      </c>
      <c r="O983" s="1838" t="s">
        <v>3183</v>
      </c>
      <c r="P983" s="1838"/>
    </row>
    <row r="984" spans="2:16" s="1843" customFormat="1">
      <c r="B984" s="1838">
        <f t="shared" si="48"/>
        <v>981</v>
      </c>
      <c r="C984" s="1838" t="s">
        <v>3003</v>
      </c>
      <c r="D984" s="1838" t="s">
        <v>3162</v>
      </c>
      <c r="E984" s="1838" t="s">
        <v>4098</v>
      </c>
      <c r="F984" s="1839">
        <v>45328</v>
      </c>
      <c r="G984" s="1840">
        <v>53172</v>
      </c>
      <c r="H984" s="1841">
        <f t="shared" si="46"/>
        <v>54</v>
      </c>
      <c r="I984" s="1838">
        <f t="shared" si="47"/>
        <v>53172</v>
      </c>
      <c r="J984" s="1838">
        <v>0</v>
      </c>
      <c r="K984" s="1838">
        <v>0</v>
      </c>
      <c r="L984" s="1838">
        <v>0</v>
      </c>
      <c r="M984" s="1838">
        <v>0</v>
      </c>
      <c r="N984" s="1838" t="s">
        <v>3182</v>
      </c>
      <c r="O984" s="1838" t="s">
        <v>3183</v>
      </c>
      <c r="P984" s="1838"/>
    </row>
    <row r="985" spans="2:16" s="1843" customFormat="1">
      <c r="B985" s="1838">
        <f t="shared" si="48"/>
        <v>982</v>
      </c>
      <c r="C985" s="1838" t="s">
        <v>3003</v>
      </c>
      <c r="D985" s="1838" t="s">
        <v>3162</v>
      </c>
      <c r="E985" s="1838" t="s">
        <v>4099</v>
      </c>
      <c r="F985" s="1839">
        <v>45329</v>
      </c>
      <c r="G985" s="1840">
        <v>78120</v>
      </c>
      <c r="H985" s="1841">
        <f t="shared" si="46"/>
        <v>53</v>
      </c>
      <c r="I985" s="1838">
        <f t="shared" si="47"/>
        <v>78120</v>
      </c>
      <c r="J985" s="1838">
        <v>0</v>
      </c>
      <c r="K985" s="1838">
        <v>0</v>
      </c>
      <c r="L985" s="1838">
        <v>0</v>
      </c>
      <c r="M985" s="1838">
        <v>0</v>
      </c>
      <c r="N985" s="1838" t="s">
        <v>3182</v>
      </c>
      <c r="O985" s="1838" t="s">
        <v>3183</v>
      </c>
      <c r="P985" s="1838"/>
    </row>
    <row r="986" spans="2:16" s="1843" customFormat="1">
      <c r="B986" s="1838">
        <f t="shared" si="48"/>
        <v>983</v>
      </c>
      <c r="C986" s="1838" t="s">
        <v>3003</v>
      </c>
      <c r="D986" s="1838" t="s">
        <v>3162</v>
      </c>
      <c r="E986" s="1838" t="s">
        <v>4100</v>
      </c>
      <c r="F986" s="1839">
        <v>45329</v>
      </c>
      <c r="G986" s="1840">
        <v>58632</v>
      </c>
      <c r="H986" s="1841">
        <f t="shared" si="46"/>
        <v>53</v>
      </c>
      <c r="I986" s="1838">
        <f t="shared" si="47"/>
        <v>58632</v>
      </c>
      <c r="J986" s="1838">
        <v>0</v>
      </c>
      <c r="K986" s="1838">
        <v>0</v>
      </c>
      <c r="L986" s="1838">
        <v>0</v>
      </c>
      <c r="M986" s="1838">
        <v>0</v>
      </c>
      <c r="N986" s="1838" t="s">
        <v>3182</v>
      </c>
      <c r="O986" s="1838" t="s">
        <v>3183</v>
      </c>
      <c r="P986" s="1838"/>
    </row>
    <row r="987" spans="2:16" s="1843" customFormat="1">
      <c r="B987" s="1838">
        <f t="shared" si="48"/>
        <v>984</v>
      </c>
      <c r="C987" s="1838" t="s">
        <v>3003</v>
      </c>
      <c r="D987" s="1838" t="s">
        <v>3162</v>
      </c>
      <c r="E987" s="1838" t="s">
        <v>4101</v>
      </c>
      <c r="F987" s="1839">
        <v>45329</v>
      </c>
      <c r="G987" s="1840">
        <v>18480</v>
      </c>
      <c r="H987" s="1841">
        <f t="shared" si="46"/>
        <v>53</v>
      </c>
      <c r="I987" s="1838">
        <f t="shared" si="47"/>
        <v>18480</v>
      </c>
      <c r="J987" s="1838">
        <v>0</v>
      </c>
      <c r="K987" s="1838">
        <v>0</v>
      </c>
      <c r="L987" s="1838">
        <v>0</v>
      </c>
      <c r="M987" s="1838">
        <v>0</v>
      </c>
      <c r="N987" s="1838" t="s">
        <v>3182</v>
      </c>
      <c r="O987" s="1838" t="s">
        <v>3183</v>
      </c>
      <c r="P987" s="1838"/>
    </row>
    <row r="988" spans="2:16" s="1843" customFormat="1">
      <c r="B988" s="1838">
        <f t="shared" si="48"/>
        <v>985</v>
      </c>
      <c r="C988" s="1838" t="s">
        <v>3003</v>
      </c>
      <c r="D988" s="1838" t="s">
        <v>3162</v>
      </c>
      <c r="E988" s="1838" t="s">
        <v>4102</v>
      </c>
      <c r="F988" s="1839">
        <v>45329</v>
      </c>
      <c r="G988" s="1840">
        <v>77868</v>
      </c>
      <c r="H988" s="1841">
        <f t="shared" si="46"/>
        <v>53</v>
      </c>
      <c r="I988" s="1838">
        <f t="shared" si="47"/>
        <v>77868</v>
      </c>
      <c r="J988" s="1838">
        <v>0</v>
      </c>
      <c r="K988" s="1838">
        <v>0</v>
      </c>
      <c r="L988" s="1838">
        <v>0</v>
      </c>
      <c r="M988" s="1838">
        <v>0</v>
      </c>
      <c r="N988" s="1838" t="s">
        <v>3182</v>
      </c>
      <c r="O988" s="1838" t="s">
        <v>3183</v>
      </c>
      <c r="P988" s="1838"/>
    </row>
    <row r="989" spans="2:16" s="1843" customFormat="1">
      <c r="B989" s="1838">
        <f t="shared" si="48"/>
        <v>986</v>
      </c>
      <c r="C989" s="1838" t="s">
        <v>3003</v>
      </c>
      <c r="D989" s="1838" t="s">
        <v>3162</v>
      </c>
      <c r="E989" s="1838" t="s">
        <v>4103</v>
      </c>
      <c r="F989" s="1839">
        <v>45329</v>
      </c>
      <c r="G989" s="1840">
        <v>40740</v>
      </c>
      <c r="H989" s="1841">
        <f t="shared" si="46"/>
        <v>53</v>
      </c>
      <c r="I989" s="1838">
        <f t="shared" si="47"/>
        <v>40740</v>
      </c>
      <c r="J989" s="1838">
        <v>0</v>
      </c>
      <c r="K989" s="1838">
        <v>0</v>
      </c>
      <c r="L989" s="1838">
        <v>0</v>
      </c>
      <c r="M989" s="1838">
        <v>0</v>
      </c>
      <c r="N989" s="1838" t="s">
        <v>3182</v>
      </c>
      <c r="O989" s="1838" t="s">
        <v>3183</v>
      </c>
      <c r="P989" s="1838"/>
    </row>
    <row r="990" spans="2:16" s="1843" customFormat="1">
      <c r="B990" s="1838">
        <f t="shared" si="48"/>
        <v>987</v>
      </c>
      <c r="C990" s="1838" t="s">
        <v>3003</v>
      </c>
      <c r="D990" s="1838" t="s">
        <v>3162</v>
      </c>
      <c r="E990" s="1838" t="s">
        <v>4104</v>
      </c>
      <c r="F990" s="1839">
        <v>45329</v>
      </c>
      <c r="G990" s="1840">
        <v>36960</v>
      </c>
      <c r="H990" s="1841">
        <f t="shared" si="46"/>
        <v>53</v>
      </c>
      <c r="I990" s="1838">
        <f t="shared" si="47"/>
        <v>36960</v>
      </c>
      <c r="J990" s="1838">
        <v>0</v>
      </c>
      <c r="K990" s="1838">
        <v>0</v>
      </c>
      <c r="L990" s="1838">
        <v>0</v>
      </c>
      <c r="M990" s="1838">
        <v>0</v>
      </c>
      <c r="N990" s="1838" t="s">
        <v>3182</v>
      </c>
      <c r="O990" s="1838" t="s">
        <v>3183</v>
      </c>
      <c r="P990" s="1838"/>
    </row>
    <row r="991" spans="2:16" s="1843" customFormat="1">
      <c r="B991" s="1838">
        <f t="shared" si="48"/>
        <v>988</v>
      </c>
      <c r="C991" s="1838" t="s">
        <v>3003</v>
      </c>
      <c r="D991" s="1838" t="s">
        <v>3162</v>
      </c>
      <c r="E991" s="1838" t="s">
        <v>4105</v>
      </c>
      <c r="F991" s="1839">
        <v>45329</v>
      </c>
      <c r="G991" s="1840">
        <v>51492</v>
      </c>
      <c r="H991" s="1841">
        <f t="shared" si="46"/>
        <v>53</v>
      </c>
      <c r="I991" s="1838">
        <f t="shared" si="47"/>
        <v>51492</v>
      </c>
      <c r="J991" s="1838">
        <v>0</v>
      </c>
      <c r="K991" s="1838">
        <v>0</v>
      </c>
      <c r="L991" s="1838">
        <v>0</v>
      </c>
      <c r="M991" s="1838">
        <v>0</v>
      </c>
      <c r="N991" s="1838" t="s">
        <v>3182</v>
      </c>
      <c r="O991" s="1838" t="s">
        <v>3183</v>
      </c>
      <c r="P991" s="1838"/>
    </row>
    <row r="992" spans="2:16" s="1843" customFormat="1">
      <c r="B992" s="1838">
        <f t="shared" si="48"/>
        <v>989</v>
      </c>
      <c r="C992" s="1838" t="s">
        <v>3003</v>
      </c>
      <c r="D992" s="1838" t="s">
        <v>3162</v>
      </c>
      <c r="E992" s="1838" t="s">
        <v>4106</v>
      </c>
      <c r="F992" s="1839">
        <v>45330</v>
      </c>
      <c r="G992" s="1840">
        <v>42840</v>
      </c>
      <c r="H992" s="1841">
        <f t="shared" si="46"/>
        <v>52</v>
      </c>
      <c r="I992" s="1838">
        <f t="shared" si="47"/>
        <v>42840</v>
      </c>
      <c r="J992" s="1838">
        <v>0</v>
      </c>
      <c r="K992" s="1838">
        <v>0</v>
      </c>
      <c r="L992" s="1838">
        <v>0</v>
      </c>
      <c r="M992" s="1838">
        <v>0</v>
      </c>
      <c r="N992" s="1838" t="s">
        <v>3182</v>
      </c>
      <c r="O992" s="1838" t="s">
        <v>3183</v>
      </c>
      <c r="P992" s="1838"/>
    </row>
    <row r="993" spans="2:16" s="1843" customFormat="1">
      <c r="B993" s="1838">
        <f t="shared" si="48"/>
        <v>990</v>
      </c>
      <c r="C993" s="1838" t="s">
        <v>3003</v>
      </c>
      <c r="D993" s="1838" t="s">
        <v>3162</v>
      </c>
      <c r="E993" s="1838" t="s">
        <v>4107</v>
      </c>
      <c r="F993" s="1839">
        <v>45330</v>
      </c>
      <c r="G993" s="1840">
        <v>51408</v>
      </c>
      <c r="H993" s="1841">
        <f t="shared" si="46"/>
        <v>52</v>
      </c>
      <c r="I993" s="1838">
        <f t="shared" si="47"/>
        <v>51408</v>
      </c>
      <c r="J993" s="1838">
        <v>0</v>
      </c>
      <c r="K993" s="1838">
        <v>0</v>
      </c>
      <c r="L993" s="1838">
        <v>0</v>
      </c>
      <c r="M993" s="1838">
        <v>0</v>
      </c>
      <c r="N993" s="1838" t="s">
        <v>3182</v>
      </c>
      <c r="O993" s="1838" t="s">
        <v>3183</v>
      </c>
      <c r="P993" s="1838"/>
    </row>
    <row r="994" spans="2:16" s="1843" customFormat="1">
      <c r="B994" s="1838">
        <f t="shared" si="48"/>
        <v>991</v>
      </c>
      <c r="C994" s="1838" t="s">
        <v>3003</v>
      </c>
      <c r="D994" s="1838" t="s">
        <v>3162</v>
      </c>
      <c r="E994" s="1838" t="s">
        <v>4108</v>
      </c>
      <c r="F994" s="1839">
        <v>45330</v>
      </c>
      <c r="G994" s="1840">
        <v>53330</v>
      </c>
      <c r="H994" s="1841">
        <f t="shared" si="46"/>
        <v>52</v>
      </c>
      <c r="I994" s="1838">
        <f t="shared" si="47"/>
        <v>53330</v>
      </c>
      <c r="J994" s="1838">
        <v>0</v>
      </c>
      <c r="K994" s="1838">
        <v>0</v>
      </c>
      <c r="L994" s="1838">
        <v>0</v>
      </c>
      <c r="M994" s="1838">
        <v>0</v>
      </c>
      <c r="N994" s="1838" t="s">
        <v>3182</v>
      </c>
      <c r="O994" s="1838" t="s">
        <v>3183</v>
      </c>
      <c r="P994" s="1838"/>
    </row>
    <row r="995" spans="2:16" s="1843" customFormat="1">
      <c r="B995" s="1838">
        <f t="shared" si="48"/>
        <v>992</v>
      </c>
      <c r="C995" s="1838" t="s">
        <v>3003</v>
      </c>
      <c r="D995" s="1838" t="s">
        <v>3162</v>
      </c>
      <c r="E995" s="1838" t="s">
        <v>4109</v>
      </c>
      <c r="F995" s="1839">
        <v>45330</v>
      </c>
      <c r="G995" s="1840">
        <v>78876</v>
      </c>
      <c r="H995" s="1841">
        <f t="shared" si="46"/>
        <v>52</v>
      </c>
      <c r="I995" s="1838">
        <f t="shared" si="47"/>
        <v>78876</v>
      </c>
      <c r="J995" s="1838">
        <v>0</v>
      </c>
      <c r="K995" s="1838">
        <v>0</v>
      </c>
      <c r="L995" s="1838">
        <v>0</v>
      </c>
      <c r="M995" s="1838">
        <v>0</v>
      </c>
      <c r="N995" s="1838" t="s">
        <v>3182</v>
      </c>
      <c r="O995" s="1838" t="s">
        <v>3183</v>
      </c>
      <c r="P995" s="1838"/>
    </row>
    <row r="996" spans="2:16" s="1843" customFormat="1">
      <c r="B996" s="1838">
        <f t="shared" si="48"/>
        <v>993</v>
      </c>
      <c r="C996" s="1838" t="s">
        <v>3003</v>
      </c>
      <c r="D996" s="1838" t="s">
        <v>3162</v>
      </c>
      <c r="E996" s="1838" t="s">
        <v>4110</v>
      </c>
      <c r="F996" s="1839">
        <v>45330</v>
      </c>
      <c r="G996" s="1840">
        <v>47040</v>
      </c>
      <c r="H996" s="1841">
        <f t="shared" si="46"/>
        <v>52</v>
      </c>
      <c r="I996" s="1838">
        <f t="shared" si="47"/>
        <v>47040</v>
      </c>
      <c r="J996" s="1838">
        <v>0</v>
      </c>
      <c r="K996" s="1838">
        <v>0</v>
      </c>
      <c r="L996" s="1838">
        <v>0</v>
      </c>
      <c r="M996" s="1838">
        <v>0</v>
      </c>
      <c r="N996" s="1838" t="s">
        <v>3182</v>
      </c>
      <c r="O996" s="1838" t="s">
        <v>3183</v>
      </c>
      <c r="P996" s="1838"/>
    </row>
    <row r="997" spans="2:16" s="1843" customFormat="1">
      <c r="B997" s="1838">
        <f t="shared" si="48"/>
        <v>994</v>
      </c>
      <c r="C997" s="1838" t="s">
        <v>3003</v>
      </c>
      <c r="D997" s="1838" t="s">
        <v>3162</v>
      </c>
      <c r="E997" s="1838" t="s">
        <v>4111</v>
      </c>
      <c r="F997" s="1839">
        <v>45330</v>
      </c>
      <c r="G997" s="1840">
        <v>52668</v>
      </c>
      <c r="H997" s="1841">
        <f t="shared" si="46"/>
        <v>52</v>
      </c>
      <c r="I997" s="1838">
        <f t="shared" si="47"/>
        <v>52668</v>
      </c>
      <c r="J997" s="1838">
        <v>0</v>
      </c>
      <c r="K997" s="1838">
        <v>0</v>
      </c>
      <c r="L997" s="1838">
        <v>0</v>
      </c>
      <c r="M997" s="1838">
        <v>0</v>
      </c>
      <c r="N997" s="1838" t="s">
        <v>3182</v>
      </c>
      <c r="O997" s="1838" t="s">
        <v>3183</v>
      </c>
      <c r="P997" s="1838"/>
    </row>
    <row r="998" spans="2:16" s="1843" customFormat="1">
      <c r="B998" s="1838">
        <f t="shared" si="48"/>
        <v>995</v>
      </c>
      <c r="C998" s="1838" t="s">
        <v>3003</v>
      </c>
      <c r="D998" s="1838" t="s">
        <v>3162</v>
      </c>
      <c r="E998" s="1838" t="s">
        <v>4112</v>
      </c>
      <c r="F998" s="1839">
        <v>45330</v>
      </c>
      <c r="G998" s="1840">
        <v>70644</v>
      </c>
      <c r="H998" s="1841">
        <f t="shared" si="46"/>
        <v>52</v>
      </c>
      <c r="I998" s="1838">
        <f t="shared" si="47"/>
        <v>70644</v>
      </c>
      <c r="J998" s="1838">
        <v>0</v>
      </c>
      <c r="K998" s="1838">
        <v>0</v>
      </c>
      <c r="L998" s="1838">
        <v>0</v>
      </c>
      <c r="M998" s="1838">
        <v>0</v>
      </c>
      <c r="N998" s="1838" t="s">
        <v>3182</v>
      </c>
      <c r="O998" s="1838" t="s">
        <v>3183</v>
      </c>
      <c r="P998" s="1838"/>
    </row>
    <row r="999" spans="2:16" s="1843" customFormat="1">
      <c r="B999" s="1838">
        <f t="shared" si="48"/>
        <v>996</v>
      </c>
      <c r="C999" s="1838" t="s">
        <v>3003</v>
      </c>
      <c r="D999" s="1838" t="s">
        <v>3162</v>
      </c>
      <c r="E999" s="1838" t="s">
        <v>4113</v>
      </c>
      <c r="F999" s="1839">
        <v>45330</v>
      </c>
      <c r="G999" s="1840">
        <v>8400</v>
      </c>
      <c r="H999" s="1841">
        <f t="shared" si="46"/>
        <v>52</v>
      </c>
      <c r="I999" s="1838">
        <f t="shared" si="47"/>
        <v>8400</v>
      </c>
      <c r="J999" s="1838">
        <v>0</v>
      </c>
      <c r="K999" s="1838">
        <v>0</v>
      </c>
      <c r="L999" s="1838">
        <v>0</v>
      </c>
      <c r="M999" s="1838">
        <v>0</v>
      </c>
      <c r="N999" s="1838" t="s">
        <v>3182</v>
      </c>
      <c r="O999" s="1838" t="s">
        <v>3183</v>
      </c>
      <c r="P999" s="1838"/>
    </row>
    <row r="1000" spans="2:16" s="1843" customFormat="1">
      <c r="B1000" s="1838">
        <f t="shared" si="48"/>
        <v>997</v>
      </c>
      <c r="C1000" s="1838" t="s">
        <v>3003</v>
      </c>
      <c r="D1000" s="1838" t="s">
        <v>3162</v>
      </c>
      <c r="E1000" s="1838" t="s">
        <v>4114</v>
      </c>
      <c r="F1000" s="1839">
        <v>45331</v>
      </c>
      <c r="G1000" s="1840">
        <v>76272</v>
      </c>
      <c r="H1000" s="1841">
        <f t="shared" si="46"/>
        <v>51</v>
      </c>
      <c r="I1000" s="1838">
        <f t="shared" si="47"/>
        <v>76272</v>
      </c>
      <c r="J1000" s="1838">
        <v>0</v>
      </c>
      <c r="K1000" s="1838">
        <v>0</v>
      </c>
      <c r="L1000" s="1838">
        <v>0</v>
      </c>
      <c r="M1000" s="1838">
        <v>0</v>
      </c>
      <c r="N1000" s="1838" t="s">
        <v>3182</v>
      </c>
      <c r="O1000" s="1838" t="s">
        <v>3183</v>
      </c>
      <c r="P1000" s="1838"/>
    </row>
    <row r="1001" spans="2:16" s="1843" customFormat="1">
      <c r="B1001" s="1838">
        <f t="shared" si="48"/>
        <v>998</v>
      </c>
      <c r="C1001" s="1838" t="s">
        <v>3003</v>
      </c>
      <c r="D1001" s="1838" t="s">
        <v>3162</v>
      </c>
      <c r="E1001" s="1838" t="s">
        <v>4115</v>
      </c>
      <c r="F1001" s="1839">
        <v>45331</v>
      </c>
      <c r="G1001" s="1840">
        <v>46116</v>
      </c>
      <c r="H1001" s="1841">
        <f t="shared" si="46"/>
        <v>51</v>
      </c>
      <c r="I1001" s="1838">
        <f t="shared" si="47"/>
        <v>46116</v>
      </c>
      <c r="J1001" s="1838">
        <v>0</v>
      </c>
      <c r="K1001" s="1838">
        <v>0</v>
      </c>
      <c r="L1001" s="1838">
        <v>0</v>
      </c>
      <c r="M1001" s="1838">
        <v>0</v>
      </c>
      <c r="N1001" s="1838" t="s">
        <v>3182</v>
      </c>
      <c r="O1001" s="1838" t="s">
        <v>3183</v>
      </c>
      <c r="P1001" s="1838"/>
    </row>
    <row r="1002" spans="2:16" s="1843" customFormat="1">
      <c r="B1002" s="1838">
        <f t="shared" si="48"/>
        <v>999</v>
      </c>
      <c r="C1002" s="1838" t="s">
        <v>3003</v>
      </c>
      <c r="D1002" s="1838" t="s">
        <v>3162</v>
      </c>
      <c r="E1002" s="1838" t="s">
        <v>4116</v>
      </c>
      <c r="F1002" s="1839">
        <v>45331</v>
      </c>
      <c r="G1002" s="1840">
        <v>149352</v>
      </c>
      <c r="H1002" s="1841">
        <f t="shared" si="46"/>
        <v>51</v>
      </c>
      <c r="I1002" s="1838">
        <f t="shared" si="47"/>
        <v>149352</v>
      </c>
      <c r="J1002" s="1838">
        <v>0</v>
      </c>
      <c r="K1002" s="1838">
        <v>0</v>
      </c>
      <c r="L1002" s="1838">
        <v>0</v>
      </c>
      <c r="M1002" s="1838">
        <v>0</v>
      </c>
      <c r="N1002" s="1838" t="s">
        <v>3182</v>
      </c>
      <c r="O1002" s="1838" t="s">
        <v>3183</v>
      </c>
      <c r="P1002" s="1838"/>
    </row>
    <row r="1003" spans="2:16" s="1843" customFormat="1">
      <c r="B1003" s="1838">
        <f t="shared" si="48"/>
        <v>1000</v>
      </c>
      <c r="C1003" s="1838" t="s">
        <v>3003</v>
      </c>
      <c r="D1003" s="1838" t="s">
        <v>3162</v>
      </c>
      <c r="E1003" s="1838" t="s">
        <v>4117</v>
      </c>
      <c r="F1003" s="1839">
        <v>45331</v>
      </c>
      <c r="G1003" s="1840">
        <v>45612</v>
      </c>
      <c r="H1003" s="1841">
        <f t="shared" si="46"/>
        <v>51</v>
      </c>
      <c r="I1003" s="1838">
        <f t="shared" si="47"/>
        <v>45612</v>
      </c>
      <c r="J1003" s="1838">
        <v>0</v>
      </c>
      <c r="K1003" s="1838">
        <v>0</v>
      </c>
      <c r="L1003" s="1838">
        <v>0</v>
      </c>
      <c r="M1003" s="1838">
        <v>0</v>
      </c>
      <c r="N1003" s="1838" t="s">
        <v>3182</v>
      </c>
      <c r="O1003" s="1838" t="s">
        <v>3183</v>
      </c>
      <c r="P1003" s="1838"/>
    </row>
    <row r="1004" spans="2:16" s="1843" customFormat="1">
      <c r="B1004" s="1838">
        <f t="shared" si="48"/>
        <v>1001</v>
      </c>
      <c r="C1004" s="1838" t="s">
        <v>3003</v>
      </c>
      <c r="D1004" s="1838" t="s">
        <v>3162</v>
      </c>
      <c r="E1004" s="1838" t="s">
        <v>4118</v>
      </c>
      <c r="F1004" s="1839">
        <v>45331</v>
      </c>
      <c r="G1004" s="1840">
        <v>64344</v>
      </c>
      <c r="H1004" s="1841">
        <f t="shared" si="46"/>
        <v>51</v>
      </c>
      <c r="I1004" s="1838">
        <f t="shared" si="47"/>
        <v>64344</v>
      </c>
      <c r="J1004" s="1838">
        <v>0</v>
      </c>
      <c r="K1004" s="1838">
        <v>0</v>
      </c>
      <c r="L1004" s="1838">
        <v>0</v>
      </c>
      <c r="M1004" s="1838">
        <v>0</v>
      </c>
      <c r="N1004" s="1838" t="s">
        <v>3182</v>
      </c>
      <c r="O1004" s="1838" t="s">
        <v>3183</v>
      </c>
      <c r="P1004" s="1838"/>
    </row>
    <row r="1005" spans="2:16" s="1843" customFormat="1">
      <c r="B1005" s="1838">
        <f t="shared" si="48"/>
        <v>1002</v>
      </c>
      <c r="C1005" s="1838" t="s">
        <v>3003</v>
      </c>
      <c r="D1005" s="1838" t="s">
        <v>3162</v>
      </c>
      <c r="E1005" s="1838" t="s">
        <v>4119</v>
      </c>
      <c r="F1005" s="1839">
        <v>45331</v>
      </c>
      <c r="G1005" s="1840">
        <v>75936</v>
      </c>
      <c r="H1005" s="1841">
        <f t="shared" si="46"/>
        <v>51</v>
      </c>
      <c r="I1005" s="1838">
        <f t="shared" si="47"/>
        <v>75936</v>
      </c>
      <c r="J1005" s="1838">
        <v>0</v>
      </c>
      <c r="K1005" s="1838">
        <v>0</v>
      </c>
      <c r="L1005" s="1838">
        <v>0</v>
      </c>
      <c r="M1005" s="1838">
        <v>0</v>
      </c>
      <c r="N1005" s="1838" t="s">
        <v>3182</v>
      </c>
      <c r="O1005" s="1838" t="s">
        <v>3183</v>
      </c>
      <c r="P1005" s="1838"/>
    </row>
    <row r="1006" spans="2:16" s="1843" customFormat="1">
      <c r="B1006" s="1838">
        <f t="shared" si="48"/>
        <v>1003</v>
      </c>
      <c r="C1006" s="1838" t="s">
        <v>3003</v>
      </c>
      <c r="D1006" s="1838" t="s">
        <v>3162</v>
      </c>
      <c r="E1006" s="1838" t="s">
        <v>4120</v>
      </c>
      <c r="F1006" s="1839">
        <v>45332</v>
      </c>
      <c r="G1006" s="1840">
        <v>63672</v>
      </c>
      <c r="H1006" s="1841">
        <f t="shared" si="46"/>
        <v>50</v>
      </c>
      <c r="I1006" s="1838">
        <f t="shared" si="47"/>
        <v>63672</v>
      </c>
      <c r="J1006" s="1838">
        <v>0</v>
      </c>
      <c r="K1006" s="1838">
        <v>0</v>
      </c>
      <c r="L1006" s="1838">
        <v>0</v>
      </c>
      <c r="M1006" s="1838">
        <v>0</v>
      </c>
      <c r="N1006" s="1838" t="s">
        <v>3182</v>
      </c>
      <c r="O1006" s="1838" t="s">
        <v>3183</v>
      </c>
      <c r="P1006" s="1838"/>
    </row>
    <row r="1007" spans="2:16" s="1843" customFormat="1">
      <c r="B1007" s="1838">
        <f t="shared" si="48"/>
        <v>1004</v>
      </c>
      <c r="C1007" s="1838" t="s">
        <v>3003</v>
      </c>
      <c r="D1007" s="1838" t="s">
        <v>3162</v>
      </c>
      <c r="E1007" s="1838" t="s">
        <v>4121</v>
      </c>
      <c r="F1007" s="1839">
        <v>45332</v>
      </c>
      <c r="G1007" s="1840">
        <v>32424</v>
      </c>
      <c r="H1007" s="1841">
        <f t="shared" si="46"/>
        <v>50</v>
      </c>
      <c r="I1007" s="1838">
        <f t="shared" si="47"/>
        <v>32424</v>
      </c>
      <c r="J1007" s="1838">
        <v>0</v>
      </c>
      <c r="K1007" s="1838">
        <v>0</v>
      </c>
      <c r="L1007" s="1838">
        <v>0</v>
      </c>
      <c r="M1007" s="1838">
        <v>0</v>
      </c>
      <c r="N1007" s="1838" t="s">
        <v>3182</v>
      </c>
      <c r="O1007" s="1838" t="s">
        <v>3183</v>
      </c>
      <c r="P1007" s="1838"/>
    </row>
    <row r="1008" spans="2:16" s="1843" customFormat="1">
      <c r="B1008" s="1838">
        <f t="shared" si="48"/>
        <v>1005</v>
      </c>
      <c r="C1008" s="1838" t="s">
        <v>3003</v>
      </c>
      <c r="D1008" s="1838" t="s">
        <v>3162</v>
      </c>
      <c r="E1008" s="1838" t="s">
        <v>4122</v>
      </c>
      <c r="F1008" s="1839">
        <v>45332</v>
      </c>
      <c r="G1008" s="1840">
        <v>55608</v>
      </c>
      <c r="H1008" s="1841">
        <f t="shared" si="46"/>
        <v>50</v>
      </c>
      <c r="I1008" s="1838">
        <f t="shared" si="47"/>
        <v>55608</v>
      </c>
      <c r="J1008" s="1838">
        <v>0</v>
      </c>
      <c r="K1008" s="1838">
        <v>0</v>
      </c>
      <c r="L1008" s="1838">
        <v>0</v>
      </c>
      <c r="M1008" s="1838">
        <v>0</v>
      </c>
      <c r="N1008" s="1838" t="s">
        <v>3182</v>
      </c>
      <c r="O1008" s="1838" t="s">
        <v>3183</v>
      </c>
      <c r="P1008" s="1838"/>
    </row>
    <row r="1009" spans="2:16" s="1843" customFormat="1">
      <c r="B1009" s="1838">
        <f t="shared" si="48"/>
        <v>1006</v>
      </c>
      <c r="C1009" s="1838" t="s">
        <v>3003</v>
      </c>
      <c r="D1009" s="1838" t="s">
        <v>3162</v>
      </c>
      <c r="E1009" s="1838" t="s">
        <v>4123</v>
      </c>
      <c r="F1009" s="1839">
        <v>45332</v>
      </c>
      <c r="G1009" s="1840">
        <v>54432</v>
      </c>
      <c r="H1009" s="1841">
        <f t="shared" si="46"/>
        <v>50</v>
      </c>
      <c r="I1009" s="1838">
        <f t="shared" si="47"/>
        <v>54432</v>
      </c>
      <c r="J1009" s="1838">
        <v>0</v>
      </c>
      <c r="K1009" s="1838">
        <v>0</v>
      </c>
      <c r="L1009" s="1838">
        <v>0</v>
      </c>
      <c r="M1009" s="1838">
        <v>0</v>
      </c>
      <c r="N1009" s="1838" t="s">
        <v>3182</v>
      </c>
      <c r="O1009" s="1838" t="s">
        <v>3183</v>
      </c>
      <c r="P1009" s="1838"/>
    </row>
    <row r="1010" spans="2:16" s="1843" customFormat="1">
      <c r="B1010" s="1838">
        <f t="shared" si="48"/>
        <v>1007</v>
      </c>
      <c r="C1010" s="1838" t="s">
        <v>3003</v>
      </c>
      <c r="D1010" s="1838" t="s">
        <v>3162</v>
      </c>
      <c r="E1010" s="1838" t="s">
        <v>4124</v>
      </c>
      <c r="F1010" s="1839">
        <v>45332</v>
      </c>
      <c r="G1010" s="1840">
        <v>57540</v>
      </c>
      <c r="H1010" s="1841">
        <f t="shared" si="46"/>
        <v>50</v>
      </c>
      <c r="I1010" s="1838">
        <f t="shared" si="47"/>
        <v>57540</v>
      </c>
      <c r="J1010" s="1838">
        <v>0</v>
      </c>
      <c r="K1010" s="1838">
        <v>0</v>
      </c>
      <c r="L1010" s="1838">
        <v>0</v>
      </c>
      <c r="M1010" s="1838">
        <v>0</v>
      </c>
      <c r="N1010" s="1838" t="s">
        <v>3182</v>
      </c>
      <c r="O1010" s="1838" t="s">
        <v>3183</v>
      </c>
      <c r="P1010" s="1838"/>
    </row>
    <row r="1011" spans="2:16" s="1843" customFormat="1">
      <c r="B1011" s="1838">
        <f t="shared" si="48"/>
        <v>1008</v>
      </c>
      <c r="C1011" s="1838" t="s">
        <v>3003</v>
      </c>
      <c r="D1011" s="1838" t="s">
        <v>3162</v>
      </c>
      <c r="E1011" s="1838" t="s">
        <v>4125</v>
      </c>
      <c r="F1011" s="1839">
        <v>45332</v>
      </c>
      <c r="G1011" s="1840">
        <v>51996</v>
      </c>
      <c r="H1011" s="1841">
        <f t="shared" si="46"/>
        <v>50</v>
      </c>
      <c r="I1011" s="1838">
        <f t="shared" si="47"/>
        <v>51996</v>
      </c>
      <c r="J1011" s="1838">
        <v>0</v>
      </c>
      <c r="K1011" s="1838">
        <v>0</v>
      </c>
      <c r="L1011" s="1838">
        <v>0</v>
      </c>
      <c r="M1011" s="1838">
        <v>0</v>
      </c>
      <c r="N1011" s="1838" t="s">
        <v>3182</v>
      </c>
      <c r="O1011" s="1838" t="s">
        <v>3183</v>
      </c>
      <c r="P1011" s="1838"/>
    </row>
    <row r="1012" spans="2:16" s="1843" customFormat="1">
      <c r="B1012" s="1838">
        <f t="shared" si="48"/>
        <v>1009</v>
      </c>
      <c r="C1012" s="1838" t="s">
        <v>3003</v>
      </c>
      <c r="D1012" s="1838" t="s">
        <v>3162</v>
      </c>
      <c r="E1012" s="1838" t="s">
        <v>4126</v>
      </c>
      <c r="F1012" s="1839">
        <v>45332</v>
      </c>
      <c r="G1012" s="1840">
        <v>42819</v>
      </c>
      <c r="H1012" s="1841">
        <f t="shared" si="46"/>
        <v>50</v>
      </c>
      <c r="I1012" s="1838">
        <f t="shared" si="47"/>
        <v>42819</v>
      </c>
      <c r="J1012" s="1838">
        <v>0</v>
      </c>
      <c r="K1012" s="1838">
        <v>0</v>
      </c>
      <c r="L1012" s="1838">
        <v>0</v>
      </c>
      <c r="M1012" s="1838">
        <v>0</v>
      </c>
      <c r="N1012" s="1838" t="s">
        <v>3182</v>
      </c>
      <c r="O1012" s="1838" t="s">
        <v>3183</v>
      </c>
      <c r="P1012" s="1838"/>
    </row>
    <row r="1013" spans="2:16" s="1843" customFormat="1">
      <c r="B1013" s="1838">
        <f t="shared" si="48"/>
        <v>1010</v>
      </c>
      <c r="C1013" s="1838" t="s">
        <v>3003</v>
      </c>
      <c r="D1013" s="1838" t="s">
        <v>3162</v>
      </c>
      <c r="E1013" s="1838" t="s">
        <v>4127</v>
      </c>
      <c r="F1013" s="1839">
        <v>45333</v>
      </c>
      <c r="G1013" s="1840">
        <v>50064</v>
      </c>
      <c r="H1013" s="1841">
        <f t="shared" si="46"/>
        <v>49</v>
      </c>
      <c r="I1013" s="1838">
        <f t="shared" si="47"/>
        <v>50064</v>
      </c>
      <c r="J1013" s="1838">
        <v>0</v>
      </c>
      <c r="K1013" s="1838">
        <v>0</v>
      </c>
      <c r="L1013" s="1838">
        <v>0</v>
      </c>
      <c r="M1013" s="1838">
        <v>0</v>
      </c>
      <c r="N1013" s="1838" t="s">
        <v>3182</v>
      </c>
      <c r="O1013" s="1838" t="s">
        <v>3183</v>
      </c>
      <c r="P1013" s="1838"/>
    </row>
    <row r="1014" spans="2:16" s="1843" customFormat="1">
      <c r="B1014" s="1838">
        <f t="shared" si="48"/>
        <v>1011</v>
      </c>
      <c r="C1014" s="1838" t="s">
        <v>3003</v>
      </c>
      <c r="D1014" s="1838" t="s">
        <v>3162</v>
      </c>
      <c r="E1014" s="1838" t="s">
        <v>4128</v>
      </c>
      <c r="F1014" s="1839">
        <v>45334</v>
      </c>
      <c r="G1014" s="1840">
        <v>50064</v>
      </c>
      <c r="H1014" s="1841">
        <f t="shared" si="46"/>
        <v>48</v>
      </c>
      <c r="I1014" s="1838">
        <f t="shared" si="47"/>
        <v>50064</v>
      </c>
      <c r="J1014" s="1838">
        <v>0</v>
      </c>
      <c r="K1014" s="1838">
        <v>0</v>
      </c>
      <c r="L1014" s="1838">
        <v>0</v>
      </c>
      <c r="M1014" s="1838">
        <v>0</v>
      </c>
      <c r="N1014" s="1838" t="s">
        <v>3182</v>
      </c>
      <c r="O1014" s="1838" t="s">
        <v>3183</v>
      </c>
      <c r="P1014" s="1838"/>
    </row>
    <row r="1015" spans="2:16" s="1843" customFormat="1">
      <c r="B1015" s="1838">
        <f t="shared" si="48"/>
        <v>1012</v>
      </c>
      <c r="C1015" s="1838" t="s">
        <v>3003</v>
      </c>
      <c r="D1015" s="1838" t="s">
        <v>3162</v>
      </c>
      <c r="E1015" s="1838" t="s">
        <v>4129</v>
      </c>
      <c r="F1015" s="1839">
        <v>45334</v>
      </c>
      <c r="G1015" s="1840">
        <v>10080</v>
      </c>
      <c r="H1015" s="1841">
        <f t="shared" si="46"/>
        <v>48</v>
      </c>
      <c r="I1015" s="1838">
        <f t="shared" si="47"/>
        <v>10080</v>
      </c>
      <c r="J1015" s="1838">
        <v>0</v>
      </c>
      <c r="K1015" s="1838">
        <v>0</v>
      </c>
      <c r="L1015" s="1838">
        <v>0</v>
      </c>
      <c r="M1015" s="1838">
        <v>0</v>
      </c>
      <c r="N1015" s="1838" t="s">
        <v>3182</v>
      </c>
      <c r="O1015" s="1838" t="s">
        <v>3183</v>
      </c>
      <c r="P1015" s="1838"/>
    </row>
    <row r="1016" spans="2:16" s="1843" customFormat="1">
      <c r="B1016" s="1838">
        <f t="shared" si="48"/>
        <v>1013</v>
      </c>
      <c r="C1016" s="1838" t="s">
        <v>3003</v>
      </c>
      <c r="D1016" s="1838" t="s">
        <v>3162</v>
      </c>
      <c r="E1016" s="1838" t="s">
        <v>4130</v>
      </c>
      <c r="F1016" s="1839">
        <v>45334</v>
      </c>
      <c r="G1016" s="1840">
        <v>75096</v>
      </c>
      <c r="H1016" s="1841">
        <f t="shared" si="46"/>
        <v>48</v>
      </c>
      <c r="I1016" s="1838">
        <f t="shared" si="47"/>
        <v>75096</v>
      </c>
      <c r="J1016" s="1838">
        <v>0</v>
      </c>
      <c r="K1016" s="1838">
        <v>0</v>
      </c>
      <c r="L1016" s="1838">
        <v>0</v>
      </c>
      <c r="M1016" s="1838">
        <v>0</v>
      </c>
      <c r="N1016" s="1838" t="s">
        <v>3182</v>
      </c>
      <c r="O1016" s="1838" t="s">
        <v>3183</v>
      </c>
      <c r="P1016" s="1838"/>
    </row>
    <row r="1017" spans="2:16" s="1843" customFormat="1">
      <c r="B1017" s="1838">
        <f t="shared" si="48"/>
        <v>1014</v>
      </c>
      <c r="C1017" s="1838" t="s">
        <v>3003</v>
      </c>
      <c r="D1017" s="1838" t="s">
        <v>3162</v>
      </c>
      <c r="E1017" s="1838" t="s">
        <v>4131</v>
      </c>
      <c r="F1017" s="1839">
        <v>45334</v>
      </c>
      <c r="G1017" s="1840">
        <v>60984</v>
      </c>
      <c r="H1017" s="1841">
        <f t="shared" si="46"/>
        <v>48</v>
      </c>
      <c r="I1017" s="1838">
        <f t="shared" si="47"/>
        <v>60984</v>
      </c>
      <c r="J1017" s="1838">
        <v>0</v>
      </c>
      <c r="K1017" s="1838">
        <v>0</v>
      </c>
      <c r="L1017" s="1838">
        <v>0</v>
      </c>
      <c r="M1017" s="1838">
        <v>0</v>
      </c>
      <c r="N1017" s="1838" t="s">
        <v>3182</v>
      </c>
      <c r="O1017" s="1838" t="s">
        <v>3183</v>
      </c>
      <c r="P1017" s="1838"/>
    </row>
    <row r="1018" spans="2:16" s="1843" customFormat="1">
      <c r="B1018" s="1838">
        <f t="shared" si="48"/>
        <v>1015</v>
      </c>
      <c r="C1018" s="1838" t="s">
        <v>3003</v>
      </c>
      <c r="D1018" s="1838" t="s">
        <v>3162</v>
      </c>
      <c r="E1018" s="1838" t="s">
        <v>4132</v>
      </c>
      <c r="F1018" s="1839">
        <v>45334</v>
      </c>
      <c r="G1018" s="1840">
        <v>56784</v>
      </c>
      <c r="H1018" s="1841">
        <f t="shared" si="46"/>
        <v>48</v>
      </c>
      <c r="I1018" s="1838">
        <f t="shared" si="47"/>
        <v>56784</v>
      </c>
      <c r="J1018" s="1838">
        <v>0</v>
      </c>
      <c r="K1018" s="1838">
        <v>0</v>
      </c>
      <c r="L1018" s="1838">
        <v>0</v>
      </c>
      <c r="M1018" s="1838">
        <v>0</v>
      </c>
      <c r="N1018" s="1838" t="s">
        <v>3182</v>
      </c>
      <c r="O1018" s="1838" t="s">
        <v>3183</v>
      </c>
      <c r="P1018" s="1838"/>
    </row>
    <row r="1019" spans="2:16" s="1843" customFormat="1">
      <c r="B1019" s="1838">
        <f t="shared" si="48"/>
        <v>1016</v>
      </c>
      <c r="C1019" s="1838" t="s">
        <v>3003</v>
      </c>
      <c r="D1019" s="1838" t="s">
        <v>3162</v>
      </c>
      <c r="E1019" s="1838" t="s">
        <v>4133</v>
      </c>
      <c r="F1019" s="1839">
        <v>45334</v>
      </c>
      <c r="G1019" s="1840">
        <v>62076</v>
      </c>
      <c r="H1019" s="1841">
        <f t="shared" si="46"/>
        <v>48</v>
      </c>
      <c r="I1019" s="1838">
        <f t="shared" si="47"/>
        <v>62076</v>
      </c>
      <c r="J1019" s="1838">
        <v>0</v>
      </c>
      <c r="K1019" s="1838">
        <v>0</v>
      </c>
      <c r="L1019" s="1838">
        <v>0</v>
      </c>
      <c r="M1019" s="1838">
        <v>0</v>
      </c>
      <c r="N1019" s="1838" t="s">
        <v>3182</v>
      </c>
      <c r="O1019" s="1838" t="s">
        <v>3183</v>
      </c>
      <c r="P1019" s="1838"/>
    </row>
    <row r="1020" spans="2:16" s="1843" customFormat="1">
      <c r="B1020" s="1838">
        <f t="shared" si="48"/>
        <v>1017</v>
      </c>
      <c r="C1020" s="1838" t="s">
        <v>3003</v>
      </c>
      <c r="D1020" s="1838" t="s">
        <v>3162</v>
      </c>
      <c r="E1020" s="1838" t="s">
        <v>4134</v>
      </c>
      <c r="F1020" s="1839">
        <v>45334</v>
      </c>
      <c r="G1020" s="1840">
        <v>57204</v>
      </c>
      <c r="H1020" s="1841">
        <f t="shared" si="46"/>
        <v>48</v>
      </c>
      <c r="I1020" s="1838">
        <f t="shared" si="47"/>
        <v>57204</v>
      </c>
      <c r="J1020" s="1838">
        <v>0</v>
      </c>
      <c r="K1020" s="1838">
        <v>0</v>
      </c>
      <c r="L1020" s="1838">
        <v>0</v>
      </c>
      <c r="M1020" s="1838">
        <v>0</v>
      </c>
      <c r="N1020" s="1838" t="s">
        <v>3182</v>
      </c>
      <c r="O1020" s="1838" t="s">
        <v>3183</v>
      </c>
      <c r="P1020" s="1838"/>
    </row>
    <row r="1021" spans="2:16" s="1843" customFormat="1">
      <c r="B1021" s="1838">
        <f t="shared" si="48"/>
        <v>1018</v>
      </c>
      <c r="C1021" s="1838" t="s">
        <v>3003</v>
      </c>
      <c r="D1021" s="1838" t="s">
        <v>3162</v>
      </c>
      <c r="E1021" s="1838" t="s">
        <v>4135</v>
      </c>
      <c r="F1021" s="1839">
        <v>45335</v>
      </c>
      <c r="G1021" s="1840">
        <v>116256</v>
      </c>
      <c r="H1021" s="1841">
        <f t="shared" si="46"/>
        <v>47</v>
      </c>
      <c r="I1021" s="1838">
        <f t="shared" si="47"/>
        <v>116256</v>
      </c>
      <c r="J1021" s="1838">
        <v>0</v>
      </c>
      <c r="K1021" s="1838">
        <v>0</v>
      </c>
      <c r="L1021" s="1838">
        <v>0</v>
      </c>
      <c r="M1021" s="1838">
        <v>0</v>
      </c>
      <c r="N1021" s="1838" t="s">
        <v>3182</v>
      </c>
      <c r="O1021" s="1838" t="s">
        <v>3183</v>
      </c>
      <c r="P1021" s="1838"/>
    </row>
    <row r="1022" spans="2:16" s="1843" customFormat="1">
      <c r="B1022" s="1838">
        <f t="shared" si="48"/>
        <v>1019</v>
      </c>
      <c r="C1022" s="1838" t="s">
        <v>3003</v>
      </c>
      <c r="D1022" s="1838" t="s">
        <v>3162</v>
      </c>
      <c r="E1022" s="1838" t="s">
        <v>4136</v>
      </c>
      <c r="F1022" s="1839">
        <v>45335</v>
      </c>
      <c r="G1022" s="1840">
        <v>63717</v>
      </c>
      <c r="H1022" s="1841">
        <f t="shared" si="46"/>
        <v>47</v>
      </c>
      <c r="I1022" s="1838">
        <f t="shared" si="47"/>
        <v>63717</v>
      </c>
      <c r="J1022" s="1838">
        <v>0</v>
      </c>
      <c r="K1022" s="1838">
        <v>0</v>
      </c>
      <c r="L1022" s="1838">
        <v>0</v>
      </c>
      <c r="M1022" s="1838">
        <v>0</v>
      </c>
      <c r="N1022" s="1838" t="s">
        <v>3182</v>
      </c>
      <c r="O1022" s="1838" t="s">
        <v>3183</v>
      </c>
      <c r="P1022" s="1838"/>
    </row>
    <row r="1023" spans="2:16" s="1843" customFormat="1">
      <c r="B1023" s="1838">
        <f t="shared" si="48"/>
        <v>1020</v>
      </c>
      <c r="C1023" s="1838" t="s">
        <v>3003</v>
      </c>
      <c r="D1023" s="1838" t="s">
        <v>3162</v>
      </c>
      <c r="E1023" s="1838" t="s">
        <v>4137</v>
      </c>
      <c r="F1023" s="1839">
        <v>45335</v>
      </c>
      <c r="G1023" s="1840">
        <v>66158</v>
      </c>
      <c r="H1023" s="1841">
        <f t="shared" si="46"/>
        <v>47</v>
      </c>
      <c r="I1023" s="1838">
        <f t="shared" si="47"/>
        <v>66158</v>
      </c>
      <c r="J1023" s="1838">
        <v>0</v>
      </c>
      <c r="K1023" s="1838">
        <v>0</v>
      </c>
      <c r="L1023" s="1838">
        <v>0</v>
      </c>
      <c r="M1023" s="1838">
        <v>0</v>
      </c>
      <c r="N1023" s="1838" t="s">
        <v>3182</v>
      </c>
      <c r="O1023" s="1838" t="s">
        <v>3183</v>
      </c>
      <c r="P1023" s="1838"/>
    </row>
    <row r="1024" spans="2:16" s="1843" customFormat="1">
      <c r="B1024" s="1838">
        <f t="shared" si="48"/>
        <v>1021</v>
      </c>
      <c r="C1024" s="1838" t="s">
        <v>3003</v>
      </c>
      <c r="D1024" s="1838" t="s">
        <v>3162</v>
      </c>
      <c r="E1024" s="1838" t="s">
        <v>4138</v>
      </c>
      <c r="F1024" s="1839">
        <v>45335</v>
      </c>
      <c r="G1024" s="1840">
        <v>56393</v>
      </c>
      <c r="H1024" s="1841">
        <f t="shared" si="46"/>
        <v>47</v>
      </c>
      <c r="I1024" s="1838">
        <f t="shared" si="47"/>
        <v>56393</v>
      </c>
      <c r="J1024" s="1838">
        <v>0</v>
      </c>
      <c r="K1024" s="1838">
        <v>0</v>
      </c>
      <c r="L1024" s="1838">
        <v>0</v>
      </c>
      <c r="M1024" s="1838">
        <v>0</v>
      </c>
      <c r="N1024" s="1838" t="s">
        <v>3182</v>
      </c>
      <c r="O1024" s="1838" t="s">
        <v>3183</v>
      </c>
      <c r="P1024" s="1838"/>
    </row>
    <row r="1025" spans="2:16" s="1843" customFormat="1">
      <c r="B1025" s="1838">
        <f t="shared" si="48"/>
        <v>1022</v>
      </c>
      <c r="C1025" s="1838" t="s">
        <v>3003</v>
      </c>
      <c r="D1025" s="1838" t="s">
        <v>3162</v>
      </c>
      <c r="E1025" s="1838" t="s">
        <v>4139</v>
      </c>
      <c r="F1025" s="1839">
        <v>45336</v>
      </c>
      <c r="G1025" s="1840">
        <v>76493</v>
      </c>
      <c r="H1025" s="1841">
        <f t="shared" si="46"/>
        <v>46</v>
      </c>
      <c r="I1025" s="1838">
        <f t="shared" si="47"/>
        <v>76493</v>
      </c>
      <c r="J1025" s="1838">
        <v>0</v>
      </c>
      <c r="K1025" s="1838">
        <v>0</v>
      </c>
      <c r="L1025" s="1838">
        <v>0</v>
      </c>
      <c r="M1025" s="1838">
        <v>0</v>
      </c>
      <c r="N1025" s="1838" t="s">
        <v>3182</v>
      </c>
      <c r="O1025" s="1838" t="s">
        <v>3183</v>
      </c>
      <c r="P1025" s="1838"/>
    </row>
    <row r="1026" spans="2:16" s="1843" customFormat="1">
      <c r="B1026" s="1838">
        <f t="shared" si="48"/>
        <v>1023</v>
      </c>
      <c r="C1026" s="1838" t="s">
        <v>3003</v>
      </c>
      <c r="D1026" s="1838" t="s">
        <v>3162</v>
      </c>
      <c r="E1026" s="1838" t="s">
        <v>4140</v>
      </c>
      <c r="F1026" s="1839">
        <v>45337</v>
      </c>
      <c r="G1026" s="1840">
        <v>42071</v>
      </c>
      <c r="H1026" s="1841">
        <f t="shared" si="46"/>
        <v>45</v>
      </c>
      <c r="I1026" s="1838">
        <f t="shared" si="47"/>
        <v>42071</v>
      </c>
      <c r="J1026" s="1838">
        <v>0</v>
      </c>
      <c r="K1026" s="1838">
        <v>0</v>
      </c>
      <c r="L1026" s="1838">
        <v>0</v>
      </c>
      <c r="M1026" s="1838">
        <v>0</v>
      </c>
      <c r="N1026" s="1838" t="s">
        <v>3182</v>
      </c>
      <c r="O1026" s="1838" t="s">
        <v>3183</v>
      </c>
      <c r="P1026" s="1838"/>
    </row>
    <row r="1027" spans="2:16" s="1843" customFormat="1">
      <c r="B1027" s="1838">
        <f t="shared" si="48"/>
        <v>1024</v>
      </c>
      <c r="C1027" s="1838" t="s">
        <v>3003</v>
      </c>
      <c r="D1027" s="1838" t="s">
        <v>3162</v>
      </c>
      <c r="E1027" s="1838" t="s">
        <v>4141</v>
      </c>
      <c r="F1027" s="1839">
        <v>45337</v>
      </c>
      <c r="G1027" s="1840">
        <v>67541</v>
      </c>
      <c r="H1027" s="1841">
        <f t="shared" si="46"/>
        <v>45</v>
      </c>
      <c r="I1027" s="1838">
        <f t="shared" si="47"/>
        <v>67541</v>
      </c>
      <c r="J1027" s="1838">
        <v>0</v>
      </c>
      <c r="K1027" s="1838">
        <v>0</v>
      </c>
      <c r="L1027" s="1838">
        <v>0</v>
      </c>
      <c r="M1027" s="1838">
        <v>0</v>
      </c>
      <c r="N1027" s="1838" t="s">
        <v>3182</v>
      </c>
      <c r="O1027" s="1838" t="s">
        <v>3183</v>
      </c>
      <c r="P1027" s="1838"/>
    </row>
    <row r="1028" spans="2:16" s="1843" customFormat="1">
      <c r="B1028" s="1838">
        <f t="shared" si="48"/>
        <v>1025</v>
      </c>
      <c r="C1028" s="1838" t="s">
        <v>3003</v>
      </c>
      <c r="D1028" s="1838" t="s">
        <v>3162</v>
      </c>
      <c r="E1028" s="1838" t="s">
        <v>4142</v>
      </c>
      <c r="F1028" s="1839">
        <v>45337</v>
      </c>
      <c r="G1028" s="1840">
        <v>52487</v>
      </c>
      <c r="H1028" s="1841">
        <f t="shared" si="46"/>
        <v>45</v>
      </c>
      <c r="I1028" s="1838">
        <f t="shared" si="47"/>
        <v>52487</v>
      </c>
      <c r="J1028" s="1838">
        <v>0</v>
      </c>
      <c r="K1028" s="1838">
        <v>0</v>
      </c>
      <c r="L1028" s="1838">
        <v>0</v>
      </c>
      <c r="M1028" s="1838">
        <v>0</v>
      </c>
      <c r="N1028" s="1838" t="s">
        <v>3182</v>
      </c>
      <c r="O1028" s="1838" t="s">
        <v>3183</v>
      </c>
      <c r="P1028" s="1838"/>
    </row>
    <row r="1029" spans="2:16" s="1843" customFormat="1">
      <c r="B1029" s="1838">
        <f t="shared" si="48"/>
        <v>1026</v>
      </c>
      <c r="C1029" s="1838" t="s">
        <v>3003</v>
      </c>
      <c r="D1029" s="1838" t="s">
        <v>3162</v>
      </c>
      <c r="E1029" s="1838" t="s">
        <v>4143</v>
      </c>
      <c r="F1029" s="1839">
        <v>45337</v>
      </c>
      <c r="G1029" s="1840">
        <v>74377</v>
      </c>
      <c r="H1029" s="1841">
        <f t="shared" ref="H1029:H1092" si="49">+$H$2-F1029</f>
        <v>45</v>
      </c>
      <c r="I1029" s="1838">
        <f t="shared" ref="I1029:I1092" si="50">+G1029</f>
        <v>74377</v>
      </c>
      <c r="J1029" s="1838">
        <v>0</v>
      </c>
      <c r="K1029" s="1838">
        <v>0</v>
      </c>
      <c r="L1029" s="1838">
        <v>0</v>
      </c>
      <c r="M1029" s="1838">
        <v>0</v>
      </c>
      <c r="N1029" s="1838" t="s">
        <v>3182</v>
      </c>
      <c r="O1029" s="1838" t="s">
        <v>3183</v>
      </c>
      <c r="P1029" s="1838"/>
    </row>
    <row r="1030" spans="2:16" s="1843" customFormat="1">
      <c r="B1030" s="1838">
        <f t="shared" ref="B1030:B1093" si="51">+B1029+1</f>
        <v>1027</v>
      </c>
      <c r="C1030" s="1838" t="s">
        <v>3003</v>
      </c>
      <c r="D1030" s="1838" t="s">
        <v>3162</v>
      </c>
      <c r="E1030" s="1838" t="s">
        <v>4144</v>
      </c>
      <c r="F1030" s="1839">
        <v>45337</v>
      </c>
      <c r="G1030" s="1840">
        <v>86176</v>
      </c>
      <c r="H1030" s="1841">
        <f t="shared" si="49"/>
        <v>45</v>
      </c>
      <c r="I1030" s="1838">
        <f t="shared" si="50"/>
        <v>86176</v>
      </c>
      <c r="J1030" s="1838">
        <v>0</v>
      </c>
      <c r="K1030" s="1838">
        <v>0</v>
      </c>
      <c r="L1030" s="1838">
        <v>0</v>
      </c>
      <c r="M1030" s="1838">
        <v>0</v>
      </c>
      <c r="N1030" s="1838" t="s">
        <v>3182</v>
      </c>
      <c r="O1030" s="1838" t="s">
        <v>3183</v>
      </c>
      <c r="P1030" s="1838"/>
    </row>
    <row r="1031" spans="2:16" s="1843" customFormat="1">
      <c r="B1031" s="1838">
        <f t="shared" si="51"/>
        <v>1028</v>
      </c>
      <c r="C1031" s="1838" t="s">
        <v>3003</v>
      </c>
      <c r="D1031" s="1838" t="s">
        <v>3162</v>
      </c>
      <c r="E1031" s="1838" t="s">
        <v>4145</v>
      </c>
      <c r="F1031" s="1839">
        <v>45338</v>
      </c>
      <c r="G1031" s="1840">
        <v>77306</v>
      </c>
      <c r="H1031" s="1841">
        <f t="shared" si="49"/>
        <v>44</v>
      </c>
      <c r="I1031" s="1838">
        <f t="shared" si="50"/>
        <v>77306</v>
      </c>
      <c r="J1031" s="1838">
        <v>0</v>
      </c>
      <c r="K1031" s="1838">
        <v>0</v>
      </c>
      <c r="L1031" s="1838">
        <v>0</v>
      </c>
      <c r="M1031" s="1838">
        <v>0</v>
      </c>
      <c r="N1031" s="1838" t="s">
        <v>3182</v>
      </c>
      <c r="O1031" s="1838" t="s">
        <v>3183</v>
      </c>
      <c r="P1031" s="1838"/>
    </row>
    <row r="1032" spans="2:16" s="1843" customFormat="1">
      <c r="B1032" s="1838">
        <f t="shared" si="51"/>
        <v>1029</v>
      </c>
      <c r="C1032" s="1838" t="s">
        <v>3003</v>
      </c>
      <c r="D1032" s="1838" t="s">
        <v>3162</v>
      </c>
      <c r="E1032" s="1838" t="s">
        <v>4146</v>
      </c>
      <c r="F1032" s="1839">
        <v>45338</v>
      </c>
      <c r="G1032" s="1840">
        <v>76818</v>
      </c>
      <c r="H1032" s="1841">
        <f t="shared" si="49"/>
        <v>44</v>
      </c>
      <c r="I1032" s="1838">
        <f t="shared" si="50"/>
        <v>76818</v>
      </c>
      <c r="J1032" s="1838">
        <v>0</v>
      </c>
      <c r="K1032" s="1838">
        <v>0</v>
      </c>
      <c r="L1032" s="1838">
        <v>0</v>
      </c>
      <c r="M1032" s="1838">
        <v>0</v>
      </c>
      <c r="N1032" s="1838" t="s">
        <v>3182</v>
      </c>
      <c r="O1032" s="1838" t="s">
        <v>3183</v>
      </c>
      <c r="P1032" s="1838"/>
    </row>
    <row r="1033" spans="2:16" s="1843" customFormat="1">
      <c r="B1033" s="1838">
        <f t="shared" si="51"/>
        <v>1030</v>
      </c>
      <c r="C1033" s="1838" t="s">
        <v>3003</v>
      </c>
      <c r="D1033" s="1838" t="s">
        <v>3162</v>
      </c>
      <c r="E1033" s="1838" t="s">
        <v>4147</v>
      </c>
      <c r="F1033" s="1839">
        <v>45338</v>
      </c>
      <c r="G1033" s="1840">
        <v>49420</v>
      </c>
      <c r="H1033" s="1841">
        <f t="shared" si="49"/>
        <v>44</v>
      </c>
      <c r="I1033" s="1838">
        <f t="shared" si="50"/>
        <v>49420</v>
      </c>
      <c r="J1033" s="1838">
        <v>0</v>
      </c>
      <c r="K1033" s="1838">
        <v>0</v>
      </c>
      <c r="L1033" s="1838">
        <v>0</v>
      </c>
      <c r="M1033" s="1838">
        <v>0</v>
      </c>
      <c r="N1033" s="1838" t="s">
        <v>3182</v>
      </c>
      <c r="O1033" s="1838" t="s">
        <v>3183</v>
      </c>
      <c r="P1033" s="1838"/>
    </row>
    <row r="1034" spans="2:16" s="1843" customFormat="1">
      <c r="B1034" s="1838">
        <f t="shared" si="51"/>
        <v>1031</v>
      </c>
      <c r="C1034" s="1838" t="s">
        <v>3003</v>
      </c>
      <c r="D1034" s="1838" t="s">
        <v>3162</v>
      </c>
      <c r="E1034" s="1838" t="s">
        <v>4148</v>
      </c>
      <c r="F1034" s="1839">
        <v>45338</v>
      </c>
      <c r="G1034" s="1840">
        <v>52681</v>
      </c>
      <c r="H1034" s="1841">
        <f t="shared" si="49"/>
        <v>44</v>
      </c>
      <c r="I1034" s="1838">
        <f t="shared" si="50"/>
        <v>52681</v>
      </c>
      <c r="J1034" s="1838">
        <v>0</v>
      </c>
      <c r="K1034" s="1838">
        <v>0</v>
      </c>
      <c r="L1034" s="1838">
        <v>0</v>
      </c>
      <c r="M1034" s="1838">
        <v>0</v>
      </c>
      <c r="N1034" s="1838" t="s">
        <v>3182</v>
      </c>
      <c r="O1034" s="1838" t="s">
        <v>3183</v>
      </c>
      <c r="P1034" s="1838"/>
    </row>
    <row r="1035" spans="2:16" s="1843" customFormat="1">
      <c r="B1035" s="1838">
        <f t="shared" si="51"/>
        <v>1032</v>
      </c>
      <c r="C1035" s="1838" t="s">
        <v>3003</v>
      </c>
      <c r="D1035" s="1838" t="s">
        <v>3162</v>
      </c>
      <c r="E1035" s="1838" t="s">
        <v>4149</v>
      </c>
      <c r="F1035" s="1839">
        <v>45338</v>
      </c>
      <c r="G1035" s="1840">
        <v>55478</v>
      </c>
      <c r="H1035" s="1841">
        <f t="shared" si="49"/>
        <v>44</v>
      </c>
      <c r="I1035" s="1838">
        <f t="shared" si="50"/>
        <v>55478</v>
      </c>
      <c r="J1035" s="1838">
        <v>0</v>
      </c>
      <c r="K1035" s="1838">
        <v>0</v>
      </c>
      <c r="L1035" s="1838">
        <v>0</v>
      </c>
      <c r="M1035" s="1838">
        <v>0</v>
      </c>
      <c r="N1035" s="1838" t="s">
        <v>3182</v>
      </c>
      <c r="O1035" s="1838" t="s">
        <v>3183</v>
      </c>
      <c r="P1035" s="1838"/>
    </row>
    <row r="1036" spans="2:16" s="1843" customFormat="1">
      <c r="B1036" s="1838">
        <f t="shared" si="51"/>
        <v>1033</v>
      </c>
      <c r="C1036" s="1838" t="s">
        <v>3003</v>
      </c>
      <c r="D1036" s="1838" t="s">
        <v>3162</v>
      </c>
      <c r="E1036" s="1838" t="s">
        <v>4150</v>
      </c>
      <c r="F1036" s="1839">
        <v>45339</v>
      </c>
      <c r="G1036" s="1840">
        <v>46931</v>
      </c>
      <c r="H1036" s="1841">
        <f t="shared" si="49"/>
        <v>43</v>
      </c>
      <c r="I1036" s="1838">
        <f t="shared" si="50"/>
        <v>46931</v>
      </c>
      <c r="J1036" s="1838">
        <v>0</v>
      </c>
      <c r="K1036" s="1838">
        <v>0</v>
      </c>
      <c r="L1036" s="1838">
        <v>0</v>
      </c>
      <c r="M1036" s="1838">
        <v>0</v>
      </c>
      <c r="N1036" s="1838" t="s">
        <v>3182</v>
      </c>
      <c r="O1036" s="1838" t="s">
        <v>3183</v>
      </c>
      <c r="P1036" s="1838"/>
    </row>
    <row r="1037" spans="2:16" s="1843" customFormat="1">
      <c r="B1037" s="1838">
        <f t="shared" si="51"/>
        <v>1034</v>
      </c>
      <c r="C1037" s="1838" t="s">
        <v>3003</v>
      </c>
      <c r="D1037" s="1838" t="s">
        <v>3162</v>
      </c>
      <c r="E1037" s="1838" t="s">
        <v>4151</v>
      </c>
      <c r="F1037" s="1839">
        <v>45339</v>
      </c>
      <c r="G1037" s="1840">
        <v>53768</v>
      </c>
      <c r="H1037" s="1841">
        <f t="shared" si="49"/>
        <v>43</v>
      </c>
      <c r="I1037" s="1838">
        <f t="shared" si="50"/>
        <v>53768</v>
      </c>
      <c r="J1037" s="1838">
        <v>0</v>
      </c>
      <c r="K1037" s="1838">
        <v>0</v>
      </c>
      <c r="L1037" s="1838">
        <v>0</v>
      </c>
      <c r="M1037" s="1838">
        <v>0</v>
      </c>
      <c r="N1037" s="1838" t="s">
        <v>3182</v>
      </c>
      <c r="O1037" s="1838" t="s">
        <v>3183</v>
      </c>
      <c r="P1037" s="1838"/>
    </row>
    <row r="1038" spans="2:16" s="1843" customFormat="1">
      <c r="B1038" s="1838">
        <f t="shared" si="51"/>
        <v>1035</v>
      </c>
      <c r="C1038" s="1838" t="s">
        <v>3003</v>
      </c>
      <c r="D1038" s="1838" t="s">
        <v>3162</v>
      </c>
      <c r="E1038" s="1838" t="s">
        <v>4152</v>
      </c>
      <c r="F1038" s="1839">
        <v>45339</v>
      </c>
      <c r="G1038" s="1840">
        <v>57265</v>
      </c>
      <c r="H1038" s="1841">
        <f t="shared" si="49"/>
        <v>43</v>
      </c>
      <c r="I1038" s="1838">
        <f t="shared" si="50"/>
        <v>57265</v>
      </c>
      <c r="J1038" s="1838">
        <v>0</v>
      </c>
      <c r="K1038" s="1838">
        <v>0</v>
      </c>
      <c r="L1038" s="1838">
        <v>0</v>
      </c>
      <c r="M1038" s="1838">
        <v>0</v>
      </c>
      <c r="N1038" s="1838" t="s">
        <v>3182</v>
      </c>
      <c r="O1038" s="1838" t="s">
        <v>3183</v>
      </c>
      <c r="P1038" s="1838"/>
    </row>
    <row r="1039" spans="2:16" s="1843" customFormat="1">
      <c r="B1039" s="1838">
        <f t="shared" si="51"/>
        <v>1036</v>
      </c>
      <c r="C1039" s="1838" t="s">
        <v>3003</v>
      </c>
      <c r="D1039" s="1838" t="s">
        <v>3162</v>
      </c>
      <c r="E1039" s="1838" t="s">
        <v>4153</v>
      </c>
      <c r="F1039" s="1839">
        <v>45339</v>
      </c>
      <c r="G1039" s="1840">
        <v>53768</v>
      </c>
      <c r="H1039" s="1841">
        <f t="shared" si="49"/>
        <v>43</v>
      </c>
      <c r="I1039" s="1838">
        <f t="shared" si="50"/>
        <v>53768</v>
      </c>
      <c r="J1039" s="1838">
        <v>0</v>
      </c>
      <c r="K1039" s="1838">
        <v>0</v>
      </c>
      <c r="L1039" s="1838">
        <v>0</v>
      </c>
      <c r="M1039" s="1838">
        <v>0</v>
      </c>
      <c r="N1039" s="1838" t="s">
        <v>3182</v>
      </c>
      <c r="O1039" s="1838" t="s">
        <v>3183</v>
      </c>
      <c r="P1039" s="1838"/>
    </row>
    <row r="1040" spans="2:16" s="1843" customFormat="1">
      <c r="B1040" s="1838">
        <f t="shared" si="51"/>
        <v>1037</v>
      </c>
      <c r="C1040" s="1838" t="s">
        <v>3003</v>
      </c>
      <c r="D1040" s="1838" t="s">
        <v>3162</v>
      </c>
      <c r="E1040" s="1838" t="s">
        <v>4154</v>
      </c>
      <c r="F1040" s="1839">
        <v>45339</v>
      </c>
      <c r="G1040" s="1840">
        <v>78399</v>
      </c>
      <c r="H1040" s="1841">
        <f t="shared" si="49"/>
        <v>43</v>
      </c>
      <c r="I1040" s="1838">
        <f t="shared" si="50"/>
        <v>78399</v>
      </c>
      <c r="J1040" s="1838">
        <v>0</v>
      </c>
      <c r="K1040" s="1838">
        <v>0</v>
      </c>
      <c r="L1040" s="1838">
        <v>0</v>
      </c>
      <c r="M1040" s="1838">
        <v>0</v>
      </c>
      <c r="N1040" s="1838" t="s">
        <v>3182</v>
      </c>
      <c r="O1040" s="1838" t="s">
        <v>3183</v>
      </c>
      <c r="P1040" s="1838"/>
    </row>
    <row r="1041" spans="2:16" s="1843" customFormat="1">
      <c r="B1041" s="1838">
        <f t="shared" si="51"/>
        <v>1038</v>
      </c>
      <c r="C1041" s="1838" t="s">
        <v>3003</v>
      </c>
      <c r="D1041" s="1838" t="s">
        <v>3162</v>
      </c>
      <c r="E1041" s="1838" t="s">
        <v>4155</v>
      </c>
      <c r="F1041" s="1839">
        <v>45340</v>
      </c>
      <c r="G1041" s="1840">
        <v>76146</v>
      </c>
      <c r="H1041" s="1841">
        <f t="shared" si="49"/>
        <v>42</v>
      </c>
      <c r="I1041" s="1838">
        <f t="shared" si="50"/>
        <v>76146</v>
      </c>
      <c r="J1041" s="1838">
        <v>0</v>
      </c>
      <c r="K1041" s="1838">
        <v>0</v>
      </c>
      <c r="L1041" s="1838">
        <v>0</v>
      </c>
      <c r="M1041" s="1838">
        <v>0</v>
      </c>
      <c r="N1041" s="1838" t="s">
        <v>3182</v>
      </c>
      <c r="O1041" s="1838" t="s">
        <v>3183</v>
      </c>
      <c r="P1041" s="1838"/>
    </row>
    <row r="1042" spans="2:16" s="1843" customFormat="1">
      <c r="B1042" s="1838">
        <f t="shared" si="51"/>
        <v>1039</v>
      </c>
      <c r="C1042" s="1838" t="s">
        <v>3003</v>
      </c>
      <c r="D1042" s="1838" t="s">
        <v>3162</v>
      </c>
      <c r="E1042" s="1838" t="s">
        <v>4156</v>
      </c>
      <c r="F1042" s="1839">
        <v>45340</v>
      </c>
      <c r="G1042" s="1840">
        <v>37235</v>
      </c>
      <c r="H1042" s="1841">
        <f t="shared" si="49"/>
        <v>42</v>
      </c>
      <c r="I1042" s="1838">
        <f t="shared" si="50"/>
        <v>37235</v>
      </c>
      <c r="J1042" s="1838">
        <v>0</v>
      </c>
      <c r="K1042" s="1838">
        <v>0</v>
      </c>
      <c r="L1042" s="1838">
        <v>0</v>
      </c>
      <c r="M1042" s="1838">
        <v>0</v>
      </c>
      <c r="N1042" s="1838" t="s">
        <v>3182</v>
      </c>
      <c r="O1042" s="1838" t="s">
        <v>3183</v>
      </c>
      <c r="P1042" s="1838"/>
    </row>
    <row r="1043" spans="2:16" s="1843" customFormat="1">
      <c r="B1043" s="1838">
        <f t="shared" si="51"/>
        <v>1040</v>
      </c>
      <c r="C1043" s="1838" t="s">
        <v>3003</v>
      </c>
      <c r="D1043" s="1838" t="s">
        <v>3162</v>
      </c>
      <c r="E1043" s="1838" t="s">
        <v>4157</v>
      </c>
      <c r="F1043" s="1839">
        <v>45341</v>
      </c>
      <c r="G1043" s="1840">
        <v>40418</v>
      </c>
      <c r="H1043" s="1841">
        <f t="shared" si="49"/>
        <v>41</v>
      </c>
      <c r="I1043" s="1838">
        <f t="shared" si="50"/>
        <v>40418</v>
      </c>
      <c r="J1043" s="1838">
        <v>0</v>
      </c>
      <c r="K1043" s="1838">
        <v>0</v>
      </c>
      <c r="L1043" s="1838">
        <v>0</v>
      </c>
      <c r="M1043" s="1838">
        <v>0</v>
      </c>
      <c r="N1043" s="1838" t="s">
        <v>3182</v>
      </c>
      <c r="O1043" s="1838" t="s">
        <v>3183</v>
      </c>
      <c r="P1043" s="1838"/>
    </row>
    <row r="1044" spans="2:16" s="1843" customFormat="1">
      <c r="B1044" s="1838">
        <f t="shared" si="51"/>
        <v>1041</v>
      </c>
      <c r="C1044" s="1838" t="s">
        <v>3003</v>
      </c>
      <c r="D1044" s="1838" t="s">
        <v>3162</v>
      </c>
      <c r="E1044" s="1838" t="s">
        <v>4158</v>
      </c>
      <c r="F1044" s="1839">
        <v>45341</v>
      </c>
      <c r="G1044" s="1840">
        <v>44933</v>
      </c>
      <c r="H1044" s="1841">
        <f t="shared" si="49"/>
        <v>41</v>
      </c>
      <c r="I1044" s="1838">
        <f t="shared" si="50"/>
        <v>44933</v>
      </c>
      <c r="J1044" s="1838">
        <v>0</v>
      </c>
      <c r="K1044" s="1838">
        <v>0</v>
      </c>
      <c r="L1044" s="1838">
        <v>0</v>
      </c>
      <c r="M1044" s="1838">
        <v>0</v>
      </c>
      <c r="N1044" s="1838" t="s">
        <v>3182</v>
      </c>
      <c r="O1044" s="1838" t="s">
        <v>3183</v>
      </c>
      <c r="P1044" s="1838"/>
    </row>
    <row r="1045" spans="2:16" s="1843" customFormat="1">
      <c r="B1045" s="1838">
        <f t="shared" si="51"/>
        <v>1042</v>
      </c>
      <c r="C1045" s="1838" t="s">
        <v>3003</v>
      </c>
      <c r="D1045" s="1838" t="s">
        <v>3162</v>
      </c>
      <c r="E1045" s="1838" t="s">
        <v>4159</v>
      </c>
      <c r="F1045" s="1839">
        <v>45341</v>
      </c>
      <c r="G1045" s="1840">
        <v>44563</v>
      </c>
      <c r="H1045" s="1841">
        <f t="shared" si="49"/>
        <v>41</v>
      </c>
      <c r="I1045" s="1838">
        <f t="shared" si="50"/>
        <v>44563</v>
      </c>
      <c r="J1045" s="1838">
        <v>0</v>
      </c>
      <c r="K1045" s="1838">
        <v>0</v>
      </c>
      <c r="L1045" s="1838">
        <v>0</v>
      </c>
      <c r="M1045" s="1838">
        <v>0</v>
      </c>
      <c r="N1045" s="1838" t="s">
        <v>3182</v>
      </c>
      <c r="O1045" s="1838" t="s">
        <v>3183</v>
      </c>
      <c r="P1045" s="1838"/>
    </row>
    <row r="1046" spans="2:16" s="1843" customFormat="1">
      <c r="B1046" s="1838">
        <f t="shared" si="51"/>
        <v>1043</v>
      </c>
      <c r="C1046" s="1838" t="s">
        <v>3003</v>
      </c>
      <c r="D1046" s="1838" t="s">
        <v>3162</v>
      </c>
      <c r="E1046" s="1838" t="s">
        <v>4160</v>
      </c>
      <c r="F1046" s="1839">
        <v>45341</v>
      </c>
      <c r="G1046" s="1840">
        <v>68399</v>
      </c>
      <c r="H1046" s="1841">
        <f t="shared" si="49"/>
        <v>41</v>
      </c>
      <c r="I1046" s="1838">
        <f t="shared" si="50"/>
        <v>68399</v>
      </c>
      <c r="J1046" s="1838">
        <v>0</v>
      </c>
      <c r="K1046" s="1838">
        <v>0</v>
      </c>
      <c r="L1046" s="1838">
        <v>0</v>
      </c>
      <c r="M1046" s="1838">
        <v>0</v>
      </c>
      <c r="N1046" s="1838" t="s">
        <v>3182</v>
      </c>
      <c r="O1046" s="1838" t="s">
        <v>3183</v>
      </c>
      <c r="P1046" s="1838"/>
    </row>
    <row r="1047" spans="2:16" s="1843" customFormat="1">
      <c r="B1047" s="1838">
        <f t="shared" si="51"/>
        <v>1044</v>
      </c>
      <c r="C1047" s="1838" t="s">
        <v>3003</v>
      </c>
      <c r="D1047" s="1838" t="s">
        <v>3162</v>
      </c>
      <c r="E1047" s="1838" t="s">
        <v>4161</v>
      </c>
      <c r="F1047" s="1839">
        <v>45341</v>
      </c>
      <c r="G1047" s="1840">
        <v>53150</v>
      </c>
      <c r="H1047" s="1841">
        <f t="shared" si="49"/>
        <v>41</v>
      </c>
      <c r="I1047" s="1838">
        <f t="shared" si="50"/>
        <v>53150</v>
      </c>
      <c r="J1047" s="1838">
        <v>0</v>
      </c>
      <c r="K1047" s="1838">
        <v>0</v>
      </c>
      <c r="L1047" s="1838">
        <v>0</v>
      </c>
      <c r="M1047" s="1838">
        <v>0</v>
      </c>
      <c r="N1047" s="1838" t="s">
        <v>3182</v>
      </c>
      <c r="O1047" s="1838" t="s">
        <v>3183</v>
      </c>
      <c r="P1047" s="1838"/>
    </row>
    <row r="1048" spans="2:16" s="1843" customFormat="1">
      <c r="B1048" s="1838">
        <f t="shared" si="51"/>
        <v>1045</v>
      </c>
      <c r="C1048" s="1838" t="s">
        <v>3003</v>
      </c>
      <c r="D1048" s="1838" t="s">
        <v>3162</v>
      </c>
      <c r="E1048" s="1838" t="s">
        <v>4162</v>
      </c>
      <c r="F1048" s="1839">
        <v>45341</v>
      </c>
      <c r="G1048" s="1840">
        <v>68473</v>
      </c>
      <c r="H1048" s="1841">
        <f t="shared" si="49"/>
        <v>41</v>
      </c>
      <c r="I1048" s="1838">
        <f t="shared" si="50"/>
        <v>68473</v>
      </c>
      <c r="J1048" s="1838">
        <v>0</v>
      </c>
      <c r="K1048" s="1838">
        <v>0</v>
      </c>
      <c r="L1048" s="1838">
        <v>0</v>
      </c>
      <c r="M1048" s="1838">
        <v>0</v>
      </c>
      <c r="N1048" s="1838" t="s">
        <v>3182</v>
      </c>
      <c r="O1048" s="1838" t="s">
        <v>3183</v>
      </c>
      <c r="P1048" s="1838"/>
    </row>
    <row r="1049" spans="2:16" s="1843" customFormat="1">
      <c r="B1049" s="1838">
        <f t="shared" si="51"/>
        <v>1046</v>
      </c>
      <c r="C1049" s="1838" t="s">
        <v>3003</v>
      </c>
      <c r="D1049" s="1838" t="s">
        <v>3162</v>
      </c>
      <c r="E1049" s="1838" t="s">
        <v>4163</v>
      </c>
      <c r="F1049" s="1839">
        <v>45342</v>
      </c>
      <c r="G1049" s="1840">
        <v>31683</v>
      </c>
      <c r="H1049" s="1841">
        <f t="shared" si="49"/>
        <v>40</v>
      </c>
      <c r="I1049" s="1838">
        <f t="shared" si="50"/>
        <v>31683</v>
      </c>
      <c r="J1049" s="1838">
        <v>0</v>
      </c>
      <c r="K1049" s="1838">
        <v>0</v>
      </c>
      <c r="L1049" s="1838">
        <v>0</v>
      </c>
      <c r="M1049" s="1838">
        <v>0</v>
      </c>
      <c r="N1049" s="1838" t="s">
        <v>3182</v>
      </c>
      <c r="O1049" s="1838" t="s">
        <v>3183</v>
      </c>
      <c r="P1049" s="1838"/>
    </row>
    <row r="1050" spans="2:16" s="1843" customFormat="1">
      <c r="B1050" s="1838">
        <f t="shared" si="51"/>
        <v>1047</v>
      </c>
      <c r="C1050" s="1838" t="s">
        <v>3003</v>
      </c>
      <c r="D1050" s="1838" t="s">
        <v>3162</v>
      </c>
      <c r="E1050" s="1838" t="s">
        <v>4164</v>
      </c>
      <c r="F1050" s="1839">
        <v>45342</v>
      </c>
      <c r="G1050" s="1840">
        <v>71138</v>
      </c>
      <c r="H1050" s="1841">
        <f t="shared" si="49"/>
        <v>40</v>
      </c>
      <c r="I1050" s="1838">
        <f t="shared" si="50"/>
        <v>71138</v>
      </c>
      <c r="J1050" s="1838">
        <v>0</v>
      </c>
      <c r="K1050" s="1838">
        <v>0</v>
      </c>
      <c r="L1050" s="1838">
        <v>0</v>
      </c>
      <c r="M1050" s="1838">
        <v>0</v>
      </c>
      <c r="N1050" s="1838" t="s">
        <v>3182</v>
      </c>
      <c r="O1050" s="1838" t="s">
        <v>3183</v>
      </c>
      <c r="P1050" s="1838"/>
    </row>
    <row r="1051" spans="2:16" s="1843" customFormat="1">
      <c r="B1051" s="1838">
        <f t="shared" si="51"/>
        <v>1048</v>
      </c>
      <c r="C1051" s="1838" t="s">
        <v>3003</v>
      </c>
      <c r="D1051" s="1838" t="s">
        <v>3162</v>
      </c>
      <c r="E1051" s="1838" t="s">
        <v>4165</v>
      </c>
      <c r="F1051" s="1839">
        <v>45342</v>
      </c>
      <c r="G1051" s="1840">
        <v>50633</v>
      </c>
      <c r="H1051" s="1841">
        <f t="shared" si="49"/>
        <v>40</v>
      </c>
      <c r="I1051" s="1838">
        <f t="shared" si="50"/>
        <v>50633</v>
      </c>
      <c r="J1051" s="1838">
        <v>0</v>
      </c>
      <c r="K1051" s="1838">
        <v>0</v>
      </c>
      <c r="L1051" s="1838">
        <v>0</v>
      </c>
      <c r="M1051" s="1838">
        <v>0</v>
      </c>
      <c r="N1051" s="1838" t="s">
        <v>3182</v>
      </c>
      <c r="O1051" s="1838" t="s">
        <v>3183</v>
      </c>
      <c r="P1051" s="1838"/>
    </row>
    <row r="1052" spans="2:16" s="1843" customFormat="1">
      <c r="B1052" s="1838">
        <f t="shared" si="51"/>
        <v>1049</v>
      </c>
      <c r="C1052" s="1838" t="s">
        <v>3003</v>
      </c>
      <c r="D1052" s="1838" t="s">
        <v>3162</v>
      </c>
      <c r="E1052" s="1838" t="s">
        <v>4166</v>
      </c>
      <c r="F1052" s="1839">
        <v>45342</v>
      </c>
      <c r="G1052" s="1840">
        <v>47968</v>
      </c>
      <c r="H1052" s="1841">
        <f t="shared" si="49"/>
        <v>40</v>
      </c>
      <c r="I1052" s="1838">
        <f t="shared" si="50"/>
        <v>47968</v>
      </c>
      <c r="J1052" s="1838">
        <v>0</v>
      </c>
      <c r="K1052" s="1838">
        <v>0</v>
      </c>
      <c r="L1052" s="1838">
        <v>0</v>
      </c>
      <c r="M1052" s="1838">
        <v>0</v>
      </c>
      <c r="N1052" s="1838" t="s">
        <v>3182</v>
      </c>
      <c r="O1052" s="1838" t="s">
        <v>3183</v>
      </c>
      <c r="P1052" s="1838"/>
    </row>
    <row r="1053" spans="2:16" s="1843" customFormat="1">
      <c r="B1053" s="1838">
        <f t="shared" si="51"/>
        <v>1050</v>
      </c>
      <c r="C1053" s="1838" t="s">
        <v>3003</v>
      </c>
      <c r="D1053" s="1838" t="s">
        <v>3162</v>
      </c>
      <c r="E1053" s="1838" t="s">
        <v>4167</v>
      </c>
      <c r="F1053" s="1839">
        <v>45343</v>
      </c>
      <c r="G1053" s="1840">
        <v>70694</v>
      </c>
      <c r="H1053" s="1841">
        <f t="shared" si="49"/>
        <v>39</v>
      </c>
      <c r="I1053" s="1838">
        <f t="shared" si="50"/>
        <v>70694</v>
      </c>
      <c r="J1053" s="1838">
        <v>0</v>
      </c>
      <c r="K1053" s="1838">
        <v>0</v>
      </c>
      <c r="L1053" s="1838">
        <v>0</v>
      </c>
      <c r="M1053" s="1838">
        <v>0</v>
      </c>
      <c r="N1053" s="1838" t="s">
        <v>3182</v>
      </c>
      <c r="O1053" s="1838" t="s">
        <v>3183</v>
      </c>
      <c r="P1053" s="1838"/>
    </row>
    <row r="1054" spans="2:16" s="1843" customFormat="1">
      <c r="B1054" s="1838">
        <f t="shared" si="51"/>
        <v>1051</v>
      </c>
      <c r="C1054" s="1838" t="s">
        <v>3003</v>
      </c>
      <c r="D1054" s="1838" t="s">
        <v>3162</v>
      </c>
      <c r="E1054" s="1838" t="s">
        <v>4168</v>
      </c>
      <c r="F1054" s="1839">
        <v>45343</v>
      </c>
      <c r="G1054" s="1840">
        <v>35458</v>
      </c>
      <c r="H1054" s="1841">
        <f t="shared" si="49"/>
        <v>39</v>
      </c>
      <c r="I1054" s="1838">
        <f t="shared" si="50"/>
        <v>35458</v>
      </c>
      <c r="J1054" s="1838">
        <v>0</v>
      </c>
      <c r="K1054" s="1838">
        <v>0</v>
      </c>
      <c r="L1054" s="1838">
        <v>0</v>
      </c>
      <c r="M1054" s="1838">
        <v>0</v>
      </c>
      <c r="N1054" s="1838" t="s">
        <v>3182</v>
      </c>
      <c r="O1054" s="1838" t="s">
        <v>3183</v>
      </c>
      <c r="P1054" s="1838"/>
    </row>
    <row r="1055" spans="2:16" s="1843" customFormat="1">
      <c r="B1055" s="1838">
        <f t="shared" si="51"/>
        <v>1052</v>
      </c>
      <c r="C1055" s="1838" t="s">
        <v>3003</v>
      </c>
      <c r="D1055" s="1838" t="s">
        <v>3162</v>
      </c>
      <c r="E1055" s="1838" t="s">
        <v>4169</v>
      </c>
      <c r="F1055" s="1839">
        <v>45343</v>
      </c>
      <c r="G1055" s="1840">
        <v>66178</v>
      </c>
      <c r="H1055" s="1841">
        <f t="shared" si="49"/>
        <v>39</v>
      </c>
      <c r="I1055" s="1838">
        <f t="shared" si="50"/>
        <v>66178</v>
      </c>
      <c r="J1055" s="1838">
        <v>0</v>
      </c>
      <c r="K1055" s="1838">
        <v>0</v>
      </c>
      <c r="L1055" s="1838">
        <v>0</v>
      </c>
      <c r="M1055" s="1838">
        <v>0</v>
      </c>
      <c r="N1055" s="1838" t="s">
        <v>3182</v>
      </c>
      <c r="O1055" s="1838" t="s">
        <v>3183</v>
      </c>
      <c r="P1055" s="1838"/>
    </row>
    <row r="1056" spans="2:16" s="1843" customFormat="1">
      <c r="B1056" s="1838">
        <f t="shared" si="51"/>
        <v>1053</v>
      </c>
      <c r="C1056" s="1838" t="s">
        <v>3003</v>
      </c>
      <c r="D1056" s="1838" t="s">
        <v>3162</v>
      </c>
      <c r="E1056" s="1838" t="s">
        <v>4170</v>
      </c>
      <c r="F1056" s="1839">
        <v>45343</v>
      </c>
      <c r="G1056" s="1840">
        <v>41158</v>
      </c>
      <c r="H1056" s="1841">
        <f t="shared" si="49"/>
        <v>39</v>
      </c>
      <c r="I1056" s="1838">
        <f t="shared" si="50"/>
        <v>41158</v>
      </c>
      <c r="J1056" s="1838">
        <v>0</v>
      </c>
      <c r="K1056" s="1838">
        <v>0</v>
      </c>
      <c r="L1056" s="1838">
        <v>0</v>
      </c>
      <c r="M1056" s="1838">
        <v>0</v>
      </c>
      <c r="N1056" s="1838" t="s">
        <v>3182</v>
      </c>
      <c r="O1056" s="1838" t="s">
        <v>3183</v>
      </c>
      <c r="P1056" s="1838"/>
    </row>
    <row r="1057" spans="2:16" s="1843" customFormat="1">
      <c r="B1057" s="1838">
        <f t="shared" si="51"/>
        <v>1054</v>
      </c>
      <c r="C1057" s="1838" t="s">
        <v>3003</v>
      </c>
      <c r="D1057" s="1838" t="s">
        <v>3162</v>
      </c>
      <c r="E1057" s="1838" t="s">
        <v>4171</v>
      </c>
      <c r="F1057" s="1839">
        <v>45344</v>
      </c>
      <c r="G1057" s="1840">
        <v>63217</v>
      </c>
      <c r="H1057" s="1841">
        <f t="shared" si="49"/>
        <v>38</v>
      </c>
      <c r="I1057" s="1838">
        <f t="shared" si="50"/>
        <v>63217</v>
      </c>
      <c r="J1057" s="1838">
        <v>0</v>
      </c>
      <c r="K1057" s="1838">
        <v>0</v>
      </c>
      <c r="L1057" s="1838">
        <v>0</v>
      </c>
      <c r="M1057" s="1838">
        <v>0</v>
      </c>
      <c r="N1057" s="1838" t="s">
        <v>3182</v>
      </c>
      <c r="O1057" s="1838" t="s">
        <v>3183</v>
      </c>
      <c r="P1057" s="1838"/>
    </row>
    <row r="1058" spans="2:16" s="1843" customFormat="1">
      <c r="B1058" s="1838">
        <f t="shared" si="51"/>
        <v>1055</v>
      </c>
      <c r="C1058" s="1838" t="s">
        <v>3003</v>
      </c>
      <c r="D1058" s="1838" t="s">
        <v>3162</v>
      </c>
      <c r="E1058" s="1838" t="s">
        <v>4172</v>
      </c>
      <c r="F1058" s="1839">
        <v>45344</v>
      </c>
      <c r="G1058" s="1840">
        <v>50411</v>
      </c>
      <c r="H1058" s="1841">
        <f t="shared" si="49"/>
        <v>38</v>
      </c>
      <c r="I1058" s="1838">
        <f t="shared" si="50"/>
        <v>50411</v>
      </c>
      <c r="J1058" s="1838">
        <v>0</v>
      </c>
      <c r="K1058" s="1838">
        <v>0</v>
      </c>
      <c r="L1058" s="1838">
        <v>0</v>
      </c>
      <c r="M1058" s="1838">
        <v>0</v>
      </c>
      <c r="N1058" s="1838" t="s">
        <v>3182</v>
      </c>
      <c r="O1058" s="1838" t="s">
        <v>3183</v>
      </c>
      <c r="P1058" s="1838"/>
    </row>
    <row r="1059" spans="2:16" s="1843" customFormat="1">
      <c r="B1059" s="1838">
        <f t="shared" si="51"/>
        <v>1056</v>
      </c>
      <c r="C1059" s="1838" t="s">
        <v>3003</v>
      </c>
      <c r="D1059" s="1838" t="s">
        <v>3162</v>
      </c>
      <c r="E1059" s="1838" t="s">
        <v>4173</v>
      </c>
      <c r="F1059" s="1839">
        <v>45344</v>
      </c>
      <c r="G1059" s="1840">
        <v>50115</v>
      </c>
      <c r="H1059" s="1841">
        <f t="shared" si="49"/>
        <v>38</v>
      </c>
      <c r="I1059" s="1838">
        <f t="shared" si="50"/>
        <v>50115</v>
      </c>
      <c r="J1059" s="1838">
        <v>0</v>
      </c>
      <c r="K1059" s="1838">
        <v>0</v>
      </c>
      <c r="L1059" s="1838">
        <v>0</v>
      </c>
      <c r="M1059" s="1838">
        <v>0</v>
      </c>
      <c r="N1059" s="1838" t="s">
        <v>3182</v>
      </c>
      <c r="O1059" s="1838" t="s">
        <v>3183</v>
      </c>
      <c r="P1059" s="1838"/>
    </row>
    <row r="1060" spans="2:16" s="1843" customFormat="1">
      <c r="B1060" s="1838">
        <f t="shared" si="51"/>
        <v>1057</v>
      </c>
      <c r="C1060" s="1838" t="s">
        <v>3003</v>
      </c>
      <c r="D1060" s="1838" t="s">
        <v>3162</v>
      </c>
      <c r="E1060" s="1838" t="s">
        <v>4174</v>
      </c>
      <c r="F1060" s="1839">
        <v>45345</v>
      </c>
      <c r="G1060" s="1840">
        <v>72545</v>
      </c>
      <c r="H1060" s="1841">
        <f t="shared" si="49"/>
        <v>37</v>
      </c>
      <c r="I1060" s="1838">
        <f t="shared" si="50"/>
        <v>72545</v>
      </c>
      <c r="J1060" s="1838">
        <v>0</v>
      </c>
      <c r="K1060" s="1838">
        <v>0</v>
      </c>
      <c r="L1060" s="1838">
        <v>0</v>
      </c>
      <c r="M1060" s="1838">
        <v>0</v>
      </c>
      <c r="N1060" s="1838" t="s">
        <v>3182</v>
      </c>
      <c r="O1060" s="1838" t="s">
        <v>3183</v>
      </c>
      <c r="P1060" s="1838"/>
    </row>
    <row r="1061" spans="2:16" s="1843" customFormat="1">
      <c r="B1061" s="1838">
        <f t="shared" si="51"/>
        <v>1058</v>
      </c>
      <c r="C1061" s="1838" t="s">
        <v>3003</v>
      </c>
      <c r="D1061" s="1838" t="s">
        <v>3162</v>
      </c>
      <c r="E1061" s="1838" t="s">
        <v>4175</v>
      </c>
      <c r="F1061" s="1839">
        <v>45345</v>
      </c>
      <c r="G1061" s="1840">
        <v>64402</v>
      </c>
      <c r="H1061" s="1841">
        <f t="shared" si="49"/>
        <v>37</v>
      </c>
      <c r="I1061" s="1838">
        <f t="shared" si="50"/>
        <v>64402</v>
      </c>
      <c r="J1061" s="1838">
        <v>0</v>
      </c>
      <c r="K1061" s="1838">
        <v>0</v>
      </c>
      <c r="L1061" s="1838">
        <v>0</v>
      </c>
      <c r="M1061" s="1838">
        <v>0</v>
      </c>
      <c r="N1061" s="1838" t="s">
        <v>3182</v>
      </c>
      <c r="O1061" s="1838" t="s">
        <v>3183</v>
      </c>
      <c r="P1061" s="1838"/>
    </row>
    <row r="1062" spans="2:16" s="1843" customFormat="1">
      <c r="B1062" s="1838">
        <f t="shared" si="51"/>
        <v>1059</v>
      </c>
      <c r="C1062" s="1838" t="s">
        <v>3003</v>
      </c>
      <c r="D1062" s="1838" t="s">
        <v>3162</v>
      </c>
      <c r="E1062" s="1838" t="s">
        <v>4176</v>
      </c>
      <c r="F1062" s="1839">
        <v>45345</v>
      </c>
      <c r="G1062" s="1840">
        <v>55371</v>
      </c>
      <c r="H1062" s="1841">
        <f t="shared" si="49"/>
        <v>37</v>
      </c>
      <c r="I1062" s="1838">
        <f t="shared" si="50"/>
        <v>55371</v>
      </c>
      <c r="J1062" s="1838">
        <v>0</v>
      </c>
      <c r="K1062" s="1838">
        <v>0</v>
      </c>
      <c r="L1062" s="1838">
        <v>0</v>
      </c>
      <c r="M1062" s="1838">
        <v>0</v>
      </c>
      <c r="N1062" s="1838" t="s">
        <v>3182</v>
      </c>
      <c r="O1062" s="1838" t="s">
        <v>3183</v>
      </c>
      <c r="P1062" s="1838"/>
    </row>
    <row r="1063" spans="2:16" s="1843" customFormat="1">
      <c r="B1063" s="1838">
        <f t="shared" si="51"/>
        <v>1060</v>
      </c>
      <c r="C1063" s="1838" t="s">
        <v>3003</v>
      </c>
      <c r="D1063" s="1838" t="s">
        <v>3162</v>
      </c>
      <c r="E1063" s="1838" t="s">
        <v>4177</v>
      </c>
      <c r="F1063" s="1839">
        <v>45345</v>
      </c>
      <c r="G1063" s="1840">
        <v>45896</v>
      </c>
      <c r="H1063" s="1841">
        <f t="shared" si="49"/>
        <v>37</v>
      </c>
      <c r="I1063" s="1838">
        <f t="shared" si="50"/>
        <v>45896</v>
      </c>
      <c r="J1063" s="1838">
        <v>0</v>
      </c>
      <c r="K1063" s="1838">
        <v>0</v>
      </c>
      <c r="L1063" s="1838">
        <v>0</v>
      </c>
      <c r="M1063" s="1838">
        <v>0</v>
      </c>
      <c r="N1063" s="1838" t="s">
        <v>3182</v>
      </c>
      <c r="O1063" s="1838" t="s">
        <v>3183</v>
      </c>
      <c r="P1063" s="1838"/>
    </row>
    <row r="1064" spans="2:16" s="1843" customFormat="1">
      <c r="B1064" s="1838">
        <f t="shared" si="51"/>
        <v>1061</v>
      </c>
      <c r="C1064" s="1838" t="s">
        <v>3003</v>
      </c>
      <c r="D1064" s="1838" t="s">
        <v>3162</v>
      </c>
      <c r="E1064" s="1838" t="s">
        <v>4178</v>
      </c>
      <c r="F1064" s="1839">
        <v>45346</v>
      </c>
      <c r="G1064" s="1840">
        <v>30794</v>
      </c>
      <c r="H1064" s="1841">
        <f t="shared" si="49"/>
        <v>36</v>
      </c>
      <c r="I1064" s="1838">
        <f t="shared" si="50"/>
        <v>30794</v>
      </c>
      <c r="J1064" s="1838">
        <v>0</v>
      </c>
      <c r="K1064" s="1838">
        <v>0</v>
      </c>
      <c r="L1064" s="1838">
        <v>0</v>
      </c>
      <c r="M1064" s="1838">
        <v>0</v>
      </c>
      <c r="N1064" s="1838" t="s">
        <v>3182</v>
      </c>
      <c r="O1064" s="1838" t="s">
        <v>3183</v>
      </c>
      <c r="P1064" s="1838"/>
    </row>
    <row r="1065" spans="2:16" s="1843" customFormat="1">
      <c r="B1065" s="1838">
        <f t="shared" si="51"/>
        <v>1062</v>
      </c>
      <c r="C1065" s="1838" t="s">
        <v>3003</v>
      </c>
      <c r="D1065" s="1838" t="s">
        <v>3162</v>
      </c>
      <c r="E1065" s="1838" t="s">
        <v>4179</v>
      </c>
      <c r="F1065" s="1839">
        <v>45346</v>
      </c>
      <c r="G1065" s="1840">
        <v>46488</v>
      </c>
      <c r="H1065" s="1841">
        <f t="shared" si="49"/>
        <v>36</v>
      </c>
      <c r="I1065" s="1838">
        <f t="shared" si="50"/>
        <v>46488</v>
      </c>
      <c r="J1065" s="1838">
        <v>0</v>
      </c>
      <c r="K1065" s="1838">
        <v>0</v>
      </c>
      <c r="L1065" s="1838">
        <v>0</v>
      </c>
      <c r="M1065" s="1838">
        <v>0</v>
      </c>
      <c r="N1065" s="1838" t="s">
        <v>3182</v>
      </c>
      <c r="O1065" s="1838" t="s">
        <v>3183</v>
      </c>
      <c r="P1065" s="1838"/>
    </row>
    <row r="1066" spans="2:16" s="1843" customFormat="1">
      <c r="B1066" s="1838">
        <f t="shared" si="51"/>
        <v>1063</v>
      </c>
      <c r="C1066" s="1838" t="s">
        <v>3003</v>
      </c>
      <c r="D1066" s="1838" t="s">
        <v>3162</v>
      </c>
      <c r="E1066" s="1838" t="s">
        <v>4180</v>
      </c>
      <c r="F1066" s="1839">
        <v>45346</v>
      </c>
      <c r="G1066" s="1840">
        <v>40048</v>
      </c>
      <c r="H1066" s="1841">
        <f t="shared" si="49"/>
        <v>36</v>
      </c>
      <c r="I1066" s="1838">
        <f t="shared" si="50"/>
        <v>40048</v>
      </c>
      <c r="J1066" s="1838">
        <v>0</v>
      </c>
      <c r="K1066" s="1838">
        <v>0</v>
      </c>
      <c r="L1066" s="1838">
        <v>0</v>
      </c>
      <c r="M1066" s="1838">
        <v>0</v>
      </c>
      <c r="N1066" s="1838" t="s">
        <v>3182</v>
      </c>
      <c r="O1066" s="1838" t="s">
        <v>3183</v>
      </c>
      <c r="P1066" s="1838"/>
    </row>
    <row r="1067" spans="2:16" s="1843" customFormat="1">
      <c r="B1067" s="1838">
        <f t="shared" si="51"/>
        <v>1064</v>
      </c>
      <c r="C1067" s="1838" t="s">
        <v>3003</v>
      </c>
      <c r="D1067" s="1838" t="s">
        <v>3162</v>
      </c>
      <c r="E1067" s="1838" t="s">
        <v>4181</v>
      </c>
      <c r="F1067" s="1839">
        <v>45346</v>
      </c>
      <c r="G1067" s="1840">
        <v>44637</v>
      </c>
      <c r="H1067" s="1841">
        <f t="shared" si="49"/>
        <v>36</v>
      </c>
      <c r="I1067" s="1838">
        <f t="shared" si="50"/>
        <v>44637</v>
      </c>
      <c r="J1067" s="1838">
        <v>0</v>
      </c>
      <c r="K1067" s="1838">
        <v>0</v>
      </c>
      <c r="L1067" s="1838">
        <v>0</v>
      </c>
      <c r="M1067" s="1838">
        <v>0</v>
      </c>
      <c r="N1067" s="1838" t="s">
        <v>3182</v>
      </c>
      <c r="O1067" s="1838" t="s">
        <v>3183</v>
      </c>
      <c r="P1067" s="1838"/>
    </row>
    <row r="1068" spans="2:16" s="1843" customFormat="1">
      <c r="B1068" s="1838">
        <f t="shared" si="51"/>
        <v>1065</v>
      </c>
      <c r="C1068" s="1838" t="s">
        <v>3003</v>
      </c>
      <c r="D1068" s="1838" t="s">
        <v>3162</v>
      </c>
      <c r="E1068" s="1838" t="s">
        <v>4182</v>
      </c>
      <c r="F1068" s="1839">
        <v>45347</v>
      </c>
      <c r="G1068" s="1840">
        <v>47524</v>
      </c>
      <c r="H1068" s="1841">
        <f t="shared" si="49"/>
        <v>35</v>
      </c>
      <c r="I1068" s="1838">
        <f t="shared" si="50"/>
        <v>47524</v>
      </c>
      <c r="J1068" s="1838">
        <v>0</v>
      </c>
      <c r="K1068" s="1838">
        <v>0</v>
      </c>
      <c r="L1068" s="1838">
        <v>0</v>
      </c>
      <c r="M1068" s="1838">
        <v>0</v>
      </c>
      <c r="N1068" s="1838" t="s">
        <v>3182</v>
      </c>
      <c r="O1068" s="1838" t="s">
        <v>3183</v>
      </c>
      <c r="P1068" s="1838"/>
    </row>
    <row r="1069" spans="2:16" s="1843" customFormat="1">
      <c r="B1069" s="1838">
        <f t="shared" si="51"/>
        <v>1066</v>
      </c>
      <c r="C1069" s="1838" t="s">
        <v>3003</v>
      </c>
      <c r="D1069" s="1838" t="s">
        <v>3162</v>
      </c>
      <c r="E1069" s="1838" t="s">
        <v>4183</v>
      </c>
      <c r="F1069" s="1839">
        <v>45348</v>
      </c>
      <c r="G1069" s="1840">
        <v>73952</v>
      </c>
      <c r="H1069" s="1841">
        <f t="shared" si="49"/>
        <v>34</v>
      </c>
      <c r="I1069" s="1838">
        <f t="shared" si="50"/>
        <v>73952</v>
      </c>
      <c r="J1069" s="1838">
        <v>0</v>
      </c>
      <c r="K1069" s="1838">
        <v>0</v>
      </c>
      <c r="L1069" s="1838">
        <v>0</v>
      </c>
      <c r="M1069" s="1838">
        <v>0</v>
      </c>
      <c r="N1069" s="1838" t="s">
        <v>3182</v>
      </c>
      <c r="O1069" s="1838" t="s">
        <v>3183</v>
      </c>
      <c r="P1069" s="1838"/>
    </row>
    <row r="1070" spans="2:16" s="1843" customFormat="1">
      <c r="B1070" s="1838">
        <f t="shared" si="51"/>
        <v>1067</v>
      </c>
      <c r="C1070" s="1838" t="s">
        <v>3003</v>
      </c>
      <c r="D1070" s="1838" t="s">
        <v>3162</v>
      </c>
      <c r="E1070" s="1838" t="s">
        <v>4184</v>
      </c>
      <c r="F1070" s="1839">
        <v>45348</v>
      </c>
      <c r="G1070" s="1840">
        <v>36495</v>
      </c>
      <c r="H1070" s="1841">
        <f t="shared" si="49"/>
        <v>34</v>
      </c>
      <c r="I1070" s="1838">
        <f t="shared" si="50"/>
        <v>36495</v>
      </c>
      <c r="J1070" s="1838">
        <v>0</v>
      </c>
      <c r="K1070" s="1838">
        <v>0</v>
      </c>
      <c r="L1070" s="1838">
        <v>0</v>
      </c>
      <c r="M1070" s="1838">
        <v>0</v>
      </c>
      <c r="N1070" s="1838" t="s">
        <v>3182</v>
      </c>
      <c r="O1070" s="1838" t="s">
        <v>3183</v>
      </c>
      <c r="P1070" s="1838"/>
    </row>
    <row r="1071" spans="2:16" s="1843" customFormat="1">
      <c r="B1071" s="1838">
        <f t="shared" si="51"/>
        <v>1068</v>
      </c>
      <c r="C1071" s="1838" t="s">
        <v>3003</v>
      </c>
      <c r="D1071" s="1838" t="s">
        <v>3162</v>
      </c>
      <c r="E1071" s="1838" t="s">
        <v>4185</v>
      </c>
      <c r="F1071" s="1839">
        <v>45348</v>
      </c>
      <c r="G1071" s="1840">
        <v>50560</v>
      </c>
      <c r="H1071" s="1841">
        <f t="shared" si="49"/>
        <v>34</v>
      </c>
      <c r="I1071" s="1838">
        <f t="shared" si="50"/>
        <v>50560</v>
      </c>
      <c r="J1071" s="1838">
        <v>0</v>
      </c>
      <c r="K1071" s="1838">
        <v>0</v>
      </c>
      <c r="L1071" s="1838">
        <v>0</v>
      </c>
      <c r="M1071" s="1838">
        <v>0</v>
      </c>
      <c r="N1071" s="1838" t="s">
        <v>3182</v>
      </c>
      <c r="O1071" s="1838" t="s">
        <v>3183</v>
      </c>
      <c r="P1071" s="1838"/>
    </row>
    <row r="1072" spans="2:16" s="1843" customFormat="1">
      <c r="B1072" s="1838">
        <f t="shared" si="51"/>
        <v>1069</v>
      </c>
      <c r="C1072" s="1838" t="s">
        <v>3003</v>
      </c>
      <c r="D1072" s="1838" t="s">
        <v>3162</v>
      </c>
      <c r="E1072" s="1838" t="s">
        <v>4186</v>
      </c>
      <c r="F1072" s="1839">
        <v>45348</v>
      </c>
      <c r="G1072" s="1840">
        <v>67659</v>
      </c>
      <c r="H1072" s="1841">
        <f t="shared" si="49"/>
        <v>34</v>
      </c>
      <c r="I1072" s="1838">
        <f t="shared" si="50"/>
        <v>67659</v>
      </c>
      <c r="J1072" s="1838">
        <v>0</v>
      </c>
      <c r="K1072" s="1838">
        <v>0</v>
      </c>
      <c r="L1072" s="1838">
        <v>0</v>
      </c>
      <c r="M1072" s="1838">
        <v>0</v>
      </c>
      <c r="N1072" s="1838" t="s">
        <v>3182</v>
      </c>
      <c r="O1072" s="1838" t="s">
        <v>3183</v>
      </c>
      <c r="P1072" s="1838"/>
    </row>
    <row r="1073" spans="2:16" s="1843" customFormat="1">
      <c r="B1073" s="1838">
        <f t="shared" si="51"/>
        <v>1070</v>
      </c>
      <c r="C1073" s="1838" t="s">
        <v>3003</v>
      </c>
      <c r="D1073" s="1838" t="s">
        <v>3162</v>
      </c>
      <c r="E1073" s="1838" t="s">
        <v>4187</v>
      </c>
      <c r="F1073" s="1839">
        <v>45348</v>
      </c>
      <c r="G1073" s="1840">
        <v>54778</v>
      </c>
      <c r="H1073" s="1841">
        <f t="shared" si="49"/>
        <v>34</v>
      </c>
      <c r="I1073" s="1838">
        <f t="shared" si="50"/>
        <v>54778</v>
      </c>
      <c r="J1073" s="1838">
        <v>0</v>
      </c>
      <c r="K1073" s="1838">
        <v>0</v>
      </c>
      <c r="L1073" s="1838">
        <v>0</v>
      </c>
      <c r="M1073" s="1838">
        <v>0</v>
      </c>
      <c r="N1073" s="1838" t="s">
        <v>3182</v>
      </c>
      <c r="O1073" s="1838" t="s">
        <v>3183</v>
      </c>
      <c r="P1073" s="1838"/>
    </row>
    <row r="1074" spans="2:16" s="1843" customFormat="1">
      <c r="B1074" s="1838">
        <f t="shared" si="51"/>
        <v>1071</v>
      </c>
      <c r="C1074" s="1838" t="s">
        <v>3003</v>
      </c>
      <c r="D1074" s="1838" t="s">
        <v>3162</v>
      </c>
      <c r="E1074" s="1838" t="s">
        <v>4188</v>
      </c>
      <c r="F1074" s="1839">
        <v>45348</v>
      </c>
      <c r="G1074" s="1840">
        <v>54631</v>
      </c>
      <c r="H1074" s="1841">
        <f t="shared" si="49"/>
        <v>34</v>
      </c>
      <c r="I1074" s="1838">
        <f t="shared" si="50"/>
        <v>54631</v>
      </c>
      <c r="J1074" s="1838">
        <v>0</v>
      </c>
      <c r="K1074" s="1838">
        <v>0</v>
      </c>
      <c r="L1074" s="1838">
        <v>0</v>
      </c>
      <c r="M1074" s="1838">
        <v>0</v>
      </c>
      <c r="N1074" s="1838" t="s">
        <v>3182</v>
      </c>
      <c r="O1074" s="1838" t="s">
        <v>3183</v>
      </c>
      <c r="P1074" s="1838"/>
    </row>
    <row r="1075" spans="2:16" s="1843" customFormat="1">
      <c r="B1075" s="1838">
        <f t="shared" si="51"/>
        <v>1072</v>
      </c>
      <c r="C1075" s="1838" t="s">
        <v>3003</v>
      </c>
      <c r="D1075" s="1838" t="s">
        <v>3162</v>
      </c>
      <c r="E1075" s="1838" t="s">
        <v>4189</v>
      </c>
      <c r="F1075" s="1839">
        <v>45349</v>
      </c>
      <c r="G1075" s="1840">
        <v>33859</v>
      </c>
      <c r="H1075" s="1841">
        <f t="shared" si="49"/>
        <v>33</v>
      </c>
      <c r="I1075" s="1838">
        <f t="shared" si="50"/>
        <v>33859</v>
      </c>
      <c r="J1075" s="1838">
        <v>0</v>
      </c>
      <c r="K1075" s="1838">
        <v>0</v>
      </c>
      <c r="L1075" s="1838">
        <v>0</v>
      </c>
      <c r="M1075" s="1838">
        <v>0</v>
      </c>
      <c r="N1075" s="1838" t="s">
        <v>3182</v>
      </c>
      <c r="O1075" s="1838" t="s">
        <v>3183</v>
      </c>
      <c r="P1075" s="1838"/>
    </row>
    <row r="1076" spans="2:16" s="1843" customFormat="1">
      <c r="B1076" s="1838">
        <f t="shared" si="51"/>
        <v>1073</v>
      </c>
      <c r="C1076" s="1838" t="s">
        <v>3003</v>
      </c>
      <c r="D1076" s="1838" t="s">
        <v>3162</v>
      </c>
      <c r="E1076" s="1838" t="s">
        <v>4190</v>
      </c>
      <c r="F1076" s="1839">
        <v>45349</v>
      </c>
      <c r="G1076" s="1840">
        <v>43769</v>
      </c>
      <c r="H1076" s="1841">
        <f t="shared" si="49"/>
        <v>33</v>
      </c>
      <c r="I1076" s="1838">
        <f t="shared" si="50"/>
        <v>43769</v>
      </c>
      <c r="J1076" s="1838">
        <v>0</v>
      </c>
      <c r="K1076" s="1838">
        <v>0</v>
      </c>
      <c r="L1076" s="1838">
        <v>0</v>
      </c>
      <c r="M1076" s="1838">
        <v>0</v>
      </c>
      <c r="N1076" s="1838" t="s">
        <v>3182</v>
      </c>
      <c r="O1076" s="1838" t="s">
        <v>3183</v>
      </c>
      <c r="P1076" s="1838"/>
    </row>
    <row r="1077" spans="2:16" s="1843" customFormat="1">
      <c r="B1077" s="1838">
        <f t="shared" si="51"/>
        <v>1074</v>
      </c>
      <c r="C1077" s="1838" t="s">
        <v>3003</v>
      </c>
      <c r="D1077" s="1838" t="s">
        <v>3162</v>
      </c>
      <c r="E1077" s="1838" t="s">
        <v>4191</v>
      </c>
      <c r="F1077" s="1839">
        <v>45349</v>
      </c>
      <c r="G1077" s="1840">
        <v>58409</v>
      </c>
      <c r="H1077" s="1841">
        <f t="shared" si="49"/>
        <v>33</v>
      </c>
      <c r="I1077" s="1838">
        <f t="shared" si="50"/>
        <v>58409</v>
      </c>
      <c r="J1077" s="1838">
        <v>0</v>
      </c>
      <c r="K1077" s="1838">
        <v>0</v>
      </c>
      <c r="L1077" s="1838">
        <v>0</v>
      </c>
      <c r="M1077" s="1838">
        <v>0</v>
      </c>
      <c r="N1077" s="1838" t="s">
        <v>3182</v>
      </c>
      <c r="O1077" s="1838" t="s">
        <v>3183</v>
      </c>
      <c r="P1077" s="1838"/>
    </row>
    <row r="1078" spans="2:16" s="1843" customFormat="1">
      <c r="B1078" s="1838">
        <f t="shared" si="51"/>
        <v>1075</v>
      </c>
      <c r="C1078" s="1838" t="s">
        <v>3003</v>
      </c>
      <c r="D1078" s="1838" t="s">
        <v>3162</v>
      </c>
      <c r="E1078" s="1838" t="s">
        <v>4192</v>
      </c>
      <c r="F1078" s="1839">
        <v>45349</v>
      </c>
      <c r="G1078" s="1840">
        <v>43244</v>
      </c>
      <c r="H1078" s="1841">
        <f t="shared" si="49"/>
        <v>33</v>
      </c>
      <c r="I1078" s="1838">
        <f t="shared" si="50"/>
        <v>43244</v>
      </c>
      <c r="J1078" s="1838">
        <v>0</v>
      </c>
      <c r="K1078" s="1838">
        <v>0</v>
      </c>
      <c r="L1078" s="1838">
        <v>0</v>
      </c>
      <c r="M1078" s="1838">
        <v>0</v>
      </c>
      <c r="N1078" s="1838" t="s">
        <v>3182</v>
      </c>
      <c r="O1078" s="1838" t="s">
        <v>3183</v>
      </c>
      <c r="P1078" s="1838"/>
    </row>
    <row r="1079" spans="2:16" s="1843" customFormat="1">
      <c r="B1079" s="1838">
        <f t="shared" si="51"/>
        <v>1076</v>
      </c>
      <c r="C1079" s="1838" t="s">
        <v>3003</v>
      </c>
      <c r="D1079" s="1838" t="s">
        <v>3162</v>
      </c>
      <c r="E1079" s="1838" t="s">
        <v>4193</v>
      </c>
      <c r="F1079" s="1839">
        <v>45349</v>
      </c>
      <c r="G1079" s="1840">
        <v>42718</v>
      </c>
      <c r="H1079" s="1841">
        <f t="shared" si="49"/>
        <v>33</v>
      </c>
      <c r="I1079" s="1838">
        <f t="shared" si="50"/>
        <v>42718</v>
      </c>
      <c r="J1079" s="1838">
        <v>0</v>
      </c>
      <c r="K1079" s="1838">
        <v>0</v>
      </c>
      <c r="L1079" s="1838">
        <v>0</v>
      </c>
      <c r="M1079" s="1838">
        <v>0</v>
      </c>
      <c r="N1079" s="1838" t="s">
        <v>3182</v>
      </c>
      <c r="O1079" s="1838" t="s">
        <v>3183</v>
      </c>
      <c r="P1079" s="1838"/>
    </row>
    <row r="1080" spans="2:16" s="1843" customFormat="1">
      <c r="B1080" s="1838">
        <f t="shared" si="51"/>
        <v>1077</v>
      </c>
      <c r="C1080" s="1838" t="s">
        <v>3003</v>
      </c>
      <c r="D1080" s="1838" t="s">
        <v>3162</v>
      </c>
      <c r="E1080" s="1838" t="s">
        <v>4194</v>
      </c>
      <c r="F1080" s="1839">
        <v>45349</v>
      </c>
      <c r="G1080" s="1840">
        <v>45722</v>
      </c>
      <c r="H1080" s="1841">
        <f t="shared" si="49"/>
        <v>33</v>
      </c>
      <c r="I1080" s="1838">
        <f t="shared" si="50"/>
        <v>45722</v>
      </c>
      <c r="J1080" s="1838">
        <v>0</v>
      </c>
      <c r="K1080" s="1838">
        <v>0</v>
      </c>
      <c r="L1080" s="1838">
        <v>0</v>
      </c>
      <c r="M1080" s="1838">
        <v>0</v>
      </c>
      <c r="N1080" s="1838" t="s">
        <v>3182</v>
      </c>
      <c r="O1080" s="1838" t="s">
        <v>3183</v>
      </c>
      <c r="P1080" s="1838"/>
    </row>
    <row r="1081" spans="2:16" s="1843" customFormat="1">
      <c r="B1081" s="1838">
        <f t="shared" si="51"/>
        <v>1078</v>
      </c>
      <c r="C1081" s="1838" t="s">
        <v>3003</v>
      </c>
      <c r="D1081" s="1838" t="s">
        <v>3162</v>
      </c>
      <c r="E1081" s="1838" t="s">
        <v>4195</v>
      </c>
      <c r="F1081" s="1839">
        <v>45350</v>
      </c>
      <c r="G1081" s="1840">
        <v>43093</v>
      </c>
      <c r="H1081" s="1841">
        <f t="shared" si="49"/>
        <v>32</v>
      </c>
      <c r="I1081" s="1838">
        <f t="shared" si="50"/>
        <v>43093</v>
      </c>
      <c r="J1081" s="1838">
        <v>0</v>
      </c>
      <c r="K1081" s="1838">
        <v>0</v>
      </c>
      <c r="L1081" s="1838">
        <v>0</v>
      </c>
      <c r="M1081" s="1838">
        <v>0</v>
      </c>
      <c r="N1081" s="1838" t="s">
        <v>3182</v>
      </c>
      <c r="O1081" s="1838" t="s">
        <v>3183</v>
      </c>
      <c r="P1081" s="1838"/>
    </row>
    <row r="1082" spans="2:16" s="1843" customFormat="1">
      <c r="B1082" s="1838">
        <f t="shared" si="51"/>
        <v>1079</v>
      </c>
      <c r="C1082" s="1838" t="s">
        <v>3003</v>
      </c>
      <c r="D1082" s="1838" t="s">
        <v>3162</v>
      </c>
      <c r="E1082" s="1838" t="s">
        <v>4196</v>
      </c>
      <c r="F1082" s="1839">
        <v>45350</v>
      </c>
      <c r="G1082" s="1840">
        <v>56307</v>
      </c>
      <c r="H1082" s="1841">
        <f t="shared" si="49"/>
        <v>32</v>
      </c>
      <c r="I1082" s="1838">
        <f t="shared" si="50"/>
        <v>56307</v>
      </c>
      <c r="J1082" s="1838">
        <v>0</v>
      </c>
      <c r="K1082" s="1838">
        <v>0</v>
      </c>
      <c r="L1082" s="1838">
        <v>0</v>
      </c>
      <c r="M1082" s="1838">
        <v>0</v>
      </c>
      <c r="N1082" s="1838" t="s">
        <v>3182</v>
      </c>
      <c r="O1082" s="1838" t="s">
        <v>3183</v>
      </c>
      <c r="P1082" s="1838"/>
    </row>
    <row r="1083" spans="2:16" s="1843" customFormat="1">
      <c r="B1083" s="1838">
        <f t="shared" si="51"/>
        <v>1080</v>
      </c>
      <c r="C1083" s="1838" t="s">
        <v>3003</v>
      </c>
      <c r="D1083" s="1838" t="s">
        <v>3162</v>
      </c>
      <c r="E1083" s="1838" t="s">
        <v>4197</v>
      </c>
      <c r="F1083" s="1839">
        <v>45350</v>
      </c>
      <c r="G1083" s="1840">
        <v>31381</v>
      </c>
      <c r="H1083" s="1841">
        <f t="shared" si="49"/>
        <v>32</v>
      </c>
      <c r="I1083" s="1838">
        <f t="shared" si="50"/>
        <v>31381</v>
      </c>
      <c r="J1083" s="1838">
        <v>0</v>
      </c>
      <c r="K1083" s="1838">
        <v>0</v>
      </c>
      <c r="L1083" s="1838">
        <v>0</v>
      </c>
      <c r="M1083" s="1838">
        <v>0</v>
      </c>
      <c r="N1083" s="1838" t="s">
        <v>3182</v>
      </c>
      <c r="O1083" s="1838" t="s">
        <v>3183</v>
      </c>
      <c r="P1083" s="1838"/>
    </row>
    <row r="1084" spans="2:16" s="1843" customFormat="1">
      <c r="B1084" s="1838">
        <f t="shared" si="51"/>
        <v>1081</v>
      </c>
      <c r="C1084" s="1838" t="s">
        <v>3003</v>
      </c>
      <c r="D1084" s="1838" t="s">
        <v>3162</v>
      </c>
      <c r="E1084" s="1838" t="s">
        <v>4198</v>
      </c>
      <c r="F1084" s="1839">
        <v>45350</v>
      </c>
      <c r="G1084" s="1840">
        <v>71772</v>
      </c>
      <c r="H1084" s="1841">
        <f t="shared" si="49"/>
        <v>32</v>
      </c>
      <c r="I1084" s="1838">
        <f t="shared" si="50"/>
        <v>71772</v>
      </c>
      <c r="J1084" s="1838">
        <v>0</v>
      </c>
      <c r="K1084" s="1838">
        <v>0</v>
      </c>
      <c r="L1084" s="1838">
        <v>0</v>
      </c>
      <c r="M1084" s="1838">
        <v>0</v>
      </c>
      <c r="N1084" s="1838" t="s">
        <v>3182</v>
      </c>
      <c r="O1084" s="1838" t="s">
        <v>3183</v>
      </c>
      <c r="P1084" s="1838"/>
    </row>
    <row r="1085" spans="2:16" s="1843" customFormat="1">
      <c r="B1085" s="1838">
        <f t="shared" si="51"/>
        <v>1082</v>
      </c>
      <c r="C1085" s="1838" t="s">
        <v>3003</v>
      </c>
      <c r="D1085" s="1838" t="s">
        <v>3162</v>
      </c>
      <c r="E1085" s="1838" t="s">
        <v>4199</v>
      </c>
      <c r="F1085" s="1839">
        <v>45351</v>
      </c>
      <c r="G1085" s="1840">
        <v>27477</v>
      </c>
      <c r="H1085" s="1841">
        <f t="shared" si="49"/>
        <v>31</v>
      </c>
      <c r="I1085" s="1838">
        <f t="shared" si="50"/>
        <v>27477</v>
      </c>
      <c r="J1085" s="1838">
        <v>0</v>
      </c>
      <c r="K1085" s="1838">
        <v>0</v>
      </c>
      <c r="L1085" s="1838">
        <v>0</v>
      </c>
      <c r="M1085" s="1838">
        <v>0</v>
      </c>
      <c r="N1085" s="1838" t="s">
        <v>3182</v>
      </c>
      <c r="O1085" s="1838" t="s">
        <v>3183</v>
      </c>
      <c r="P1085" s="1838"/>
    </row>
    <row r="1086" spans="2:16" s="1843" customFormat="1">
      <c r="B1086" s="1838">
        <f t="shared" si="51"/>
        <v>1083</v>
      </c>
      <c r="C1086" s="1838" t="s">
        <v>3003</v>
      </c>
      <c r="D1086" s="1838" t="s">
        <v>3162</v>
      </c>
      <c r="E1086" s="1838" t="s">
        <v>4200</v>
      </c>
      <c r="F1086" s="1839">
        <v>45351</v>
      </c>
      <c r="G1086" s="1840">
        <v>50676</v>
      </c>
      <c r="H1086" s="1841">
        <f t="shared" si="49"/>
        <v>31</v>
      </c>
      <c r="I1086" s="1838">
        <f t="shared" si="50"/>
        <v>50676</v>
      </c>
      <c r="J1086" s="1838">
        <v>0</v>
      </c>
      <c r="K1086" s="1838">
        <v>0</v>
      </c>
      <c r="L1086" s="1838">
        <v>0</v>
      </c>
      <c r="M1086" s="1838">
        <v>0</v>
      </c>
      <c r="N1086" s="1838" t="s">
        <v>3182</v>
      </c>
      <c r="O1086" s="1838" t="s">
        <v>3183</v>
      </c>
      <c r="P1086" s="1838"/>
    </row>
    <row r="1087" spans="2:16" s="1843" customFormat="1">
      <c r="B1087" s="1838">
        <f t="shared" si="51"/>
        <v>1084</v>
      </c>
      <c r="C1087" s="1838" t="s">
        <v>3003</v>
      </c>
      <c r="D1087" s="1838" t="s">
        <v>3162</v>
      </c>
      <c r="E1087" s="1838" t="s">
        <v>4201</v>
      </c>
      <c r="F1087" s="1839">
        <v>45351</v>
      </c>
      <c r="G1087" s="1840">
        <v>33408</v>
      </c>
      <c r="H1087" s="1841">
        <f t="shared" si="49"/>
        <v>31</v>
      </c>
      <c r="I1087" s="1838">
        <f t="shared" si="50"/>
        <v>33408</v>
      </c>
      <c r="J1087" s="1838">
        <v>0</v>
      </c>
      <c r="K1087" s="1838">
        <v>0</v>
      </c>
      <c r="L1087" s="1838">
        <v>0</v>
      </c>
      <c r="M1087" s="1838">
        <v>0</v>
      </c>
      <c r="N1087" s="1838" t="s">
        <v>3182</v>
      </c>
      <c r="O1087" s="1838" t="s">
        <v>3183</v>
      </c>
      <c r="P1087" s="1838"/>
    </row>
    <row r="1088" spans="2:16" s="1843" customFormat="1">
      <c r="B1088" s="1838">
        <f t="shared" si="51"/>
        <v>1085</v>
      </c>
      <c r="C1088" s="1838" t="s">
        <v>3003</v>
      </c>
      <c r="D1088" s="1838" t="s">
        <v>3162</v>
      </c>
      <c r="E1088" s="1838" t="s">
        <v>4202</v>
      </c>
      <c r="F1088" s="1839">
        <v>45351</v>
      </c>
      <c r="G1088" s="1840">
        <v>37688</v>
      </c>
      <c r="H1088" s="1841">
        <f t="shared" si="49"/>
        <v>31</v>
      </c>
      <c r="I1088" s="1838">
        <f t="shared" si="50"/>
        <v>37688</v>
      </c>
      <c r="J1088" s="1838">
        <v>0</v>
      </c>
      <c r="K1088" s="1838">
        <v>0</v>
      </c>
      <c r="L1088" s="1838">
        <v>0</v>
      </c>
      <c r="M1088" s="1838">
        <v>0</v>
      </c>
      <c r="N1088" s="1838" t="s">
        <v>3182</v>
      </c>
      <c r="O1088" s="1838" t="s">
        <v>3183</v>
      </c>
      <c r="P1088" s="1838"/>
    </row>
    <row r="1089" spans="2:16" s="1843" customFormat="1">
      <c r="B1089" s="1838">
        <f t="shared" si="51"/>
        <v>1086</v>
      </c>
      <c r="C1089" s="1838" t="s">
        <v>3003</v>
      </c>
      <c r="D1089" s="1838" t="s">
        <v>3162</v>
      </c>
      <c r="E1089" s="1838" t="s">
        <v>4203</v>
      </c>
      <c r="F1089" s="1839">
        <v>45351</v>
      </c>
      <c r="G1089" s="1840">
        <v>43993</v>
      </c>
      <c r="H1089" s="1841">
        <f t="shared" si="49"/>
        <v>31</v>
      </c>
      <c r="I1089" s="1838">
        <f t="shared" si="50"/>
        <v>43993</v>
      </c>
      <c r="J1089" s="1838">
        <v>0</v>
      </c>
      <c r="K1089" s="1838">
        <v>0</v>
      </c>
      <c r="L1089" s="1838">
        <v>0</v>
      </c>
      <c r="M1089" s="1838">
        <v>0</v>
      </c>
      <c r="N1089" s="1838" t="s">
        <v>3182</v>
      </c>
      <c r="O1089" s="1838" t="s">
        <v>3183</v>
      </c>
      <c r="P1089" s="1838"/>
    </row>
    <row r="1090" spans="2:16" s="1843" customFormat="1">
      <c r="B1090" s="1838">
        <f t="shared" si="51"/>
        <v>1087</v>
      </c>
      <c r="C1090" s="1838" t="s">
        <v>3003</v>
      </c>
      <c r="D1090" s="1838" t="s">
        <v>3162</v>
      </c>
      <c r="E1090" s="1838" t="s">
        <v>3805</v>
      </c>
      <c r="F1090" s="1839">
        <v>45351</v>
      </c>
      <c r="G1090" s="1840">
        <v>-7475</v>
      </c>
      <c r="H1090" s="1841">
        <f t="shared" si="49"/>
        <v>31</v>
      </c>
      <c r="I1090" s="1838">
        <f t="shared" si="50"/>
        <v>-7475</v>
      </c>
      <c r="J1090" s="1838">
        <v>0</v>
      </c>
      <c r="K1090" s="1838">
        <v>0</v>
      </c>
      <c r="L1090" s="1838">
        <v>0</v>
      </c>
      <c r="M1090" s="1838">
        <v>0</v>
      </c>
      <c r="N1090" s="1838" t="s">
        <v>3182</v>
      </c>
      <c r="O1090" s="1838" t="s">
        <v>3183</v>
      </c>
      <c r="P1090" s="1838"/>
    </row>
    <row r="1091" spans="2:16" s="1843" customFormat="1">
      <c r="B1091" s="1838">
        <f t="shared" si="51"/>
        <v>1088</v>
      </c>
      <c r="C1091" s="1838" t="s">
        <v>3003</v>
      </c>
      <c r="D1091" s="1838" t="s">
        <v>3162</v>
      </c>
      <c r="E1091" s="1838" t="s">
        <v>4204</v>
      </c>
      <c r="F1091" s="1839">
        <v>45352</v>
      </c>
      <c r="G1091" s="1840">
        <v>50826</v>
      </c>
      <c r="H1091" s="1841">
        <f t="shared" si="49"/>
        <v>30</v>
      </c>
      <c r="I1091" s="1838">
        <f t="shared" si="50"/>
        <v>50826</v>
      </c>
      <c r="J1091" s="1838">
        <v>0</v>
      </c>
      <c r="K1091" s="1838">
        <v>0</v>
      </c>
      <c r="L1091" s="1838">
        <v>0</v>
      </c>
      <c r="M1091" s="1838">
        <v>0</v>
      </c>
      <c r="N1091" s="1838" t="s">
        <v>3182</v>
      </c>
      <c r="O1091" s="1838" t="s">
        <v>3183</v>
      </c>
      <c r="P1091" s="1838"/>
    </row>
    <row r="1092" spans="2:16" s="1843" customFormat="1">
      <c r="B1092" s="1838">
        <f t="shared" si="51"/>
        <v>1089</v>
      </c>
      <c r="C1092" s="1838" t="s">
        <v>3003</v>
      </c>
      <c r="D1092" s="1838" t="s">
        <v>3162</v>
      </c>
      <c r="E1092" s="1838" t="s">
        <v>4205</v>
      </c>
      <c r="F1092" s="1839">
        <v>45352</v>
      </c>
      <c r="G1092" s="1840">
        <v>46321</v>
      </c>
      <c r="H1092" s="1841">
        <f t="shared" si="49"/>
        <v>30</v>
      </c>
      <c r="I1092" s="1838">
        <f t="shared" si="50"/>
        <v>46321</v>
      </c>
      <c r="J1092" s="1838">
        <v>0</v>
      </c>
      <c r="K1092" s="1838">
        <v>0</v>
      </c>
      <c r="L1092" s="1838">
        <v>0</v>
      </c>
      <c r="M1092" s="1838">
        <v>0</v>
      </c>
      <c r="N1092" s="1838" t="s">
        <v>3182</v>
      </c>
      <c r="O1092" s="1838" t="s">
        <v>3183</v>
      </c>
      <c r="P1092" s="1838"/>
    </row>
    <row r="1093" spans="2:16" s="1843" customFormat="1">
      <c r="B1093" s="1838">
        <f t="shared" si="51"/>
        <v>1090</v>
      </c>
      <c r="C1093" s="1838" t="s">
        <v>3003</v>
      </c>
      <c r="D1093" s="1838" t="s">
        <v>3162</v>
      </c>
      <c r="E1093" s="1838" t="s">
        <v>4206</v>
      </c>
      <c r="F1093" s="1839">
        <v>45352</v>
      </c>
      <c r="G1093" s="1840">
        <v>52703</v>
      </c>
      <c r="H1093" s="1841">
        <f t="shared" ref="H1093:H1156" si="52">+$H$2-F1093</f>
        <v>30</v>
      </c>
      <c r="I1093" s="1838">
        <f t="shared" ref="I1093:I1156" si="53">+G1093</f>
        <v>52703</v>
      </c>
      <c r="J1093" s="1838">
        <v>0</v>
      </c>
      <c r="K1093" s="1838">
        <v>0</v>
      </c>
      <c r="L1093" s="1838">
        <v>0</v>
      </c>
      <c r="M1093" s="1838">
        <v>0</v>
      </c>
      <c r="N1093" s="1838" t="s">
        <v>3182</v>
      </c>
      <c r="O1093" s="1838" t="s">
        <v>3183</v>
      </c>
      <c r="P1093" s="1838"/>
    </row>
    <row r="1094" spans="2:16" s="1843" customFormat="1">
      <c r="B1094" s="1838">
        <f t="shared" ref="B1094:B1157" si="54">+B1093+1</f>
        <v>1091</v>
      </c>
      <c r="C1094" s="1838" t="s">
        <v>3003</v>
      </c>
      <c r="D1094" s="1838" t="s">
        <v>3162</v>
      </c>
      <c r="E1094" s="1838" t="s">
        <v>4207</v>
      </c>
      <c r="F1094" s="1839">
        <v>45352</v>
      </c>
      <c r="G1094" s="1840">
        <v>68318</v>
      </c>
      <c r="H1094" s="1841">
        <f t="shared" si="52"/>
        <v>30</v>
      </c>
      <c r="I1094" s="1838">
        <f t="shared" si="53"/>
        <v>68318</v>
      </c>
      <c r="J1094" s="1838">
        <v>0</v>
      </c>
      <c r="K1094" s="1838">
        <v>0</v>
      </c>
      <c r="L1094" s="1838">
        <v>0</v>
      </c>
      <c r="M1094" s="1838">
        <v>0</v>
      </c>
      <c r="N1094" s="1838" t="s">
        <v>3182</v>
      </c>
      <c r="O1094" s="1838" t="s">
        <v>3183</v>
      </c>
      <c r="P1094" s="1838"/>
    </row>
    <row r="1095" spans="2:16" s="1843" customFormat="1">
      <c r="B1095" s="1838">
        <f t="shared" si="54"/>
        <v>1092</v>
      </c>
      <c r="C1095" s="1838" t="s">
        <v>3003</v>
      </c>
      <c r="D1095" s="1838" t="s">
        <v>3162</v>
      </c>
      <c r="E1095" s="1838" t="s">
        <v>4208</v>
      </c>
      <c r="F1095" s="1839">
        <v>45352</v>
      </c>
      <c r="G1095" s="1840">
        <v>58258</v>
      </c>
      <c r="H1095" s="1841">
        <f t="shared" si="52"/>
        <v>30</v>
      </c>
      <c r="I1095" s="1838">
        <f t="shared" si="53"/>
        <v>58258</v>
      </c>
      <c r="J1095" s="1838">
        <v>0</v>
      </c>
      <c r="K1095" s="1838">
        <v>0</v>
      </c>
      <c r="L1095" s="1838">
        <v>0</v>
      </c>
      <c r="M1095" s="1838">
        <v>0</v>
      </c>
      <c r="N1095" s="1838" t="s">
        <v>3182</v>
      </c>
      <c r="O1095" s="1838" t="s">
        <v>3183</v>
      </c>
      <c r="P1095" s="1838"/>
    </row>
    <row r="1096" spans="2:16" s="1843" customFormat="1">
      <c r="B1096" s="1838">
        <f t="shared" si="54"/>
        <v>1093</v>
      </c>
      <c r="C1096" s="1838" t="s">
        <v>3003</v>
      </c>
      <c r="D1096" s="1838" t="s">
        <v>3162</v>
      </c>
      <c r="E1096" s="1838" t="s">
        <v>4209</v>
      </c>
      <c r="F1096" s="1839">
        <v>45353</v>
      </c>
      <c r="G1096" s="1840">
        <v>49083</v>
      </c>
      <c r="H1096" s="1841">
        <f t="shared" si="52"/>
        <v>29</v>
      </c>
      <c r="I1096" s="1838">
        <f t="shared" si="53"/>
        <v>49083</v>
      </c>
      <c r="J1096" s="1838">
        <v>0</v>
      </c>
      <c r="K1096" s="1838">
        <v>0</v>
      </c>
      <c r="L1096" s="1838">
        <v>0</v>
      </c>
      <c r="M1096" s="1838">
        <v>0</v>
      </c>
      <c r="N1096" s="1838" t="s">
        <v>3182</v>
      </c>
      <c r="O1096" s="1838" t="s">
        <v>3183</v>
      </c>
      <c r="P1096" s="1838"/>
    </row>
    <row r="1097" spans="2:16" s="1843" customFormat="1">
      <c r="B1097" s="1838">
        <f t="shared" si="54"/>
        <v>1094</v>
      </c>
      <c r="C1097" s="1838" t="s">
        <v>3003</v>
      </c>
      <c r="D1097" s="1838" t="s">
        <v>3162</v>
      </c>
      <c r="E1097" s="1838" t="s">
        <v>4210</v>
      </c>
      <c r="F1097" s="1839">
        <v>45353</v>
      </c>
      <c r="G1097" s="1840">
        <v>48543</v>
      </c>
      <c r="H1097" s="1841">
        <f t="shared" si="52"/>
        <v>29</v>
      </c>
      <c r="I1097" s="1838">
        <f t="shared" si="53"/>
        <v>48543</v>
      </c>
      <c r="J1097" s="1838">
        <v>0</v>
      </c>
      <c r="K1097" s="1838">
        <v>0</v>
      </c>
      <c r="L1097" s="1838">
        <v>0</v>
      </c>
      <c r="M1097" s="1838">
        <v>0</v>
      </c>
      <c r="N1097" s="1838" t="s">
        <v>3182</v>
      </c>
      <c r="O1097" s="1838" t="s">
        <v>3183</v>
      </c>
      <c r="P1097" s="1838"/>
    </row>
    <row r="1098" spans="2:16" s="1843" customFormat="1">
      <c r="B1098" s="1838">
        <f t="shared" si="54"/>
        <v>1095</v>
      </c>
      <c r="C1098" s="1838" t="s">
        <v>3003</v>
      </c>
      <c r="D1098" s="1838" t="s">
        <v>3162</v>
      </c>
      <c r="E1098" s="1838" t="s">
        <v>4211</v>
      </c>
      <c r="F1098" s="1839">
        <v>45353</v>
      </c>
      <c r="G1098" s="1840">
        <v>53096</v>
      </c>
      <c r="H1098" s="1841">
        <f t="shared" si="52"/>
        <v>29</v>
      </c>
      <c r="I1098" s="1838">
        <f t="shared" si="53"/>
        <v>53096</v>
      </c>
      <c r="J1098" s="1838">
        <v>0</v>
      </c>
      <c r="K1098" s="1838">
        <v>0</v>
      </c>
      <c r="L1098" s="1838">
        <v>0</v>
      </c>
      <c r="M1098" s="1838">
        <v>0</v>
      </c>
      <c r="N1098" s="1838" t="s">
        <v>3182</v>
      </c>
      <c r="O1098" s="1838" t="s">
        <v>3183</v>
      </c>
      <c r="P1098" s="1838"/>
    </row>
    <row r="1099" spans="2:16" s="1843" customFormat="1">
      <c r="B1099" s="1838">
        <f t="shared" si="54"/>
        <v>1096</v>
      </c>
      <c r="C1099" s="1838" t="s">
        <v>3003</v>
      </c>
      <c r="D1099" s="1838" t="s">
        <v>3162</v>
      </c>
      <c r="E1099" s="1838" t="s">
        <v>4212</v>
      </c>
      <c r="F1099" s="1839">
        <v>45353</v>
      </c>
      <c r="G1099" s="1840">
        <v>56492</v>
      </c>
      <c r="H1099" s="1841">
        <f t="shared" si="52"/>
        <v>29</v>
      </c>
      <c r="I1099" s="1838">
        <f t="shared" si="53"/>
        <v>56492</v>
      </c>
      <c r="J1099" s="1838">
        <v>0</v>
      </c>
      <c r="K1099" s="1838">
        <v>0</v>
      </c>
      <c r="L1099" s="1838">
        <v>0</v>
      </c>
      <c r="M1099" s="1838">
        <v>0</v>
      </c>
      <c r="N1099" s="1838" t="s">
        <v>3182</v>
      </c>
      <c r="O1099" s="1838" t="s">
        <v>3183</v>
      </c>
      <c r="P1099" s="1838"/>
    </row>
    <row r="1100" spans="2:16" s="1843" customFormat="1">
      <c r="B1100" s="1838">
        <f t="shared" si="54"/>
        <v>1097</v>
      </c>
      <c r="C1100" s="1838" t="s">
        <v>3003</v>
      </c>
      <c r="D1100" s="1838" t="s">
        <v>3162</v>
      </c>
      <c r="E1100" s="1838" t="s">
        <v>4213</v>
      </c>
      <c r="F1100" s="1839">
        <v>45354</v>
      </c>
      <c r="G1100" s="1840">
        <v>45302</v>
      </c>
      <c r="H1100" s="1841">
        <f t="shared" si="52"/>
        <v>28</v>
      </c>
      <c r="I1100" s="1838">
        <f t="shared" si="53"/>
        <v>45302</v>
      </c>
      <c r="J1100" s="1838">
        <v>0</v>
      </c>
      <c r="K1100" s="1838">
        <v>0</v>
      </c>
      <c r="L1100" s="1838">
        <v>0</v>
      </c>
      <c r="M1100" s="1838">
        <v>0</v>
      </c>
      <c r="N1100" s="1838" t="s">
        <v>3182</v>
      </c>
      <c r="O1100" s="1838" t="s">
        <v>3183</v>
      </c>
      <c r="P1100" s="1838"/>
    </row>
    <row r="1101" spans="2:16" s="1843" customFormat="1">
      <c r="B1101" s="1838">
        <f t="shared" si="54"/>
        <v>1098</v>
      </c>
      <c r="C1101" s="1838" t="s">
        <v>3003</v>
      </c>
      <c r="D1101" s="1838" t="s">
        <v>3162</v>
      </c>
      <c r="E1101" s="1838" t="s">
        <v>4214</v>
      </c>
      <c r="F1101" s="1839">
        <v>45354</v>
      </c>
      <c r="G1101" s="1840">
        <v>44839</v>
      </c>
      <c r="H1101" s="1841">
        <f t="shared" si="52"/>
        <v>28</v>
      </c>
      <c r="I1101" s="1838">
        <f t="shared" si="53"/>
        <v>44839</v>
      </c>
      <c r="J1101" s="1838">
        <v>0</v>
      </c>
      <c r="K1101" s="1838">
        <v>0</v>
      </c>
      <c r="L1101" s="1838">
        <v>0</v>
      </c>
      <c r="M1101" s="1838">
        <v>0</v>
      </c>
      <c r="N1101" s="1838" t="s">
        <v>3182</v>
      </c>
      <c r="O1101" s="1838" t="s">
        <v>3183</v>
      </c>
      <c r="P1101" s="1838"/>
    </row>
    <row r="1102" spans="2:16" s="1843" customFormat="1">
      <c r="B1102" s="1838">
        <f t="shared" si="54"/>
        <v>1099</v>
      </c>
      <c r="C1102" s="1838" t="s">
        <v>3003</v>
      </c>
      <c r="D1102" s="1838" t="s">
        <v>3162</v>
      </c>
      <c r="E1102" s="1838" t="s">
        <v>4215</v>
      </c>
      <c r="F1102" s="1839">
        <v>45354</v>
      </c>
      <c r="G1102" s="1840">
        <v>47385</v>
      </c>
      <c r="H1102" s="1841">
        <f t="shared" si="52"/>
        <v>28</v>
      </c>
      <c r="I1102" s="1838">
        <f t="shared" si="53"/>
        <v>47385</v>
      </c>
      <c r="J1102" s="1838">
        <v>0</v>
      </c>
      <c r="K1102" s="1838">
        <v>0</v>
      </c>
      <c r="L1102" s="1838">
        <v>0</v>
      </c>
      <c r="M1102" s="1838">
        <v>0</v>
      </c>
      <c r="N1102" s="1838" t="s">
        <v>3182</v>
      </c>
      <c r="O1102" s="1838" t="s">
        <v>3183</v>
      </c>
      <c r="P1102" s="1838"/>
    </row>
    <row r="1103" spans="2:16" s="1843" customFormat="1">
      <c r="B1103" s="1838">
        <f t="shared" si="54"/>
        <v>1100</v>
      </c>
      <c r="C1103" s="1838" t="s">
        <v>3003</v>
      </c>
      <c r="D1103" s="1838" t="s">
        <v>3162</v>
      </c>
      <c r="E1103" s="1838" t="s">
        <v>4216</v>
      </c>
      <c r="F1103" s="1839">
        <v>45354</v>
      </c>
      <c r="G1103" s="1840">
        <v>57110</v>
      </c>
      <c r="H1103" s="1841">
        <f t="shared" si="52"/>
        <v>28</v>
      </c>
      <c r="I1103" s="1838">
        <f t="shared" si="53"/>
        <v>57110</v>
      </c>
      <c r="J1103" s="1838">
        <v>0</v>
      </c>
      <c r="K1103" s="1838">
        <v>0</v>
      </c>
      <c r="L1103" s="1838">
        <v>0</v>
      </c>
      <c r="M1103" s="1838">
        <v>0</v>
      </c>
      <c r="N1103" s="1838" t="s">
        <v>3182</v>
      </c>
      <c r="O1103" s="1838" t="s">
        <v>3183</v>
      </c>
      <c r="P1103" s="1838"/>
    </row>
    <row r="1104" spans="2:16" s="1843" customFormat="1">
      <c r="B1104" s="1838">
        <f t="shared" si="54"/>
        <v>1101</v>
      </c>
      <c r="C1104" s="1838" t="s">
        <v>3003</v>
      </c>
      <c r="D1104" s="1838" t="s">
        <v>3162</v>
      </c>
      <c r="E1104" s="1838" t="s">
        <v>4217</v>
      </c>
      <c r="F1104" s="1839">
        <v>45355</v>
      </c>
      <c r="G1104" s="1840">
        <v>75477</v>
      </c>
      <c r="H1104" s="1841">
        <f t="shared" si="52"/>
        <v>27</v>
      </c>
      <c r="I1104" s="1838">
        <f t="shared" si="53"/>
        <v>75477</v>
      </c>
      <c r="J1104" s="1838">
        <v>0</v>
      </c>
      <c r="K1104" s="1838">
        <v>0</v>
      </c>
      <c r="L1104" s="1838">
        <v>0</v>
      </c>
      <c r="M1104" s="1838">
        <v>0</v>
      </c>
      <c r="N1104" s="1838" t="s">
        <v>3182</v>
      </c>
      <c r="O1104" s="1838" t="s">
        <v>3183</v>
      </c>
      <c r="P1104" s="1838"/>
    </row>
    <row r="1105" spans="2:16" s="1843" customFormat="1">
      <c r="B1105" s="1838">
        <f t="shared" si="54"/>
        <v>1102</v>
      </c>
      <c r="C1105" s="1838" t="s">
        <v>3003</v>
      </c>
      <c r="D1105" s="1838" t="s">
        <v>3162</v>
      </c>
      <c r="E1105" s="1838" t="s">
        <v>4218</v>
      </c>
      <c r="F1105" s="1839">
        <v>45355</v>
      </c>
      <c r="G1105" s="1840">
        <v>52942</v>
      </c>
      <c r="H1105" s="1841">
        <f t="shared" si="52"/>
        <v>27</v>
      </c>
      <c r="I1105" s="1838">
        <f t="shared" si="53"/>
        <v>52942</v>
      </c>
      <c r="J1105" s="1838">
        <v>0</v>
      </c>
      <c r="K1105" s="1838">
        <v>0</v>
      </c>
      <c r="L1105" s="1838">
        <v>0</v>
      </c>
      <c r="M1105" s="1838">
        <v>0</v>
      </c>
      <c r="N1105" s="1838" t="s">
        <v>3182</v>
      </c>
      <c r="O1105" s="1838" t="s">
        <v>3183</v>
      </c>
      <c r="P1105" s="1838"/>
    </row>
    <row r="1106" spans="2:16" s="1843" customFormat="1">
      <c r="B1106" s="1838">
        <f t="shared" si="54"/>
        <v>1103</v>
      </c>
      <c r="C1106" s="1838" t="s">
        <v>3003</v>
      </c>
      <c r="D1106" s="1838" t="s">
        <v>3162</v>
      </c>
      <c r="E1106" s="1838" t="s">
        <v>4219</v>
      </c>
      <c r="F1106" s="1839">
        <v>45355</v>
      </c>
      <c r="G1106" s="1840">
        <v>54408</v>
      </c>
      <c r="H1106" s="1841">
        <f t="shared" si="52"/>
        <v>27</v>
      </c>
      <c r="I1106" s="1838">
        <f t="shared" si="53"/>
        <v>54408</v>
      </c>
      <c r="J1106" s="1838">
        <v>0</v>
      </c>
      <c r="K1106" s="1838">
        <v>0</v>
      </c>
      <c r="L1106" s="1838">
        <v>0</v>
      </c>
      <c r="M1106" s="1838">
        <v>0</v>
      </c>
      <c r="N1106" s="1838" t="s">
        <v>3182</v>
      </c>
      <c r="O1106" s="1838" t="s">
        <v>3183</v>
      </c>
      <c r="P1106" s="1838"/>
    </row>
    <row r="1107" spans="2:16" s="1843" customFormat="1">
      <c r="B1107" s="1838">
        <f t="shared" si="54"/>
        <v>1104</v>
      </c>
      <c r="C1107" s="1838" t="s">
        <v>3003</v>
      </c>
      <c r="D1107" s="1838" t="s">
        <v>3162</v>
      </c>
      <c r="E1107" s="1838" t="s">
        <v>4220</v>
      </c>
      <c r="F1107" s="1839">
        <v>45356</v>
      </c>
      <c r="G1107" s="1840">
        <v>70229</v>
      </c>
      <c r="H1107" s="1841">
        <f t="shared" si="52"/>
        <v>26</v>
      </c>
      <c r="I1107" s="1838">
        <f t="shared" si="53"/>
        <v>70229</v>
      </c>
      <c r="J1107" s="1838">
        <v>0</v>
      </c>
      <c r="K1107" s="1838">
        <v>0</v>
      </c>
      <c r="L1107" s="1838">
        <v>0</v>
      </c>
      <c r="M1107" s="1838">
        <v>0</v>
      </c>
      <c r="N1107" s="1838" t="s">
        <v>3182</v>
      </c>
      <c r="O1107" s="1838" t="s">
        <v>3183</v>
      </c>
      <c r="P1107" s="1838"/>
    </row>
    <row r="1108" spans="2:16" s="1843" customFormat="1">
      <c r="B1108" s="1838">
        <f t="shared" si="54"/>
        <v>1105</v>
      </c>
      <c r="C1108" s="1838" t="s">
        <v>3003</v>
      </c>
      <c r="D1108" s="1838" t="s">
        <v>3162</v>
      </c>
      <c r="E1108" s="1838" t="s">
        <v>4221</v>
      </c>
      <c r="F1108" s="1839">
        <v>45356</v>
      </c>
      <c r="G1108" s="1840">
        <v>38048</v>
      </c>
      <c r="H1108" s="1841">
        <f t="shared" si="52"/>
        <v>26</v>
      </c>
      <c r="I1108" s="1838">
        <f t="shared" si="53"/>
        <v>38048</v>
      </c>
      <c r="J1108" s="1838">
        <v>0</v>
      </c>
      <c r="K1108" s="1838">
        <v>0</v>
      </c>
      <c r="L1108" s="1838">
        <v>0</v>
      </c>
      <c r="M1108" s="1838">
        <v>0</v>
      </c>
      <c r="N1108" s="1838" t="s">
        <v>3182</v>
      </c>
      <c r="O1108" s="1838" t="s">
        <v>3183</v>
      </c>
      <c r="P1108" s="1838"/>
    </row>
    <row r="1109" spans="2:16" s="1843" customFormat="1">
      <c r="B1109" s="1838">
        <f t="shared" si="54"/>
        <v>1106</v>
      </c>
      <c r="C1109" s="1838" t="s">
        <v>3003</v>
      </c>
      <c r="D1109" s="1838" t="s">
        <v>3162</v>
      </c>
      <c r="E1109" s="1838" t="s">
        <v>4222</v>
      </c>
      <c r="F1109" s="1839">
        <v>45356</v>
      </c>
      <c r="G1109" s="1840">
        <v>45996</v>
      </c>
      <c r="H1109" s="1841">
        <f t="shared" si="52"/>
        <v>26</v>
      </c>
      <c r="I1109" s="1838">
        <f t="shared" si="53"/>
        <v>45996</v>
      </c>
      <c r="J1109" s="1838">
        <v>0</v>
      </c>
      <c r="K1109" s="1838">
        <v>0</v>
      </c>
      <c r="L1109" s="1838">
        <v>0</v>
      </c>
      <c r="M1109" s="1838">
        <v>0</v>
      </c>
      <c r="N1109" s="1838" t="s">
        <v>3182</v>
      </c>
      <c r="O1109" s="1838" t="s">
        <v>3183</v>
      </c>
      <c r="P1109" s="1838"/>
    </row>
    <row r="1110" spans="2:16" s="1843" customFormat="1">
      <c r="B1110" s="1838">
        <f t="shared" si="54"/>
        <v>1107</v>
      </c>
      <c r="C1110" s="1838" t="s">
        <v>3003</v>
      </c>
      <c r="D1110" s="1838" t="s">
        <v>3162</v>
      </c>
      <c r="E1110" s="1838" t="s">
        <v>4223</v>
      </c>
      <c r="F1110" s="1839">
        <v>45356</v>
      </c>
      <c r="G1110" s="1840">
        <v>45610</v>
      </c>
      <c r="H1110" s="1841">
        <f t="shared" si="52"/>
        <v>26</v>
      </c>
      <c r="I1110" s="1838">
        <f t="shared" si="53"/>
        <v>45610</v>
      </c>
      <c r="J1110" s="1838">
        <v>0</v>
      </c>
      <c r="K1110" s="1838">
        <v>0</v>
      </c>
      <c r="L1110" s="1838">
        <v>0</v>
      </c>
      <c r="M1110" s="1838">
        <v>0</v>
      </c>
      <c r="N1110" s="1838" t="s">
        <v>3182</v>
      </c>
      <c r="O1110" s="1838" t="s">
        <v>3183</v>
      </c>
      <c r="P1110" s="1838"/>
    </row>
    <row r="1111" spans="2:16" s="1843" customFormat="1">
      <c r="B1111" s="1838">
        <f t="shared" si="54"/>
        <v>1108</v>
      </c>
      <c r="C1111" s="1838" t="s">
        <v>3003</v>
      </c>
      <c r="D1111" s="1838" t="s">
        <v>3162</v>
      </c>
      <c r="E1111" s="1838" t="s">
        <v>4224</v>
      </c>
      <c r="F1111" s="1839">
        <v>45356</v>
      </c>
      <c r="G1111" s="1840">
        <v>44144</v>
      </c>
      <c r="H1111" s="1841">
        <f t="shared" si="52"/>
        <v>26</v>
      </c>
      <c r="I1111" s="1838">
        <f t="shared" si="53"/>
        <v>44144</v>
      </c>
      <c r="J1111" s="1838">
        <v>0</v>
      </c>
      <c r="K1111" s="1838">
        <v>0</v>
      </c>
      <c r="L1111" s="1838">
        <v>0</v>
      </c>
      <c r="M1111" s="1838">
        <v>0</v>
      </c>
      <c r="N1111" s="1838" t="s">
        <v>3182</v>
      </c>
      <c r="O1111" s="1838" t="s">
        <v>3183</v>
      </c>
      <c r="P1111" s="1838"/>
    </row>
    <row r="1112" spans="2:16" s="1843" customFormat="1">
      <c r="B1112" s="1838">
        <f t="shared" si="54"/>
        <v>1109</v>
      </c>
      <c r="C1112" s="1838" t="s">
        <v>3003</v>
      </c>
      <c r="D1112" s="1838" t="s">
        <v>3162</v>
      </c>
      <c r="E1112" s="1838" t="s">
        <v>4225</v>
      </c>
      <c r="F1112" s="1839">
        <v>45356</v>
      </c>
      <c r="G1112" s="1840">
        <v>40208</v>
      </c>
      <c r="H1112" s="1841">
        <f t="shared" si="52"/>
        <v>26</v>
      </c>
      <c r="I1112" s="1838">
        <f t="shared" si="53"/>
        <v>40208</v>
      </c>
      <c r="J1112" s="1838">
        <v>0</v>
      </c>
      <c r="K1112" s="1838">
        <v>0</v>
      </c>
      <c r="L1112" s="1838">
        <v>0</v>
      </c>
      <c r="M1112" s="1838">
        <v>0</v>
      </c>
      <c r="N1112" s="1838" t="s">
        <v>3182</v>
      </c>
      <c r="O1112" s="1838" t="s">
        <v>3183</v>
      </c>
      <c r="P1112" s="1838"/>
    </row>
    <row r="1113" spans="2:16" s="1843" customFormat="1">
      <c r="B1113" s="1838">
        <f t="shared" si="54"/>
        <v>1110</v>
      </c>
      <c r="C1113" s="1838" t="s">
        <v>3003</v>
      </c>
      <c r="D1113" s="1838" t="s">
        <v>3162</v>
      </c>
      <c r="E1113" s="1838" t="s">
        <v>4226</v>
      </c>
      <c r="F1113" s="1839">
        <v>45356</v>
      </c>
      <c r="G1113" s="1840">
        <v>49701</v>
      </c>
      <c r="H1113" s="1841">
        <f t="shared" si="52"/>
        <v>26</v>
      </c>
      <c r="I1113" s="1838">
        <f t="shared" si="53"/>
        <v>49701</v>
      </c>
      <c r="J1113" s="1838">
        <v>0</v>
      </c>
      <c r="K1113" s="1838">
        <v>0</v>
      </c>
      <c r="L1113" s="1838">
        <v>0</v>
      </c>
      <c r="M1113" s="1838">
        <v>0</v>
      </c>
      <c r="N1113" s="1838" t="s">
        <v>3182</v>
      </c>
      <c r="O1113" s="1838" t="s">
        <v>3183</v>
      </c>
      <c r="P1113" s="1838"/>
    </row>
    <row r="1114" spans="2:16" s="1843" customFormat="1">
      <c r="B1114" s="1838">
        <f t="shared" si="54"/>
        <v>1111</v>
      </c>
      <c r="C1114" s="1838" t="s">
        <v>3003</v>
      </c>
      <c r="D1114" s="1838" t="s">
        <v>3162</v>
      </c>
      <c r="E1114" s="1838" t="s">
        <v>4227</v>
      </c>
      <c r="F1114" s="1839">
        <v>45356</v>
      </c>
      <c r="G1114" s="1840">
        <v>51939</v>
      </c>
      <c r="H1114" s="1841">
        <f t="shared" si="52"/>
        <v>26</v>
      </c>
      <c r="I1114" s="1838">
        <f t="shared" si="53"/>
        <v>51939</v>
      </c>
      <c r="J1114" s="1838">
        <v>0</v>
      </c>
      <c r="K1114" s="1838">
        <v>0</v>
      </c>
      <c r="L1114" s="1838">
        <v>0</v>
      </c>
      <c r="M1114" s="1838">
        <v>0</v>
      </c>
      <c r="N1114" s="1838" t="s">
        <v>3182</v>
      </c>
      <c r="O1114" s="1838" t="s">
        <v>3183</v>
      </c>
      <c r="P1114" s="1838"/>
    </row>
    <row r="1115" spans="2:16" s="1843" customFormat="1">
      <c r="B1115" s="1838">
        <f t="shared" si="54"/>
        <v>1112</v>
      </c>
      <c r="C1115" s="1838" t="s">
        <v>3003</v>
      </c>
      <c r="D1115" s="1838" t="s">
        <v>3162</v>
      </c>
      <c r="E1115" s="1838" t="s">
        <v>4228</v>
      </c>
      <c r="F1115" s="1839">
        <v>45356</v>
      </c>
      <c r="G1115" s="1840">
        <v>46382</v>
      </c>
      <c r="H1115" s="1841">
        <f t="shared" si="52"/>
        <v>26</v>
      </c>
      <c r="I1115" s="1838">
        <f t="shared" si="53"/>
        <v>46382</v>
      </c>
      <c r="J1115" s="1838">
        <v>0</v>
      </c>
      <c r="K1115" s="1838">
        <v>0</v>
      </c>
      <c r="L1115" s="1838">
        <v>0</v>
      </c>
      <c r="M1115" s="1838">
        <v>0</v>
      </c>
      <c r="N1115" s="1838" t="s">
        <v>3182</v>
      </c>
      <c r="O1115" s="1838" t="s">
        <v>3183</v>
      </c>
      <c r="P1115" s="1838"/>
    </row>
    <row r="1116" spans="2:16" s="1843" customFormat="1">
      <c r="B1116" s="1838">
        <f t="shared" si="54"/>
        <v>1113</v>
      </c>
      <c r="C1116" s="1838" t="s">
        <v>3003</v>
      </c>
      <c r="D1116" s="1838" t="s">
        <v>3162</v>
      </c>
      <c r="E1116" s="1838" t="s">
        <v>4229</v>
      </c>
      <c r="F1116" s="1839">
        <v>45357</v>
      </c>
      <c r="G1116" s="1840">
        <v>70847</v>
      </c>
      <c r="H1116" s="1841">
        <f t="shared" si="52"/>
        <v>25</v>
      </c>
      <c r="I1116" s="1838">
        <f t="shared" si="53"/>
        <v>70847</v>
      </c>
      <c r="J1116" s="1838">
        <v>0</v>
      </c>
      <c r="K1116" s="1838">
        <v>0</v>
      </c>
      <c r="L1116" s="1838">
        <v>0</v>
      </c>
      <c r="M1116" s="1838">
        <v>0</v>
      </c>
      <c r="N1116" s="1838" t="s">
        <v>3182</v>
      </c>
      <c r="O1116" s="1838" t="s">
        <v>3183</v>
      </c>
      <c r="P1116" s="1838"/>
    </row>
    <row r="1117" spans="2:16" s="1843" customFormat="1">
      <c r="B1117" s="1838">
        <f t="shared" si="54"/>
        <v>1114</v>
      </c>
      <c r="C1117" s="1838" t="s">
        <v>3003</v>
      </c>
      <c r="D1117" s="1838" t="s">
        <v>3162</v>
      </c>
      <c r="E1117" s="1838" t="s">
        <v>4230</v>
      </c>
      <c r="F1117" s="1839">
        <v>45357</v>
      </c>
      <c r="G1117" s="1840">
        <v>36658</v>
      </c>
      <c r="H1117" s="1841">
        <f t="shared" si="52"/>
        <v>25</v>
      </c>
      <c r="I1117" s="1838">
        <f t="shared" si="53"/>
        <v>36658</v>
      </c>
      <c r="J1117" s="1838">
        <v>0</v>
      </c>
      <c r="K1117" s="1838">
        <v>0</v>
      </c>
      <c r="L1117" s="1838">
        <v>0</v>
      </c>
      <c r="M1117" s="1838">
        <v>0</v>
      </c>
      <c r="N1117" s="1838" t="s">
        <v>3182</v>
      </c>
      <c r="O1117" s="1838" t="s">
        <v>3183</v>
      </c>
      <c r="P1117" s="1838"/>
    </row>
    <row r="1118" spans="2:16" s="1843" customFormat="1">
      <c r="B1118" s="1838">
        <f t="shared" si="54"/>
        <v>1115</v>
      </c>
      <c r="C1118" s="1838" t="s">
        <v>3003</v>
      </c>
      <c r="D1118" s="1838" t="s">
        <v>3162</v>
      </c>
      <c r="E1118" s="1838" t="s">
        <v>4231</v>
      </c>
      <c r="F1118" s="1839">
        <v>45358</v>
      </c>
      <c r="G1118" s="1840">
        <v>76403</v>
      </c>
      <c r="H1118" s="1841">
        <f t="shared" si="52"/>
        <v>24</v>
      </c>
      <c r="I1118" s="1838">
        <f t="shared" si="53"/>
        <v>76403</v>
      </c>
      <c r="J1118" s="1838">
        <v>0</v>
      </c>
      <c r="K1118" s="1838">
        <v>0</v>
      </c>
      <c r="L1118" s="1838">
        <v>0</v>
      </c>
      <c r="M1118" s="1838">
        <v>0</v>
      </c>
      <c r="N1118" s="1838" t="s">
        <v>3182</v>
      </c>
      <c r="O1118" s="1838" t="s">
        <v>3183</v>
      </c>
      <c r="P1118" s="1838"/>
    </row>
    <row r="1119" spans="2:16" s="1843" customFormat="1">
      <c r="B1119" s="1838">
        <f t="shared" si="54"/>
        <v>1116</v>
      </c>
      <c r="C1119" s="1838" t="s">
        <v>3003</v>
      </c>
      <c r="D1119" s="1838" t="s">
        <v>3162</v>
      </c>
      <c r="E1119" s="1838" t="s">
        <v>4232</v>
      </c>
      <c r="F1119" s="1839">
        <v>45358</v>
      </c>
      <c r="G1119" s="1840">
        <v>39128</v>
      </c>
      <c r="H1119" s="1841">
        <f t="shared" si="52"/>
        <v>24</v>
      </c>
      <c r="I1119" s="1838">
        <f t="shared" si="53"/>
        <v>39128</v>
      </c>
      <c r="J1119" s="1838">
        <v>0</v>
      </c>
      <c r="K1119" s="1838">
        <v>0</v>
      </c>
      <c r="L1119" s="1838">
        <v>0</v>
      </c>
      <c r="M1119" s="1838">
        <v>0</v>
      </c>
      <c r="N1119" s="1838" t="s">
        <v>3182</v>
      </c>
      <c r="O1119" s="1838" t="s">
        <v>3183</v>
      </c>
      <c r="P1119" s="1838"/>
    </row>
    <row r="1120" spans="2:16" s="1843" customFormat="1">
      <c r="B1120" s="1838">
        <f t="shared" si="54"/>
        <v>1117</v>
      </c>
      <c r="C1120" s="1838" t="s">
        <v>3003</v>
      </c>
      <c r="D1120" s="1838" t="s">
        <v>3162</v>
      </c>
      <c r="E1120" s="1838" t="s">
        <v>4233</v>
      </c>
      <c r="F1120" s="1839">
        <v>45358</v>
      </c>
      <c r="G1120" s="1840">
        <v>32568</v>
      </c>
      <c r="H1120" s="1841">
        <f t="shared" si="52"/>
        <v>24</v>
      </c>
      <c r="I1120" s="1838">
        <f t="shared" si="53"/>
        <v>32568</v>
      </c>
      <c r="J1120" s="1838">
        <v>0</v>
      </c>
      <c r="K1120" s="1838">
        <v>0</v>
      </c>
      <c r="L1120" s="1838">
        <v>0</v>
      </c>
      <c r="M1120" s="1838">
        <v>0</v>
      </c>
      <c r="N1120" s="1838" t="s">
        <v>3182</v>
      </c>
      <c r="O1120" s="1838" t="s">
        <v>3183</v>
      </c>
      <c r="P1120" s="1838"/>
    </row>
    <row r="1121" spans="2:16" s="1843" customFormat="1">
      <c r="B1121" s="1838">
        <f t="shared" si="54"/>
        <v>1118</v>
      </c>
      <c r="C1121" s="1838" t="s">
        <v>3003</v>
      </c>
      <c r="D1121" s="1838" t="s">
        <v>3162</v>
      </c>
      <c r="E1121" s="1838" t="s">
        <v>4234</v>
      </c>
      <c r="F1121" s="1839">
        <v>45358</v>
      </c>
      <c r="G1121" s="1840">
        <v>44530</v>
      </c>
      <c r="H1121" s="1841">
        <f t="shared" si="52"/>
        <v>24</v>
      </c>
      <c r="I1121" s="1838">
        <f t="shared" si="53"/>
        <v>44530</v>
      </c>
      <c r="J1121" s="1838">
        <v>0</v>
      </c>
      <c r="K1121" s="1838">
        <v>0</v>
      </c>
      <c r="L1121" s="1838">
        <v>0</v>
      </c>
      <c r="M1121" s="1838">
        <v>0</v>
      </c>
      <c r="N1121" s="1838" t="s">
        <v>3182</v>
      </c>
      <c r="O1121" s="1838" t="s">
        <v>3183</v>
      </c>
      <c r="P1121" s="1838"/>
    </row>
    <row r="1122" spans="2:16" s="1843" customFormat="1">
      <c r="B1122" s="1838">
        <f t="shared" si="54"/>
        <v>1119</v>
      </c>
      <c r="C1122" s="1838" t="s">
        <v>3003</v>
      </c>
      <c r="D1122" s="1838" t="s">
        <v>3162</v>
      </c>
      <c r="E1122" s="1838" t="s">
        <v>4235</v>
      </c>
      <c r="F1122" s="1839">
        <v>45358</v>
      </c>
      <c r="G1122" s="1840">
        <v>57110</v>
      </c>
      <c r="H1122" s="1841">
        <f t="shared" si="52"/>
        <v>24</v>
      </c>
      <c r="I1122" s="1838">
        <f t="shared" si="53"/>
        <v>57110</v>
      </c>
      <c r="J1122" s="1838">
        <v>0</v>
      </c>
      <c r="K1122" s="1838">
        <v>0</v>
      </c>
      <c r="L1122" s="1838">
        <v>0</v>
      </c>
      <c r="M1122" s="1838">
        <v>0</v>
      </c>
      <c r="N1122" s="1838" t="s">
        <v>3182</v>
      </c>
      <c r="O1122" s="1838" t="s">
        <v>3183</v>
      </c>
      <c r="P1122" s="1838"/>
    </row>
    <row r="1123" spans="2:16" s="1843" customFormat="1">
      <c r="B1123" s="1838">
        <f t="shared" si="54"/>
        <v>1120</v>
      </c>
      <c r="C1123" s="1838" t="s">
        <v>3003</v>
      </c>
      <c r="D1123" s="1838" t="s">
        <v>3162</v>
      </c>
      <c r="E1123" s="1838" t="s">
        <v>4236</v>
      </c>
      <c r="F1123" s="1839">
        <v>45360</v>
      </c>
      <c r="G1123" s="1840">
        <v>45379</v>
      </c>
      <c r="H1123" s="1841">
        <f t="shared" si="52"/>
        <v>22</v>
      </c>
      <c r="I1123" s="1838">
        <f t="shared" si="53"/>
        <v>45379</v>
      </c>
      <c r="J1123" s="1838">
        <v>0</v>
      </c>
      <c r="K1123" s="1838">
        <v>0</v>
      </c>
      <c r="L1123" s="1838">
        <v>0</v>
      </c>
      <c r="M1123" s="1838">
        <v>0</v>
      </c>
      <c r="N1123" s="1838" t="s">
        <v>3182</v>
      </c>
      <c r="O1123" s="1838" t="s">
        <v>3183</v>
      </c>
      <c r="P1123" s="1838"/>
    </row>
    <row r="1124" spans="2:16" s="1843" customFormat="1">
      <c r="B1124" s="1838">
        <f t="shared" si="54"/>
        <v>1121</v>
      </c>
      <c r="C1124" s="1838" t="s">
        <v>3003</v>
      </c>
      <c r="D1124" s="1838" t="s">
        <v>3162</v>
      </c>
      <c r="E1124" s="1838" t="s">
        <v>4237</v>
      </c>
      <c r="F1124" s="1839">
        <v>45360</v>
      </c>
      <c r="G1124" s="1840">
        <v>55489</v>
      </c>
      <c r="H1124" s="1841">
        <f t="shared" si="52"/>
        <v>22</v>
      </c>
      <c r="I1124" s="1838">
        <f t="shared" si="53"/>
        <v>55489</v>
      </c>
      <c r="J1124" s="1838">
        <v>0</v>
      </c>
      <c r="K1124" s="1838">
        <v>0</v>
      </c>
      <c r="L1124" s="1838">
        <v>0</v>
      </c>
      <c r="M1124" s="1838">
        <v>0</v>
      </c>
      <c r="N1124" s="1838" t="s">
        <v>3182</v>
      </c>
      <c r="O1124" s="1838" t="s">
        <v>3183</v>
      </c>
      <c r="P1124" s="1838"/>
    </row>
    <row r="1125" spans="2:16" s="1843" customFormat="1">
      <c r="B1125" s="1838">
        <f t="shared" si="54"/>
        <v>1122</v>
      </c>
      <c r="C1125" s="1838" t="s">
        <v>3003</v>
      </c>
      <c r="D1125" s="1838" t="s">
        <v>3162</v>
      </c>
      <c r="E1125" s="1838" t="s">
        <v>4238</v>
      </c>
      <c r="F1125" s="1839">
        <v>45360</v>
      </c>
      <c r="G1125" s="1840">
        <v>44839</v>
      </c>
      <c r="H1125" s="1841">
        <f t="shared" si="52"/>
        <v>22</v>
      </c>
      <c r="I1125" s="1838">
        <f t="shared" si="53"/>
        <v>44839</v>
      </c>
      <c r="J1125" s="1838">
        <v>0</v>
      </c>
      <c r="K1125" s="1838">
        <v>0</v>
      </c>
      <c r="L1125" s="1838">
        <v>0</v>
      </c>
      <c r="M1125" s="1838">
        <v>0</v>
      </c>
      <c r="N1125" s="1838" t="s">
        <v>3182</v>
      </c>
      <c r="O1125" s="1838" t="s">
        <v>3183</v>
      </c>
      <c r="P1125" s="1838"/>
    </row>
    <row r="1126" spans="2:16" s="1843" customFormat="1">
      <c r="B1126" s="1838">
        <f t="shared" si="54"/>
        <v>1123</v>
      </c>
      <c r="C1126" s="1838" t="s">
        <v>3003</v>
      </c>
      <c r="D1126" s="1838" t="s">
        <v>3162</v>
      </c>
      <c r="E1126" s="1838" t="s">
        <v>4239</v>
      </c>
      <c r="F1126" s="1839">
        <v>45360</v>
      </c>
      <c r="G1126" s="1840">
        <v>58267</v>
      </c>
      <c r="H1126" s="1841">
        <f t="shared" si="52"/>
        <v>22</v>
      </c>
      <c r="I1126" s="1838">
        <f t="shared" si="53"/>
        <v>58267</v>
      </c>
      <c r="J1126" s="1838">
        <v>0</v>
      </c>
      <c r="K1126" s="1838">
        <v>0</v>
      </c>
      <c r="L1126" s="1838">
        <v>0</v>
      </c>
      <c r="M1126" s="1838">
        <v>0</v>
      </c>
      <c r="N1126" s="1838" t="s">
        <v>3182</v>
      </c>
      <c r="O1126" s="1838" t="s">
        <v>3183</v>
      </c>
      <c r="P1126" s="1838"/>
    </row>
    <row r="1127" spans="2:16" s="1843" customFormat="1">
      <c r="B1127" s="1838">
        <f t="shared" si="54"/>
        <v>1124</v>
      </c>
      <c r="C1127" s="1838" t="s">
        <v>3003</v>
      </c>
      <c r="D1127" s="1838" t="s">
        <v>3162</v>
      </c>
      <c r="E1127" s="1838" t="s">
        <v>4240</v>
      </c>
      <c r="F1127" s="1839">
        <v>45361</v>
      </c>
      <c r="G1127" s="1840">
        <v>46947</v>
      </c>
      <c r="H1127" s="1841">
        <f t="shared" si="52"/>
        <v>21</v>
      </c>
      <c r="I1127" s="1838">
        <f t="shared" si="53"/>
        <v>46947</v>
      </c>
      <c r="J1127" s="1838">
        <v>0</v>
      </c>
      <c r="K1127" s="1838">
        <v>0</v>
      </c>
      <c r="L1127" s="1838">
        <v>0</v>
      </c>
      <c r="M1127" s="1838">
        <v>0</v>
      </c>
      <c r="N1127" s="1838" t="s">
        <v>3182</v>
      </c>
      <c r="O1127" s="1838" t="s">
        <v>3183</v>
      </c>
      <c r="P1127" s="1838"/>
    </row>
    <row r="1128" spans="2:16" s="1843" customFormat="1">
      <c r="B1128" s="1838">
        <f t="shared" si="54"/>
        <v>1125</v>
      </c>
      <c r="C1128" s="1838" t="s">
        <v>3003</v>
      </c>
      <c r="D1128" s="1838" t="s">
        <v>3162</v>
      </c>
      <c r="E1128" s="1838" t="s">
        <v>4241</v>
      </c>
      <c r="F1128" s="1839">
        <v>45361</v>
      </c>
      <c r="G1128" s="1840">
        <v>56492</v>
      </c>
      <c r="H1128" s="1841">
        <f t="shared" si="52"/>
        <v>21</v>
      </c>
      <c r="I1128" s="1838">
        <f t="shared" si="53"/>
        <v>56492</v>
      </c>
      <c r="J1128" s="1838">
        <v>0</v>
      </c>
      <c r="K1128" s="1838">
        <v>0</v>
      </c>
      <c r="L1128" s="1838">
        <v>0</v>
      </c>
      <c r="M1128" s="1838">
        <v>0</v>
      </c>
      <c r="N1128" s="1838" t="s">
        <v>3182</v>
      </c>
      <c r="O1128" s="1838" t="s">
        <v>3183</v>
      </c>
      <c r="P1128" s="1838"/>
    </row>
    <row r="1129" spans="2:16" s="1843" customFormat="1">
      <c r="B1129" s="1838">
        <f t="shared" si="54"/>
        <v>1126</v>
      </c>
      <c r="C1129" s="1838" t="s">
        <v>3003</v>
      </c>
      <c r="D1129" s="1838" t="s">
        <v>3162</v>
      </c>
      <c r="E1129" s="1838" t="s">
        <v>4242</v>
      </c>
      <c r="F1129" s="1839">
        <v>45361</v>
      </c>
      <c r="G1129" s="1840">
        <v>50781</v>
      </c>
      <c r="H1129" s="1841">
        <f t="shared" si="52"/>
        <v>21</v>
      </c>
      <c r="I1129" s="1838">
        <f t="shared" si="53"/>
        <v>50781</v>
      </c>
      <c r="J1129" s="1838">
        <v>0</v>
      </c>
      <c r="K1129" s="1838">
        <v>0</v>
      </c>
      <c r="L1129" s="1838">
        <v>0</v>
      </c>
      <c r="M1129" s="1838">
        <v>0</v>
      </c>
      <c r="N1129" s="1838" t="s">
        <v>3182</v>
      </c>
      <c r="O1129" s="1838" t="s">
        <v>3183</v>
      </c>
      <c r="P1129" s="1838"/>
    </row>
    <row r="1130" spans="2:16" s="1843" customFormat="1">
      <c r="B1130" s="1838">
        <f t="shared" si="54"/>
        <v>1127</v>
      </c>
      <c r="C1130" s="1838" t="s">
        <v>3003</v>
      </c>
      <c r="D1130" s="1838" t="s">
        <v>3162</v>
      </c>
      <c r="E1130" s="1838" t="s">
        <v>4243</v>
      </c>
      <c r="F1130" s="1839">
        <v>45361</v>
      </c>
      <c r="G1130" s="1840">
        <v>68223</v>
      </c>
      <c r="H1130" s="1841">
        <f t="shared" si="52"/>
        <v>21</v>
      </c>
      <c r="I1130" s="1838">
        <f t="shared" si="53"/>
        <v>68223</v>
      </c>
      <c r="J1130" s="1838">
        <v>0</v>
      </c>
      <c r="K1130" s="1838">
        <v>0</v>
      </c>
      <c r="L1130" s="1838">
        <v>0</v>
      </c>
      <c r="M1130" s="1838">
        <v>0</v>
      </c>
      <c r="N1130" s="1838" t="s">
        <v>3182</v>
      </c>
      <c r="O1130" s="1838" t="s">
        <v>3183</v>
      </c>
      <c r="P1130" s="1838"/>
    </row>
    <row r="1131" spans="2:16" s="1843" customFormat="1">
      <c r="B1131" s="1838">
        <f t="shared" si="54"/>
        <v>1128</v>
      </c>
      <c r="C1131" s="1838" t="s">
        <v>3003</v>
      </c>
      <c r="D1131" s="1838" t="s">
        <v>3162</v>
      </c>
      <c r="E1131" s="1838" t="s">
        <v>4244</v>
      </c>
      <c r="F1131" s="1839">
        <v>45361</v>
      </c>
      <c r="G1131" s="1840">
        <v>51862</v>
      </c>
      <c r="H1131" s="1841">
        <f t="shared" si="52"/>
        <v>21</v>
      </c>
      <c r="I1131" s="1838">
        <f t="shared" si="53"/>
        <v>51862</v>
      </c>
      <c r="J1131" s="1838">
        <v>0</v>
      </c>
      <c r="K1131" s="1838">
        <v>0</v>
      </c>
      <c r="L1131" s="1838">
        <v>0</v>
      </c>
      <c r="M1131" s="1838">
        <v>0</v>
      </c>
      <c r="N1131" s="1838" t="s">
        <v>3182</v>
      </c>
      <c r="O1131" s="1838" t="s">
        <v>3183</v>
      </c>
      <c r="P1131" s="1838"/>
    </row>
    <row r="1132" spans="2:16" s="1843" customFormat="1">
      <c r="B1132" s="1838">
        <f t="shared" si="54"/>
        <v>1129</v>
      </c>
      <c r="C1132" s="1838" t="s">
        <v>3003</v>
      </c>
      <c r="D1132" s="1838" t="s">
        <v>3162</v>
      </c>
      <c r="E1132" s="1838" t="s">
        <v>4245</v>
      </c>
      <c r="F1132" s="1839">
        <v>45362</v>
      </c>
      <c r="G1132" s="1840">
        <v>69921</v>
      </c>
      <c r="H1132" s="1841">
        <f t="shared" si="52"/>
        <v>20</v>
      </c>
      <c r="I1132" s="1838">
        <f t="shared" si="53"/>
        <v>69921</v>
      </c>
      <c r="J1132" s="1838">
        <v>0</v>
      </c>
      <c r="K1132" s="1838">
        <v>0</v>
      </c>
      <c r="L1132" s="1838">
        <v>0</v>
      </c>
      <c r="M1132" s="1838">
        <v>0</v>
      </c>
      <c r="N1132" s="1838" t="s">
        <v>3182</v>
      </c>
      <c r="O1132" s="1838" t="s">
        <v>3183</v>
      </c>
      <c r="P1132" s="1838"/>
    </row>
    <row r="1133" spans="2:16" s="1843" customFormat="1">
      <c r="B1133" s="1838">
        <f t="shared" si="54"/>
        <v>1130</v>
      </c>
      <c r="C1133" s="1838" t="s">
        <v>3003</v>
      </c>
      <c r="D1133" s="1838" t="s">
        <v>3162</v>
      </c>
      <c r="E1133" s="1838" t="s">
        <v>4246</v>
      </c>
      <c r="F1133" s="1839">
        <v>45362</v>
      </c>
      <c r="G1133" s="1840">
        <v>47385</v>
      </c>
      <c r="H1133" s="1841">
        <f t="shared" si="52"/>
        <v>20</v>
      </c>
      <c r="I1133" s="1838">
        <f t="shared" si="53"/>
        <v>47385</v>
      </c>
      <c r="J1133" s="1838">
        <v>0</v>
      </c>
      <c r="K1133" s="1838">
        <v>0</v>
      </c>
      <c r="L1133" s="1838">
        <v>0</v>
      </c>
      <c r="M1133" s="1838">
        <v>0</v>
      </c>
      <c r="N1133" s="1838" t="s">
        <v>3182</v>
      </c>
      <c r="O1133" s="1838" t="s">
        <v>3183</v>
      </c>
      <c r="P1133" s="1838"/>
    </row>
    <row r="1134" spans="2:16" s="1843" customFormat="1">
      <c r="B1134" s="1838">
        <f t="shared" si="54"/>
        <v>1131</v>
      </c>
      <c r="C1134" s="1838" t="s">
        <v>3003</v>
      </c>
      <c r="D1134" s="1838" t="s">
        <v>3162</v>
      </c>
      <c r="E1134" s="1838" t="s">
        <v>4247</v>
      </c>
      <c r="F1134" s="1839">
        <v>45362</v>
      </c>
      <c r="G1134" s="1840">
        <v>44530</v>
      </c>
      <c r="H1134" s="1841">
        <f t="shared" si="52"/>
        <v>20</v>
      </c>
      <c r="I1134" s="1838">
        <f t="shared" si="53"/>
        <v>44530</v>
      </c>
      <c r="J1134" s="1838">
        <v>0</v>
      </c>
      <c r="K1134" s="1838">
        <v>0</v>
      </c>
      <c r="L1134" s="1838">
        <v>0</v>
      </c>
      <c r="M1134" s="1838">
        <v>0</v>
      </c>
      <c r="N1134" s="1838" t="s">
        <v>3182</v>
      </c>
      <c r="O1134" s="1838" t="s">
        <v>3183</v>
      </c>
      <c r="P1134" s="1838"/>
    </row>
    <row r="1135" spans="2:16" s="1843" customFormat="1">
      <c r="B1135" s="1838">
        <f t="shared" si="54"/>
        <v>1132</v>
      </c>
      <c r="C1135" s="1838" t="s">
        <v>3003</v>
      </c>
      <c r="D1135" s="1838" t="s">
        <v>3162</v>
      </c>
      <c r="E1135" s="1838" t="s">
        <v>4248</v>
      </c>
      <c r="F1135" s="1839">
        <v>45362</v>
      </c>
      <c r="G1135" s="1840">
        <v>60968</v>
      </c>
      <c r="H1135" s="1841">
        <f t="shared" si="52"/>
        <v>20</v>
      </c>
      <c r="I1135" s="1838">
        <f t="shared" si="53"/>
        <v>60968</v>
      </c>
      <c r="J1135" s="1838">
        <v>0</v>
      </c>
      <c r="K1135" s="1838">
        <v>0</v>
      </c>
      <c r="L1135" s="1838">
        <v>0</v>
      </c>
      <c r="M1135" s="1838">
        <v>0</v>
      </c>
      <c r="N1135" s="1838" t="s">
        <v>3182</v>
      </c>
      <c r="O1135" s="1838" t="s">
        <v>3183</v>
      </c>
      <c r="P1135" s="1838"/>
    </row>
    <row r="1136" spans="2:16" s="1843" customFormat="1">
      <c r="B1136" s="1838">
        <f t="shared" si="54"/>
        <v>1133</v>
      </c>
      <c r="C1136" s="1838" t="s">
        <v>3003</v>
      </c>
      <c r="D1136" s="1838" t="s">
        <v>3162</v>
      </c>
      <c r="E1136" s="1838" t="s">
        <v>4249</v>
      </c>
      <c r="F1136" s="1839">
        <v>45362</v>
      </c>
      <c r="G1136" s="1840">
        <v>39822</v>
      </c>
      <c r="H1136" s="1841">
        <f t="shared" si="52"/>
        <v>20</v>
      </c>
      <c r="I1136" s="1838">
        <f t="shared" si="53"/>
        <v>39822</v>
      </c>
      <c r="J1136" s="1838">
        <v>0</v>
      </c>
      <c r="K1136" s="1838">
        <v>0</v>
      </c>
      <c r="L1136" s="1838">
        <v>0</v>
      </c>
      <c r="M1136" s="1838">
        <v>0</v>
      </c>
      <c r="N1136" s="1838" t="s">
        <v>3182</v>
      </c>
      <c r="O1136" s="1838" t="s">
        <v>3183</v>
      </c>
      <c r="P1136" s="1838"/>
    </row>
    <row r="1137" spans="2:16" s="1843" customFormat="1">
      <c r="B1137" s="1838">
        <f t="shared" si="54"/>
        <v>1134</v>
      </c>
      <c r="C1137" s="1838" t="s">
        <v>3003</v>
      </c>
      <c r="D1137" s="1838" t="s">
        <v>3162</v>
      </c>
      <c r="E1137" s="1838" t="s">
        <v>4250</v>
      </c>
      <c r="F1137" s="1839">
        <v>45362</v>
      </c>
      <c r="G1137" s="1840">
        <v>47926</v>
      </c>
      <c r="H1137" s="1841">
        <f t="shared" si="52"/>
        <v>20</v>
      </c>
      <c r="I1137" s="1838">
        <f t="shared" si="53"/>
        <v>47926</v>
      </c>
      <c r="J1137" s="1838">
        <v>0</v>
      </c>
      <c r="K1137" s="1838">
        <v>0</v>
      </c>
      <c r="L1137" s="1838">
        <v>0</v>
      </c>
      <c r="M1137" s="1838">
        <v>0</v>
      </c>
      <c r="N1137" s="1838" t="s">
        <v>3182</v>
      </c>
      <c r="O1137" s="1838" t="s">
        <v>3183</v>
      </c>
      <c r="P1137" s="1838"/>
    </row>
    <row r="1138" spans="2:16" s="1843" customFormat="1">
      <c r="B1138" s="1838">
        <f t="shared" si="54"/>
        <v>1135</v>
      </c>
      <c r="C1138" s="1838" t="s">
        <v>3003</v>
      </c>
      <c r="D1138" s="1838" t="s">
        <v>3162</v>
      </c>
      <c r="E1138" s="1838" t="s">
        <v>4251</v>
      </c>
      <c r="F1138" s="1839">
        <v>45362</v>
      </c>
      <c r="G1138" s="1840">
        <v>55720</v>
      </c>
      <c r="H1138" s="1841">
        <f t="shared" si="52"/>
        <v>20</v>
      </c>
      <c r="I1138" s="1838">
        <f t="shared" si="53"/>
        <v>55720</v>
      </c>
      <c r="J1138" s="1838">
        <v>0</v>
      </c>
      <c r="K1138" s="1838">
        <v>0</v>
      </c>
      <c r="L1138" s="1838">
        <v>0</v>
      </c>
      <c r="M1138" s="1838">
        <v>0</v>
      </c>
      <c r="N1138" s="1838" t="s">
        <v>3182</v>
      </c>
      <c r="O1138" s="1838" t="s">
        <v>3183</v>
      </c>
      <c r="P1138" s="1838"/>
    </row>
    <row r="1139" spans="2:16" s="1843" customFormat="1">
      <c r="B1139" s="1838">
        <f t="shared" si="54"/>
        <v>1136</v>
      </c>
      <c r="C1139" s="1838" t="s">
        <v>3003</v>
      </c>
      <c r="D1139" s="1838" t="s">
        <v>3162</v>
      </c>
      <c r="E1139" s="1838" t="s">
        <v>4252</v>
      </c>
      <c r="F1139" s="1839">
        <v>45363</v>
      </c>
      <c r="G1139" s="1840">
        <v>41857</v>
      </c>
      <c r="H1139" s="1841">
        <f t="shared" si="52"/>
        <v>19</v>
      </c>
      <c r="I1139" s="1838">
        <f t="shared" si="53"/>
        <v>41857</v>
      </c>
      <c r="J1139" s="1838">
        <v>0</v>
      </c>
      <c r="K1139" s="1838">
        <v>0</v>
      </c>
      <c r="L1139" s="1838">
        <v>0</v>
      </c>
      <c r="M1139" s="1838">
        <v>0</v>
      </c>
      <c r="N1139" s="1838" t="s">
        <v>3182</v>
      </c>
      <c r="O1139" s="1838" t="s">
        <v>3183</v>
      </c>
      <c r="P1139" s="1838"/>
    </row>
    <row r="1140" spans="2:16" s="1843" customFormat="1">
      <c r="B1140" s="1838">
        <f t="shared" si="54"/>
        <v>1137</v>
      </c>
      <c r="C1140" s="1838" t="s">
        <v>3003</v>
      </c>
      <c r="D1140" s="1838" t="s">
        <v>3162</v>
      </c>
      <c r="E1140" s="1838" t="s">
        <v>4253</v>
      </c>
      <c r="F1140" s="1839">
        <v>45363</v>
      </c>
      <c r="G1140" s="1840">
        <v>65243</v>
      </c>
      <c r="H1140" s="1841">
        <f t="shared" si="52"/>
        <v>19</v>
      </c>
      <c r="I1140" s="1838">
        <f t="shared" si="53"/>
        <v>65243</v>
      </c>
      <c r="J1140" s="1838">
        <v>0</v>
      </c>
      <c r="K1140" s="1838">
        <v>0</v>
      </c>
      <c r="L1140" s="1838">
        <v>0</v>
      </c>
      <c r="M1140" s="1838">
        <v>0</v>
      </c>
      <c r="N1140" s="1838" t="s">
        <v>3182</v>
      </c>
      <c r="O1140" s="1838" t="s">
        <v>3183</v>
      </c>
      <c r="P1140" s="1838"/>
    </row>
    <row r="1141" spans="2:16" s="1843" customFormat="1">
      <c r="B1141" s="1838">
        <f t="shared" si="54"/>
        <v>1138</v>
      </c>
      <c r="C1141" s="1838" t="s">
        <v>3003</v>
      </c>
      <c r="D1141" s="1838" t="s">
        <v>3162</v>
      </c>
      <c r="E1141" s="1838" t="s">
        <v>4254</v>
      </c>
      <c r="F1141" s="1839">
        <v>45363</v>
      </c>
      <c r="G1141" s="1840">
        <v>47327</v>
      </c>
      <c r="H1141" s="1841">
        <f t="shared" si="52"/>
        <v>19</v>
      </c>
      <c r="I1141" s="1838">
        <f t="shared" si="53"/>
        <v>47327</v>
      </c>
      <c r="J1141" s="1838">
        <v>0</v>
      </c>
      <c r="K1141" s="1838">
        <v>0</v>
      </c>
      <c r="L1141" s="1838">
        <v>0</v>
      </c>
      <c r="M1141" s="1838">
        <v>0</v>
      </c>
      <c r="N1141" s="1838" t="s">
        <v>3182</v>
      </c>
      <c r="O1141" s="1838" t="s">
        <v>3183</v>
      </c>
      <c r="P1141" s="1838"/>
    </row>
    <row r="1142" spans="2:16" s="1843" customFormat="1">
      <c r="B1142" s="1838">
        <f t="shared" si="54"/>
        <v>1139</v>
      </c>
      <c r="C1142" s="1838" t="s">
        <v>3003</v>
      </c>
      <c r="D1142" s="1838" t="s">
        <v>3162</v>
      </c>
      <c r="E1142" s="1838" t="s">
        <v>4255</v>
      </c>
      <c r="F1142" s="1839">
        <v>45363</v>
      </c>
      <c r="G1142" s="1840">
        <v>53748</v>
      </c>
      <c r="H1142" s="1841">
        <f t="shared" si="52"/>
        <v>19</v>
      </c>
      <c r="I1142" s="1838">
        <f t="shared" si="53"/>
        <v>53748</v>
      </c>
      <c r="J1142" s="1838">
        <v>0</v>
      </c>
      <c r="K1142" s="1838">
        <v>0</v>
      </c>
      <c r="L1142" s="1838">
        <v>0</v>
      </c>
      <c r="M1142" s="1838">
        <v>0</v>
      </c>
      <c r="N1142" s="1838" t="s">
        <v>3182</v>
      </c>
      <c r="O1142" s="1838" t="s">
        <v>3183</v>
      </c>
      <c r="P1142" s="1838"/>
    </row>
    <row r="1143" spans="2:16" s="1843" customFormat="1">
      <c r="B1143" s="1838">
        <f t="shared" si="54"/>
        <v>1140</v>
      </c>
      <c r="C1143" s="1838" t="s">
        <v>3003</v>
      </c>
      <c r="D1143" s="1838" t="s">
        <v>3162</v>
      </c>
      <c r="E1143" s="1838" t="s">
        <v>4256</v>
      </c>
      <c r="F1143" s="1839">
        <v>45363</v>
      </c>
      <c r="G1143" s="1840">
        <v>48516</v>
      </c>
      <c r="H1143" s="1841">
        <f t="shared" si="52"/>
        <v>19</v>
      </c>
      <c r="I1143" s="1838">
        <f t="shared" si="53"/>
        <v>48516</v>
      </c>
      <c r="J1143" s="1838">
        <v>0</v>
      </c>
      <c r="K1143" s="1838">
        <v>0</v>
      </c>
      <c r="L1143" s="1838">
        <v>0</v>
      </c>
      <c r="M1143" s="1838">
        <v>0</v>
      </c>
      <c r="N1143" s="1838" t="s">
        <v>3182</v>
      </c>
      <c r="O1143" s="1838" t="s">
        <v>3183</v>
      </c>
      <c r="P1143" s="1838"/>
    </row>
    <row r="1144" spans="2:16" s="1843" customFormat="1">
      <c r="B1144" s="1838">
        <f t="shared" si="54"/>
        <v>1141</v>
      </c>
      <c r="C1144" s="1838" t="s">
        <v>3003</v>
      </c>
      <c r="D1144" s="1838" t="s">
        <v>3162</v>
      </c>
      <c r="E1144" s="1838" t="s">
        <v>4257</v>
      </c>
      <c r="F1144" s="1839">
        <v>45363</v>
      </c>
      <c r="G1144" s="1840">
        <v>60804</v>
      </c>
      <c r="H1144" s="1841">
        <f t="shared" si="52"/>
        <v>19</v>
      </c>
      <c r="I1144" s="1838">
        <f t="shared" si="53"/>
        <v>60804</v>
      </c>
      <c r="J1144" s="1838">
        <v>0</v>
      </c>
      <c r="K1144" s="1838">
        <v>0</v>
      </c>
      <c r="L1144" s="1838">
        <v>0</v>
      </c>
      <c r="M1144" s="1838">
        <v>0</v>
      </c>
      <c r="N1144" s="1838" t="s">
        <v>3182</v>
      </c>
      <c r="O1144" s="1838" t="s">
        <v>3183</v>
      </c>
      <c r="P1144" s="1838"/>
    </row>
    <row r="1145" spans="2:16" s="1843" customFormat="1">
      <c r="B1145" s="1838">
        <f t="shared" si="54"/>
        <v>1142</v>
      </c>
      <c r="C1145" s="1838" t="s">
        <v>3003</v>
      </c>
      <c r="D1145" s="1838" t="s">
        <v>3162</v>
      </c>
      <c r="E1145" s="1838" t="s">
        <v>4258</v>
      </c>
      <c r="F1145" s="1839">
        <v>45364</v>
      </c>
      <c r="G1145" s="1840">
        <v>60725</v>
      </c>
      <c r="H1145" s="1841">
        <f t="shared" si="52"/>
        <v>18</v>
      </c>
      <c r="I1145" s="1838">
        <f t="shared" si="53"/>
        <v>60725</v>
      </c>
      <c r="J1145" s="1838">
        <v>0</v>
      </c>
      <c r="K1145" s="1838">
        <v>0</v>
      </c>
      <c r="L1145" s="1838">
        <v>0</v>
      </c>
      <c r="M1145" s="1838">
        <v>0</v>
      </c>
      <c r="N1145" s="1838" t="s">
        <v>3182</v>
      </c>
      <c r="O1145" s="1838" t="s">
        <v>3183</v>
      </c>
      <c r="P1145" s="1838"/>
    </row>
    <row r="1146" spans="2:16" s="1843" customFormat="1">
      <c r="B1146" s="1838">
        <f t="shared" si="54"/>
        <v>1143</v>
      </c>
      <c r="C1146" s="1838" t="s">
        <v>3003</v>
      </c>
      <c r="D1146" s="1838" t="s">
        <v>3162</v>
      </c>
      <c r="E1146" s="1838" t="s">
        <v>4259</v>
      </c>
      <c r="F1146" s="1839">
        <v>45364</v>
      </c>
      <c r="G1146" s="1840">
        <v>41382</v>
      </c>
      <c r="H1146" s="1841">
        <f t="shared" si="52"/>
        <v>18</v>
      </c>
      <c r="I1146" s="1838">
        <f t="shared" si="53"/>
        <v>41382</v>
      </c>
      <c r="J1146" s="1838">
        <v>0</v>
      </c>
      <c r="K1146" s="1838">
        <v>0</v>
      </c>
      <c r="L1146" s="1838">
        <v>0</v>
      </c>
      <c r="M1146" s="1838">
        <v>0</v>
      </c>
      <c r="N1146" s="1838" t="s">
        <v>3182</v>
      </c>
      <c r="O1146" s="1838" t="s">
        <v>3183</v>
      </c>
      <c r="P1146" s="1838"/>
    </row>
    <row r="1147" spans="2:16" s="1843" customFormat="1">
      <c r="B1147" s="1838">
        <f t="shared" si="54"/>
        <v>1144</v>
      </c>
      <c r="C1147" s="1838" t="s">
        <v>3003</v>
      </c>
      <c r="D1147" s="1838" t="s">
        <v>3162</v>
      </c>
      <c r="E1147" s="1838" t="s">
        <v>4260</v>
      </c>
      <c r="F1147" s="1839">
        <v>45364</v>
      </c>
      <c r="G1147" s="1840">
        <v>41699</v>
      </c>
      <c r="H1147" s="1841">
        <f t="shared" si="52"/>
        <v>18</v>
      </c>
      <c r="I1147" s="1838">
        <f t="shared" si="53"/>
        <v>41699</v>
      </c>
      <c r="J1147" s="1838">
        <v>0</v>
      </c>
      <c r="K1147" s="1838">
        <v>0</v>
      </c>
      <c r="L1147" s="1838">
        <v>0</v>
      </c>
      <c r="M1147" s="1838">
        <v>0</v>
      </c>
      <c r="N1147" s="1838" t="s">
        <v>3182</v>
      </c>
      <c r="O1147" s="1838" t="s">
        <v>3183</v>
      </c>
      <c r="P1147" s="1838"/>
    </row>
    <row r="1148" spans="2:16" s="1843" customFormat="1">
      <c r="B1148" s="1838">
        <f t="shared" si="54"/>
        <v>1145</v>
      </c>
      <c r="C1148" s="1838" t="s">
        <v>3003</v>
      </c>
      <c r="D1148" s="1838" t="s">
        <v>3162</v>
      </c>
      <c r="E1148" s="1838" t="s">
        <v>4261</v>
      </c>
      <c r="F1148" s="1839">
        <v>45364</v>
      </c>
      <c r="G1148" s="1840">
        <v>51212</v>
      </c>
      <c r="H1148" s="1841">
        <f t="shared" si="52"/>
        <v>18</v>
      </c>
      <c r="I1148" s="1838">
        <f t="shared" si="53"/>
        <v>51212</v>
      </c>
      <c r="J1148" s="1838">
        <v>0</v>
      </c>
      <c r="K1148" s="1838">
        <v>0</v>
      </c>
      <c r="L1148" s="1838">
        <v>0</v>
      </c>
      <c r="M1148" s="1838">
        <v>0</v>
      </c>
      <c r="N1148" s="1838" t="s">
        <v>3182</v>
      </c>
      <c r="O1148" s="1838" t="s">
        <v>3183</v>
      </c>
      <c r="P1148" s="1838"/>
    </row>
    <row r="1149" spans="2:16" s="1843" customFormat="1">
      <c r="B1149" s="1838">
        <f t="shared" si="54"/>
        <v>1146</v>
      </c>
      <c r="C1149" s="1838" t="s">
        <v>3003</v>
      </c>
      <c r="D1149" s="1838" t="s">
        <v>3162</v>
      </c>
      <c r="E1149" s="1838" t="s">
        <v>4262</v>
      </c>
      <c r="F1149" s="1839">
        <v>45364</v>
      </c>
      <c r="G1149" s="1840">
        <v>74360</v>
      </c>
      <c r="H1149" s="1841">
        <f t="shared" si="52"/>
        <v>18</v>
      </c>
      <c r="I1149" s="1838">
        <f t="shared" si="53"/>
        <v>74360</v>
      </c>
      <c r="J1149" s="1838">
        <v>0</v>
      </c>
      <c r="K1149" s="1838">
        <v>0</v>
      </c>
      <c r="L1149" s="1838">
        <v>0</v>
      </c>
      <c r="M1149" s="1838">
        <v>0</v>
      </c>
      <c r="N1149" s="1838" t="s">
        <v>3182</v>
      </c>
      <c r="O1149" s="1838" t="s">
        <v>3183</v>
      </c>
      <c r="P1149" s="1838"/>
    </row>
    <row r="1150" spans="2:16" s="1843" customFormat="1">
      <c r="B1150" s="1838">
        <f t="shared" si="54"/>
        <v>1147</v>
      </c>
      <c r="C1150" s="1838" t="s">
        <v>3003</v>
      </c>
      <c r="D1150" s="1838" t="s">
        <v>3162</v>
      </c>
      <c r="E1150" s="1838" t="s">
        <v>4263</v>
      </c>
      <c r="F1150" s="1839">
        <v>45365</v>
      </c>
      <c r="G1150" s="1840">
        <v>39717</v>
      </c>
      <c r="H1150" s="1841">
        <f t="shared" si="52"/>
        <v>17</v>
      </c>
      <c r="I1150" s="1838">
        <f t="shared" si="53"/>
        <v>39717</v>
      </c>
      <c r="J1150" s="1838">
        <v>0</v>
      </c>
      <c r="K1150" s="1838">
        <v>0</v>
      </c>
      <c r="L1150" s="1838">
        <v>0</v>
      </c>
      <c r="M1150" s="1838">
        <v>0</v>
      </c>
      <c r="N1150" s="1838" t="s">
        <v>3182</v>
      </c>
      <c r="O1150" s="1838" t="s">
        <v>3183</v>
      </c>
      <c r="P1150" s="1838"/>
    </row>
    <row r="1151" spans="2:16" s="1843" customFormat="1">
      <c r="B1151" s="1838">
        <f t="shared" si="54"/>
        <v>1148</v>
      </c>
      <c r="C1151" s="1838" t="s">
        <v>3003</v>
      </c>
      <c r="D1151" s="1838" t="s">
        <v>3162</v>
      </c>
      <c r="E1151" s="1838" t="s">
        <v>4264</v>
      </c>
      <c r="F1151" s="1839">
        <v>45365</v>
      </c>
      <c r="G1151" s="1840">
        <v>46376</v>
      </c>
      <c r="H1151" s="1841">
        <f t="shared" si="52"/>
        <v>17</v>
      </c>
      <c r="I1151" s="1838">
        <f t="shared" si="53"/>
        <v>46376</v>
      </c>
      <c r="J1151" s="1838">
        <v>0</v>
      </c>
      <c r="K1151" s="1838">
        <v>0</v>
      </c>
      <c r="L1151" s="1838">
        <v>0</v>
      </c>
      <c r="M1151" s="1838">
        <v>0</v>
      </c>
      <c r="N1151" s="1838" t="s">
        <v>3182</v>
      </c>
      <c r="O1151" s="1838" t="s">
        <v>3183</v>
      </c>
      <c r="P1151" s="1838"/>
    </row>
    <row r="1152" spans="2:16" s="1843" customFormat="1">
      <c r="B1152" s="1838">
        <f t="shared" si="54"/>
        <v>1149</v>
      </c>
      <c r="C1152" s="1838" t="s">
        <v>3003</v>
      </c>
      <c r="D1152" s="1838" t="s">
        <v>3162</v>
      </c>
      <c r="E1152" s="1838" t="s">
        <v>4265</v>
      </c>
      <c r="F1152" s="1839">
        <v>45365</v>
      </c>
      <c r="G1152" s="1840">
        <v>41302</v>
      </c>
      <c r="H1152" s="1841">
        <f t="shared" si="52"/>
        <v>17</v>
      </c>
      <c r="I1152" s="1838">
        <f t="shared" si="53"/>
        <v>41302</v>
      </c>
      <c r="J1152" s="1838">
        <v>0</v>
      </c>
      <c r="K1152" s="1838">
        <v>0</v>
      </c>
      <c r="L1152" s="1838">
        <v>0</v>
      </c>
      <c r="M1152" s="1838">
        <v>0</v>
      </c>
      <c r="N1152" s="1838" t="s">
        <v>3182</v>
      </c>
      <c r="O1152" s="1838" t="s">
        <v>3183</v>
      </c>
      <c r="P1152" s="1838"/>
    </row>
    <row r="1153" spans="2:16" s="1843" customFormat="1">
      <c r="B1153" s="1838">
        <f t="shared" si="54"/>
        <v>1150</v>
      </c>
      <c r="C1153" s="1838" t="s">
        <v>3003</v>
      </c>
      <c r="D1153" s="1838" t="s">
        <v>3162</v>
      </c>
      <c r="E1153" s="1838" t="s">
        <v>4266</v>
      </c>
      <c r="F1153" s="1839">
        <v>45366</v>
      </c>
      <c r="G1153" s="1840">
        <v>62944</v>
      </c>
      <c r="H1153" s="1841">
        <f t="shared" si="52"/>
        <v>16</v>
      </c>
      <c r="I1153" s="1838">
        <f t="shared" si="53"/>
        <v>62944</v>
      </c>
      <c r="J1153" s="1838">
        <v>0</v>
      </c>
      <c r="K1153" s="1838">
        <v>0</v>
      </c>
      <c r="L1153" s="1838">
        <v>0</v>
      </c>
      <c r="M1153" s="1838">
        <v>0</v>
      </c>
      <c r="N1153" s="1838" t="s">
        <v>3182</v>
      </c>
      <c r="O1153" s="1838" t="s">
        <v>3183</v>
      </c>
      <c r="P1153" s="1838"/>
    </row>
    <row r="1154" spans="2:16" s="1843" customFormat="1">
      <c r="B1154" s="1838">
        <f t="shared" si="54"/>
        <v>1151</v>
      </c>
      <c r="C1154" s="1838" t="s">
        <v>3003</v>
      </c>
      <c r="D1154" s="1838" t="s">
        <v>3162</v>
      </c>
      <c r="E1154" s="1838" t="s">
        <v>4267</v>
      </c>
      <c r="F1154" s="1839">
        <v>45366</v>
      </c>
      <c r="G1154" s="1840">
        <v>35594</v>
      </c>
      <c r="H1154" s="1841">
        <f t="shared" si="52"/>
        <v>16</v>
      </c>
      <c r="I1154" s="1838">
        <f t="shared" si="53"/>
        <v>35594</v>
      </c>
      <c r="J1154" s="1838">
        <v>0</v>
      </c>
      <c r="K1154" s="1838">
        <v>0</v>
      </c>
      <c r="L1154" s="1838">
        <v>0</v>
      </c>
      <c r="M1154" s="1838">
        <v>0</v>
      </c>
      <c r="N1154" s="1838" t="s">
        <v>3182</v>
      </c>
      <c r="O1154" s="1838" t="s">
        <v>3183</v>
      </c>
      <c r="P1154" s="1838"/>
    </row>
    <row r="1155" spans="2:16" s="1843" customFormat="1">
      <c r="B1155" s="1838">
        <f t="shared" si="54"/>
        <v>1152</v>
      </c>
      <c r="C1155" s="1838" t="s">
        <v>3003</v>
      </c>
      <c r="D1155" s="1838" t="s">
        <v>3162</v>
      </c>
      <c r="E1155" s="1838" t="s">
        <v>4268</v>
      </c>
      <c r="F1155" s="1839">
        <v>45366</v>
      </c>
      <c r="G1155" s="1840">
        <v>52242</v>
      </c>
      <c r="H1155" s="1841">
        <f t="shared" si="52"/>
        <v>16</v>
      </c>
      <c r="I1155" s="1838">
        <f t="shared" si="53"/>
        <v>52242</v>
      </c>
      <c r="J1155" s="1838">
        <v>0</v>
      </c>
      <c r="K1155" s="1838">
        <v>0</v>
      </c>
      <c r="L1155" s="1838">
        <v>0</v>
      </c>
      <c r="M1155" s="1838">
        <v>0</v>
      </c>
      <c r="N1155" s="1838" t="s">
        <v>3182</v>
      </c>
      <c r="O1155" s="1838" t="s">
        <v>3183</v>
      </c>
      <c r="P1155" s="1838"/>
    </row>
    <row r="1156" spans="2:16" s="1843" customFormat="1">
      <c r="B1156" s="1838">
        <f t="shared" si="54"/>
        <v>1153</v>
      </c>
      <c r="C1156" s="1838" t="s">
        <v>3003</v>
      </c>
      <c r="D1156" s="1838" t="s">
        <v>3162</v>
      </c>
      <c r="E1156" s="1838" t="s">
        <v>4269</v>
      </c>
      <c r="F1156" s="1839">
        <v>45366</v>
      </c>
      <c r="G1156" s="1840">
        <v>38290</v>
      </c>
      <c r="H1156" s="1841">
        <f t="shared" si="52"/>
        <v>16</v>
      </c>
      <c r="I1156" s="1838">
        <f t="shared" si="53"/>
        <v>38290</v>
      </c>
      <c r="J1156" s="1838">
        <v>0</v>
      </c>
      <c r="K1156" s="1838">
        <v>0</v>
      </c>
      <c r="L1156" s="1838">
        <v>0</v>
      </c>
      <c r="M1156" s="1838">
        <v>0</v>
      </c>
      <c r="N1156" s="1838" t="s">
        <v>3182</v>
      </c>
      <c r="O1156" s="1838" t="s">
        <v>3183</v>
      </c>
      <c r="P1156" s="1838"/>
    </row>
    <row r="1157" spans="2:16" s="1843" customFormat="1">
      <c r="B1157" s="1838">
        <f t="shared" si="54"/>
        <v>1154</v>
      </c>
      <c r="C1157" s="1838" t="s">
        <v>3003</v>
      </c>
      <c r="D1157" s="1838" t="s">
        <v>3162</v>
      </c>
      <c r="E1157" s="1838" t="s">
        <v>4270</v>
      </c>
      <c r="F1157" s="1839">
        <v>45366</v>
      </c>
      <c r="G1157" s="1840">
        <v>55334</v>
      </c>
      <c r="H1157" s="1841">
        <f t="shared" ref="H1157:H1220" si="55">+$H$2-F1157</f>
        <v>16</v>
      </c>
      <c r="I1157" s="1838">
        <f t="shared" ref="I1157:I1220" si="56">+G1157</f>
        <v>55334</v>
      </c>
      <c r="J1157" s="1838">
        <v>0</v>
      </c>
      <c r="K1157" s="1838">
        <v>0</v>
      </c>
      <c r="L1157" s="1838">
        <v>0</v>
      </c>
      <c r="M1157" s="1838">
        <v>0</v>
      </c>
      <c r="N1157" s="1838" t="s">
        <v>3182</v>
      </c>
      <c r="O1157" s="1838" t="s">
        <v>3183</v>
      </c>
      <c r="P1157" s="1838"/>
    </row>
    <row r="1158" spans="2:16" s="1843" customFormat="1">
      <c r="B1158" s="1838">
        <f t="shared" ref="B1158:B1221" si="57">+B1157+1</f>
        <v>1155</v>
      </c>
      <c r="C1158" s="1838" t="s">
        <v>3003</v>
      </c>
      <c r="D1158" s="1838" t="s">
        <v>3162</v>
      </c>
      <c r="E1158" s="1838" t="s">
        <v>4271</v>
      </c>
      <c r="F1158" s="1839">
        <v>45366</v>
      </c>
      <c r="G1158" s="1840">
        <v>57554</v>
      </c>
      <c r="H1158" s="1841">
        <f t="shared" si="55"/>
        <v>16</v>
      </c>
      <c r="I1158" s="1838">
        <f t="shared" si="56"/>
        <v>57554</v>
      </c>
      <c r="J1158" s="1838">
        <v>0</v>
      </c>
      <c r="K1158" s="1838">
        <v>0</v>
      </c>
      <c r="L1158" s="1838">
        <v>0</v>
      </c>
      <c r="M1158" s="1838">
        <v>0</v>
      </c>
      <c r="N1158" s="1838" t="s">
        <v>3182</v>
      </c>
      <c r="O1158" s="1838" t="s">
        <v>3183</v>
      </c>
      <c r="P1158" s="1838"/>
    </row>
    <row r="1159" spans="2:16" s="1843" customFormat="1">
      <c r="B1159" s="1838">
        <f t="shared" si="57"/>
        <v>1156</v>
      </c>
      <c r="C1159" s="1838" t="s">
        <v>3003</v>
      </c>
      <c r="D1159" s="1838" t="s">
        <v>3162</v>
      </c>
      <c r="E1159" s="1838" t="s">
        <v>4272</v>
      </c>
      <c r="F1159" s="1839">
        <v>45367</v>
      </c>
      <c r="G1159" s="1840">
        <v>68177</v>
      </c>
      <c r="H1159" s="1841">
        <f t="shared" si="55"/>
        <v>15</v>
      </c>
      <c r="I1159" s="1838">
        <f t="shared" si="56"/>
        <v>68177</v>
      </c>
      <c r="J1159" s="1838">
        <v>0</v>
      </c>
      <c r="K1159" s="1838">
        <v>0</v>
      </c>
      <c r="L1159" s="1838">
        <v>0</v>
      </c>
      <c r="M1159" s="1838">
        <v>0</v>
      </c>
      <c r="N1159" s="1838" t="s">
        <v>3182</v>
      </c>
      <c r="O1159" s="1838" t="s">
        <v>3183</v>
      </c>
      <c r="P1159" s="1838"/>
    </row>
    <row r="1160" spans="2:16" s="1843" customFormat="1">
      <c r="B1160" s="1838">
        <f t="shared" si="57"/>
        <v>1157</v>
      </c>
      <c r="C1160" s="1838" t="s">
        <v>3003</v>
      </c>
      <c r="D1160" s="1838" t="s">
        <v>3162</v>
      </c>
      <c r="E1160" s="1838" t="s">
        <v>4273</v>
      </c>
      <c r="F1160" s="1839">
        <v>45367</v>
      </c>
      <c r="G1160" s="1840">
        <v>50577</v>
      </c>
      <c r="H1160" s="1841">
        <f t="shared" si="55"/>
        <v>15</v>
      </c>
      <c r="I1160" s="1838">
        <f t="shared" si="56"/>
        <v>50577</v>
      </c>
      <c r="J1160" s="1838">
        <v>0</v>
      </c>
      <c r="K1160" s="1838">
        <v>0</v>
      </c>
      <c r="L1160" s="1838">
        <v>0</v>
      </c>
      <c r="M1160" s="1838">
        <v>0</v>
      </c>
      <c r="N1160" s="1838" t="s">
        <v>3182</v>
      </c>
      <c r="O1160" s="1838" t="s">
        <v>3183</v>
      </c>
      <c r="P1160" s="1838"/>
    </row>
    <row r="1161" spans="2:16" s="1843" customFormat="1">
      <c r="B1161" s="1838">
        <f t="shared" si="57"/>
        <v>1158</v>
      </c>
      <c r="C1161" s="1838" t="s">
        <v>3003</v>
      </c>
      <c r="D1161" s="1838" t="s">
        <v>3162</v>
      </c>
      <c r="E1161" s="1838" t="s">
        <v>4274</v>
      </c>
      <c r="F1161" s="1839">
        <v>45367</v>
      </c>
      <c r="G1161" s="1840">
        <v>46138</v>
      </c>
      <c r="H1161" s="1841">
        <f t="shared" si="55"/>
        <v>15</v>
      </c>
      <c r="I1161" s="1838">
        <f t="shared" si="56"/>
        <v>46138</v>
      </c>
      <c r="J1161" s="1838">
        <v>0</v>
      </c>
      <c r="K1161" s="1838">
        <v>0</v>
      </c>
      <c r="L1161" s="1838">
        <v>0</v>
      </c>
      <c r="M1161" s="1838">
        <v>0</v>
      </c>
      <c r="N1161" s="1838" t="s">
        <v>3182</v>
      </c>
      <c r="O1161" s="1838" t="s">
        <v>3183</v>
      </c>
      <c r="P1161" s="1838"/>
    </row>
    <row r="1162" spans="2:16" s="1843" customFormat="1">
      <c r="B1162" s="1838">
        <f t="shared" si="57"/>
        <v>1159</v>
      </c>
      <c r="C1162" s="1838" t="s">
        <v>3003</v>
      </c>
      <c r="D1162" s="1838" t="s">
        <v>3162</v>
      </c>
      <c r="E1162" s="1838" t="s">
        <v>4275</v>
      </c>
      <c r="F1162" s="1839">
        <v>45367</v>
      </c>
      <c r="G1162" s="1840">
        <v>51529</v>
      </c>
      <c r="H1162" s="1841">
        <f t="shared" si="55"/>
        <v>15</v>
      </c>
      <c r="I1162" s="1838">
        <f t="shared" si="56"/>
        <v>51529</v>
      </c>
      <c r="J1162" s="1838">
        <v>0</v>
      </c>
      <c r="K1162" s="1838">
        <v>0</v>
      </c>
      <c r="L1162" s="1838">
        <v>0</v>
      </c>
      <c r="M1162" s="1838">
        <v>0</v>
      </c>
      <c r="N1162" s="1838" t="s">
        <v>3182</v>
      </c>
      <c r="O1162" s="1838" t="s">
        <v>3183</v>
      </c>
      <c r="P1162" s="1838"/>
    </row>
    <row r="1163" spans="2:16" s="1843" customFormat="1">
      <c r="B1163" s="1838">
        <f t="shared" si="57"/>
        <v>1160</v>
      </c>
      <c r="C1163" s="1838" t="s">
        <v>3003</v>
      </c>
      <c r="D1163" s="1838" t="s">
        <v>3162</v>
      </c>
      <c r="E1163" s="1838" t="s">
        <v>4276</v>
      </c>
      <c r="F1163" s="1839">
        <v>45367</v>
      </c>
      <c r="G1163" s="1840">
        <v>41540</v>
      </c>
      <c r="H1163" s="1841">
        <f t="shared" si="55"/>
        <v>15</v>
      </c>
      <c r="I1163" s="1838">
        <f t="shared" si="56"/>
        <v>41540</v>
      </c>
      <c r="J1163" s="1838">
        <v>0</v>
      </c>
      <c r="K1163" s="1838">
        <v>0</v>
      </c>
      <c r="L1163" s="1838">
        <v>0</v>
      </c>
      <c r="M1163" s="1838">
        <v>0</v>
      </c>
      <c r="N1163" s="1838" t="s">
        <v>3182</v>
      </c>
      <c r="O1163" s="1838" t="s">
        <v>3183</v>
      </c>
      <c r="P1163" s="1838"/>
    </row>
    <row r="1164" spans="2:16" s="1843" customFormat="1">
      <c r="B1164" s="1838">
        <f t="shared" si="57"/>
        <v>1161</v>
      </c>
      <c r="C1164" s="1838" t="s">
        <v>3003</v>
      </c>
      <c r="D1164" s="1838" t="s">
        <v>3162</v>
      </c>
      <c r="E1164" s="1838" t="s">
        <v>4277</v>
      </c>
      <c r="F1164" s="1839">
        <v>45367</v>
      </c>
      <c r="G1164" s="1840">
        <v>65243</v>
      </c>
      <c r="H1164" s="1841">
        <f t="shared" si="55"/>
        <v>15</v>
      </c>
      <c r="I1164" s="1838">
        <f t="shared" si="56"/>
        <v>65243</v>
      </c>
      <c r="J1164" s="1838">
        <v>0</v>
      </c>
      <c r="K1164" s="1838">
        <v>0</v>
      </c>
      <c r="L1164" s="1838">
        <v>0</v>
      </c>
      <c r="M1164" s="1838">
        <v>0</v>
      </c>
      <c r="N1164" s="1838" t="s">
        <v>3182</v>
      </c>
      <c r="O1164" s="1838" t="s">
        <v>3183</v>
      </c>
      <c r="P1164" s="1838"/>
    </row>
    <row r="1165" spans="2:16" s="1843" customFormat="1">
      <c r="B1165" s="1838">
        <f t="shared" si="57"/>
        <v>1162</v>
      </c>
      <c r="C1165" s="1838" t="s">
        <v>3003</v>
      </c>
      <c r="D1165" s="1838" t="s">
        <v>3162</v>
      </c>
      <c r="E1165" s="1838" t="s">
        <v>4278</v>
      </c>
      <c r="F1165" s="1839">
        <v>45368</v>
      </c>
      <c r="G1165" s="1840">
        <v>31631</v>
      </c>
      <c r="H1165" s="1841">
        <f t="shared" si="55"/>
        <v>14</v>
      </c>
      <c r="I1165" s="1838">
        <f t="shared" si="56"/>
        <v>31631</v>
      </c>
      <c r="J1165" s="1838">
        <v>0</v>
      </c>
      <c r="K1165" s="1838">
        <v>0</v>
      </c>
      <c r="L1165" s="1838">
        <v>0</v>
      </c>
      <c r="M1165" s="1838">
        <v>0</v>
      </c>
      <c r="N1165" s="1838" t="s">
        <v>3182</v>
      </c>
      <c r="O1165" s="1838" t="s">
        <v>3183</v>
      </c>
      <c r="P1165" s="1838"/>
    </row>
    <row r="1166" spans="2:16" s="1843" customFormat="1">
      <c r="B1166" s="1838">
        <f t="shared" si="57"/>
        <v>1163</v>
      </c>
      <c r="C1166" s="1838" t="s">
        <v>3003</v>
      </c>
      <c r="D1166" s="1838" t="s">
        <v>3162</v>
      </c>
      <c r="E1166" s="1838" t="s">
        <v>4279</v>
      </c>
      <c r="F1166" s="1839">
        <v>45368</v>
      </c>
      <c r="G1166" s="1840">
        <v>50577</v>
      </c>
      <c r="H1166" s="1841">
        <f t="shared" si="55"/>
        <v>14</v>
      </c>
      <c r="I1166" s="1838">
        <f t="shared" si="56"/>
        <v>50577</v>
      </c>
      <c r="J1166" s="1838">
        <v>0</v>
      </c>
      <c r="K1166" s="1838">
        <v>0</v>
      </c>
      <c r="L1166" s="1838">
        <v>0</v>
      </c>
      <c r="M1166" s="1838">
        <v>0</v>
      </c>
      <c r="N1166" s="1838" t="s">
        <v>3182</v>
      </c>
      <c r="O1166" s="1838" t="s">
        <v>3183</v>
      </c>
      <c r="P1166" s="1838"/>
    </row>
    <row r="1167" spans="2:16" s="1843" customFormat="1">
      <c r="B1167" s="1838">
        <f t="shared" si="57"/>
        <v>1164</v>
      </c>
      <c r="C1167" s="1838" t="s">
        <v>3003</v>
      </c>
      <c r="D1167" s="1838" t="s">
        <v>3162</v>
      </c>
      <c r="E1167" s="1838" t="s">
        <v>4280</v>
      </c>
      <c r="F1167" s="1839">
        <v>45368</v>
      </c>
      <c r="G1167" s="1840">
        <v>50260</v>
      </c>
      <c r="H1167" s="1841">
        <f t="shared" si="55"/>
        <v>14</v>
      </c>
      <c r="I1167" s="1838">
        <f t="shared" si="56"/>
        <v>50260</v>
      </c>
      <c r="J1167" s="1838">
        <v>0</v>
      </c>
      <c r="K1167" s="1838">
        <v>0</v>
      </c>
      <c r="L1167" s="1838">
        <v>0</v>
      </c>
      <c r="M1167" s="1838">
        <v>0</v>
      </c>
      <c r="N1167" s="1838" t="s">
        <v>3182</v>
      </c>
      <c r="O1167" s="1838" t="s">
        <v>3183</v>
      </c>
      <c r="P1167" s="1838"/>
    </row>
    <row r="1168" spans="2:16" s="1843" customFormat="1">
      <c r="B1168" s="1838">
        <f t="shared" si="57"/>
        <v>1165</v>
      </c>
      <c r="C1168" s="1838" t="s">
        <v>3003</v>
      </c>
      <c r="D1168" s="1838" t="s">
        <v>3162</v>
      </c>
      <c r="E1168" s="1838" t="s">
        <v>4281</v>
      </c>
      <c r="F1168" s="1839">
        <v>45368</v>
      </c>
      <c r="G1168" s="1840">
        <v>42412</v>
      </c>
      <c r="H1168" s="1841">
        <f t="shared" si="55"/>
        <v>14</v>
      </c>
      <c r="I1168" s="1838">
        <f t="shared" si="56"/>
        <v>42412</v>
      </c>
      <c r="J1168" s="1838">
        <v>0</v>
      </c>
      <c r="K1168" s="1838">
        <v>0</v>
      </c>
      <c r="L1168" s="1838">
        <v>0</v>
      </c>
      <c r="M1168" s="1838">
        <v>0</v>
      </c>
      <c r="N1168" s="1838" t="s">
        <v>3182</v>
      </c>
      <c r="O1168" s="1838" t="s">
        <v>3183</v>
      </c>
      <c r="P1168" s="1838"/>
    </row>
    <row r="1169" spans="2:16" s="1843" customFormat="1">
      <c r="B1169" s="1838">
        <f t="shared" si="57"/>
        <v>1166</v>
      </c>
      <c r="C1169" s="1838" t="s">
        <v>3003</v>
      </c>
      <c r="D1169" s="1838" t="s">
        <v>3162</v>
      </c>
      <c r="E1169" s="1838" t="s">
        <v>4282</v>
      </c>
      <c r="F1169" s="1839">
        <v>45368</v>
      </c>
      <c r="G1169" s="1840">
        <v>53590</v>
      </c>
      <c r="H1169" s="1841">
        <f t="shared" si="55"/>
        <v>14</v>
      </c>
      <c r="I1169" s="1838">
        <f t="shared" si="56"/>
        <v>53590</v>
      </c>
      <c r="J1169" s="1838">
        <v>0</v>
      </c>
      <c r="K1169" s="1838">
        <v>0</v>
      </c>
      <c r="L1169" s="1838">
        <v>0</v>
      </c>
      <c r="M1169" s="1838">
        <v>0</v>
      </c>
      <c r="N1169" s="1838" t="s">
        <v>3182</v>
      </c>
      <c r="O1169" s="1838" t="s">
        <v>3183</v>
      </c>
      <c r="P1169" s="1838"/>
    </row>
    <row r="1170" spans="2:16" s="1843" customFormat="1">
      <c r="B1170" s="1838">
        <f t="shared" si="57"/>
        <v>1167</v>
      </c>
      <c r="C1170" s="1838" t="s">
        <v>3003</v>
      </c>
      <c r="D1170" s="1838" t="s">
        <v>3162</v>
      </c>
      <c r="E1170" s="1838" t="s">
        <v>4283</v>
      </c>
      <c r="F1170" s="1839">
        <v>45368</v>
      </c>
      <c r="G1170" s="1840">
        <v>44711</v>
      </c>
      <c r="H1170" s="1841">
        <f t="shared" si="55"/>
        <v>14</v>
      </c>
      <c r="I1170" s="1838">
        <f t="shared" si="56"/>
        <v>44711</v>
      </c>
      <c r="J1170" s="1838">
        <v>0</v>
      </c>
      <c r="K1170" s="1838">
        <v>0</v>
      </c>
      <c r="L1170" s="1838">
        <v>0</v>
      </c>
      <c r="M1170" s="1838">
        <v>0</v>
      </c>
      <c r="N1170" s="1838" t="s">
        <v>3182</v>
      </c>
      <c r="O1170" s="1838" t="s">
        <v>3183</v>
      </c>
      <c r="P1170" s="1838"/>
    </row>
    <row r="1171" spans="2:16" s="1843" customFormat="1">
      <c r="B1171" s="1838">
        <f t="shared" si="57"/>
        <v>1168</v>
      </c>
      <c r="C1171" s="1838" t="s">
        <v>3003</v>
      </c>
      <c r="D1171" s="1838" t="s">
        <v>3162</v>
      </c>
      <c r="E1171" s="1838" t="s">
        <v>4284</v>
      </c>
      <c r="F1171" s="1839">
        <v>45369</v>
      </c>
      <c r="G1171" s="1840">
        <v>76580</v>
      </c>
      <c r="H1171" s="1841">
        <f t="shared" si="55"/>
        <v>13</v>
      </c>
      <c r="I1171" s="1838">
        <f t="shared" si="56"/>
        <v>76580</v>
      </c>
      <c r="J1171" s="1838">
        <v>0</v>
      </c>
      <c r="K1171" s="1838">
        <v>0</v>
      </c>
      <c r="L1171" s="1838">
        <v>0</v>
      </c>
      <c r="M1171" s="1838">
        <v>0</v>
      </c>
      <c r="N1171" s="1838" t="s">
        <v>3182</v>
      </c>
      <c r="O1171" s="1838" t="s">
        <v>3183</v>
      </c>
      <c r="P1171" s="1838"/>
    </row>
    <row r="1172" spans="2:16" s="1843" customFormat="1">
      <c r="B1172" s="1838">
        <f t="shared" si="57"/>
        <v>1169</v>
      </c>
      <c r="C1172" s="1838" t="s">
        <v>3003</v>
      </c>
      <c r="D1172" s="1838" t="s">
        <v>3162</v>
      </c>
      <c r="E1172" s="1838" t="s">
        <v>4285</v>
      </c>
      <c r="F1172" s="1839">
        <v>45369</v>
      </c>
      <c r="G1172" s="1840">
        <v>43363</v>
      </c>
      <c r="H1172" s="1841">
        <f t="shared" si="55"/>
        <v>13</v>
      </c>
      <c r="I1172" s="1838">
        <f t="shared" si="56"/>
        <v>43363</v>
      </c>
      <c r="J1172" s="1838">
        <v>0</v>
      </c>
      <c r="K1172" s="1838">
        <v>0</v>
      </c>
      <c r="L1172" s="1838">
        <v>0</v>
      </c>
      <c r="M1172" s="1838">
        <v>0</v>
      </c>
      <c r="N1172" s="1838" t="s">
        <v>3182</v>
      </c>
      <c r="O1172" s="1838" t="s">
        <v>3183</v>
      </c>
      <c r="P1172" s="1838"/>
    </row>
    <row r="1173" spans="2:16" s="1843" customFormat="1">
      <c r="B1173" s="1838">
        <f t="shared" si="57"/>
        <v>1170</v>
      </c>
      <c r="C1173" s="1838" t="s">
        <v>3003</v>
      </c>
      <c r="D1173" s="1838" t="s">
        <v>3162</v>
      </c>
      <c r="E1173" s="1838" t="s">
        <v>4286</v>
      </c>
      <c r="F1173" s="1839">
        <v>45369</v>
      </c>
      <c r="G1173" s="1840">
        <v>43760</v>
      </c>
      <c r="H1173" s="1841">
        <f t="shared" si="55"/>
        <v>13</v>
      </c>
      <c r="I1173" s="1838">
        <f t="shared" si="56"/>
        <v>43760</v>
      </c>
      <c r="J1173" s="1838">
        <v>0</v>
      </c>
      <c r="K1173" s="1838">
        <v>0</v>
      </c>
      <c r="L1173" s="1838">
        <v>0</v>
      </c>
      <c r="M1173" s="1838">
        <v>0</v>
      </c>
      <c r="N1173" s="1838" t="s">
        <v>3182</v>
      </c>
      <c r="O1173" s="1838" t="s">
        <v>3183</v>
      </c>
      <c r="P1173" s="1838"/>
    </row>
    <row r="1174" spans="2:16" s="1843" customFormat="1">
      <c r="B1174" s="1838">
        <f t="shared" si="57"/>
        <v>1171</v>
      </c>
      <c r="C1174" s="1838" t="s">
        <v>3003</v>
      </c>
      <c r="D1174" s="1838" t="s">
        <v>3162</v>
      </c>
      <c r="E1174" s="1838" t="s">
        <v>4287</v>
      </c>
      <c r="F1174" s="1839">
        <v>45369</v>
      </c>
      <c r="G1174" s="1840">
        <v>48992</v>
      </c>
      <c r="H1174" s="1841">
        <f t="shared" si="55"/>
        <v>13</v>
      </c>
      <c r="I1174" s="1838">
        <f t="shared" si="56"/>
        <v>48992</v>
      </c>
      <c r="J1174" s="1838">
        <v>0</v>
      </c>
      <c r="K1174" s="1838">
        <v>0</v>
      </c>
      <c r="L1174" s="1838">
        <v>0</v>
      </c>
      <c r="M1174" s="1838">
        <v>0</v>
      </c>
      <c r="N1174" s="1838" t="s">
        <v>3182</v>
      </c>
      <c r="O1174" s="1838" t="s">
        <v>3183</v>
      </c>
      <c r="P1174" s="1838"/>
    </row>
    <row r="1175" spans="2:16" s="1843" customFormat="1">
      <c r="B1175" s="1838">
        <f t="shared" si="57"/>
        <v>1172</v>
      </c>
      <c r="C1175" s="1838" t="s">
        <v>3003</v>
      </c>
      <c r="D1175" s="1838" t="s">
        <v>3162</v>
      </c>
      <c r="E1175" s="1838" t="s">
        <v>4288</v>
      </c>
      <c r="F1175" s="1839">
        <v>45369</v>
      </c>
      <c r="G1175" s="1840">
        <v>44949</v>
      </c>
      <c r="H1175" s="1841">
        <f t="shared" si="55"/>
        <v>13</v>
      </c>
      <c r="I1175" s="1838">
        <f t="shared" si="56"/>
        <v>44949</v>
      </c>
      <c r="J1175" s="1838">
        <v>0</v>
      </c>
      <c r="K1175" s="1838">
        <v>0</v>
      </c>
      <c r="L1175" s="1838">
        <v>0</v>
      </c>
      <c r="M1175" s="1838">
        <v>0</v>
      </c>
      <c r="N1175" s="1838" t="s">
        <v>3182</v>
      </c>
      <c r="O1175" s="1838" t="s">
        <v>3183</v>
      </c>
      <c r="P1175" s="1838"/>
    </row>
    <row r="1176" spans="2:16" s="1843" customFormat="1">
      <c r="B1176" s="1838">
        <f t="shared" si="57"/>
        <v>1173</v>
      </c>
      <c r="C1176" s="1838" t="s">
        <v>3003</v>
      </c>
      <c r="D1176" s="1838" t="s">
        <v>3162</v>
      </c>
      <c r="E1176" s="1838" t="s">
        <v>4289</v>
      </c>
      <c r="F1176" s="1839">
        <v>45369</v>
      </c>
      <c r="G1176" s="1840">
        <v>44790</v>
      </c>
      <c r="H1176" s="1841">
        <f t="shared" si="55"/>
        <v>13</v>
      </c>
      <c r="I1176" s="1838">
        <f t="shared" si="56"/>
        <v>44790</v>
      </c>
      <c r="J1176" s="1838">
        <v>0</v>
      </c>
      <c r="K1176" s="1838">
        <v>0</v>
      </c>
      <c r="L1176" s="1838">
        <v>0</v>
      </c>
      <c r="M1176" s="1838">
        <v>0</v>
      </c>
      <c r="N1176" s="1838" t="s">
        <v>3182</v>
      </c>
      <c r="O1176" s="1838" t="s">
        <v>3183</v>
      </c>
      <c r="P1176" s="1838"/>
    </row>
    <row r="1177" spans="2:16" s="1843" customFormat="1">
      <c r="B1177" s="1838">
        <f t="shared" si="57"/>
        <v>1174</v>
      </c>
      <c r="C1177" s="1838" t="s">
        <v>3003</v>
      </c>
      <c r="D1177" s="1838" t="s">
        <v>3162</v>
      </c>
      <c r="E1177" s="1838" t="s">
        <v>4290</v>
      </c>
      <c r="F1177" s="1839">
        <v>45369</v>
      </c>
      <c r="G1177" s="1840">
        <v>76580</v>
      </c>
      <c r="H1177" s="1841">
        <f t="shared" si="55"/>
        <v>13</v>
      </c>
      <c r="I1177" s="1838">
        <f t="shared" si="56"/>
        <v>76580</v>
      </c>
      <c r="J1177" s="1838">
        <v>0</v>
      </c>
      <c r="K1177" s="1838">
        <v>0</v>
      </c>
      <c r="L1177" s="1838">
        <v>0</v>
      </c>
      <c r="M1177" s="1838">
        <v>0</v>
      </c>
      <c r="N1177" s="1838" t="s">
        <v>3182</v>
      </c>
      <c r="O1177" s="1838" t="s">
        <v>3183</v>
      </c>
      <c r="P1177" s="1838"/>
    </row>
    <row r="1178" spans="2:16" s="1843" customFormat="1">
      <c r="B1178" s="1838">
        <f t="shared" si="57"/>
        <v>1175</v>
      </c>
      <c r="C1178" s="1838" t="s">
        <v>3003</v>
      </c>
      <c r="D1178" s="1838" t="s">
        <v>3162</v>
      </c>
      <c r="E1178" s="1838" t="s">
        <v>4291</v>
      </c>
      <c r="F1178" s="1839">
        <v>45370</v>
      </c>
      <c r="G1178" s="1840">
        <v>71982</v>
      </c>
      <c r="H1178" s="1841">
        <f t="shared" si="55"/>
        <v>12</v>
      </c>
      <c r="I1178" s="1838">
        <f t="shared" si="56"/>
        <v>71982</v>
      </c>
      <c r="J1178" s="1838">
        <v>0</v>
      </c>
      <c r="K1178" s="1838">
        <v>0</v>
      </c>
      <c r="L1178" s="1838">
        <v>0</v>
      </c>
      <c r="M1178" s="1838">
        <v>0</v>
      </c>
      <c r="N1178" s="1838" t="s">
        <v>3182</v>
      </c>
      <c r="O1178" s="1838" t="s">
        <v>3183</v>
      </c>
      <c r="P1178" s="1838"/>
    </row>
    <row r="1179" spans="2:16" s="1843" customFormat="1">
      <c r="B1179" s="1838">
        <f t="shared" si="57"/>
        <v>1176</v>
      </c>
      <c r="C1179" s="1838" t="s">
        <v>3003</v>
      </c>
      <c r="D1179" s="1838" t="s">
        <v>3162</v>
      </c>
      <c r="E1179" s="1838" t="s">
        <v>4292</v>
      </c>
      <c r="F1179" s="1839">
        <v>45370</v>
      </c>
      <c r="G1179" s="1840">
        <v>43443</v>
      </c>
      <c r="H1179" s="1841">
        <f t="shared" si="55"/>
        <v>12</v>
      </c>
      <c r="I1179" s="1838">
        <f t="shared" si="56"/>
        <v>43443</v>
      </c>
      <c r="J1179" s="1838">
        <v>0</v>
      </c>
      <c r="K1179" s="1838">
        <v>0</v>
      </c>
      <c r="L1179" s="1838">
        <v>0</v>
      </c>
      <c r="M1179" s="1838">
        <v>0</v>
      </c>
      <c r="N1179" s="1838" t="s">
        <v>3182</v>
      </c>
      <c r="O1179" s="1838" t="s">
        <v>3183</v>
      </c>
      <c r="P1179" s="1838"/>
    </row>
    <row r="1180" spans="2:16" s="1843" customFormat="1">
      <c r="B1180" s="1838">
        <f t="shared" si="57"/>
        <v>1177</v>
      </c>
      <c r="C1180" s="1838" t="s">
        <v>3003</v>
      </c>
      <c r="D1180" s="1838" t="s">
        <v>3162</v>
      </c>
      <c r="E1180" s="1838" t="s">
        <v>4293</v>
      </c>
      <c r="F1180" s="1839">
        <v>45370</v>
      </c>
      <c r="G1180" s="1840">
        <v>49943</v>
      </c>
      <c r="H1180" s="1841">
        <f t="shared" si="55"/>
        <v>12</v>
      </c>
      <c r="I1180" s="1838">
        <f t="shared" si="56"/>
        <v>49943</v>
      </c>
      <c r="J1180" s="1838">
        <v>0</v>
      </c>
      <c r="K1180" s="1838">
        <v>0</v>
      </c>
      <c r="L1180" s="1838">
        <v>0</v>
      </c>
      <c r="M1180" s="1838">
        <v>0</v>
      </c>
      <c r="N1180" s="1838" t="s">
        <v>3182</v>
      </c>
      <c r="O1180" s="1838" t="s">
        <v>3183</v>
      </c>
      <c r="P1180" s="1838"/>
    </row>
    <row r="1181" spans="2:16" s="1843" customFormat="1">
      <c r="B1181" s="1838">
        <f t="shared" si="57"/>
        <v>1178</v>
      </c>
      <c r="C1181" s="1838" t="s">
        <v>3003</v>
      </c>
      <c r="D1181" s="1838" t="s">
        <v>3162</v>
      </c>
      <c r="E1181" s="1838" t="s">
        <v>4294</v>
      </c>
      <c r="F1181" s="1839">
        <v>45370</v>
      </c>
      <c r="G1181" s="1840">
        <v>45266</v>
      </c>
      <c r="H1181" s="1841">
        <f t="shared" si="55"/>
        <v>12</v>
      </c>
      <c r="I1181" s="1838">
        <f t="shared" si="56"/>
        <v>45266</v>
      </c>
      <c r="J1181" s="1838">
        <v>0</v>
      </c>
      <c r="K1181" s="1838">
        <v>0</v>
      </c>
      <c r="L1181" s="1838">
        <v>0</v>
      </c>
      <c r="M1181" s="1838">
        <v>0</v>
      </c>
      <c r="N1181" s="1838" t="s">
        <v>3182</v>
      </c>
      <c r="O1181" s="1838" t="s">
        <v>3183</v>
      </c>
      <c r="P1181" s="1838"/>
    </row>
    <row r="1182" spans="2:16" s="1843" customFormat="1">
      <c r="B1182" s="1838">
        <f t="shared" si="57"/>
        <v>1179</v>
      </c>
      <c r="C1182" s="1838" t="s">
        <v>3003</v>
      </c>
      <c r="D1182" s="1838" t="s">
        <v>3162</v>
      </c>
      <c r="E1182" s="1838" t="s">
        <v>4295</v>
      </c>
      <c r="F1182" s="1839">
        <v>45370</v>
      </c>
      <c r="G1182" s="1840">
        <v>60804</v>
      </c>
      <c r="H1182" s="1841">
        <f t="shared" si="55"/>
        <v>12</v>
      </c>
      <c r="I1182" s="1838">
        <f t="shared" si="56"/>
        <v>60804</v>
      </c>
      <c r="J1182" s="1838">
        <v>0</v>
      </c>
      <c r="K1182" s="1838">
        <v>0</v>
      </c>
      <c r="L1182" s="1838">
        <v>0</v>
      </c>
      <c r="M1182" s="1838">
        <v>0</v>
      </c>
      <c r="N1182" s="1838" t="s">
        <v>3182</v>
      </c>
      <c r="O1182" s="1838" t="s">
        <v>3183</v>
      </c>
      <c r="P1182" s="1838"/>
    </row>
    <row r="1183" spans="2:16" s="1843" customFormat="1">
      <c r="B1183" s="1838">
        <f t="shared" si="57"/>
        <v>1180</v>
      </c>
      <c r="C1183" s="1838" t="s">
        <v>3003</v>
      </c>
      <c r="D1183" s="1838" t="s">
        <v>3162</v>
      </c>
      <c r="E1183" s="1838" t="s">
        <v>4296</v>
      </c>
      <c r="F1183" s="1839">
        <v>45370</v>
      </c>
      <c r="G1183" s="1840">
        <v>78482</v>
      </c>
      <c r="H1183" s="1841">
        <f t="shared" si="55"/>
        <v>12</v>
      </c>
      <c r="I1183" s="1838">
        <f t="shared" si="56"/>
        <v>78482</v>
      </c>
      <c r="J1183" s="1838">
        <v>0</v>
      </c>
      <c r="K1183" s="1838">
        <v>0</v>
      </c>
      <c r="L1183" s="1838">
        <v>0</v>
      </c>
      <c r="M1183" s="1838">
        <v>0</v>
      </c>
      <c r="N1183" s="1838" t="s">
        <v>3182</v>
      </c>
      <c r="O1183" s="1838" t="s">
        <v>3183</v>
      </c>
      <c r="P1183" s="1838"/>
    </row>
    <row r="1184" spans="2:16" s="1843" customFormat="1">
      <c r="B1184" s="1838">
        <f t="shared" si="57"/>
        <v>1181</v>
      </c>
      <c r="C1184" s="1838" t="s">
        <v>3003</v>
      </c>
      <c r="D1184" s="1838" t="s">
        <v>3162</v>
      </c>
      <c r="E1184" s="1838" t="s">
        <v>4297</v>
      </c>
      <c r="F1184" s="1839">
        <v>45371</v>
      </c>
      <c r="G1184" s="1840">
        <v>42333</v>
      </c>
      <c r="H1184" s="1841">
        <f t="shared" si="55"/>
        <v>11</v>
      </c>
      <c r="I1184" s="1838">
        <f t="shared" si="56"/>
        <v>42333</v>
      </c>
      <c r="J1184" s="1838">
        <v>0</v>
      </c>
      <c r="K1184" s="1838">
        <v>0</v>
      </c>
      <c r="L1184" s="1838">
        <v>0</v>
      </c>
      <c r="M1184" s="1838">
        <v>0</v>
      </c>
      <c r="N1184" s="1838" t="s">
        <v>3182</v>
      </c>
      <c r="O1184" s="1838" t="s">
        <v>3183</v>
      </c>
      <c r="P1184" s="1838"/>
    </row>
    <row r="1185" spans="2:16" s="1843" customFormat="1">
      <c r="B1185" s="1838">
        <f t="shared" si="57"/>
        <v>1182</v>
      </c>
      <c r="C1185" s="1838" t="s">
        <v>3003</v>
      </c>
      <c r="D1185" s="1838" t="s">
        <v>3162</v>
      </c>
      <c r="E1185" s="1838" t="s">
        <v>4298</v>
      </c>
      <c r="F1185" s="1839">
        <v>45371</v>
      </c>
      <c r="G1185" s="1840">
        <v>73884</v>
      </c>
      <c r="H1185" s="1841">
        <f t="shared" si="55"/>
        <v>11</v>
      </c>
      <c r="I1185" s="1838">
        <f t="shared" si="56"/>
        <v>73884</v>
      </c>
      <c r="J1185" s="1838">
        <v>0</v>
      </c>
      <c r="K1185" s="1838">
        <v>0</v>
      </c>
      <c r="L1185" s="1838">
        <v>0</v>
      </c>
      <c r="M1185" s="1838">
        <v>0</v>
      </c>
      <c r="N1185" s="1838" t="s">
        <v>3182</v>
      </c>
      <c r="O1185" s="1838" t="s">
        <v>3183</v>
      </c>
      <c r="P1185" s="1838"/>
    </row>
    <row r="1186" spans="2:16" s="1843" customFormat="1">
      <c r="B1186" s="1838">
        <f t="shared" si="57"/>
        <v>1183</v>
      </c>
      <c r="C1186" s="1838" t="s">
        <v>3003</v>
      </c>
      <c r="D1186" s="1838" t="s">
        <v>3162</v>
      </c>
      <c r="E1186" s="1838" t="s">
        <v>4299</v>
      </c>
      <c r="F1186" s="1839">
        <v>45372</v>
      </c>
      <c r="G1186" s="1840">
        <v>42491</v>
      </c>
      <c r="H1186" s="1841">
        <f t="shared" si="55"/>
        <v>10</v>
      </c>
      <c r="I1186" s="1838">
        <f t="shared" si="56"/>
        <v>42491</v>
      </c>
      <c r="J1186" s="1838">
        <v>0</v>
      </c>
      <c r="K1186" s="1838">
        <v>0</v>
      </c>
      <c r="L1186" s="1838">
        <v>0</v>
      </c>
      <c r="M1186" s="1838">
        <v>0</v>
      </c>
      <c r="N1186" s="1838" t="s">
        <v>3182</v>
      </c>
      <c r="O1186" s="1838" t="s">
        <v>3183</v>
      </c>
      <c r="P1186" s="1838"/>
    </row>
    <row r="1187" spans="2:16" s="1843" customFormat="1">
      <c r="B1187" s="1838">
        <f t="shared" si="57"/>
        <v>1184</v>
      </c>
      <c r="C1187" s="1838" t="s">
        <v>3003</v>
      </c>
      <c r="D1187" s="1838" t="s">
        <v>3162</v>
      </c>
      <c r="E1187" s="1838" t="s">
        <v>4300</v>
      </c>
      <c r="F1187" s="1839">
        <v>45372</v>
      </c>
      <c r="G1187" s="1840">
        <v>44711</v>
      </c>
      <c r="H1187" s="1841">
        <f t="shared" si="55"/>
        <v>10</v>
      </c>
      <c r="I1187" s="1838">
        <f t="shared" si="56"/>
        <v>44711</v>
      </c>
      <c r="J1187" s="1838">
        <v>0</v>
      </c>
      <c r="K1187" s="1838">
        <v>0</v>
      </c>
      <c r="L1187" s="1838">
        <v>0</v>
      </c>
      <c r="M1187" s="1838">
        <v>0</v>
      </c>
      <c r="N1187" s="1838" t="s">
        <v>3182</v>
      </c>
      <c r="O1187" s="1838" t="s">
        <v>3183</v>
      </c>
      <c r="P1187" s="1838"/>
    </row>
    <row r="1188" spans="2:16" s="1843" customFormat="1">
      <c r="B1188" s="1838">
        <f t="shared" si="57"/>
        <v>1185</v>
      </c>
      <c r="C1188" s="1838" t="s">
        <v>3003</v>
      </c>
      <c r="D1188" s="1838" t="s">
        <v>3162</v>
      </c>
      <c r="E1188" s="1838" t="s">
        <v>4301</v>
      </c>
      <c r="F1188" s="1839">
        <v>45372</v>
      </c>
      <c r="G1188" s="1840">
        <v>37576</v>
      </c>
      <c r="H1188" s="1841">
        <f t="shared" si="55"/>
        <v>10</v>
      </c>
      <c r="I1188" s="1838">
        <f t="shared" si="56"/>
        <v>37576</v>
      </c>
      <c r="J1188" s="1838">
        <v>0</v>
      </c>
      <c r="K1188" s="1838">
        <v>0</v>
      </c>
      <c r="L1188" s="1838">
        <v>0</v>
      </c>
      <c r="M1188" s="1838">
        <v>0</v>
      </c>
      <c r="N1188" s="1838" t="s">
        <v>3182</v>
      </c>
      <c r="O1188" s="1838" t="s">
        <v>3183</v>
      </c>
      <c r="P1188" s="1838"/>
    </row>
    <row r="1189" spans="2:16" s="1843" customFormat="1">
      <c r="B1189" s="1838">
        <f t="shared" si="57"/>
        <v>1186</v>
      </c>
      <c r="C1189" s="1838" t="s">
        <v>3003</v>
      </c>
      <c r="D1189" s="1838" t="s">
        <v>3162</v>
      </c>
      <c r="E1189" s="1838" t="s">
        <v>4302</v>
      </c>
      <c r="F1189" s="1839">
        <v>45372</v>
      </c>
      <c r="G1189" s="1840">
        <v>55810</v>
      </c>
      <c r="H1189" s="1841">
        <f t="shared" si="55"/>
        <v>10</v>
      </c>
      <c r="I1189" s="1838">
        <f t="shared" si="56"/>
        <v>55810</v>
      </c>
      <c r="J1189" s="1838">
        <v>0</v>
      </c>
      <c r="K1189" s="1838">
        <v>0</v>
      </c>
      <c r="L1189" s="1838">
        <v>0</v>
      </c>
      <c r="M1189" s="1838">
        <v>0</v>
      </c>
      <c r="N1189" s="1838" t="s">
        <v>3182</v>
      </c>
      <c r="O1189" s="1838" t="s">
        <v>3183</v>
      </c>
      <c r="P1189" s="1838"/>
    </row>
    <row r="1190" spans="2:16" s="1843" customFormat="1">
      <c r="B1190" s="1838">
        <f t="shared" si="57"/>
        <v>1187</v>
      </c>
      <c r="C1190" s="1838" t="s">
        <v>3003</v>
      </c>
      <c r="D1190" s="1838" t="s">
        <v>3162</v>
      </c>
      <c r="E1190" s="1838" t="s">
        <v>4303</v>
      </c>
      <c r="F1190" s="1839">
        <v>45372</v>
      </c>
      <c r="G1190" s="1840">
        <v>48120</v>
      </c>
      <c r="H1190" s="1841">
        <f t="shared" si="55"/>
        <v>10</v>
      </c>
      <c r="I1190" s="1838">
        <f t="shared" si="56"/>
        <v>48120</v>
      </c>
      <c r="J1190" s="1838">
        <v>0</v>
      </c>
      <c r="K1190" s="1838">
        <v>0</v>
      </c>
      <c r="L1190" s="1838">
        <v>0</v>
      </c>
      <c r="M1190" s="1838">
        <v>0</v>
      </c>
      <c r="N1190" s="1838" t="s">
        <v>3182</v>
      </c>
      <c r="O1190" s="1838" t="s">
        <v>3183</v>
      </c>
      <c r="P1190" s="1838"/>
    </row>
    <row r="1191" spans="2:16" s="1843" customFormat="1">
      <c r="B1191" s="1838">
        <f t="shared" si="57"/>
        <v>1188</v>
      </c>
      <c r="C1191" s="1838" t="s">
        <v>3003</v>
      </c>
      <c r="D1191" s="1838" t="s">
        <v>3162</v>
      </c>
      <c r="E1191" s="1838" t="s">
        <v>4304</v>
      </c>
      <c r="F1191" s="1839">
        <v>45372</v>
      </c>
      <c r="G1191" s="1840">
        <v>54303</v>
      </c>
      <c r="H1191" s="1841">
        <f t="shared" si="55"/>
        <v>10</v>
      </c>
      <c r="I1191" s="1838">
        <f t="shared" si="56"/>
        <v>54303</v>
      </c>
      <c r="J1191" s="1838">
        <v>0</v>
      </c>
      <c r="K1191" s="1838">
        <v>0</v>
      </c>
      <c r="L1191" s="1838">
        <v>0</v>
      </c>
      <c r="M1191" s="1838">
        <v>0</v>
      </c>
      <c r="N1191" s="1838" t="s">
        <v>3182</v>
      </c>
      <c r="O1191" s="1838" t="s">
        <v>3183</v>
      </c>
      <c r="P1191" s="1838"/>
    </row>
    <row r="1192" spans="2:16" s="1843" customFormat="1">
      <c r="B1192" s="1838">
        <f t="shared" si="57"/>
        <v>1189</v>
      </c>
      <c r="C1192" s="1838" t="s">
        <v>3003</v>
      </c>
      <c r="D1192" s="1838" t="s">
        <v>3162</v>
      </c>
      <c r="E1192" s="1838" t="s">
        <v>4305</v>
      </c>
      <c r="F1192" s="1839">
        <v>45373</v>
      </c>
      <c r="G1192" s="1840">
        <v>78934</v>
      </c>
      <c r="H1192" s="1841">
        <f t="shared" si="55"/>
        <v>9</v>
      </c>
      <c r="I1192" s="1838">
        <f t="shared" si="56"/>
        <v>78934</v>
      </c>
      <c r="J1192" s="1838">
        <v>0</v>
      </c>
      <c r="K1192" s="1838">
        <v>0</v>
      </c>
      <c r="L1192" s="1838">
        <v>0</v>
      </c>
      <c r="M1192" s="1838">
        <v>0</v>
      </c>
      <c r="N1192" s="1838" t="s">
        <v>3182</v>
      </c>
      <c r="O1192" s="1838" t="s">
        <v>3183</v>
      </c>
      <c r="P1192" s="1838"/>
    </row>
    <row r="1193" spans="2:16" s="1843" customFormat="1">
      <c r="B1193" s="1838">
        <f t="shared" si="57"/>
        <v>1190</v>
      </c>
      <c r="C1193" s="1838" t="s">
        <v>3003</v>
      </c>
      <c r="D1193" s="1838" t="s">
        <v>3162</v>
      </c>
      <c r="E1193" s="1838" t="s">
        <v>4306</v>
      </c>
      <c r="F1193" s="1839">
        <v>45373</v>
      </c>
      <c r="G1193" s="1840">
        <v>45814</v>
      </c>
      <c r="H1193" s="1841">
        <f t="shared" si="55"/>
        <v>9</v>
      </c>
      <c r="I1193" s="1838">
        <f t="shared" si="56"/>
        <v>45814</v>
      </c>
      <c r="J1193" s="1838">
        <v>0</v>
      </c>
      <c r="K1193" s="1838">
        <v>0</v>
      </c>
      <c r="L1193" s="1838">
        <v>0</v>
      </c>
      <c r="M1193" s="1838">
        <v>0</v>
      </c>
      <c r="N1193" s="1838" t="s">
        <v>3182</v>
      </c>
      <c r="O1193" s="1838" t="s">
        <v>3183</v>
      </c>
      <c r="P1193" s="1838"/>
    </row>
    <row r="1194" spans="2:16" s="1843" customFormat="1">
      <c r="B1194" s="1838">
        <f t="shared" si="57"/>
        <v>1191</v>
      </c>
      <c r="C1194" s="1838" t="s">
        <v>3003</v>
      </c>
      <c r="D1194" s="1838" t="s">
        <v>3162</v>
      </c>
      <c r="E1194" s="1838" t="s">
        <v>4307</v>
      </c>
      <c r="F1194" s="1839">
        <v>45373</v>
      </c>
      <c r="G1194" s="1840">
        <v>42641</v>
      </c>
      <c r="H1194" s="1841">
        <f t="shared" si="55"/>
        <v>9</v>
      </c>
      <c r="I1194" s="1838">
        <f t="shared" si="56"/>
        <v>42641</v>
      </c>
      <c r="J1194" s="1838">
        <v>0</v>
      </c>
      <c r="K1194" s="1838">
        <v>0</v>
      </c>
      <c r="L1194" s="1838">
        <v>0</v>
      </c>
      <c r="M1194" s="1838">
        <v>0</v>
      </c>
      <c r="N1194" s="1838" t="s">
        <v>3182</v>
      </c>
      <c r="O1194" s="1838" t="s">
        <v>3183</v>
      </c>
      <c r="P1194" s="1838"/>
    </row>
    <row r="1195" spans="2:16" s="1843" customFormat="1">
      <c r="B1195" s="1838">
        <f t="shared" si="57"/>
        <v>1192</v>
      </c>
      <c r="C1195" s="1838" t="s">
        <v>3003</v>
      </c>
      <c r="D1195" s="1838" t="s">
        <v>3162</v>
      </c>
      <c r="E1195" s="1838" t="s">
        <v>4308</v>
      </c>
      <c r="F1195" s="1839">
        <v>45373</v>
      </c>
      <c r="G1195" s="1840">
        <v>86258</v>
      </c>
      <c r="H1195" s="1841">
        <f t="shared" si="55"/>
        <v>9</v>
      </c>
      <c r="I1195" s="1838">
        <f t="shared" si="56"/>
        <v>86258</v>
      </c>
      <c r="J1195" s="1838">
        <v>0</v>
      </c>
      <c r="K1195" s="1838">
        <v>0</v>
      </c>
      <c r="L1195" s="1838">
        <v>0</v>
      </c>
      <c r="M1195" s="1838">
        <v>0</v>
      </c>
      <c r="N1195" s="1838" t="s">
        <v>3182</v>
      </c>
      <c r="O1195" s="1838" t="s">
        <v>3183</v>
      </c>
      <c r="P1195" s="1838"/>
    </row>
    <row r="1196" spans="2:16" s="1843" customFormat="1">
      <c r="B1196" s="1838">
        <f t="shared" si="57"/>
        <v>1193</v>
      </c>
      <c r="C1196" s="1838" t="s">
        <v>3003</v>
      </c>
      <c r="D1196" s="1838" t="s">
        <v>3162</v>
      </c>
      <c r="E1196" s="1838" t="s">
        <v>4309</v>
      </c>
      <c r="F1196" s="1839">
        <v>45373</v>
      </c>
      <c r="G1196" s="1840">
        <v>59811</v>
      </c>
      <c r="H1196" s="1841">
        <f t="shared" si="55"/>
        <v>9</v>
      </c>
      <c r="I1196" s="1838">
        <f t="shared" si="56"/>
        <v>59811</v>
      </c>
      <c r="J1196" s="1838">
        <v>0</v>
      </c>
      <c r="K1196" s="1838">
        <v>0</v>
      </c>
      <c r="L1196" s="1838">
        <v>0</v>
      </c>
      <c r="M1196" s="1838">
        <v>0</v>
      </c>
      <c r="N1196" s="1838" t="s">
        <v>3182</v>
      </c>
      <c r="O1196" s="1838" t="s">
        <v>3183</v>
      </c>
      <c r="P1196" s="1838"/>
    </row>
    <row r="1197" spans="2:16" s="1843" customFormat="1">
      <c r="B1197" s="1838">
        <f t="shared" si="57"/>
        <v>1194</v>
      </c>
      <c r="C1197" s="1838" t="s">
        <v>3003</v>
      </c>
      <c r="D1197" s="1838" t="s">
        <v>3162</v>
      </c>
      <c r="E1197" s="1838" t="s">
        <v>4310</v>
      </c>
      <c r="F1197" s="1839">
        <v>45373</v>
      </c>
      <c r="G1197" s="1840">
        <v>50371</v>
      </c>
      <c r="H1197" s="1841">
        <f t="shared" si="55"/>
        <v>9</v>
      </c>
      <c r="I1197" s="1838">
        <f t="shared" si="56"/>
        <v>50371</v>
      </c>
      <c r="J1197" s="1838">
        <v>0</v>
      </c>
      <c r="K1197" s="1838">
        <v>0</v>
      </c>
      <c r="L1197" s="1838">
        <v>0</v>
      </c>
      <c r="M1197" s="1838">
        <v>0</v>
      </c>
      <c r="N1197" s="1838" t="s">
        <v>3182</v>
      </c>
      <c r="O1197" s="1838" t="s">
        <v>3183</v>
      </c>
      <c r="P1197" s="1838"/>
    </row>
    <row r="1198" spans="2:16" s="1843" customFormat="1">
      <c r="B1198" s="1838">
        <f t="shared" si="57"/>
        <v>1195</v>
      </c>
      <c r="C1198" s="1838" t="s">
        <v>3003</v>
      </c>
      <c r="D1198" s="1838" t="s">
        <v>3162</v>
      </c>
      <c r="E1198" s="1838" t="s">
        <v>4311</v>
      </c>
      <c r="F1198" s="1839">
        <v>45374</v>
      </c>
      <c r="G1198" s="1840">
        <v>69006</v>
      </c>
      <c r="H1198" s="1841">
        <f t="shared" si="55"/>
        <v>8</v>
      </c>
      <c r="I1198" s="1838">
        <f t="shared" si="56"/>
        <v>69006</v>
      </c>
      <c r="J1198" s="1838">
        <v>0</v>
      </c>
      <c r="K1198" s="1838">
        <v>0</v>
      </c>
      <c r="L1198" s="1838">
        <v>0</v>
      </c>
      <c r="M1198" s="1838">
        <v>0</v>
      </c>
      <c r="N1198" s="1838" t="s">
        <v>3182</v>
      </c>
      <c r="O1198" s="1838" t="s">
        <v>3183</v>
      </c>
      <c r="P1198" s="1838"/>
    </row>
    <row r="1199" spans="2:16" s="1843" customFormat="1">
      <c r="B1199" s="1838">
        <f t="shared" si="57"/>
        <v>1196</v>
      </c>
      <c r="C1199" s="1838" t="s">
        <v>3003</v>
      </c>
      <c r="D1199" s="1838" t="s">
        <v>3162</v>
      </c>
      <c r="E1199" s="1838" t="s">
        <v>4312</v>
      </c>
      <c r="F1199" s="1839">
        <v>45374</v>
      </c>
      <c r="G1199" s="1840">
        <v>43129</v>
      </c>
      <c r="H1199" s="1841">
        <f t="shared" si="55"/>
        <v>8</v>
      </c>
      <c r="I1199" s="1838">
        <f t="shared" si="56"/>
        <v>43129</v>
      </c>
      <c r="J1199" s="1838">
        <v>0</v>
      </c>
      <c r="K1199" s="1838">
        <v>0</v>
      </c>
      <c r="L1199" s="1838">
        <v>0</v>
      </c>
      <c r="M1199" s="1838">
        <v>0</v>
      </c>
      <c r="N1199" s="1838" t="s">
        <v>3182</v>
      </c>
      <c r="O1199" s="1838" t="s">
        <v>3183</v>
      </c>
      <c r="P1199" s="1838"/>
    </row>
    <row r="1200" spans="2:16" s="1843" customFormat="1">
      <c r="B1200" s="1838">
        <f t="shared" si="57"/>
        <v>1197</v>
      </c>
      <c r="C1200" s="1838" t="s">
        <v>3003</v>
      </c>
      <c r="D1200" s="1838" t="s">
        <v>3162</v>
      </c>
      <c r="E1200" s="1838" t="s">
        <v>4313</v>
      </c>
      <c r="F1200" s="1839">
        <v>45374</v>
      </c>
      <c r="G1200" s="1840">
        <v>47360</v>
      </c>
      <c r="H1200" s="1841">
        <f t="shared" si="55"/>
        <v>8</v>
      </c>
      <c r="I1200" s="1838">
        <f t="shared" si="56"/>
        <v>47360</v>
      </c>
      <c r="J1200" s="1838">
        <v>0</v>
      </c>
      <c r="K1200" s="1838">
        <v>0</v>
      </c>
      <c r="L1200" s="1838">
        <v>0</v>
      </c>
      <c r="M1200" s="1838">
        <v>0</v>
      </c>
      <c r="N1200" s="1838" t="s">
        <v>3182</v>
      </c>
      <c r="O1200" s="1838" t="s">
        <v>3183</v>
      </c>
      <c r="P1200" s="1838"/>
    </row>
    <row r="1201" spans="2:16" s="1843" customFormat="1">
      <c r="B1201" s="1838">
        <f t="shared" si="57"/>
        <v>1198</v>
      </c>
      <c r="C1201" s="1838" t="s">
        <v>3003</v>
      </c>
      <c r="D1201" s="1838" t="s">
        <v>3162</v>
      </c>
      <c r="E1201" s="1838" t="s">
        <v>4314</v>
      </c>
      <c r="F1201" s="1839">
        <v>45374</v>
      </c>
      <c r="G1201" s="1840">
        <v>60218</v>
      </c>
      <c r="H1201" s="1841">
        <f t="shared" si="55"/>
        <v>8</v>
      </c>
      <c r="I1201" s="1838">
        <f t="shared" si="56"/>
        <v>60218</v>
      </c>
      <c r="J1201" s="1838">
        <v>0</v>
      </c>
      <c r="K1201" s="1838">
        <v>0</v>
      </c>
      <c r="L1201" s="1838">
        <v>0</v>
      </c>
      <c r="M1201" s="1838">
        <v>0</v>
      </c>
      <c r="N1201" s="1838" t="s">
        <v>3182</v>
      </c>
      <c r="O1201" s="1838" t="s">
        <v>3183</v>
      </c>
      <c r="P1201" s="1838"/>
    </row>
    <row r="1202" spans="2:16" s="1843" customFormat="1">
      <c r="B1202" s="1838">
        <f t="shared" si="57"/>
        <v>1199</v>
      </c>
      <c r="C1202" s="1838" t="s">
        <v>3003</v>
      </c>
      <c r="D1202" s="1838" t="s">
        <v>3162</v>
      </c>
      <c r="E1202" s="1838" t="s">
        <v>4315</v>
      </c>
      <c r="F1202" s="1839">
        <v>45374</v>
      </c>
      <c r="G1202" s="1840">
        <v>42559</v>
      </c>
      <c r="H1202" s="1841">
        <f t="shared" si="55"/>
        <v>8</v>
      </c>
      <c r="I1202" s="1838">
        <f t="shared" si="56"/>
        <v>42559</v>
      </c>
      <c r="J1202" s="1838">
        <v>0</v>
      </c>
      <c r="K1202" s="1838">
        <v>0</v>
      </c>
      <c r="L1202" s="1838">
        <v>0</v>
      </c>
      <c r="M1202" s="1838">
        <v>0</v>
      </c>
      <c r="N1202" s="1838" t="s">
        <v>3182</v>
      </c>
      <c r="O1202" s="1838" t="s">
        <v>3183</v>
      </c>
      <c r="P1202" s="1838"/>
    </row>
    <row r="1203" spans="2:16" s="1843" customFormat="1">
      <c r="B1203" s="1838">
        <f t="shared" si="57"/>
        <v>1200</v>
      </c>
      <c r="C1203" s="1838" t="s">
        <v>3003</v>
      </c>
      <c r="D1203" s="1838" t="s">
        <v>3162</v>
      </c>
      <c r="E1203" s="1838" t="s">
        <v>4316</v>
      </c>
      <c r="F1203" s="1839">
        <v>45375</v>
      </c>
      <c r="G1203" s="1840">
        <v>72424</v>
      </c>
      <c r="H1203" s="1841">
        <f t="shared" si="55"/>
        <v>7</v>
      </c>
      <c r="I1203" s="1838">
        <f t="shared" si="56"/>
        <v>72424</v>
      </c>
      <c r="J1203" s="1838">
        <v>0</v>
      </c>
      <c r="K1203" s="1838">
        <v>0</v>
      </c>
      <c r="L1203" s="1838">
        <v>0</v>
      </c>
      <c r="M1203" s="1838">
        <v>0</v>
      </c>
      <c r="N1203" s="1838" t="s">
        <v>3182</v>
      </c>
      <c r="O1203" s="1838" t="s">
        <v>3183</v>
      </c>
      <c r="P1203" s="1838"/>
    </row>
    <row r="1204" spans="2:16" s="1843" customFormat="1">
      <c r="B1204" s="1838">
        <f t="shared" si="57"/>
        <v>1201</v>
      </c>
      <c r="C1204" s="1838" t="s">
        <v>3003</v>
      </c>
      <c r="D1204" s="1838" t="s">
        <v>3162</v>
      </c>
      <c r="E1204" s="1838" t="s">
        <v>4317</v>
      </c>
      <c r="F1204" s="1839">
        <v>45375</v>
      </c>
      <c r="G1204" s="1840">
        <v>43943</v>
      </c>
      <c r="H1204" s="1841">
        <f t="shared" si="55"/>
        <v>7</v>
      </c>
      <c r="I1204" s="1838">
        <f t="shared" si="56"/>
        <v>43943</v>
      </c>
      <c r="J1204" s="1838">
        <v>0</v>
      </c>
      <c r="K1204" s="1838">
        <v>0</v>
      </c>
      <c r="L1204" s="1838">
        <v>0</v>
      </c>
      <c r="M1204" s="1838">
        <v>0</v>
      </c>
      <c r="N1204" s="1838" t="s">
        <v>3182</v>
      </c>
      <c r="O1204" s="1838" t="s">
        <v>3183</v>
      </c>
      <c r="P1204" s="1838"/>
    </row>
    <row r="1205" spans="2:16" s="1843" customFormat="1">
      <c r="B1205" s="1838">
        <f t="shared" si="57"/>
        <v>1202</v>
      </c>
      <c r="C1205" s="1838" t="s">
        <v>3003</v>
      </c>
      <c r="D1205" s="1838" t="s">
        <v>3162</v>
      </c>
      <c r="E1205" s="1838" t="s">
        <v>4318</v>
      </c>
      <c r="F1205" s="1839">
        <v>45375</v>
      </c>
      <c r="G1205" s="1840">
        <v>51266</v>
      </c>
      <c r="H1205" s="1841">
        <f t="shared" si="55"/>
        <v>7</v>
      </c>
      <c r="I1205" s="1838">
        <f t="shared" si="56"/>
        <v>51266</v>
      </c>
      <c r="J1205" s="1838">
        <v>0</v>
      </c>
      <c r="K1205" s="1838">
        <v>0</v>
      </c>
      <c r="L1205" s="1838">
        <v>0</v>
      </c>
      <c r="M1205" s="1838">
        <v>0</v>
      </c>
      <c r="N1205" s="1838" t="s">
        <v>3182</v>
      </c>
      <c r="O1205" s="1838" t="s">
        <v>3183</v>
      </c>
      <c r="P1205" s="1838"/>
    </row>
    <row r="1206" spans="2:16" s="1843" customFormat="1">
      <c r="B1206" s="1838">
        <f t="shared" si="57"/>
        <v>1203</v>
      </c>
      <c r="C1206" s="1838" t="s">
        <v>3003</v>
      </c>
      <c r="D1206" s="1838" t="s">
        <v>3162</v>
      </c>
      <c r="E1206" s="1838" t="s">
        <v>4319</v>
      </c>
      <c r="F1206" s="1839">
        <v>45375</v>
      </c>
      <c r="G1206" s="1840">
        <v>78446</v>
      </c>
      <c r="H1206" s="1841">
        <f t="shared" si="55"/>
        <v>7</v>
      </c>
      <c r="I1206" s="1838">
        <f t="shared" si="56"/>
        <v>78446</v>
      </c>
      <c r="J1206" s="1838">
        <v>0</v>
      </c>
      <c r="K1206" s="1838">
        <v>0</v>
      </c>
      <c r="L1206" s="1838">
        <v>0</v>
      </c>
      <c r="M1206" s="1838">
        <v>0</v>
      </c>
      <c r="N1206" s="1838" t="s">
        <v>3182</v>
      </c>
      <c r="O1206" s="1838" t="s">
        <v>3183</v>
      </c>
      <c r="P1206" s="1838"/>
    </row>
    <row r="1207" spans="2:16" s="1843" customFormat="1">
      <c r="B1207" s="1838">
        <f t="shared" si="57"/>
        <v>1204</v>
      </c>
      <c r="C1207" s="1838" t="s">
        <v>3003</v>
      </c>
      <c r="D1207" s="1838" t="s">
        <v>3162</v>
      </c>
      <c r="E1207" s="1838" t="s">
        <v>4320</v>
      </c>
      <c r="F1207" s="1839">
        <v>45375</v>
      </c>
      <c r="G1207" s="1840">
        <v>50859</v>
      </c>
      <c r="H1207" s="1841">
        <f t="shared" si="55"/>
        <v>7</v>
      </c>
      <c r="I1207" s="1838">
        <f t="shared" si="56"/>
        <v>50859</v>
      </c>
      <c r="J1207" s="1838">
        <v>0</v>
      </c>
      <c r="K1207" s="1838">
        <v>0</v>
      </c>
      <c r="L1207" s="1838">
        <v>0</v>
      </c>
      <c r="M1207" s="1838">
        <v>0</v>
      </c>
      <c r="N1207" s="1838" t="s">
        <v>3182</v>
      </c>
      <c r="O1207" s="1838" t="s">
        <v>3183</v>
      </c>
      <c r="P1207" s="1838"/>
    </row>
    <row r="1208" spans="2:16" s="1843" customFormat="1">
      <c r="B1208" s="1838">
        <f t="shared" si="57"/>
        <v>1205</v>
      </c>
      <c r="C1208" s="1838" t="s">
        <v>3003</v>
      </c>
      <c r="D1208" s="1838" t="s">
        <v>3162</v>
      </c>
      <c r="E1208" s="1838" t="s">
        <v>4321</v>
      </c>
      <c r="F1208" s="1839">
        <v>45375</v>
      </c>
      <c r="G1208" s="1840">
        <v>80317</v>
      </c>
      <c r="H1208" s="1841">
        <f t="shared" si="55"/>
        <v>7</v>
      </c>
      <c r="I1208" s="1838">
        <f t="shared" si="56"/>
        <v>80317</v>
      </c>
      <c r="J1208" s="1838">
        <v>0</v>
      </c>
      <c r="K1208" s="1838">
        <v>0</v>
      </c>
      <c r="L1208" s="1838">
        <v>0</v>
      </c>
      <c r="M1208" s="1838">
        <v>0</v>
      </c>
      <c r="N1208" s="1838" t="s">
        <v>3182</v>
      </c>
      <c r="O1208" s="1838" t="s">
        <v>3183</v>
      </c>
      <c r="P1208" s="1838"/>
    </row>
    <row r="1209" spans="2:16" s="1843" customFormat="1">
      <c r="B1209" s="1838">
        <f t="shared" si="57"/>
        <v>1206</v>
      </c>
      <c r="C1209" s="1838" t="s">
        <v>3003</v>
      </c>
      <c r="D1209" s="1838" t="s">
        <v>3162</v>
      </c>
      <c r="E1209" s="1838" t="s">
        <v>4322</v>
      </c>
      <c r="F1209" s="1839">
        <v>45378</v>
      </c>
      <c r="G1209" s="1840">
        <v>120515</v>
      </c>
      <c r="H1209" s="1841">
        <f t="shared" si="55"/>
        <v>4</v>
      </c>
      <c r="I1209" s="1838">
        <f t="shared" si="56"/>
        <v>120515</v>
      </c>
      <c r="J1209" s="1838">
        <v>0</v>
      </c>
      <c r="K1209" s="1838">
        <v>0</v>
      </c>
      <c r="L1209" s="1838">
        <v>0</v>
      </c>
      <c r="M1209" s="1838">
        <v>0</v>
      </c>
      <c r="N1209" s="1838" t="s">
        <v>3182</v>
      </c>
      <c r="O1209" s="1838" t="s">
        <v>3183</v>
      </c>
      <c r="P1209" s="1838"/>
    </row>
    <row r="1210" spans="2:16" s="1843" customFormat="1">
      <c r="B1210" s="1838">
        <f t="shared" si="57"/>
        <v>1207</v>
      </c>
      <c r="C1210" s="1838" t="s">
        <v>3003</v>
      </c>
      <c r="D1210" s="1838" t="s">
        <v>3162</v>
      </c>
      <c r="E1210" s="1838" t="s">
        <v>4323</v>
      </c>
      <c r="F1210" s="1839">
        <v>45378</v>
      </c>
      <c r="G1210" s="1840">
        <v>39630</v>
      </c>
      <c r="H1210" s="1841">
        <f t="shared" si="55"/>
        <v>4</v>
      </c>
      <c r="I1210" s="1838">
        <f t="shared" si="56"/>
        <v>39630</v>
      </c>
      <c r="J1210" s="1838">
        <v>0</v>
      </c>
      <c r="K1210" s="1838">
        <v>0</v>
      </c>
      <c r="L1210" s="1838">
        <v>0</v>
      </c>
      <c r="M1210" s="1838">
        <v>0</v>
      </c>
      <c r="N1210" s="1838" t="s">
        <v>3182</v>
      </c>
      <c r="O1210" s="1838" t="s">
        <v>3183</v>
      </c>
      <c r="P1210" s="1838"/>
    </row>
    <row r="1211" spans="2:16" s="1843" customFormat="1">
      <c r="B1211" s="1838">
        <f t="shared" si="57"/>
        <v>1208</v>
      </c>
      <c r="C1211" s="1838" t="s">
        <v>3003</v>
      </c>
      <c r="D1211" s="1838" t="s">
        <v>3162</v>
      </c>
      <c r="E1211" s="1838" t="s">
        <v>4324</v>
      </c>
      <c r="F1211" s="1839">
        <v>45378</v>
      </c>
      <c r="G1211" s="1840">
        <v>81945</v>
      </c>
      <c r="H1211" s="1841">
        <f t="shared" si="55"/>
        <v>4</v>
      </c>
      <c r="I1211" s="1838">
        <f t="shared" si="56"/>
        <v>81945</v>
      </c>
      <c r="J1211" s="1838">
        <v>0</v>
      </c>
      <c r="K1211" s="1838">
        <v>0</v>
      </c>
      <c r="L1211" s="1838">
        <v>0</v>
      </c>
      <c r="M1211" s="1838">
        <v>0</v>
      </c>
      <c r="N1211" s="1838" t="s">
        <v>3182</v>
      </c>
      <c r="O1211" s="1838" t="s">
        <v>3183</v>
      </c>
      <c r="P1211" s="1838"/>
    </row>
    <row r="1212" spans="2:16" s="1843" customFormat="1">
      <c r="B1212" s="1838">
        <f t="shared" si="57"/>
        <v>1209</v>
      </c>
      <c r="C1212" s="1838" t="s">
        <v>3003</v>
      </c>
      <c r="D1212" s="1838" t="s">
        <v>3162</v>
      </c>
      <c r="E1212" s="1838" t="s">
        <v>4325</v>
      </c>
      <c r="F1212" s="1839">
        <v>45378</v>
      </c>
      <c r="G1212" s="1840">
        <v>47686</v>
      </c>
      <c r="H1212" s="1841">
        <f t="shared" si="55"/>
        <v>4</v>
      </c>
      <c r="I1212" s="1838">
        <f t="shared" si="56"/>
        <v>47686</v>
      </c>
      <c r="J1212" s="1838">
        <v>0</v>
      </c>
      <c r="K1212" s="1838">
        <v>0</v>
      </c>
      <c r="L1212" s="1838">
        <v>0</v>
      </c>
      <c r="M1212" s="1838">
        <v>0</v>
      </c>
      <c r="N1212" s="1838" t="s">
        <v>3182</v>
      </c>
      <c r="O1212" s="1838" t="s">
        <v>3183</v>
      </c>
      <c r="P1212" s="1838"/>
    </row>
    <row r="1213" spans="2:16" s="1843" customFormat="1">
      <c r="B1213" s="1838">
        <f t="shared" si="57"/>
        <v>1210</v>
      </c>
      <c r="C1213" s="1838" t="s">
        <v>3003</v>
      </c>
      <c r="D1213" s="1838" t="s">
        <v>3162</v>
      </c>
      <c r="E1213" s="1838" t="s">
        <v>4326</v>
      </c>
      <c r="F1213" s="1839">
        <v>45379</v>
      </c>
      <c r="G1213" s="1840">
        <v>46784</v>
      </c>
      <c r="H1213" s="1841">
        <f t="shared" si="55"/>
        <v>3</v>
      </c>
      <c r="I1213" s="1838">
        <f t="shared" si="56"/>
        <v>46784</v>
      </c>
      <c r="J1213" s="1838">
        <v>0</v>
      </c>
      <c r="K1213" s="1838">
        <v>0</v>
      </c>
      <c r="L1213" s="1838">
        <v>0</v>
      </c>
      <c r="M1213" s="1838">
        <v>0</v>
      </c>
      <c r="N1213" s="1838" t="s">
        <v>3182</v>
      </c>
      <c r="O1213" s="1838" t="s">
        <v>3183</v>
      </c>
      <c r="P1213" s="1838"/>
    </row>
    <row r="1214" spans="2:16" s="1843" customFormat="1">
      <c r="B1214" s="1838">
        <f t="shared" si="57"/>
        <v>1211</v>
      </c>
      <c r="C1214" s="1838" t="s">
        <v>3003</v>
      </c>
      <c r="D1214" s="1838" t="s">
        <v>3162</v>
      </c>
      <c r="E1214" s="1838" t="s">
        <v>4327</v>
      </c>
      <c r="F1214" s="1839">
        <v>45379</v>
      </c>
      <c r="G1214" s="1840">
        <v>42553</v>
      </c>
      <c r="H1214" s="1841">
        <f t="shared" si="55"/>
        <v>3</v>
      </c>
      <c r="I1214" s="1838">
        <f t="shared" si="56"/>
        <v>42553</v>
      </c>
      <c r="J1214" s="1838">
        <v>0</v>
      </c>
      <c r="K1214" s="1838">
        <v>0</v>
      </c>
      <c r="L1214" s="1838">
        <v>0</v>
      </c>
      <c r="M1214" s="1838">
        <v>0</v>
      </c>
      <c r="N1214" s="1838" t="s">
        <v>3182</v>
      </c>
      <c r="O1214" s="1838" t="s">
        <v>3183</v>
      </c>
      <c r="P1214" s="1838"/>
    </row>
    <row r="1215" spans="2:16" s="1843" customFormat="1">
      <c r="B1215" s="1838">
        <f t="shared" si="57"/>
        <v>1212</v>
      </c>
      <c r="C1215" s="1838" t="s">
        <v>3003</v>
      </c>
      <c r="D1215" s="1838" t="s">
        <v>3162</v>
      </c>
      <c r="E1215" s="1838" t="s">
        <v>4328</v>
      </c>
      <c r="F1215" s="1839">
        <v>45379</v>
      </c>
      <c r="G1215" s="1840">
        <v>33097</v>
      </c>
      <c r="H1215" s="1841">
        <f t="shared" si="55"/>
        <v>3</v>
      </c>
      <c r="I1215" s="1838">
        <f t="shared" si="56"/>
        <v>33097</v>
      </c>
      <c r="J1215" s="1838">
        <v>0</v>
      </c>
      <c r="K1215" s="1838">
        <v>0</v>
      </c>
      <c r="L1215" s="1838">
        <v>0</v>
      </c>
      <c r="M1215" s="1838">
        <v>0</v>
      </c>
      <c r="N1215" s="1838" t="s">
        <v>3182</v>
      </c>
      <c r="O1215" s="1838" t="s">
        <v>3183</v>
      </c>
      <c r="P1215" s="1838"/>
    </row>
    <row r="1216" spans="2:16" s="1843" customFormat="1">
      <c r="B1216" s="1838">
        <f t="shared" si="57"/>
        <v>1213</v>
      </c>
      <c r="C1216" s="1838" t="s">
        <v>3003</v>
      </c>
      <c r="D1216" s="1838" t="s">
        <v>3162</v>
      </c>
      <c r="E1216" s="1838" t="s">
        <v>4329</v>
      </c>
      <c r="F1216" s="1839">
        <v>45379</v>
      </c>
      <c r="G1216" s="1840">
        <v>36996</v>
      </c>
      <c r="H1216" s="1841">
        <f t="shared" si="55"/>
        <v>3</v>
      </c>
      <c r="I1216" s="1838">
        <f t="shared" si="56"/>
        <v>36996</v>
      </c>
      <c r="J1216" s="1838">
        <v>0</v>
      </c>
      <c r="K1216" s="1838">
        <v>0</v>
      </c>
      <c r="L1216" s="1838">
        <v>0</v>
      </c>
      <c r="M1216" s="1838">
        <v>0</v>
      </c>
      <c r="N1216" s="1838" t="s">
        <v>3182</v>
      </c>
      <c r="O1216" s="1838" t="s">
        <v>3183</v>
      </c>
      <c r="P1216" s="1838"/>
    </row>
    <row r="1217" spans="2:16" s="1843" customFormat="1">
      <c r="B1217" s="1838">
        <f t="shared" si="57"/>
        <v>1214</v>
      </c>
      <c r="C1217" s="1838" t="s">
        <v>3003</v>
      </c>
      <c r="D1217" s="1838" t="s">
        <v>3162</v>
      </c>
      <c r="E1217" s="1838" t="s">
        <v>4330</v>
      </c>
      <c r="F1217" s="1839">
        <v>45379</v>
      </c>
      <c r="G1217" s="1840">
        <v>68019</v>
      </c>
      <c r="H1217" s="1841">
        <f t="shared" si="55"/>
        <v>3</v>
      </c>
      <c r="I1217" s="1838">
        <f t="shared" si="56"/>
        <v>68019</v>
      </c>
      <c r="J1217" s="1838">
        <v>0</v>
      </c>
      <c r="K1217" s="1838">
        <v>0</v>
      </c>
      <c r="L1217" s="1838">
        <v>0</v>
      </c>
      <c r="M1217" s="1838">
        <v>0</v>
      </c>
      <c r="N1217" s="1838" t="s">
        <v>3182</v>
      </c>
      <c r="O1217" s="1838" t="s">
        <v>3183</v>
      </c>
      <c r="P1217" s="1838"/>
    </row>
    <row r="1218" spans="2:16" s="1843" customFormat="1">
      <c r="B1218" s="1838">
        <f t="shared" si="57"/>
        <v>1215</v>
      </c>
      <c r="C1218" s="1838" t="s">
        <v>3003</v>
      </c>
      <c r="D1218" s="1838" t="s">
        <v>3162</v>
      </c>
      <c r="E1218" s="1838" t="s">
        <v>4331</v>
      </c>
      <c r="F1218" s="1839">
        <v>45380</v>
      </c>
      <c r="G1218" s="1840">
        <v>76646</v>
      </c>
      <c r="H1218" s="1841">
        <f t="shared" si="55"/>
        <v>2</v>
      </c>
      <c r="I1218" s="1838">
        <f t="shared" si="56"/>
        <v>76646</v>
      </c>
      <c r="J1218" s="1838">
        <v>0</v>
      </c>
      <c r="K1218" s="1838">
        <v>0</v>
      </c>
      <c r="L1218" s="1838">
        <v>0</v>
      </c>
      <c r="M1218" s="1838">
        <v>0</v>
      </c>
      <c r="N1218" s="1838" t="s">
        <v>3182</v>
      </c>
      <c r="O1218" s="1838" t="s">
        <v>3183</v>
      </c>
      <c r="P1218" s="1838"/>
    </row>
    <row r="1219" spans="2:16" s="1843" customFormat="1">
      <c r="B1219" s="1838">
        <f t="shared" si="57"/>
        <v>1216</v>
      </c>
      <c r="C1219" s="1838" t="s">
        <v>3003</v>
      </c>
      <c r="D1219" s="1838" t="s">
        <v>3162</v>
      </c>
      <c r="E1219" s="1838" t="s">
        <v>4332</v>
      </c>
      <c r="F1219" s="1839">
        <v>45380</v>
      </c>
      <c r="G1219" s="1840">
        <v>58895</v>
      </c>
      <c r="H1219" s="1841">
        <f t="shared" si="55"/>
        <v>2</v>
      </c>
      <c r="I1219" s="1838">
        <f t="shared" si="56"/>
        <v>58895</v>
      </c>
      <c r="J1219" s="1838">
        <v>0</v>
      </c>
      <c r="K1219" s="1838">
        <v>0</v>
      </c>
      <c r="L1219" s="1838">
        <v>0</v>
      </c>
      <c r="M1219" s="1838">
        <v>0</v>
      </c>
      <c r="N1219" s="1838" t="s">
        <v>3182</v>
      </c>
      <c r="O1219" s="1838" t="s">
        <v>3183</v>
      </c>
      <c r="P1219" s="1838"/>
    </row>
    <row r="1220" spans="2:16" s="1843" customFormat="1">
      <c r="B1220" s="1838">
        <f t="shared" si="57"/>
        <v>1217</v>
      </c>
      <c r="C1220" s="1838" t="s">
        <v>3003</v>
      </c>
      <c r="D1220" s="1838" t="s">
        <v>3162</v>
      </c>
      <c r="E1220" s="1838" t="s">
        <v>4333</v>
      </c>
      <c r="F1220" s="1839">
        <v>45380</v>
      </c>
      <c r="G1220" s="1840">
        <v>60056</v>
      </c>
      <c r="H1220" s="1841">
        <f t="shared" si="55"/>
        <v>2</v>
      </c>
      <c r="I1220" s="1838">
        <f t="shared" si="56"/>
        <v>60056</v>
      </c>
      <c r="J1220" s="1838">
        <v>0</v>
      </c>
      <c r="K1220" s="1838">
        <v>0</v>
      </c>
      <c r="L1220" s="1838">
        <v>0</v>
      </c>
      <c r="M1220" s="1838">
        <v>0</v>
      </c>
      <c r="N1220" s="1838" t="s">
        <v>3182</v>
      </c>
      <c r="O1220" s="1838" t="s">
        <v>3183</v>
      </c>
      <c r="P1220" s="1838"/>
    </row>
    <row r="1221" spans="2:16" s="1843" customFormat="1">
      <c r="B1221" s="1838">
        <f t="shared" si="57"/>
        <v>1218</v>
      </c>
      <c r="C1221" s="1838" t="s">
        <v>3003</v>
      </c>
      <c r="D1221" s="1838" t="s">
        <v>3162</v>
      </c>
      <c r="E1221" s="1838" t="s">
        <v>4334</v>
      </c>
      <c r="F1221" s="1839">
        <v>45380</v>
      </c>
      <c r="G1221" s="1840">
        <v>43466</v>
      </c>
      <c r="H1221" s="1841">
        <f t="shared" ref="H1221:H1284" si="58">+$H$2-F1221</f>
        <v>2</v>
      </c>
      <c r="I1221" s="1838">
        <f t="shared" ref="I1221:I1284" si="59">+G1221</f>
        <v>43466</v>
      </c>
      <c r="J1221" s="1838">
        <v>0</v>
      </c>
      <c r="K1221" s="1838">
        <v>0</v>
      </c>
      <c r="L1221" s="1838">
        <v>0</v>
      </c>
      <c r="M1221" s="1838">
        <v>0</v>
      </c>
      <c r="N1221" s="1838" t="s">
        <v>3182</v>
      </c>
      <c r="O1221" s="1838" t="s">
        <v>3183</v>
      </c>
      <c r="P1221" s="1838"/>
    </row>
    <row r="1222" spans="2:16" s="1843" customFormat="1">
      <c r="B1222" s="1838">
        <f t="shared" ref="B1222:B1285" si="60">+B1221+1</f>
        <v>1219</v>
      </c>
      <c r="C1222" s="1838" t="s">
        <v>3003</v>
      </c>
      <c r="D1222" s="1838" t="s">
        <v>3162</v>
      </c>
      <c r="E1222" s="1838" t="s">
        <v>4335</v>
      </c>
      <c r="F1222" s="1839">
        <v>45380</v>
      </c>
      <c r="G1222" s="1840">
        <v>50600</v>
      </c>
      <c r="H1222" s="1841">
        <f t="shared" si="58"/>
        <v>2</v>
      </c>
      <c r="I1222" s="1838">
        <f t="shared" si="59"/>
        <v>50600</v>
      </c>
      <c r="J1222" s="1838">
        <v>0</v>
      </c>
      <c r="K1222" s="1838">
        <v>0</v>
      </c>
      <c r="L1222" s="1838">
        <v>0</v>
      </c>
      <c r="M1222" s="1838">
        <v>0</v>
      </c>
      <c r="N1222" s="1838" t="s">
        <v>3182</v>
      </c>
      <c r="O1222" s="1838" t="s">
        <v>3183</v>
      </c>
      <c r="P1222" s="1838"/>
    </row>
    <row r="1223" spans="2:16" s="1843" customFormat="1">
      <c r="B1223" s="1838">
        <f t="shared" si="60"/>
        <v>1220</v>
      </c>
      <c r="C1223" s="1838" t="s">
        <v>3003</v>
      </c>
      <c r="D1223" s="1838" t="s">
        <v>3162</v>
      </c>
      <c r="E1223" s="1838" t="s">
        <v>4336</v>
      </c>
      <c r="F1223" s="1839">
        <v>45381</v>
      </c>
      <c r="G1223" s="1840">
        <v>37991</v>
      </c>
      <c r="H1223" s="1841">
        <f t="shared" si="58"/>
        <v>1</v>
      </c>
      <c r="I1223" s="1838">
        <f t="shared" si="59"/>
        <v>37991</v>
      </c>
      <c r="J1223" s="1838">
        <v>0</v>
      </c>
      <c r="K1223" s="1838">
        <v>0</v>
      </c>
      <c r="L1223" s="1838">
        <v>0</v>
      </c>
      <c r="M1223" s="1838">
        <v>0</v>
      </c>
      <c r="N1223" s="1838" t="s">
        <v>3182</v>
      </c>
      <c r="O1223" s="1838" t="s">
        <v>3183</v>
      </c>
      <c r="P1223" s="1838"/>
    </row>
    <row r="1224" spans="2:16" s="1843" customFormat="1">
      <c r="B1224" s="1838">
        <f t="shared" si="60"/>
        <v>1221</v>
      </c>
      <c r="C1224" s="1838" t="s">
        <v>3003</v>
      </c>
      <c r="D1224" s="1838" t="s">
        <v>3162</v>
      </c>
      <c r="E1224" s="1838" t="s">
        <v>4337</v>
      </c>
      <c r="F1224" s="1839">
        <v>45381</v>
      </c>
      <c r="G1224" s="1840">
        <v>51263</v>
      </c>
      <c r="H1224" s="1841">
        <f t="shared" si="58"/>
        <v>1</v>
      </c>
      <c r="I1224" s="1838">
        <f t="shared" si="59"/>
        <v>51263</v>
      </c>
      <c r="J1224" s="1838">
        <v>0</v>
      </c>
      <c r="K1224" s="1838">
        <v>0</v>
      </c>
      <c r="L1224" s="1838">
        <v>0</v>
      </c>
      <c r="M1224" s="1838">
        <v>0</v>
      </c>
      <c r="N1224" s="1838" t="s">
        <v>3182</v>
      </c>
      <c r="O1224" s="1838" t="s">
        <v>3183</v>
      </c>
      <c r="P1224" s="1838"/>
    </row>
    <row r="1225" spans="2:16" s="1843" customFormat="1">
      <c r="B1225" s="1838">
        <f t="shared" si="60"/>
        <v>1222</v>
      </c>
      <c r="C1225" s="1838" t="s">
        <v>3003</v>
      </c>
      <c r="D1225" s="1838" t="s">
        <v>3162</v>
      </c>
      <c r="E1225" s="1838" t="s">
        <v>4338</v>
      </c>
      <c r="F1225" s="1839">
        <v>45381</v>
      </c>
      <c r="G1225" s="1840">
        <v>52341</v>
      </c>
      <c r="H1225" s="1841">
        <f t="shared" si="58"/>
        <v>1</v>
      </c>
      <c r="I1225" s="1838">
        <f t="shared" si="59"/>
        <v>52341</v>
      </c>
      <c r="J1225" s="1838">
        <v>0</v>
      </c>
      <c r="K1225" s="1838">
        <v>0</v>
      </c>
      <c r="L1225" s="1838">
        <v>0</v>
      </c>
      <c r="M1225" s="1838">
        <v>0</v>
      </c>
      <c r="N1225" s="1838" t="s">
        <v>3182</v>
      </c>
      <c r="O1225" s="1838" t="s">
        <v>3183</v>
      </c>
      <c r="P1225" s="1838"/>
    </row>
    <row r="1226" spans="2:16" s="1843" customFormat="1">
      <c r="B1226" s="1838">
        <f t="shared" si="60"/>
        <v>1223</v>
      </c>
      <c r="C1226" s="1838" t="s">
        <v>3003</v>
      </c>
      <c r="D1226" s="1838" t="s">
        <v>3162</v>
      </c>
      <c r="E1226" s="1838" t="s">
        <v>4339</v>
      </c>
      <c r="F1226" s="1839">
        <v>45381</v>
      </c>
      <c r="G1226" s="1840">
        <v>47116</v>
      </c>
      <c r="H1226" s="1841">
        <f t="shared" si="58"/>
        <v>1</v>
      </c>
      <c r="I1226" s="1838">
        <f t="shared" si="59"/>
        <v>47116</v>
      </c>
      <c r="J1226" s="1838">
        <v>0</v>
      </c>
      <c r="K1226" s="1838">
        <v>0</v>
      </c>
      <c r="L1226" s="1838">
        <v>0</v>
      </c>
      <c r="M1226" s="1838">
        <v>0</v>
      </c>
      <c r="N1226" s="1838" t="s">
        <v>3182</v>
      </c>
      <c r="O1226" s="1838" t="s">
        <v>3183</v>
      </c>
      <c r="P1226" s="1838"/>
    </row>
    <row r="1227" spans="2:16" s="1843" customFormat="1">
      <c r="B1227" s="1838">
        <f t="shared" si="60"/>
        <v>1224</v>
      </c>
      <c r="C1227" s="1838" t="s">
        <v>3003</v>
      </c>
      <c r="D1227" s="1838" t="s">
        <v>3162</v>
      </c>
      <c r="E1227" s="1838" t="s">
        <v>4340</v>
      </c>
      <c r="F1227" s="1839">
        <v>45381</v>
      </c>
      <c r="G1227" s="1840">
        <v>52010</v>
      </c>
      <c r="H1227" s="1841">
        <f t="shared" si="58"/>
        <v>1</v>
      </c>
      <c r="I1227" s="1838">
        <f t="shared" si="59"/>
        <v>52010</v>
      </c>
      <c r="J1227" s="1838">
        <v>0</v>
      </c>
      <c r="K1227" s="1838">
        <v>0</v>
      </c>
      <c r="L1227" s="1838">
        <v>0</v>
      </c>
      <c r="M1227" s="1838">
        <v>0</v>
      </c>
      <c r="N1227" s="1838" t="s">
        <v>3182</v>
      </c>
      <c r="O1227" s="1838" t="s">
        <v>3183</v>
      </c>
      <c r="P1227" s="1838"/>
    </row>
    <row r="1228" spans="2:16" s="1843" customFormat="1">
      <c r="B1228" s="1838">
        <f t="shared" si="60"/>
        <v>1225</v>
      </c>
      <c r="C1228" s="1838" t="s">
        <v>3003</v>
      </c>
      <c r="D1228" s="1838" t="s">
        <v>3162</v>
      </c>
      <c r="E1228" s="1838" t="s">
        <v>4341</v>
      </c>
      <c r="F1228" s="1839">
        <v>45381</v>
      </c>
      <c r="G1228" s="1840">
        <v>49770</v>
      </c>
      <c r="H1228" s="1841">
        <f t="shared" si="58"/>
        <v>1</v>
      </c>
      <c r="I1228" s="1838">
        <f t="shared" si="59"/>
        <v>49770</v>
      </c>
      <c r="J1228" s="1838">
        <v>0</v>
      </c>
      <c r="K1228" s="1838">
        <v>0</v>
      </c>
      <c r="L1228" s="1838">
        <v>0</v>
      </c>
      <c r="M1228" s="1838">
        <v>0</v>
      </c>
      <c r="N1228" s="1838" t="s">
        <v>3182</v>
      </c>
      <c r="O1228" s="1838" t="s">
        <v>3183</v>
      </c>
      <c r="P1228" s="1838"/>
    </row>
    <row r="1229" spans="2:16" s="1843" customFormat="1">
      <c r="B1229" s="1838">
        <f t="shared" si="60"/>
        <v>1226</v>
      </c>
      <c r="C1229" s="1838" t="s">
        <v>3003</v>
      </c>
      <c r="D1229" s="1838" t="s">
        <v>3162</v>
      </c>
      <c r="E1229" s="1838" t="s">
        <v>4342</v>
      </c>
      <c r="F1229" s="1839">
        <v>45382</v>
      </c>
      <c r="G1229" s="1840">
        <v>55494</v>
      </c>
      <c r="H1229" s="1841">
        <f t="shared" si="58"/>
        <v>0</v>
      </c>
      <c r="I1229" s="1838">
        <f t="shared" si="59"/>
        <v>55494</v>
      </c>
      <c r="J1229" s="1838">
        <v>0</v>
      </c>
      <c r="K1229" s="1838">
        <v>0</v>
      </c>
      <c r="L1229" s="1838">
        <v>0</v>
      </c>
      <c r="M1229" s="1838">
        <v>0</v>
      </c>
      <c r="N1229" s="1838" t="s">
        <v>3182</v>
      </c>
      <c r="O1229" s="1838" t="s">
        <v>3183</v>
      </c>
      <c r="P1229" s="1838"/>
    </row>
    <row r="1230" spans="2:16" s="1843" customFormat="1">
      <c r="B1230" s="1838">
        <f t="shared" si="60"/>
        <v>1227</v>
      </c>
      <c r="C1230" s="1838" t="s">
        <v>3003</v>
      </c>
      <c r="D1230" s="1838" t="s">
        <v>3162</v>
      </c>
      <c r="E1230" s="1838" t="s">
        <v>4343</v>
      </c>
      <c r="F1230" s="1839">
        <v>45382</v>
      </c>
      <c r="G1230" s="1840">
        <v>52756</v>
      </c>
      <c r="H1230" s="1841">
        <f t="shared" si="58"/>
        <v>0</v>
      </c>
      <c r="I1230" s="1838">
        <f t="shared" si="59"/>
        <v>52756</v>
      </c>
      <c r="J1230" s="1838">
        <v>0</v>
      </c>
      <c r="K1230" s="1838">
        <v>0</v>
      </c>
      <c r="L1230" s="1838">
        <v>0</v>
      </c>
      <c r="M1230" s="1838">
        <v>0</v>
      </c>
      <c r="N1230" s="1838" t="s">
        <v>3182</v>
      </c>
      <c r="O1230" s="1838" t="s">
        <v>3183</v>
      </c>
      <c r="P1230" s="1838"/>
    </row>
    <row r="1231" spans="2:16" s="1843" customFormat="1">
      <c r="B1231" s="1838">
        <f t="shared" si="60"/>
        <v>1228</v>
      </c>
      <c r="C1231" s="1838" t="s">
        <v>3003</v>
      </c>
      <c r="D1231" s="1838" t="s">
        <v>3162</v>
      </c>
      <c r="E1231" s="1838" t="s">
        <v>4344</v>
      </c>
      <c r="F1231" s="1839">
        <v>45382</v>
      </c>
      <c r="G1231" s="1840">
        <v>46618</v>
      </c>
      <c r="H1231" s="1841">
        <f t="shared" si="58"/>
        <v>0</v>
      </c>
      <c r="I1231" s="1838">
        <f t="shared" si="59"/>
        <v>46618</v>
      </c>
      <c r="J1231" s="1838">
        <v>0</v>
      </c>
      <c r="K1231" s="1838">
        <v>0</v>
      </c>
      <c r="L1231" s="1838">
        <v>0</v>
      </c>
      <c r="M1231" s="1838">
        <v>0</v>
      </c>
      <c r="N1231" s="1838" t="s">
        <v>3182</v>
      </c>
      <c r="O1231" s="1838" t="s">
        <v>3183</v>
      </c>
      <c r="P1231" s="1838"/>
    </row>
    <row r="1232" spans="2:16" s="1843" customFormat="1">
      <c r="B1232" s="1838">
        <f t="shared" si="60"/>
        <v>1229</v>
      </c>
      <c r="C1232" s="1838" t="s">
        <v>3003</v>
      </c>
      <c r="D1232" s="1838" t="s">
        <v>3162</v>
      </c>
      <c r="E1232" s="1838" t="s">
        <v>4345</v>
      </c>
      <c r="F1232" s="1839">
        <v>45382</v>
      </c>
      <c r="G1232" s="1840">
        <v>74572</v>
      </c>
      <c r="H1232" s="1841">
        <f t="shared" si="58"/>
        <v>0</v>
      </c>
      <c r="I1232" s="1838">
        <f t="shared" si="59"/>
        <v>74572</v>
      </c>
      <c r="J1232" s="1838">
        <v>0</v>
      </c>
      <c r="K1232" s="1838">
        <v>0</v>
      </c>
      <c r="L1232" s="1838">
        <v>0</v>
      </c>
      <c r="M1232" s="1838">
        <v>0</v>
      </c>
      <c r="N1232" s="1838" t="s">
        <v>3182</v>
      </c>
      <c r="O1232" s="1838" t="s">
        <v>3183</v>
      </c>
      <c r="P1232" s="1838"/>
    </row>
    <row r="1233" spans="2:16" s="1843" customFormat="1">
      <c r="B1233" s="1838">
        <f t="shared" si="60"/>
        <v>1230</v>
      </c>
      <c r="C1233" s="1838" t="s">
        <v>3003</v>
      </c>
      <c r="D1233" s="1838" t="s">
        <v>3162</v>
      </c>
      <c r="E1233" s="1838" t="s">
        <v>4346</v>
      </c>
      <c r="F1233" s="1839">
        <v>45382</v>
      </c>
      <c r="G1233" s="1840">
        <v>51927</v>
      </c>
      <c r="H1233" s="1841">
        <f t="shared" si="58"/>
        <v>0</v>
      </c>
      <c r="I1233" s="1838">
        <f t="shared" si="59"/>
        <v>51927</v>
      </c>
      <c r="J1233" s="1838">
        <v>0</v>
      </c>
      <c r="K1233" s="1838">
        <v>0</v>
      </c>
      <c r="L1233" s="1838">
        <v>0</v>
      </c>
      <c r="M1233" s="1838">
        <v>0</v>
      </c>
      <c r="N1233" s="1838" t="s">
        <v>3182</v>
      </c>
      <c r="O1233" s="1838" t="s">
        <v>3183</v>
      </c>
      <c r="P1233" s="1838"/>
    </row>
    <row r="1234" spans="2:16" s="1843" customFormat="1">
      <c r="B1234" s="1838">
        <f t="shared" si="60"/>
        <v>1231</v>
      </c>
      <c r="C1234" s="1838" t="s">
        <v>3003</v>
      </c>
      <c r="D1234" s="1838" t="s">
        <v>3162</v>
      </c>
      <c r="E1234" s="1838" t="s">
        <v>4347</v>
      </c>
      <c r="F1234" s="1839">
        <v>45382</v>
      </c>
      <c r="G1234" s="1840">
        <v>48443</v>
      </c>
      <c r="H1234" s="1841">
        <f t="shared" si="58"/>
        <v>0</v>
      </c>
      <c r="I1234" s="1838">
        <f t="shared" si="59"/>
        <v>48443</v>
      </c>
      <c r="J1234" s="1838">
        <v>0</v>
      </c>
      <c r="K1234" s="1838">
        <v>0</v>
      </c>
      <c r="L1234" s="1838">
        <v>0</v>
      </c>
      <c r="M1234" s="1838">
        <v>0</v>
      </c>
      <c r="N1234" s="1838" t="s">
        <v>3182</v>
      </c>
      <c r="O1234" s="1838" t="s">
        <v>3183</v>
      </c>
      <c r="P1234" s="1838"/>
    </row>
    <row r="1235" spans="2:16" s="1843" customFormat="1">
      <c r="B1235" s="1838">
        <f t="shared" si="60"/>
        <v>1232</v>
      </c>
      <c r="C1235" s="1838" t="s">
        <v>3003</v>
      </c>
      <c r="D1235" s="1838" t="s">
        <v>3162</v>
      </c>
      <c r="E1235" s="1838" t="s">
        <v>3337</v>
      </c>
      <c r="F1235" s="1839">
        <v>45382</v>
      </c>
      <c r="G1235" s="1840">
        <v>-7666</v>
      </c>
      <c r="H1235" s="1841">
        <f t="shared" si="58"/>
        <v>0</v>
      </c>
      <c r="I1235" s="1838">
        <f t="shared" si="59"/>
        <v>-7666</v>
      </c>
      <c r="J1235" s="1838">
        <v>0</v>
      </c>
      <c r="K1235" s="1838">
        <v>0</v>
      </c>
      <c r="L1235" s="1838">
        <v>0</v>
      </c>
      <c r="M1235" s="1838">
        <v>0</v>
      </c>
      <c r="N1235" s="1838" t="s">
        <v>3182</v>
      </c>
      <c r="O1235" s="1838" t="s">
        <v>3183</v>
      </c>
      <c r="P1235" s="1838"/>
    </row>
    <row r="1236" spans="2:16" s="1843" customFormat="1">
      <c r="B1236" s="1838">
        <f t="shared" si="60"/>
        <v>1233</v>
      </c>
      <c r="C1236" s="1838" t="s">
        <v>3003</v>
      </c>
      <c r="D1236" s="1838" t="s">
        <v>3162</v>
      </c>
      <c r="E1236" s="1838" t="s">
        <v>4348</v>
      </c>
      <c r="F1236" s="1839">
        <v>45382</v>
      </c>
      <c r="G1236" s="1840">
        <v>-337861</v>
      </c>
      <c r="H1236" s="1841">
        <f t="shared" si="58"/>
        <v>0</v>
      </c>
      <c r="I1236" s="1838">
        <f t="shared" si="59"/>
        <v>-337861</v>
      </c>
      <c r="J1236" s="1838">
        <v>0</v>
      </c>
      <c r="K1236" s="1838">
        <v>0</v>
      </c>
      <c r="L1236" s="1838">
        <v>0</v>
      </c>
      <c r="M1236" s="1838">
        <v>0</v>
      </c>
      <c r="N1236" s="1838" t="s">
        <v>3182</v>
      </c>
      <c r="O1236" s="1838" t="s">
        <v>3183</v>
      </c>
      <c r="P1236" s="1838"/>
    </row>
    <row r="1237" spans="2:16" s="1843" customFormat="1">
      <c r="B1237" s="1838">
        <f t="shared" si="60"/>
        <v>1234</v>
      </c>
      <c r="C1237" s="1838" t="s">
        <v>441</v>
      </c>
      <c r="D1237" s="1838" t="s">
        <v>3162</v>
      </c>
      <c r="E1237" s="1838" t="s">
        <v>4349</v>
      </c>
      <c r="F1237" s="1839">
        <v>45323</v>
      </c>
      <c r="G1237" s="1840">
        <v>53424</v>
      </c>
      <c r="H1237" s="1841">
        <f t="shared" si="58"/>
        <v>59</v>
      </c>
      <c r="I1237" s="1838">
        <f t="shared" si="59"/>
        <v>53424</v>
      </c>
      <c r="J1237" s="1838">
        <v>0</v>
      </c>
      <c r="K1237" s="1838">
        <v>0</v>
      </c>
      <c r="L1237" s="1838">
        <v>0</v>
      </c>
      <c r="M1237" s="1838">
        <v>0</v>
      </c>
      <c r="N1237" s="1838" t="s">
        <v>4350</v>
      </c>
      <c r="O1237" s="1838" t="s">
        <v>3297</v>
      </c>
      <c r="P1237" s="1838"/>
    </row>
    <row r="1238" spans="2:16" s="1843" customFormat="1">
      <c r="B1238" s="1838">
        <f t="shared" si="60"/>
        <v>1235</v>
      </c>
      <c r="C1238" s="1838" t="s">
        <v>441</v>
      </c>
      <c r="D1238" s="1838" t="s">
        <v>3162</v>
      </c>
      <c r="E1238" s="1838" t="s">
        <v>4351</v>
      </c>
      <c r="F1238" s="1839">
        <v>45323</v>
      </c>
      <c r="G1238" s="1840">
        <v>19068</v>
      </c>
      <c r="H1238" s="1841">
        <f t="shared" si="58"/>
        <v>59</v>
      </c>
      <c r="I1238" s="1838">
        <f t="shared" si="59"/>
        <v>19068</v>
      </c>
      <c r="J1238" s="1838">
        <v>0</v>
      </c>
      <c r="K1238" s="1838">
        <v>0</v>
      </c>
      <c r="L1238" s="1838">
        <v>0</v>
      </c>
      <c r="M1238" s="1838">
        <v>0</v>
      </c>
      <c r="N1238" s="1838" t="s">
        <v>4350</v>
      </c>
      <c r="O1238" s="1838" t="s">
        <v>3297</v>
      </c>
      <c r="P1238" s="1838"/>
    </row>
    <row r="1239" spans="2:16" s="1843" customFormat="1">
      <c r="B1239" s="1838">
        <f t="shared" si="60"/>
        <v>1236</v>
      </c>
      <c r="C1239" s="1838" t="s">
        <v>441</v>
      </c>
      <c r="D1239" s="1838" t="s">
        <v>3162</v>
      </c>
      <c r="E1239" s="1838" t="s">
        <v>4352</v>
      </c>
      <c r="F1239" s="1839">
        <v>45323</v>
      </c>
      <c r="G1239" s="1840">
        <v>31416</v>
      </c>
      <c r="H1239" s="1841">
        <f t="shared" si="58"/>
        <v>59</v>
      </c>
      <c r="I1239" s="1838">
        <f t="shared" si="59"/>
        <v>31416</v>
      </c>
      <c r="J1239" s="1838">
        <v>0</v>
      </c>
      <c r="K1239" s="1838">
        <v>0</v>
      </c>
      <c r="L1239" s="1838">
        <v>0</v>
      </c>
      <c r="M1239" s="1838">
        <v>0</v>
      </c>
      <c r="N1239" s="1838" t="s">
        <v>4350</v>
      </c>
      <c r="O1239" s="1838" t="s">
        <v>3297</v>
      </c>
      <c r="P1239" s="1838"/>
    </row>
    <row r="1240" spans="2:16" s="1843" customFormat="1">
      <c r="B1240" s="1838">
        <f t="shared" si="60"/>
        <v>1237</v>
      </c>
      <c r="C1240" s="1838" t="s">
        <v>441</v>
      </c>
      <c r="D1240" s="1838" t="s">
        <v>3162</v>
      </c>
      <c r="E1240" s="1838" t="s">
        <v>4353</v>
      </c>
      <c r="F1240" s="1839">
        <v>45323</v>
      </c>
      <c r="G1240" s="1840">
        <v>75600</v>
      </c>
      <c r="H1240" s="1841">
        <f t="shared" si="58"/>
        <v>59</v>
      </c>
      <c r="I1240" s="1838">
        <f t="shared" si="59"/>
        <v>75600</v>
      </c>
      <c r="J1240" s="1838">
        <v>0</v>
      </c>
      <c r="K1240" s="1838">
        <v>0</v>
      </c>
      <c r="L1240" s="1838">
        <v>0</v>
      </c>
      <c r="M1240" s="1838">
        <v>0</v>
      </c>
      <c r="N1240" s="1838" t="s">
        <v>4350</v>
      </c>
      <c r="O1240" s="1838" t="s">
        <v>3297</v>
      </c>
      <c r="P1240" s="1838"/>
    </row>
    <row r="1241" spans="2:16" s="1843" customFormat="1">
      <c r="B1241" s="1838">
        <f t="shared" si="60"/>
        <v>1238</v>
      </c>
      <c r="C1241" s="1838" t="s">
        <v>441</v>
      </c>
      <c r="D1241" s="1838" t="s">
        <v>3162</v>
      </c>
      <c r="E1241" s="1838" t="s">
        <v>4354</v>
      </c>
      <c r="F1241" s="1839">
        <v>45323</v>
      </c>
      <c r="G1241" s="1840">
        <v>73595</v>
      </c>
      <c r="H1241" s="1841">
        <f t="shared" si="58"/>
        <v>59</v>
      </c>
      <c r="I1241" s="1838">
        <f t="shared" si="59"/>
        <v>73595</v>
      </c>
      <c r="J1241" s="1838">
        <v>0</v>
      </c>
      <c r="K1241" s="1838">
        <v>0</v>
      </c>
      <c r="L1241" s="1838">
        <v>0</v>
      </c>
      <c r="M1241" s="1838">
        <v>0</v>
      </c>
      <c r="N1241" s="1838" t="s">
        <v>4350</v>
      </c>
      <c r="O1241" s="1838" t="s">
        <v>3297</v>
      </c>
      <c r="P1241" s="1838"/>
    </row>
    <row r="1242" spans="2:16" s="1843" customFormat="1">
      <c r="B1242" s="1838">
        <f t="shared" si="60"/>
        <v>1239</v>
      </c>
      <c r="C1242" s="1838" t="s">
        <v>441</v>
      </c>
      <c r="D1242" s="1838" t="s">
        <v>3162</v>
      </c>
      <c r="E1242" s="1838" t="s">
        <v>4355</v>
      </c>
      <c r="F1242" s="1839">
        <v>45324</v>
      </c>
      <c r="G1242" s="1840">
        <v>34272</v>
      </c>
      <c r="H1242" s="1841">
        <f t="shared" si="58"/>
        <v>58</v>
      </c>
      <c r="I1242" s="1838">
        <f t="shared" si="59"/>
        <v>34272</v>
      </c>
      <c r="J1242" s="1838">
        <v>0</v>
      </c>
      <c r="K1242" s="1838">
        <v>0</v>
      </c>
      <c r="L1242" s="1838">
        <v>0</v>
      </c>
      <c r="M1242" s="1838">
        <v>0</v>
      </c>
      <c r="N1242" s="1838" t="s">
        <v>4350</v>
      </c>
      <c r="O1242" s="1838" t="s">
        <v>3297</v>
      </c>
      <c r="P1242" s="1838"/>
    </row>
    <row r="1243" spans="2:16" s="1843" customFormat="1">
      <c r="B1243" s="1838">
        <f t="shared" si="60"/>
        <v>1240</v>
      </c>
      <c r="C1243" s="1838" t="s">
        <v>441</v>
      </c>
      <c r="D1243" s="1838" t="s">
        <v>3162</v>
      </c>
      <c r="E1243" s="1838" t="s">
        <v>4356</v>
      </c>
      <c r="F1243" s="1839">
        <v>45324</v>
      </c>
      <c r="G1243" s="1840">
        <v>69720</v>
      </c>
      <c r="H1243" s="1841">
        <f t="shared" si="58"/>
        <v>58</v>
      </c>
      <c r="I1243" s="1838">
        <f t="shared" si="59"/>
        <v>69720</v>
      </c>
      <c r="J1243" s="1838">
        <v>0</v>
      </c>
      <c r="K1243" s="1838">
        <v>0</v>
      </c>
      <c r="L1243" s="1838">
        <v>0</v>
      </c>
      <c r="M1243" s="1838">
        <v>0</v>
      </c>
      <c r="N1243" s="1838" t="s">
        <v>4350</v>
      </c>
      <c r="O1243" s="1838" t="s">
        <v>3297</v>
      </c>
      <c r="P1243" s="1838"/>
    </row>
    <row r="1244" spans="2:16" s="1843" customFormat="1">
      <c r="B1244" s="1838">
        <f t="shared" si="60"/>
        <v>1241</v>
      </c>
      <c r="C1244" s="1838" t="s">
        <v>441</v>
      </c>
      <c r="D1244" s="1838" t="s">
        <v>3162</v>
      </c>
      <c r="E1244" s="1838" t="s">
        <v>4357</v>
      </c>
      <c r="F1244" s="1839">
        <v>45324</v>
      </c>
      <c r="G1244" s="1840">
        <v>33600</v>
      </c>
      <c r="H1244" s="1841">
        <f t="shared" si="58"/>
        <v>58</v>
      </c>
      <c r="I1244" s="1838">
        <f t="shared" si="59"/>
        <v>33600</v>
      </c>
      <c r="J1244" s="1838">
        <v>0</v>
      </c>
      <c r="K1244" s="1838">
        <v>0</v>
      </c>
      <c r="L1244" s="1838">
        <v>0</v>
      </c>
      <c r="M1244" s="1838">
        <v>0</v>
      </c>
      <c r="N1244" s="1838" t="s">
        <v>4350</v>
      </c>
      <c r="O1244" s="1838" t="s">
        <v>3297</v>
      </c>
      <c r="P1244" s="1838"/>
    </row>
    <row r="1245" spans="2:16" s="1843" customFormat="1">
      <c r="B1245" s="1838">
        <f t="shared" si="60"/>
        <v>1242</v>
      </c>
      <c r="C1245" s="1838" t="s">
        <v>441</v>
      </c>
      <c r="D1245" s="1838" t="s">
        <v>3162</v>
      </c>
      <c r="E1245" s="1838" t="s">
        <v>4358</v>
      </c>
      <c r="F1245" s="1839">
        <v>45325</v>
      </c>
      <c r="G1245" s="1840">
        <v>67368</v>
      </c>
      <c r="H1245" s="1841">
        <f t="shared" si="58"/>
        <v>57</v>
      </c>
      <c r="I1245" s="1838">
        <f t="shared" si="59"/>
        <v>67368</v>
      </c>
      <c r="J1245" s="1838">
        <v>0</v>
      </c>
      <c r="K1245" s="1838">
        <v>0</v>
      </c>
      <c r="L1245" s="1838">
        <v>0</v>
      </c>
      <c r="M1245" s="1838">
        <v>0</v>
      </c>
      <c r="N1245" s="1838" t="s">
        <v>4350</v>
      </c>
      <c r="O1245" s="1838" t="s">
        <v>3297</v>
      </c>
      <c r="P1245" s="1838"/>
    </row>
    <row r="1246" spans="2:16" s="1843" customFormat="1">
      <c r="B1246" s="1838">
        <f t="shared" si="60"/>
        <v>1243</v>
      </c>
      <c r="C1246" s="1838" t="s">
        <v>441</v>
      </c>
      <c r="D1246" s="1838" t="s">
        <v>3162</v>
      </c>
      <c r="E1246" s="1838" t="s">
        <v>4359</v>
      </c>
      <c r="F1246" s="1839">
        <v>45325</v>
      </c>
      <c r="G1246" s="1840">
        <v>36960</v>
      </c>
      <c r="H1246" s="1841">
        <f t="shared" si="58"/>
        <v>57</v>
      </c>
      <c r="I1246" s="1838">
        <f t="shared" si="59"/>
        <v>36960</v>
      </c>
      <c r="J1246" s="1838">
        <v>0</v>
      </c>
      <c r="K1246" s="1838">
        <v>0</v>
      </c>
      <c r="L1246" s="1838">
        <v>0</v>
      </c>
      <c r="M1246" s="1838">
        <v>0</v>
      </c>
      <c r="N1246" s="1838" t="s">
        <v>4350</v>
      </c>
      <c r="O1246" s="1838" t="s">
        <v>3297</v>
      </c>
      <c r="P1246" s="1838"/>
    </row>
    <row r="1247" spans="2:16" s="1843" customFormat="1">
      <c r="B1247" s="1838">
        <f t="shared" si="60"/>
        <v>1244</v>
      </c>
      <c r="C1247" s="1838" t="s">
        <v>441</v>
      </c>
      <c r="D1247" s="1838" t="s">
        <v>3162</v>
      </c>
      <c r="E1247" s="1838" t="s">
        <v>4360</v>
      </c>
      <c r="F1247" s="1839">
        <v>45325</v>
      </c>
      <c r="G1247" s="1840">
        <v>68040</v>
      </c>
      <c r="H1247" s="1841">
        <f t="shared" si="58"/>
        <v>57</v>
      </c>
      <c r="I1247" s="1838">
        <f t="shared" si="59"/>
        <v>68040</v>
      </c>
      <c r="J1247" s="1838">
        <v>0</v>
      </c>
      <c r="K1247" s="1838">
        <v>0</v>
      </c>
      <c r="L1247" s="1838">
        <v>0</v>
      </c>
      <c r="M1247" s="1838">
        <v>0</v>
      </c>
      <c r="N1247" s="1838" t="s">
        <v>4350</v>
      </c>
      <c r="O1247" s="1838" t="s">
        <v>3297</v>
      </c>
      <c r="P1247" s="1838"/>
    </row>
    <row r="1248" spans="2:16" s="1843" customFormat="1">
      <c r="B1248" s="1838">
        <f t="shared" si="60"/>
        <v>1245</v>
      </c>
      <c r="C1248" s="1838" t="s">
        <v>441</v>
      </c>
      <c r="D1248" s="1838" t="s">
        <v>3162</v>
      </c>
      <c r="E1248" s="1838" t="s">
        <v>4361</v>
      </c>
      <c r="F1248" s="1839">
        <v>45325</v>
      </c>
      <c r="G1248" s="1840">
        <v>73920</v>
      </c>
      <c r="H1248" s="1841">
        <f t="shared" si="58"/>
        <v>57</v>
      </c>
      <c r="I1248" s="1838">
        <f t="shared" si="59"/>
        <v>73920</v>
      </c>
      <c r="J1248" s="1838">
        <v>0</v>
      </c>
      <c r="K1248" s="1838">
        <v>0</v>
      </c>
      <c r="L1248" s="1838">
        <v>0</v>
      </c>
      <c r="M1248" s="1838">
        <v>0</v>
      </c>
      <c r="N1248" s="1838" t="s">
        <v>4350</v>
      </c>
      <c r="O1248" s="1838" t="s">
        <v>3297</v>
      </c>
      <c r="P1248" s="1838"/>
    </row>
    <row r="1249" spans="2:16" s="1843" customFormat="1">
      <c r="B1249" s="1838">
        <f t="shared" si="60"/>
        <v>1246</v>
      </c>
      <c r="C1249" s="1838" t="s">
        <v>441</v>
      </c>
      <c r="D1249" s="1838" t="s">
        <v>3162</v>
      </c>
      <c r="E1249" s="1838" t="s">
        <v>4362</v>
      </c>
      <c r="F1249" s="1839">
        <v>45326</v>
      </c>
      <c r="G1249" s="1840">
        <v>91224</v>
      </c>
      <c r="H1249" s="1841">
        <f t="shared" si="58"/>
        <v>56</v>
      </c>
      <c r="I1249" s="1838">
        <f t="shared" si="59"/>
        <v>91224</v>
      </c>
      <c r="J1249" s="1838">
        <v>0</v>
      </c>
      <c r="K1249" s="1838">
        <v>0</v>
      </c>
      <c r="L1249" s="1838">
        <v>0</v>
      </c>
      <c r="M1249" s="1838">
        <v>0</v>
      </c>
      <c r="N1249" s="1838" t="s">
        <v>4350</v>
      </c>
      <c r="O1249" s="1838" t="s">
        <v>3297</v>
      </c>
      <c r="P1249" s="1838"/>
    </row>
    <row r="1250" spans="2:16" s="1843" customFormat="1">
      <c r="B1250" s="1838">
        <f t="shared" si="60"/>
        <v>1247</v>
      </c>
      <c r="C1250" s="1838" t="s">
        <v>441</v>
      </c>
      <c r="D1250" s="1838" t="s">
        <v>3162</v>
      </c>
      <c r="E1250" s="1838" t="s">
        <v>4363</v>
      </c>
      <c r="F1250" s="1839">
        <v>45326</v>
      </c>
      <c r="G1250" s="1840">
        <v>33768</v>
      </c>
      <c r="H1250" s="1841">
        <f t="shared" si="58"/>
        <v>56</v>
      </c>
      <c r="I1250" s="1838">
        <f t="shared" si="59"/>
        <v>33768</v>
      </c>
      <c r="J1250" s="1838">
        <v>0</v>
      </c>
      <c r="K1250" s="1838">
        <v>0</v>
      </c>
      <c r="L1250" s="1838">
        <v>0</v>
      </c>
      <c r="M1250" s="1838">
        <v>0</v>
      </c>
      <c r="N1250" s="1838" t="s">
        <v>4350</v>
      </c>
      <c r="O1250" s="1838" t="s">
        <v>3297</v>
      </c>
      <c r="P1250" s="1838"/>
    </row>
    <row r="1251" spans="2:16" s="1843" customFormat="1">
      <c r="B1251" s="1838">
        <f t="shared" si="60"/>
        <v>1248</v>
      </c>
      <c r="C1251" s="1838" t="s">
        <v>441</v>
      </c>
      <c r="D1251" s="1838" t="s">
        <v>3162</v>
      </c>
      <c r="E1251" s="1838" t="s">
        <v>4364</v>
      </c>
      <c r="F1251" s="1839">
        <v>45326</v>
      </c>
      <c r="G1251" s="1840">
        <v>38304</v>
      </c>
      <c r="H1251" s="1841">
        <f t="shared" si="58"/>
        <v>56</v>
      </c>
      <c r="I1251" s="1838">
        <f t="shared" si="59"/>
        <v>38304</v>
      </c>
      <c r="J1251" s="1838">
        <v>0</v>
      </c>
      <c r="K1251" s="1838">
        <v>0</v>
      </c>
      <c r="L1251" s="1838">
        <v>0</v>
      </c>
      <c r="M1251" s="1838">
        <v>0</v>
      </c>
      <c r="N1251" s="1838" t="s">
        <v>4350</v>
      </c>
      <c r="O1251" s="1838" t="s">
        <v>3297</v>
      </c>
      <c r="P1251" s="1838"/>
    </row>
    <row r="1252" spans="2:16" s="1843" customFormat="1">
      <c r="B1252" s="1838">
        <f t="shared" si="60"/>
        <v>1249</v>
      </c>
      <c r="C1252" s="1838" t="s">
        <v>441</v>
      </c>
      <c r="D1252" s="1838" t="s">
        <v>3162</v>
      </c>
      <c r="E1252" s="1838" t="s">
        <v>4365</v>
      </c>
      <c r="F1252" s="1839">
        <v>45327</v>
      </c>
      <c r="G1252" s="1840">
        <v>62244</v>
      </c>
      <c r="H1252" s="1841">
        <f t="shared" si="58"/>
        <v>55</v>
      </c>
      <c r="I1252" s="1838">
        <f t="shared" si="59"/>
        <v>62244</v>
      </c>
      <c r="J1252" s="1838">
        <v>0</v>
      </c>
      <c r="K1252" s="1838">
        <v>0</v>
      </c>
      <c r="L1252" s="1838">
        <v>0</v>
      </c>
      <c r="M1252" s="1838">
        <v>0</v>
      </c>
      <c r="N1252" s="1838" t="s">
        <v>4350</v>
      </c>
      <c r="O1252" s="1838" t="s">
        <v>3297</v>
      </c>
      <c r="P1252" s="1838"/>
    </row>
    <row r="1253" spans="2:16" s="1843" customFormat="1">
      <c r="B1253" s="1838">
        <f t="shared" si="60"/>
        <v>1250</v>
      </c>
      <c r="C1253" s="1838" t="s">
        <v>441</v>
      </c>
      <c r="D1253" s="1838" t="s">
        <v>3162</v>
      </c>
      <c r="E1253" s="1838" t="s">
        <v>4366</v>
      </c>
      <c r="F1253" s="1839">
        <v>45327</v>
      </c>
      <c r="G1253" s="1840">
        <v>33852</v>
      </c>
      <c r="H1253" s="1841">
        <f t="shared" si="58"/>
        <v>55</v>
      </c>
      <c r="I1253" s="1838">
        <f t="shared" si="59"/>
        <v>33852</v>
      </c>
      <c r="J1253" s="1838">
        <v>0</v>
      </c>
      <c r="K1253" s="1838">
        <v>0</v>
      </c>
      <c r="L1253" s="1838">
        <v>0</v>
      </c>
      <c r="M1253" s="1838">
        <v>0</v>
      </c>
      <c r="N1253" s="1838" t="s">
        <v>4350</v>
      </c>
      <c r="O1253" s="1838" t="s">
        <v>3297</v>
      </c>
      <c r="P1253" s="1838"/>
    </row>
    <row r="1254" spans="2:16" s="1843" customFormat="1">
      <c r="B1254" s="1838">
        <f t="shared" si="60"/>
        <v>1251</v>
      </c>
      <c r="C1254" s="1838" t="s">
        <v>441</v>
      </c>
      <c r="D1254" s="1838" t="s">
        <v>3162</v>
      </c>
      <c r="E1254" s="1838" t="s">
        <v>4367</v>
      </c>
      <c r="F1254" s="1839">
        <v>45328</v>
      </c>
      <c r="G1254" s="1840">
        <v>55608</v>
      </c>
      <c r="H1254" s="1841">
        <f t="shared" si="58"/>
        <v>54</v>
      </c>
      <c r="I1254" s="1838">
        <f t="shared" si="59"/>
        <v>55608</v>
      </c>
      <c r="J1254" s="1838">
        <v>0</v>
      </c>
      <c r="K1254" s="1838">
        <v>0</v>
      </c>
      <c r="L1254" s="1838">
        <v>0</v>
      </c>
      <c r="M1254" s="1838">
        <v>0</v>
      </c>
      <c r="N1254" s="1838" t="s">
        <v>4350</v>
      </c>
      <c r="O1254" s="1838" t="s">
        <v>3297</v>
      </c>
      <c r="P1254" s="1838"/>
    </row>
    <row r="1255" spans="2:16" s="1843" customFormat="1">
      <c r="B1255" s="1838">
        <f t="shared" si="60"/>
        <v>1252</v>
      </c>
      <c r="C1255" s="1838" t="s">
        <v>441</v>
      </c>
      <c r="D1255" s="1838" t="s">
        <v>3162</v>
      </c>
      <c r="E1255" s="1838" t="s">
        <v>4368</v>
      </c>
      <c r="F1255" s="1839">
        <v>45328</v>
      </c>
      <c r="G1255" s="1840">
        <v>59304</v>
      </c>
      <c r="H1255" s="1841">
        <f t="shared" si="58"/>
        <v>54</v>
      </c>
      <c r="I1255" s="1838">
        <f t="shared" si="59"/>
        <v>59304</v>
      </c>
      <c r="J1255" s="1838">
        <v>0</v>
      </c>
      <c r="K1255" s="1838">
        <v>0</v>
      </c>
      <c r="L1255" s="1838">
        <v>0</v>
      </c>
      <c r="M1255" s="1838">
        <v>0</v>
      </c>
      <c r="N1255" s="1838" t="s">
        <v>4350</v>
      </c>
      <c r="O1255" s="1838" t="s">
        <v>3297</v>
      </c>
      <c r="P1255" s="1838"/>
    </row>
    <row r="1256" spans="2:16" s="1843" customFormat="1">
      <c r="B1256" s="1838">
        <f t="shared" si="60"/>
        <v>1253</v>
      </c>
      <c r="C1256" s="1838" t="s">
        <v>441</v>
      </c>
      <c r="D1256" s="1838" t="s">
        <v>3162</v>
      </c>
      <c r="E1256" s="1838" t="s">
        <v>4369</v>
      </c>
      <c r="F1256" s="1839">
        <v>45328</v>
      </c>
      <c r="G1256" s="1840">
        <v>79884</v>
      </c>
      <c r="H1256" s="1841">
        <f t="shared" si="58"/>
        <v>54</v>
      </c>
      <c r="I1256" s="1838">
        <f t="shared" si="59"/>
        <v>79884</v>
      </c>
      <c r="J1256" s="1838">
        <v>0</v>
      </c>
      <c r="K1256" s="1838">
        <v>0</v>
      </c>
      <c r="L1256" s="1838">
        <v>0</v>
      </c>
      <c r="M1256" s="1838">
        <v>0</v>
      </c>
      <c r="N1256" s="1838" t="s">
        <v>4350</v>
      </c>
      <c r="O1256" s="1838" t="s">
        <v>3297</v>
      </c>
      <c r="P1256" s="1838"/>
    </row>
    <row r="1257" spans="2:16" s="1843" customFormat="1">
      <c r="B1257" s="1838">
        <f t="shared" si="60"/>
        <v>1254</v>
      </c>
      <c r="C1257" s="1838" t="s">
        <v>441</v>
      </c>
      <c r="D1257" s="1838" t="s">
        <v>3162</v>
      </c>
      <c r="E1257" s="1838" t="s">
        <v>4370</v>
      </c>
      <c r="F1257" s="1839">
        <v>45329</v>
      </c>
      <c r="G1257" s="1840">
        <v>38640</v>
      </c>
      <c r="H1257" s="1841">
        <f t="shared" si="58"/>
        <v>53</v>
      </c>
      <c r="I1257" s="1838">
        <f t="shared" si="59"/>
        <v>38640</v>
      </c>
      <c r="J1257" s="1838">
        <v>0</v>
      </c>
      <c r="K1257" s="1838">
        <v>0</v>
      </c>
      <c r="L1257" s="1838">
        <v>0</v>
      </c>
      <c r="M1257" s="1838">
        <v>0</v>
      </c>
      <c r="N1257" s="1838" t="s">
        <v>4350</v>
      </c>
      <c r="O1257" s="1838" t="s">
        <v>3297</v>
      </c>
      <c r="P1257" s="1838"/>
    </row>
    <row r="1258" spans="2:16" s="1843" customFormat="1">
      <c r="B1258" s="1838">
        <f t="shared" si="60"/>
        <v>1255</v>
      </c>
      <c r="C1258" s="1838" t="s">
        <v>441</v>
      </c>
      <c r="D1258" s="1838" t="s">
        <v>3162</v>
      </c>
      <c r="E1258" s="1838" t="s">
        <v>4371</v>
      </c>
      <c r="F1258" s="1839">
        <v>45329</v>
      </c>
      <c r="G1258" s="1840">
        <v>68544</v>
      </c>
      <c r="H1258" s="1841">
        <f t="shared" si="58"/>
        <v>53</v>
      </c>
      <c r="I1258" s="1838">
        <f t="shared" si="59"/>
        <v>68544</v>
      </c>
      <c r="J1258" s="1838">
        <v>0</v>
      </c>
      <c r="K1258" s="1838">
        <v>0</v>
      </c>
      <c r="L1258" s="1838">
        <v>0</v>
      </c>
      <c r="M1258" s="1838">
        <v>0</v>
      </c>
      <c r="N1258" s="1838" t="s">
        <v>4350</v>
      </c>
      <c r="O1258" s="1838" t="s">
        <v>3297</v>
      </c>
      <c r="P1258" s="1838"/>
    </row>
    <row r="1259" spans="2:16" s="1843" customFormat="1">
      <c r="B1259" s="1838">
        <f t="shared" si="60"/>
        <v>1256</v>
      </c>
      <c r="C1259" s="1838" t="s">
        <v>441</v>
      </c>
      <c r="D1259" s="1838" t="s">
        <v>3162</v>
      </c>
      <c r="E1259" s="1838" t="s">
        <v>4372</v>
      </c>
      <c r="F1259" s="1839">
        <v>45329</v>
      </c>
      <c r="G1259" s="1840">
        <v>37464</v>
      </c>
      <c r="H1259" s="1841">
        <f t="shared" si="58"/>
        <v>53</v>
      </c>
      <c r="I1259" s="1838">
        <f t="shared" si="59"/>
        <v>37464</v>
      </c>
      <c r="J1259" s="1838">
        <v>0</v>
      </c>
      <c r="K1259" s="1838">
        <v>0</v>
      </c>
      <c r="L1259" s="1838">
        <v>0</v>
      </c>
      <c r="M1259" s="1838">
        <v>0</v>
      </c>
      <c r="N1259" s="1838" t="s">
        <v>4350</v>
      </c>
      <c r="O1259" s="1838" t="s">
        <v>3297</v>
      </c>
      <c r="P1259" s="1838"/>
    </row>
    <row r="1260" spans="2:16" s="1843" customFormat="1">
      <c r="B1260" s="1838">
        <f t="shared" si="60"/>
        <v>1257</v>
      </c>
      <c r="C1260" s="1838" t="s">
        <v>441</v>
      </c>
      <c r="D1260" s="1838" t="s">
        <v>3162</v>
      </c>
      <c r="E1260" s="1838" t="s">
        <v>4373</v>
      </c>
      <c r="F1260" s="1839">
        <v>45330</v>
      </c>
      <c r="G1260" s="1840">
        <v>51240</v>
      </c>
      <c r="H1260" s="1841">
        <f t="shared" si="58"/>
        <v>52</v>
      </c>
      <c r="I1260" s="1838">
        <f t="shared" si="59"/>
        <v>51240</v>
      </c>
      <c r="J1260" s="1838">
        <v>0</v>
      </c>
      <c r="K1260" s="1838">
        <v>0</v>
      </c>
      <c r="L1260" s="1838">
        <v>0</v>
      </c>
      <c r="M1260" s="1838">
        <v>0</v>
      </c>
      <c r="N1260" s="1838" t="s">
        <v>4350</v>
      </c>
      <c r="O1260" s="1838" t="s">
        <v>3297</v>
      </c>
      <c r="P1260" s="1838"/>
    </row>
    <row r="1261" spans="2:16" s="1843" customFormat="1">
      <c r="B1261" s="1838">
        <f t="shared" si="60"/>
        <v>1258</v>
      </c>
      <c r="C1261" s="1838" t="s">
        <v>441</v>
      </c>
      <c r="D1261" s="1838" t="s">
        <v>3162</v>
      </c>
      <c r="E1261" s="1838" t="s">
        <v>4374</v>
      </c>
      <c r="F1261" s="1839">
        <v>45331</v>
      </c>
      <c r="G1261" s="1840">
        <v>67872</v>
      </c>
      <c r="H1261" s="1841">
        <f t="shared" si="58"/>
        <v>51</v>
      </c>
      <c r="I1261" s="1838">
        <f t="shared" si="59"/>
        <v>67872</v>
      </c>
      <c r="J1261" s="1838">
        <v>0</v>
      </c>
      <c r="K1261" s="1838">
        <v>0</v>
      </c>
      <c r="L1261" s="1838">
        <v>0</v>
      </c>
      <c r="M1261" s="1838">
        <v>0</v>
      </c>
      <c r="N1261" s="1838" t="s">
        <v>4350</v>
      </c>
      <c r="O1261" s="1838" t="s">
        <v>3297</v>
      </c>
      <c r="P1261" s="1838"/>
    </row>
    <row r="1262" spans="2:16" s="1843" customFormat="1">
      <c r="B1262" s="1838">
        <f t="shared" si="60"/>
        <v>1259</v>
      </c>
      <c r="C1262" s="1838" t="s">
        <v>441</v>
      </c>
      <c r="D1262" s="1838" t="s">
        <v>3162</v>
      </c>
      <c r="E1262" s="1838" t="s">
        <v>4375</v>
      </c>
      <c r="F1262" s="1839">
        <v>45331</v>
      </c>
      <c r="G1262" s="1840">
        <v>36792</v>
      </c>
      <c r="H1262" s="1841">
        <f t="shared" si="58"/>
        <v>51</v>
      </c>
      <c r="I1262" s="1838">
        <f t="shared" si="59"/>
        <v>36792</v>
      </c>
      <c r="J1262" s="1838">
        <v>0</v>
      </c>
      <c r="K1262" s="1838">
        <v>0</v>
      </c>
      <c r="L1262" s="1838">
        <v>0</v>
      </c>
      <c r="M1262" s="1838">
        <v>0</v>
      </c>
      <c r="N1262" s="1838" t="s">
        <v>4350</v>
      </c>
      <c r="O1262" s="1838" t="s">
        <v>3297</v>
      </c>
      <c r="P1262" s="1838"/>
    </row>
    <row r="1263" spans="2:16" s="1843" customFormat="1">
      <c r="B1263" s="1838">
        <f t="shared" si="60"/>
        <v>1260</v>
      </c>
      <c r="C1263" s="1838" t="s">
        <v>441</v>
      </c>
      <c r="D1263" s="1838" t="s">
        <v>3162</v>
      </c>
      <c r="E1263" s="1838" t="s">
        <v>4376</v>
      </c>
      <c r="F1263" s="1839">
        <v>45331</v>
      </c>
      <c r="G1263" s="1840">
        <v>34272</v>
      </c>
      <c r="H1263" s="1841">
        <f t="shared" si="58"/>
        <v>51</v>
      </c>
      <c r="I1263" s="1838">
        <f t="shared" si="59"/>
        <v>34272</v>
      </c>
      <c r="J1263" s="1838">
        <v>0</v>
      </c>
      <c r="K1263" s="1838">
        <v>0</v>
      </c>
      <c r="L1263" s="1838">
        <v>0</v>
      </c>
      <c r="M1263" s="1838">
        <v>0</v>
      </c>
      <c r="N1263" s="1838" t="s">
        <v>4350</v>
      </c>
      <c r="O1263" s="1838" t="s">
        <v>3297</v>
      </c>
      <c r="P1263" s="1838"/>
    </row>
    <row r="1264" spans="2:16" s="1843" customFormat="1">
      <c r="B1264" s="1838">
        <f t="shared" si="60"/>
        <v>1261</v>
      </c>
      <c r="C1264" s="1838" t="s">
        <v>441</v>
      </c>
      <c r="D1264" s="1838" t="s">
        <v>3162</v>
      </c>
      <c r="E1264" s="1838" t="s">
        <v>4377</v>
      </c>
      <c r="F1264" s="1839">
        <v>45332</v>
      </c>
      <c r="G1264" s="1840">
        <v>35448</v>
      </c>
      <c r="H1264" s="1841">
        <f t="shared" si="58"/>
        <v>50</v>
      </c>
      <c r="I1264" s="1838">
        <f t="shared" si="59"/>
        <v>35448</v>
      </c>
      <c r="J1264" s="1838">
        <v>0</v>
      </c>
      <c r="K1264" s="1838">
        <v>0</v>
      </c>
      <c r="L1264" s="1838">
        <v>0</v>
      </c>
      <c r="M1264" s="1838">
        <v>0</v>
      </c>
      <c r="N1264" s="1838" t="s">
        <v>4350</v>
      </c>
      <c r="O1264" s="1838" t="s">
        <v>3297</v>
      </c>
      <c r="P1264" s="1838"/>
    </row>
    <row r="1265" spans="2:16" s="1843" customFormat="1">
      <c r="B1265" s="1838">
        <f t="shared" si="60"/>
        <v>1262</v>
      </c>
      <c r="C1265" s="1838" t="s">
        <v>441</v>
      </c>
      <c r="D1265" s="1838" t="s">
        <v>3162</v>
      </c>
      <c r="E1265" s="1838" t="s">
        <v>4378</v>
      </c>
      <c r="F1265" s="1839">
        <v>45332</v>
      </c>
      <c r="G1265" s="1840">
        <v>35952</v>
      </c>
      <c r="H1265" s="1841">
        <f t="shared" si="58"/>
        <v>50</v>
      </c>
      <c r="I1265" s="1838">
        <f t="shared" si="59"/>
        <v>35952</v>
      </c>
      <c r="J1265" s="1838">
        <v>0</v>
      </c>
      <c r="K1265" s="1838">
        <v>0</v>
      </c>
      <c r="L1265" s="1838">
        <v>0</v>
      </c>
      <c r="M1265" s="1838">
        <v>0</v>
      </c>
      <c r="N1265" s="1838" t="s">
        <v>4350</v>
      </c>
      <c r="O1265" s="1838" t="s">
        <v>3297</v>
      </c>
      <c r="P1265" s="1838"/>
    </row>
    <row r="1266" spans="2:16" s="1843" customFormat="1">
      <c r="B1266" s="1838">
        <f t="shared" si="60"/>
        <v>1263</v>
      </c>
      <c r="C1266" s="1838" t="s">
        <v>441</v>
      </c>
      <c r="D1266" s="1838" t="s">
        <v>3162</v>
      </c>
      <c r="E1266" s="1838" t="s">
        <v>4379</v>
      </c>
      <c r="F1266" s="1839">
        <v>45332</v>
      </c>
      <c r="G1266" s="1840">
        <v>7140</v>
      </c>
      <c r="H1266" s="1841">
        <f t="shared" si="58"/>
        <v>50</v>
      </c>
      <c r="I1266" s="1838">
        <f t="shared" si="59"/>
        <v>7140</v>
      </c>
      <c r="J1266" s="1838">
        <v>0</v>
      </c>
      <c r="K1266" s="1838">
        <v>0</v>
      </c>
      <c r="L1266" s="1838">
        <v>0</v>
      </c>
      <c r="M1266" s="1838">
        <v>0</v>
      </c>
      <c r="N1266" s="1838" t="s">
        <v>4350</v>
      </c>
      <c r="O1266" s="1838" t="s">
        <v>3297</v>
      </c>
      <c r="P1266" s="1838"/>
    </row>
    <row r="1267" spans="2:16" s="1843" customFormat="1">
      <c r="B1267" s="1838">
        <f t="shared" si="60"/>
        <v>1264</v>
      </c>
      <c r="C1267" s="1838" t="s">
        <v>441</v>
      </c>
      <c r="D1267" s="1838" t="s">
        <v>3162</v>
      </c>
      <c r="E1267" s="1838" t="s">
        <v>4380</v>
      </c>
      <c r="F1267" s="1839">
        <v>45333</v>
      </c>
      <c r="G1267" s="1840">
        <v>9240</v>
      </c>
      <c r="H1267" s="1841">
        <f t="shared" si="58"/>
        <v>49</v>
      </c>
      <c r="I1267" s="1838">
        <f t="shared" si="59"/>
        <v>9240</v>
      </c>
      <c r="J1267" s="1838">
        <v>0</v>
      </c>
      <c r="K1267" s="1838">
        <v>0</v>
      </c>
      <c r="L1267" s="1838">
        <v>0</v>
      </c>
      <c r="M1267" s="1838">
        <v>0</v>
      </c>
      <c r="N1267" s="1838" t="s">
        <v>4350</v>
      </c>
      <c r="O1267" s="1838" t="s">
        <v>3297</v>
      </c>
      <c r="P1267" s="1838"/>
    </row>
    <row r="1268" spans="2:16" s="1843" customFormat="1">
      <c r="B1268" s="1838">
        <f t="shared" si="60"/>
        <v>1265</v>
      </c>
      <c r="C1268" s="1838" t="s">
        <v>441</v>
      </c>
      <c r="D1268" s="1838" t="s">
        <v>3162</v>
      </c>
      <c r="E1268" s="1838" t="s">
        <v>4381</v>
      </c>
      <c r="F1268" s="1839">
        <v>45333</v>
      </c>
      <c r="G1268" s="1840">
        <v>36960</v>
      </c>
      <c r="H1268" s="1841">
        <f t="shared" si="58"/>
        <v>49</v>
      </c>
      <c r="I1268" s="1838">
        <f t="shared" si="59"/>
        <v>36960</v>
      </c>
      <c r="J1268" s="1838">
        <v>0</v>
      </c>
      <c r="K1268" s="1838">
        <v>0</v>
      </c>
      <c r="L1268" s="1838">
        <v>0</v>
      </c>
      <c r="M1268" s="1838">
        <v>0</v>
      </c>
      <c r="N1268" s="1838" t="s">
        <v>4350</v>
      </c>
      <c r="O1268" s="1838" t="s">
        <v>3297</v>
      </c>
      <c r="P1268" s="1838"/>
    </row>
    <row r="1269" spans="2:16" s="1843" customFormat="1">
      <c r="B1269" s="1838">
        <f t="shared" si="60"/>
        <v>1266</v>
      </c>
      <c r="C1269" s="1838" t="s">
        <v>441</v>
      </c>
      <c r="D1269" s="1838" t="s">
        <v>3162</v>
      </c>
      <c r="E1269" s="1838" t="s">
        <v>4382</v>
      </c>
      <c r="F1269" s="1839">
        <v>45333</v>
      </c>
      <c r="G1269" s="1840">
        <v>66192</v>
      </c>
      <c r="H1269" s="1841">
        <f t="shared" si="58"/>
        <v>49</v>
      </c>
      <c r="I1269" s="1838">
        <f t="shared" si="59"/>
        <v>66192</v>
      </c>
      <c r="J1269" s="1838">
        <v>0</v>
      </c>
      <c r="K1269" s="1838">
        <v>0</v>
      </c>
      <c r="L1269" s="1838">
        <v>0</v>
      </c>
      <c r="M1269" s="1838">
        <v>0</v>
      </c>
      <c r="N1269" s="1838" t="s">
        <v>4350</v>
      </c>
      <c r="O1269" s="1838" t="s">
        <v>3297</v>
      </c>
      <c r="P1269" s="1838"/>
    </row>
    <row r="1270" spans="2:16" s="1843" customFormat="1">
      <c r="B1270" s="1838">
        <f t="shared" si="60"/>
        <v>1267</v>
      </c>
      <c r="C1270" s="1838" t="s">
        <v>441</v>
      </c>
      <c r="D1270" s="1838" t="s">
        <v>3162</v>
      </c>
      <c r="E1270" s="1838" t="s">
        <v>4383</v>
      </c>
      <c r="F1270" s="1839">
        <v>45333</v>
      </c>
      <c r="G1270" s="1840">
        <v>53088</v>
      </c>
      <c r="H1270" s="1841">
        <f t="shared" si="58"/>
        <v>49</v>
      </c>
      <c r="I1270" s="1838">
        <f t="shared" si="59"/>
        <v>53088</v>
      </c>
      <c r="J1270" s="1838">
        <v>0</v>
      </c>
      <c r="K1270" s="1838">
        <v>0</v>
      </c>
      <c r="L1270" s="1838">
        <v>0</v>
      </c>
      <c r="M1270" s="1838">
        <v>0</v>
      </c>
      <c r="N1270" s="1838" t="s">
        <v>4350</v>
      </c>
      <c r="O1270" s="1838" t="s">
        <v>3297</v>
      </c>
      <c r="P1270" s="1838"/>
    </row>
    <row r="1271" spans="2:16" s="1843" customFormat="1">
      <c r="B1271" s="1838">
        <f t="shared" si="60"/>
        <v>1268</v>
      </c>
      <c r="C1271" s="1838" t="s">
        <v>441</v>
      </c>
      <c r="D1271" s="1838" t="s">
        <v>3162</v>
      </c>
      <c r="E1271" s="1838" t="s">
        <v>4384</v>
      </c>
      <c r="F1271" s="1839">
        <v>45333</v>
      </c>
      <c r="G1271" s="1840">
        <v>46200</v>
      </c>
      <c r="H1271" s="1841">
        <f t="shared" si="58"/>
        <v>49</v>
      </c>
      <c r="I1271" s="1838">
        <f t="shared" si="59"/>
        <v>46200</v>
      </c>
      <c r="J1271" s="1838">
        <v>0</v>
      </c>
      <c r="K1271" s="1838">
        <v>0</v>
      </c>
      <c r="L1271" s="1838">
        <v>0</v>
      </c>
      <c r="M1271" s="1838">
        <v>0</v>
      </c>
      <c r="N1271" s="1838" t="s">
        <v>4350</v>
      </c>
      <c r="O1271" s="1838" t="s">
        <v>3297</v>
      </c>
      <c r="P1271" s="1838"/>
    </row>
    <row r="1272" spans="2:16" s="1843" customFormat="1">
      <c r="B1272" s="1838">
        <f t="shared" si="60"/>
        <v>1269</v>
      </c>
      <c r="C1272" s="1838" t="s">
        <v>441</v>
      </c>
      <c r="D1272" s="1838" t="s">
        <v>3162</v>
      </c>
      <c r="E1272" s="1838" t="s">
        <v>4385</v>
      </c>
      <c r="F1272" s="1839">
        <v>45334</v>
      </c>
      <c r="G1272" s="1840">
        <v>35280</v>
      </c>
      <c r="H1272" s="1841">
        <f t="shared" si="58"/>
        <v>48</v>
      </c>
      <c r="I1272" s="1838">
        <f t="shared" si="59"/>
        <v>35280</v>
      </c>
      <c r="J1272" s="1838">
        <v>0</v>
      </c>
      <c r="K1272" s="1838">
        <v>0</v>
      </c>
      <c r="L1272" s="1838">
        <v>0</v>
      </c>
      <c r="M1272" s="1838">
        <v>0</v>
      </c>
      <c r="N1272" s="1838" t="s">
        <v>4350</v>
      </c>
      <c r="O1272" s="1838" t="s">
        <v>3297</v>
      </c>
      <c r="P1272" s="1838"/>
    </row>
    <row r="1273" spans="2:16" s="1843" customFormat="1">
      <c r="B1273" s="1838">
        <f t="shared" si="60"/>
        <v>1270</v>
      </c>
      <c r="C1273" s="1838" t="s">
        <v>441</v>
      </c>
      <c r="D1273" s="1838" t="s">
        <v>3162</v>
      </c>
      <c r="E1273" s="1838" t="s">
        <v>4386</v>
      </c>
      <c r="F1273" s="1839">
        <v>45334</v>
      </c>
      <c r="G1273" s="1840">
        <v>63000</v>
      </c>
      <c r="H1273" s="1841">
        <f t="shared" si="58"/>
        <v>48</v>
      </c>
      <c r="I1273" s="1838">
        <f t="shared" si="59"/>
        <v>63000</v>
      </c>
      <c r="J1273" s="1838">
        <v>0</v>
      </c>
      <c r="K1273" s="1838">
        <v>0</v>
      </c>
      <c r="L1273" s="1838">
        <v>0</v>
      </c>
      <c r="M1273" s="1838">
        <v>0</v>
      </c>
      <c r="N1273" s="1838" t="s">
        <v>4350</v>
      </c>
      <c r="O1273" s="1838" t="s">
        <v>3297</v>
      </c>
      <c r="P1273" s="1838"/>
    </row>
    <row r="1274" spans="2:16" s="1843" customFormat="1">
      <c r="B1274" s="1838">
        <f t="shared" si="60"/>
        <v>1271</v>
      </c>
      <c r="C1274" s="1838" t="s">
        <v>441</v>
      </c>
      <c r="D1274" s="1838" t="s">
        <v>3162</v>
      </c>
      <c r="E1274" s="1838" t="s">
        <v>4387</v>
      </c>
      <c r="F1274" s="1839">
        <v>45334</v>
      </c>
      <c r="G1274" s="1840">
        <v>39039</v>
      </c>
      <c r="H1274" s="1841">
        <f t="shared" si="58"/>
        <v>48</v>
      </c>
      <c r="I1274" s="1838">
        <f t="shared" si="59"/>
        <v>39039</v>
      </c>
      <c r="J1274" s="1838">
        <v>0</v>
      </c>
      <c r="K1274" s="1838">
        <v>0</v>
      </c>
      <c r="L1274" s="1838">
        <v>0</v>
      </c>
      <c r="M1274" s="1838">
        <v>0</v>
      </c>
      <c r="N1274" s="1838" t="s">
        <v>4350</v>
      </c>
      <c r="O1274" s="1838" t="s">
        <v>3297</v>
      </c>
      <c r="P1274" s="1838"/>
    </row>
    <row r="1275" spans="2:16" s="1843" customFormat="1">
      <c r="B1275" s="1838">
        <f t="shared" si="60"/>
        <v>1272</v>
      </c>
      <c r="C1275" s="1838" t="s">
        <v>441</v>
      </c>
      <c r="D1275" s="1838" t="s">
        <v>3162</v>
      </c>
      <c r="E1275" s="1838" t="s">
        <v>4388</v>
      </c>
      <c r="F1275" s="1839">
        <v>45334</v>
      </c>
      <c r="G1275" s="1840">
        <v>76440</v>
      </c>
      <c r="H1275" s="1841">
        <f t="shared" si="58"/>
        <v>48</v>
      </c>
      <c r="I1275" s="1838">
        <f t="shared" si="59"/>
        <v>76440</v>
      </c>
      <c r="J1275" s="1838">
        <v>0</v>
      </c>
      <c r="K1275" s="1838">
        <v>0</v>
      </c>
      <c r="L1275" s="1838">
        <v>0</v>
      </c>
      <c r="M1275" s="1838">
        <v>0</v>
      </c>
      <c r="N1275" s="1838" t="s">
        <v>4350</v>
      </c>
      <c r="O1275" s="1838" t="s">
        <v>3297</v>
      </c>
      <c r="P1275" s="1838"/>
    </row>
    <row r="1276" spans="2:16" s="1843" customFormat="1">
      <c r="B1276" s="1838">
        <f t="shared" si="60"/>
        <v>1273</v>
      </c>
      <c r="C1276" s="1838" t="s">
        <v>441</v>
      </c>
      <c r="D1276" s="1838" t="s">
        <v>3162</v>
      </c>
      <c r="E1276" s="1838" t="s">
        <v>4389</v>
      </c>
      <c r="F1276" s="1839">
        <v>45335</v>
      </c>
      <c r="G1276" s="1840">
        <v>7324</v>
      </c>
      <c r="H1276" s="1841">
        <f t="shared" si="58"/>
        <v>47</v>
      </c>
      <c r="I1276" s="1838">
        <f t="shared" si="59"/>
        <v>7324</v>
      </c>
      <c r="J1276" s="1838">
        <v>0</v>
      </c>
      <c r="K1276" s="1838">
        <v>0</v>
      </c>
      <c r="L1276" s="1838">
        <v>0</v>
      </c>
      <c r="M1276" s="1838">
        <v>0</v>
      </c>
      <c r="N1276" s="1838" t="s">
        <v>4350</v>
      </c>
      <c r="O1276" s="1838" t="s">
        <v>3297</v>
      </c>
      <c r="P1276" s="1838"/>
    </row>
    <row r="1277" spans="2:16" s="1843" customFormat="1">
      <c r="B1277" s="1838">
        <f t="shared" si="60"/>
        <v>1274</v>
      </c>
      <c r="C1277" s="1838" t="s">
        <v>441</v>
      </c>
      <c r="D1277" s="1838" t="s">
        <v>3162</v>
      </c>
      <c r="E1277" s="1838" t="s">
        <v>4390</v>
      </c>
      <c r="F1277" s="1839">
        <v>45335</v>
      </c>
      <c r="G1277" s="1840">
        <v>56963</v>
      </c>
      <c r="H1277" s="1841">
        <f t="shared" si="58"/>
        <v>47</v>
      </c>
      <c r="I1277" s="1838">
        <f t="shared" si="59"/>
        <v>56963</v>
      </c>
      <c r="J1277" s="1838">
        <v>0</v>
      </c>
      <c r="K1277" s="1838">
        <v>0</v>
      </c>
      <c r="L1277" s="1838">
        <v>0</v>
      </c>
      <c r="M1277" s="1838">
        <v>0</v>
      </c>
      <c r="N1277" s="1838" t="s">
        <v>4350</v>
      </c>
      <c r="O1277" s="1838" t="s">
        <v>3297</v>
      </c>
      <c r="P1277" s="1838"/>
    </row>
    <row r="1278" spans="2:16" s="1843" customFormat="1">
      <c r="B1278" s="1838">
        <f t="shared" si="60"/>
        <v>1275</v>
      </c>
      <c r="C1278" s="1838" t="s">
        <v>441</v>
      </c>
      <c r="D1278" s="1838" t="s">
        <v>3162</v>
      </c>
      <c r="E1278" s="1838" t="s">
        <v>4391</v>
      </c>
      <c r="F1278" s="1839">
        <v>45335</v>
      </c>
      <c r="G1278" s="1840">
        <v>30841</v>
      </c>
      <c r="H1278" s="1841">
        <f t="shared" si="58"/>
        <v>47</v>
      </c>
      <c r="I1278" s="1838">
        <f t="shared" si="59"/>
        <v>30841</v>
      </c>
      <c r="J1278" s="1838">
        <v>0</v>
      </c>
      <c r="K1278" s="1838">
        <v>0</v>
      </c>
      <c r="L1278" s="1838">
        <v>0</v>
      </c>
      <c r="M1278" s="1838">
        <v>0</v>
      </c>
      <c r="N1278" s="1838" t="s">
        <v>4350</v>
      </c>
      <c r="O1278" s="1838" t="s">
        <v>3297</v>
      </c>
      <c r="P1278" s="1838"/>
    </row>
    <row r="1279" spans="2:16" s="1843" customFormat="1">
      <c r="B1279" s="1838">
        <f t="shared" si="60"/>
        <v>1276</v>
      </c>
      <c r="C1279" s="1838" t="s">
        <v>441</v>
      </c>
      <c r="D1279" s="1838" t="s">
        <v>3162</v>
      </c>
      <c r="E1279" s="1838" t="s">
        <v>4392</v>
      </c>
      <c r="F1279" s="1839">
        <v>45336</v>
      </c>
      <c r="G1279" s="1840">
        <v>54521</v>
      </c>
      <c r="H1279" s="1841">
        <f t="shared" si="58"/>
        <v>46</v>
      </c>
      <c r="I1279" s="1838">
        <f t="shared" si="59"/>
        <v>54521</v>
      </c>
      <c r="J1279" s="1838">
        <v>0</v>
      </c>
      <c r="K1279" s="1838">
        <v>0</v>
      </c>
      <c r="L1279" s="1838">
        <v>0</v>
      </c>
      <c r="M1279" s="1838">
        <v>0</v>
      </c>
      <c r="N1279" s="1838" t="s">
        <v>4350</v>
      </c>
      <c r="O1279" s="1838" t="s">
        <v>3297</v>
      </c>
      <c r="P1279" s="1838"/>
    </row>
    <row r="1280" spans="2:16" s="1843" customFormat="1">
      <c r="B1280" s="1838">
        <f t="shared" si="60"/>
        <v>1277</v>
      </c>
      <c r="C1280" s="1838" t="s">
        <v>441</v>
      </c>
      <c r="D1280" s="1838" t="s">
        <v>3162</v>
      </c>
      <c r="E1280" s="1838" t="s">
        <v>4393</v>
      </c>
      <c r="F1280" s="1839">
        <v>45336</v>
      </c>
      <c r="G1280" s="1840">
        <v>52894</v>
      </c>
      <c r="H1280" s="1841">
        <f t="shared" si="58"/>
        <v>46</v>
      </c>
      <c r="I1280" s="1838">
        <f t="shared" si="59"/>
        <v>52894</v>
      </c>
      <c r="J1280" s="1838">
        <v>0</v>
      </c>
      <c r="K1280" s="1838">
        <v>0</v>
      </c>
      <c r="L1280" s="1838">
        <v>0</v>
      </c>
      <c r="M1280" s="1838">
        <v>0</v>
      </c>
      <c r="N1280" s="1838" t="s">
        <v>4350</v>
      </c>
      <c r="O1280" s="1838" t="s">
        <v>3297</v>
      </c>
      <c r="P1280" s="1838"/>
    </row>
    <row r="1281" spans="2:16" s="1843" customFormat="1">
      <c r="B1281" s="1838">
        <f t="shared" si="60"/>
        <v>1278</v>
      </c>
      <c r="C1281" s="1838" t="s">
        <v>441</v>
      </c>
      <c r="D1281" s="1838" t="s">
        <v>3162</v>
      </c>
      <c r="E1281" s="1838" t="s">
        <v>4394</v>
      </c>
      <c r="F1281" s="1839">
        <v>45337</v>
      </c>
      <c r="G1281" s="1840">
        <v>55986</v>
      </c>
      <c r="H1281" s="1841">
        <f t="shared" si="58"/>
        <v>45</v>
      </c>
      <c r="I1281" s="1838">
        <f t="shared" si="59"/>
        <v>55986</v>
      </c>
      <c r="J1281" s="1838">
        <v>0</v>
      </c>
      <c r="K1281" s="1838">
        <v>0</v>
      </c>
      <c r="L1281" s="1838">
        <v>0</v>
      </c>
      <c r="M1281" s="1838">
        <v>0</v>
      </c>
      <c r="N1281" s="1838" t="s">
        <v>4350</v>
      </c>
      <c r="O1281" s="1838" t="s">
        <v>3297</v>
      </c>
      <c r="P1281" s="1838"/>
    </row>
    <row r="1282" spans="2:16" s="1843" customFormat="1">
      <c r="B1282" s="1838">
        <f t="shared" si="60"/>
        <v>1279</v>
      </c>
      <c r="C1282" s="1838" t="s">
        <v>441</v>
      </c>
      <c r="D1282" s="1838" t="s">
        <v>3162</v>
      </c>
      <c r="E1282" s="1838" t="s">
        <v>4395</v>
      </c>
      <c r="F1282" s="1839">
        <v>45337</v>
      </c>
      <c r="G1282" s="1840">
        <v>38897</v>
      </c>
      <c r="H1282" s="1841">
        <f t="shared" si="58"/>
        <v>45</v>
      </c>
      <c r="I1282" s="1838">
        <f t="shared" si="59"/>
        <v>38897</v>
      </c>
      <c r="J1282" s="1838">
        <v>0</v>
      </c>
      <c r="K1282" s="1838">
        <v>0</v>
      </c>
      <c r="L1282" s="1838">
        <v>0</v>
      </c>
      <c r="M1282" s="1838">
        <v>0</v>
      </c>
      <c r="N1282" s="1838" t="s">
        <v>4350</v>
      </c>
      <c r="O1282" s="1838" t="s">
        <v>3297</v>
      </c>
      <c r="P1282" s="1838"/>
    </row>
    <row r="1283" spans="2:16" s="1843" customFormat="1">
      <c r="B1283" s="1838">
        <f t="shared" si="60"/>
        <v>1280</v>
      </c>
      <c r="C1283" s="1838" t="s">
        <v>441</v>
      </c>
      <c r="D1283" s="1838" t="s">
        <v>3162</v>
      </c>
      <c r="E1283" s="1838" t="s">
        <v>4396</v>
      </c>
      <c r="F1283" s="1839">
        <v>45338</v>
      </c>
      <c r="G1283" s="1840">
        <v>36456</v>
      </c>
      <c r="H1283" s="1841">
        <f t="shared" si="58"/>
        <v>44</v>
      </c>
      <c r="I1283" s="1838">
        <f t="shared" si="59"/>
        <v>36456</v>
      </c>
      <c r="J1283" s="1838">
        <v>0</v>
      </c>
      <c r="K1283" s="1838">
        <v>0</v>
      </c>
      <c r="L1283" s="1838">
        <v>0</v>
      </c>
      <c r="M1283" s="1838">
        <v>0</v>
      </c>
      <c r="N1283" s="1838" t="s">
        <v>4350</v>
      </c>
      <c r="O1283" s="1838" t="s">
        <v>3297</v>
      </c>
      <c r="P1283" s="1838"/>
    </row>
    <row r="1284" spans="2:16" s="1843" customFormat="1">
      <c r="B1284" s="1838">
        <f t="shared" si="60"/>
        <v>1281</v>
      </c>
      <c r="C1284" s="1838" t="s">
        <v>441</v>
      </c>
      <c r="D1284" s="1838" t="s">
        <v>3162</v>
      </c>
      <c r="E1284" s="1838" t="s">
        <v>4397</v>
      </c>
      <c r="F1284" s="1839">
        <v>45338</v>
      </c>
      <c r="G1284" s="1840">
        <v>27720</v>
      </c>
      <c r="H1284" s="1841">
        <f t="shared" si="58"/>
        <v>44</v>
      </c>
      <c r="I1284" s="1838">
        <f t="shared" si="59"/>
        <v>27720</v>
      </c>
      <c r="J1284" s="1838">
        <v>0</v>
      </c>
      <c r="K1284" s="1838">
        <v>0</v>
      </c>
      <c r="L1284" s="1838">
        <v>0</v>
      </c>
      <c r="M1284" s="1838">
        <v>0</v>
      </c>
      <c r="N1284" s="1838" t="s">
        <v>4350</v>
      </c>
      <c r="O1284" s="1838" t="s">
        <v>3297</v>
      </c>
      <c r="P1284" s="1838"/>
    </row>
    <row r="1285" spans="2:16" s="1843" customFormat="1">
      <c r="B1285" s="1838">
        <f t="shared" si="60"/>
        <v>1282</v>
      </c>
      <c r="C1285" s="1838" t="s">
        <v>441</v>
      </c>
      <c r="D1285" s="1838" t="s">
        <v>3162</v>
      </c>
      <c r="E1285" s="1838" t="s">
        <v>4398</v>
      </c>
      <c r="F1285" s="1839">
        <v>45338</v>
      </c>
      <c r="G1285" s="1840">
        <v>37607</v>
      </c>
      <c r="H1285" s="1841">
        <f t="shared" ref="H1285:H1348" si="61">+$H$2-F1285</f>
        <v>44</v>
      </c>
      <c r="I1285" s="1838">
        <f t="shared" ref="I1285:I1348" si="62">+G1285</f>
        <v>37607</v>
      </c>
      <c r="J1285" s="1838">
        <v>0</v>
      </c>
      <c r="K1285" s="1838">
        <v>0</v>
      </c>
      <c r="L1285" s="1838">
        <v>0</v>
      </c>
      <c r="M1285" s="1838">
        <v>0</v>
      </c>
      <c r="N1285" s="1838" t="s">
        <v>4350</v>
      </c>
      <c r="O1285" s="1838" t="s">
        <v>3297</v>
      </c>
      <c r="P1285" s="1838"/>
    </row>
    <row r="1286" spans="2:16" s="1843" customFormat="1">
      <c r="B1286" s="1838">
        <f t="shared" ref="B1286:B1349" si="63">+B1285+1</f>
        <v>1283</v>
      </c>
      <c r="C1286" s="1838" t="s">
        <v>441</v>
      </c>
      <c r="D1286" s="1838" t="s">
        <v>3162</v>
      </c>
      <c r="E1286" s="1838" t="s">
        <v>4399</v>
      </c>
      <c r="F1286" s="1839">
        <v>45338</v>
      </c>
      <c r="G1286" s="1840">
        <v>66667</v>
      </c>
      <c r="H1286" s="1841">
        <f t="shared" si="61"/>
        <v>44</v>
      </c>
      <c r="I1286" s="1838">
        <f t="shared" si="62"/>
        <v>66667</v>
      </c>
      <c r="J1286" s="1838">
        <v>0</v>
      </c>
      <c r="K1286" s="1838">
        <v>0</v>
      </c>
      <c r="L1286" s="1838">
        <v>0</v>
      </c>
      <c r="M1286" s="1838">
        <v>0</v>
      </c>
      <c r="N1286" s="1838" t="s">
        <v>4350</v>
      </c>
      <c r="O1286" s="1838" t="s">
        <v>3297</v>
      </c>
      <c r="P1286" s="1838"/>
    </row>
    <row r="1287" spans="2:16" s="1843" customFormat="1">
      <c r="B1287" s="1838">
        <f t="shared" si="63"/>
        <v>1284</v>
      </c>
      <c r="C1287" s="1838" t="s">
        <v>441</v>
      </c>
      <c r="D1287" s="1838" t="s">
        <v>3162</v>
      </c>
      <c r="E1287" s="1838" t="s">
        <v>4400</v>
      </c>
      <c r="F1287" s="1839">
        <v>45338</v>
      </c>
      <c r="G1287" s="1840">
        <v>36053</v>
      </c>
      <c r="H1287" s="1841">
        <f t="shared" si="61"/>
        <v>44</v>
      </c>
      <c r="I1287" s="1838">
        <f t="shared" si="62"/>
        <v>36053</v>
      </c>
      <c r="J1287" s="1838">
        <v>0</v>
      </c>
      <c r="K1287" s="1838">
        <v>0</v>
      </c>
      <c r="L1287" s="1838">
        <v>0</v>
      </c>
      <c r="M1287" s="1838">
        <v>0</v>
      </c>
      <c r="N1287" s="1838" t="s">
        <v>4350</v>
      </c>
      <c r="O1287" s="1838" t="s">
        <v>3297</v>
      </c>
      <c r="P1287" s="1838"/>
    </row>
    <row r="1288" spans="2:16" s="1843" customFormat="1">
      <c r="B1288" s="1838">
        <f t="shared" si="63"/>
        <v>1285</v>
      </c>
      <c r="C1288" s="1838" t="s">
        <v>441</v>
      </c>
      <c r="D1288" s="1838" t="s">
        <v>3162</v>
      </c>
      <c r="E1288" s="1838" t="s">
        <v>4401</v>
      </c>
      <c r="F1288" s="1839">
        <v>45339</v>
      </c>
      <c r="G1288" s="1840">
        <v>63636</v>
      </c>
      <c r="H1288" s="1841">
        <f t="shared" si="61"/>
        <v>43</v>
      </c>
      <c r="I1288" s="1838">
        <f t="shared" si="62"/>
        <v>63636</v>
      </c>
      <c r="J1288" s="1838">
        <v>0</v>
      </c>
      <c r="K1288" s="1838">
        <v>0</v>
      </c>
      <c r="L1288" s="1838">
        <v>0</v>
      </c>
      <c r="M1288" s="1838">
        <v>0</v>
      </c>
      <c r="N1288" s="1838" t="s">
        <v>4350</v>
      </c>
      <c r="O1288" s="1838" t="s">
        <v>3297</v>
      </c>
      <c r="P1288" s="1838"/>
    </row>
    <row r="1289" spans="2:16" s="1843" customFormat="1">
      <c r="B1289" s="1838">
        <f t="shared" si="63"/>
        <v>1286</v>
      </c>
      <c r="C1289" s="1838" t="s">
        <v>441</v>
      </c>
      <c r="D1289" s="1838" t="s">
        <v>3162</v>
      </c>
      <c r="E1289" s="1838" t="s">
        <v>4402</v>
      </c>
      <c r="F1289" s="1839">
        <v>45339</v>
      </c>
      <c r="G1289" s="1840">
        <v>51904</v>
      </c>
      <c r="H1289" s="1841">
        <f t="shared" si="61"/>
        <v>43</v>
      </c>
      <c r="I1289" s="1838">
        <f t="shared" si="62"/>
        <v>51904</v>
      </c>
      <c r="J1289" s="1838">
        <v>0</v>
      </c>
      <c r="K1289" s="1838">
        <v>0</v>
      </c>
      <c r="L1289" s="1838">
        <v>0</v>
      </c>
      <c r="M1289" s="1838">
        <v>0</v>
      </c>
      <c r="N1289" s="1838" t="s">
        <v>4350</v>
      </c>
      <c r="O1289" s="1838" t="s">
        <v>3297</v>
      </c>
      <c r="P1289" s="1838"/>
    </row>
    <row r="1290" spans="2:16" s="1843" customFormat="1">
      <c r="B1290" s="1838">
        <f t="shared" si="63"/>
        <v>1287</v>
      </c>
      <c r="C1290" s="1838" t="s">
        <v>441</v>
      </c>
      <c r="D1290" s="1838" t="s">
        <v>3162</v>
      </c>
      <c r="E1290" s="1838" t="s">
        <v>4403</v>
      </c>
      <c r="F1290" s="1839">
        <v>45340</v>
      </c>
      <c r="G1290" s="1840">
        <v>72416</v>
      </c>
      <c r="H1290" s="1841">
        <f t="shared" si="61"/>
        <v>42</v>
      </c>
      <c r="I1290" s="1838">
        <f t="shared" si="62"/>
        <v>72416</v>
      </c>
      <c r="J1290" s="1838">
        <v>0</v>
      </c>
      <c r="K1290" s="1838">
        <v>0</v>
      </c>
      <c r="L1290" s="1838">
        <v>0</v>
      </c>
      <c r="M1290" s="1838">
        <v>0</v>
      </c>
      <c r="N1290" s="1838" t="s">
        <v>4350</v>
      </c>
      <c r="O1290" s="1838" t="s">
        <v>3297</v>
      </c>
      <c r="P1290" s="1838"/>
    </row>
    <row r="1291" spans="2:16" s="1843" customFormat="1">
      <c r="B1291" s="1838">
        <f t="shared" si="63"/>
        <v>1288</v>
      </c>
      <c r="C1291" s="1838" t="s">
        <v>441</v>
      </c>
      <c r="D1291" s="1838" t="s">
        <v>3162</v>
      </c>
      <c r="E1291" s="1838" t="s">
        <v>4404</v>
      </c>
      <c r="F1291" s="1839">
        <v>45340</v>
      </c>
      <c r="G1291" s="1840">
        <v>55371</v>
      </c>
      <c r="H1291" s="1841">
        <f t="shared" si="61"/>
        <v>42</v>
      </c>
      <c r="I1291" s="1838">
        <f t="shared" si="62"/>
        <v>55371</v>
      </c>
      <c r="J1291" s="1838">
        <v>0</v>
      </c>
      <c r="K1291" s="1838">
        <v>0</v>
      </c>
      <c r="L1291" s="1838">
        <v>0</v>
      </c>
      <c r="M1291" s="1838">
        <v>0</v>
      </c>
      <c r="N1291" s="1838" t="s">
        <v>4350</v>
      </c>
      <c r="O1291" s="1838" t="s">
        <v>3297</v>
      </c>
      <c r="P1291" s="1838"/>
    </row>
    <row r="1292" spans="2:16" s="1843" customFormat="1">
      <c r="B1292" s="1838">
        <f t="shared" si="63"/>
        <v>1289</v>
      </c>
      <c r="C1292" s="1838" t="s">
        <v>441</v>
      </c>
      <c r="D1292" s="1838" t="s">
        <v>3162</v>
      </c>
      <c r="E1292" s="1838" t="s">
        <v>4405</v>
      </c>
      <c r="F1292" s="1839">
        <v>45340</v>
      </c>
      <c r="G1292" s="1840">
        <v>29610</v>
      </c>
      <c r="H1292" s="1841">
        <f t="shared" si="61"/>
        <v>42</v>
      </c>
      <c r="I1292" s="1838">
        <f t="shared" si="62"/>
        <v>29610</v>
      </c>
      <c r="J1292" s="1838">
        <v>0</v>
      </c>
      <c r="K1292" s="1838">
        <v>0</v>
      </c>
      <c r="L1292" s="1838">
        <v>0</v>
      </c>
      <c r="M1292" s="1838">
        <v>0</v>
      </c>
      <c r="N1292" s="1838" t="s">
        <v>4350</v>
      </c>
      <c r="O1292" s="1838" t="s">
        <v>3297</v>
      </c>
      <c r="P1292" s="1838"/>
    </row>
    <row r="1293" spans="2:16" s="1843" customFormat="1">
      <c r="B1293" s="1838">
        <f t="shared" si="63"/>
        <v>1290</v>
      </c>
      <c r="C1293" s="1838" t="s">
        <v>441</v>
      </c>
      <c r="D1293" s="1838" t="s">
        <v>3162</v>
      </c>
      <c r="E1293" s="1838" t="s">
        <v>4406</v>
      </c>
      <c r="F1293" s="1839">
        <v>45341</v>
      </c>
      <c r="G1293" s="1840">
        <v>59442</v>
      </c>
      <c r="H1293" s="1841">
        <f t="shared" si="61"/>
        <v>41</v>
      </c>
      <c r="I1293" s="1838">
        <f t="shared" si="62"/>
        <v>59442</v>
      </c>
      <c r="J1293" s="1838">
        <v>0</v>
      </c>
      <c r="K1293" s="1838">
        <v>0</v>
      </c>
      <c r="L1293" s="1838">
        <v>0</v>
      </c>
      <c r="M1293" s="1838">
        <v>0</v>
      </c>
      <c r="N1293" s="1838" t="s">
        <v>4350</v>
      </c>
      <c r="O1293" s="1838" t="s">
        <v>3297</v>
      </c>
      <c r="P1293" s="1838"/>
    </row>
    <row r="1294" spans="2:16" s="1843" customFormat="1">
      <c r="B1294" s="1838">
        <f t="shared" si="63"/>
        <v>1291</v>
      </c>
      <c r="C1294" s="1838" t="s">
        <v>441</v>
      </c>
      <c r="D1294" s="1838" t="s">
        <v>3162</v>
      </c>
      <c r="E1294" s="1838" t="s">
        <v>4407</v>
      </c>
      <c r="F1294" s="1839">
        <v>45341</v>
      </c>
      <c r="G1294" s="1840">
        <v>66030</v>
      </c>
      <c r="H1294" s="1841">
        <f t="shared" si="61"/>
        <v>41</v>
      </c>
      <c r="I1294" s="1838">
        <f t="shared" si="62"/>
        <v>66030</v>
      </c>
      <c r="J1294" s="1838">
        <v>0</v>
      </c>
      <c r="K1294" s="1838">
        <v>0</v>
      </c>
      <c r="L1294" s="1838">
        <v>0</v>
      </c>
      <c r="M1294" s="1838">
        <v>0</v>
      </c>
      <c r="N1294" s="1838" t="s">
        <v>4350</v>
      </c>
      <c r="O1294" s="1838" t="s">
        <v>3297</v>
      </c>
      <c r="P1294" s="1838"/>
    </row>
    <row r="1295" spans="2:16" s="1843" customFormat="1">
      <c r="B1295" s="1838">
        <f t="shared" si="63"/>
        <v>1292</v>
      </c>
      <c r="C1295" s="1838" t="s">
        <v>441</v>
      </c>
      <c r="D1295" s="1838" t="s">
        <v>3162</v>
      </c>
      <c r="E1295" s="1838" t="s">
        <v>4408</v>
      </c>
      <c r="F1295" s="1839">
        <v>45342</v>
      </c>
      <c r="G1295" s="1840">
        <v>46166</v>
      </c>
      <c r="H1295" s="1841">
        <f t="shared" si="61"/>
        <v>40</v>
      </c>
      <c r="I1295" s="1838">
        <f t="shared" si="62"/>
        <v>46166</v>
      </c>
      <c r="J1295" s="1838">
        <v>0</v>
      </c>
      <c r="K1295" s="1838">
        <v>0</v>
      </c>
      <c r="L1295" s="1838">
        <v>0</v>
      </c>
      <c r="M1295" s="1838">
        <v>0</v>
      </c>
      <c r="N1295" s="1838" t="s">
        <v>4350</v>
      </c>
      <c r="O1295" s="1838" t="s">
        <v>3297</v>
      </c>
      <c r="P1295" s="1838"/>
    </row>
    <row r="1296" spans="2:16" s="1843" customFormat="1">
      <c r="B1296" s="1838">
        <f t="shared" si="63"/>
        <v>1293</v>
      </c>
      <c r="C1296" s="1838" t="s">
        <v>441</v>
      </c>
      <c r="D1296" s="1838" t="s">
        <v>3162</v>
      </c>
      <c r="E1296" s="1838" t="s">
        <v>4409</v>
      </c>
      <c r="F1296" s="1839">
        <v>45342</v>
      </c>
      <c r="G1296" s="1840">
        <v>48857</v>
      </c>
      <c r="H1296" s="1841">
        <f t="shared" si="61"/>
        <v>40</v>
      </c>
      <c r="I1296" s="1838">
        <f t="shared" si="62"/>
        <v>48857</v>
      </c>
      <c r="J1296" s="1838">
        <v>0</v>
      </c>
      <c r="K1296" s="1838">
        <v>0</v>
      </c>
      <c r="L1296" s="1838">
        <v>0</v>
      </c>
      <c r="M1296" s="1838">
        <v>0</v>
      </c>
      <c r="N1296" s="1838" t="s">
        <v>4350</v>
      </c>
      <c r="O1296" s="1838" t="s">
        <v>3297</v>
      </c>
      <c r="P1296" s="1838"/>
    </row>
    <row r="1297" spans="2:16" s="1843" customFormat="1">
      <c r="B1297" s="1838">
        <f t="shared" si="63"/>
        <v>1294</v>
      </c>
      <c r="C1297" s="1838" t="s">
        <v>441</v>
      </c>
      <c r="D1297" s="1838" t="s">
        <v>3162</v>
      </c>
      <c r="E1297" s="1838" t="s">
        <v>4410</v>
      </c>
      <c r="F1297" s="1839">
        <v>45342</v>
      </c>
      <c r="G1297" s="1840">
        <v>51003</v>
      </c>
      <c r="H1297" s="1841">
        <f t="shared" si="61"/>
        <v>40</v>
      </c>
      <c r="I1297" s="1838">
        <f t="shared" si="62"/>
        <v>51003</v>
      </c>
      <c r="J1297" s="1838">
        <v>0</v>
      </c>
      <c r="K1297" s="1838">
        <v>0</v>
      </c>
      <c r="L1297" s="1838">
        <v>0</v>
      </c>
      <c r="M1297" s="1838">
        <v>0</v>
      </c>
      <c r="N1297" s="1838" t="s">
        <v>4350</v>
      </c>
      <c r="O1297" s="1838" t="s">
        <v>3297</v>
      </c>
      <c r="P1297" s="1838"/>
    </row>
    <row r="1298" spans="2:16" s="1843" customFormat="1">
      <c r="B1298" s="1838">
        <f t="shared" si="63"/>
        <v>1295</v>
      </c>
      <c r="C1298" s="1838" t="s">
        <v>441</v>
      </c>
      <c r="D1298" s="1838" t="s">
        <v>3162</v>
      </c>
      <c r="E1298" s="1838" t="s">
        <v>4411</v>
      </c>
      <c r="F1298" s="1839">
        <v>45344</v>
      </c>
      <c r="G1298" s="1840">
        <v>29462</v>
      </c>
      <c r="H1298" s="1841">
        <f t="shared" si="61"/>
        <v>38</v>
      </c>
      <c r="I1298" s="1838">
        <f t="shared" si="62"/>
        <v>29462</v>
      </c>
      <c r="J1298" s="1838">
        <v>0</v>
      </c>
      <c r="K1298" s="1838">
        <v>0</v>
      </c>
      <c r="L1298" s="1838">
        <v>0</v>
      </c>
      <c r="M1298" s="1838">
        <v>0</v>
      </c>
      <c r="N1298" s="1838" t="s">
        <v>4350</v>
      </c>
      <c r="O1298" s="1838" t="s">
        <v>3297</v>
      </c>
      <c r="P1298" s="1838"/>
    </row>
    <row r="1299" spans="2:16" s="1843" customFormat="1">
      <c r="B1299" s="1838">
        <f t="shared" si="63"/>
        <v>1296</v>
      </c>
      <c r="C1299" s="1838" t="s">
        <v>441</v>
      </c>
      <c r="D1299" s="1838" t="s">
        <v>3162</v>
      </c>
      <c r="E1299" s="1838" t="s">
        <v>4412</v>
      </c>
      <c r="F1299" s="1839">
        <v>45344</v>
      </c>
      <c r="G1299" s="1840">
        <v>61885</v>
      </c>
      <c r="H1299" s="1841">
        <f t="shared" si="61"/>
        <v>38</v>
      </c>
      <c r="I1299" s="1838">
        <f t="shared" si="62"/>
        <v>61885</v>
      </c>
      <c r="J1299" s="1838">
        <v>0</v>
      </c>
      <c r="K1299" s="1838">
        <v>0</v>
      </c>
      <c r="L1299" s="1838">
        <v>0</v>
      </c>
      <c r="M1299" s="1838">
        <v>0</v>
      </c>
      <c r="N1299" s="1838" t="s">
        <v>4350</v>
      </c>
      <c r="O1299" s="1838" t="s">
        <v>3297</v>
      </c>
      <c r="P1299" s="1838"/>
    </row>
    <row r="1300" spans="2:16" s="1843" customFormat="1">
      <c r="B1300" s="1838">
        <f t="shared" si="63"/>
        <v>1297</v>
      </c>
      <c r="C1300" s="1838" t="s">
        <v>441</v>
      </c>
      <c r="D1300" s="1838" t="s">
        <v>3162</v>
      </c>
      <c r="E1300" s="1838" t="s">
        <v>4413</v>
      </c>
      <c r="F1300" s="1839">
        <v>45345</v>
      </c>
      <c r="G1300" s="1840">
        <v>24428</v>
      </c>
      <c r="H1300" s="1841">
        <f t="shared" si="61"/>
        <v>37</v>
      </c>
      <c r="I1300" s="1838">
        <f t="shared" si="62"/>
        <v>24428</v>
      </c>
      <c r="J1300" s="1838">
        <v>0</v>
      </c>
      <c r="K1300" s="1838">
        <v>0</v>
      </c>
      <c r="L1300" s="1838">
        <v>0</v>
      </c>
      <c r="M1300" s="1838">
        <v>0</v>
      </c>
      <c r="N1300" s="1838" t="s">
        <v>4350</v>
      </c>
      <c r="O1300" s="1838" t="s">
        <v>3297</v>
      </c>
      <c r="P1300" s="1838"/>
    </row>
    <row r="1301" spans="2:16" s="1843" customFormat="1">
      <c r="B1301" s="1838">
        <f t="shared" si="63"/>
        <v>1298</v>
      </c>
      <c r="C1301" s="1838" t="s">
        <v>441</v>
      </c>
      <c r="D1301" s="1838" t="s">
        <v>3162</v>
      </c>
      <c r="E1301" s="1838" t="s">
        <v>4414</v>
      </c>
      <c r="F1301" s="1839">
        <v>45345</v>
      </c>
      <c r="G1301" s="1840">
        <v>43971</v>
      </c>
      <c r="H1301" s="1841">
        <f t="shared" si="61"/>
        <v>37</v>
      </c>
      <c r="I1301" s="1838">
        <f t="shared" si="62"/>
        <v>43971</v>
      </c>
      <c r="J1301" s="1838">
        <v>0</v>
      </c>
      <c r="K1301" s="1838">
        <v>0</v>
      </c>
      <c r="L1301" s="1838">
        <v>0</v>
      </c>
      <c r="M1301" s="1838">
        <v>0</v>
      </c>
      <c r="N1301" s="1838" t="s">
        <v>4350</v>
      </c>
      <c r="O1301" s="1838" t="s">
        <v>3297</v>
      </c>
      <c r="P1301" s="1838"/>
    </row>
    <row r="1302" spans="2:16" s="1843" customFormat="1">
      <c r="B1302" s="1838">
        <f t="shared" si="63"/>
        <v>1299</v>
      </c>
      <c r="C1302" s="1838" t="s">
        <v>441</v>
      </c>
      <c r="D1302" s="1838" t="s">
        <v>3162</v>
      </c>
      <c r="E1302" s="1838" t="s">
        <v>4415</v>
      </c>
      <c r="F1302" s="1839">
        <v>45345</v>
      </c>
      <c r="G1302" s="1840">
        <v>69880</v>
      </c>
      <c r="H1302" s="1841">
        <f t="shared" si="61"/>
        <v>37</v>
      </c>
      <c r="I1302" s="1838">
        <f t="shared" si="62"/>
        <v>69880</v>
      </c>
      <c r="J1302" s="1838">
        <v>0</v>
      </c>
      <c r="K1302" s="1838">
        <v>0</v>
      </c>
      <c r="L1302" s="1838">
        <v>0</v>
      </c>
      <c r="M1302" s="1838">
        <v>0</v>
      </c>
      <c r="N1302" s="1838" t="s">
        <v>4350</v>
      </c>
      <c r="O1302" s="1838" t="s">
        <v>3297</v>
      </c>
      <c r="P1302" s="1838"/>
    </row>
    <row r="1303" spans="2:16" s="1843" customFormat="1">
      <c r="B1303" s="1838">
        <f t="shared" si="63"/>
        <v>1300</v>
      </c>
      <c r="C1303" s="1838" t="s">
        <v>441</v>
      </c>
      <c r="D1303" s="1838" t="s">
        <v>3162</v>
      </c>
      <c r="E1303" s="1838" t="s">
        <v>4416</v>
      </c>
      <c r="F1303" s="1839">
        <v>45346</v>
      </c>
      <c r="G1303" s="1840">
        <v>21023</v>
      </c>
      <c r="H1303" s="1841">
        <f t="shared" si="61"/>
        <v>36</v>
      </c>
      <c r="I1303" s="1838">
        <f t="shared" si="62"/>
        <v>21023</v>
      </c>
      <c r="J1303" s="1838">
        <v>0</v>
      </c>
      <c r="K1303" s="1838">
        <v>0</v>
      </c>
      <c r="L1303" s="1838">
        <v>0</v>
      </c>
      <c r="M1303" s="1838">
        <v>0</v>
      </c>
      <c r="N1303" s="1838" t="s">
        <v>4350</v>
      </c>
      <c r="O1303" s="1838" t="s">
        <v>3297</v>
      </c>
      <c r="P1303" s="1838"/>
    </row>
    <row r="1304" spans="2:16" s="1843" customFormat="1">
      <c r="B1304" s="1838">
        <f t="shared" si="63"/>
        <v>1301</v>
      </c>
      <c r="C1304" s="1838" t="s">
        <v>441</v>
      </c>
      <c r="D1304" s="1838" t="s">
        <v>3162</v>
      </c>
      <c r="E1304" s="1838" t="s">
        <v>4417</v>
      </c>
      <c r="F1304" s="1839">
        <v>45346</v>
      </c>
      <c r="G1304" s="1840">
        <v>54927</v>
      </c>
      <c r="H1304" s="1841">
        <f t="shared" si="61"/>
        <v>36</v>
      </c>
      <c r="I1304" s="1838">
        <f t="shared" si="62"/>
        <v>54927</v>
      </c>
      <c r="J1304" s="1838">
        <v>0</v>
      </c>
      <c r="K1304" s="1838">
        <v>0</v>
      </c>
      <c r="L1304" s="1838">
        <v>0</v>
      </c>
      <c r="M1304" s="1838">
        <v>0</v>
      </c>
      <c r="N1304" s="1838" t="s">
        <v>4350</v>
      </c>
      <c r="O1304" s="1838" t="s">
        <v>3297</v>
      </c>
      <c r="P1304" s="1838"/>
    </row>
    <row r="1305" spans="2:16" s="1843" customFormat="1">
      <c r="B1305" s="1838">
        <f t="shared" si="63"/>
        <v>1302</v>
      </c>
      <c r="C1305" s="1838" t="s">
        <v>441</v>
      </c>
      <c r="D1305" s="1838" t="s">
        <v>3162</v>
      </c>
      <c r="E1305" s="1838" t="s">
        <v>4418</v>
      </c>
      <c r="F1305" s="1839">
        <v>45347</v>
      </c>
      <c r="G1305" s="1840">
        <v>34582</v>
      </c>
      <c r="H1305" s="1841">
        <f t="shared" si="61"/>
        <v>35</v>
      </c>
      <c r="I1305" s="1838">
        <f t="shared" si="62"/>
        <v>34582</v>
      </c>
      <c r="J1305" s="1838">
        <v>0</v>
      </c>
      <c r="K1305" s="1838">
        <v>0</v>
      </c>
      <c r="L1305" s="1838">
        <v>0</v>
      </c>
      <c r="M1305" s="1838">
        <v>0</v>
      </c>
      <c r="N1305" s="1838" t="s">
        <v>4350</v>
      </c>
      <c r="O1305" s="1838" t="s">
        <v>3297</v>
      </c>
      <c r="P1305" s="1838"/>
    </row>
    <row r="1306" spans="2:16" s="1843" customFormat="1">
      <c r="B1306" s="1838">
        <f t="shared" si="63"/>
        <v>1303</v>
      </c>
      <c r="C1306" s="1838" t="s">
        <v>441</v>
      </c>
      <c r="D1306" s="1838" t="s">
        <v>3162</v>
      </c>
      <c r="E1306" s="1838" t="s">
        <v>4419</v>
      </c>
      <c r="F1306" s="1839">
        <v>45348</v>
      </c>
      <c r="G1306" s="1840">
        <v>60478</v>
      </c>
      <c r="H1306" s="1841">
        <f t="shared" si="61"/>
        <v>34</v>
      </c>
      <c r="I1306" s="1838">
        <f t="shared" si="62"/>
        <v>60478</v>
      </c>
      <c r="J1306" s="1838">
        <v>0</v>
      </c>
      <c r="K1306" s="1838">
        <v>0</v>
      </c>
      <c r="L1306" s="1838">
        <v>0</v>
      </c>
      <c r="M1306" s="1838">
        <v>0</v>
      </c>
      <c r="N1306" s="1838" t="s">
        <v>4350</v>
      </c>
      <c r="O1306" s="1838" t="s">
        <v>3297</v>
      </c>
      <c r="P1306" s="1838"/>
    </row>
    <row r="1307" spans="2:16" s="1843" customFormat="1">
      <c r="B1307" s="1838">
        <f t="shared" si="63"/>
        <v>1304</v>
      </c>
      <c r="C1307" s="1838" t="s">
        <v>441</v>
      </c>
      <c r="D1307" s="1838" t="s">
        <v>3162</v>
      </c>
      <c r="E1307" s="1838" t="s">
        <v>4420</v>
      </c>
      <c r="F1307" s="1839">
        <v>45348</v>
      </c>
      <c r="G1307" s="1840">
        <v>59516</v>
      </c>
      <c r="H1307" s="1841">
        <f t="shared" si="61"/>
        <v>34</v>
      </c>
      <c r="I1307" s="1838">
        <f t="shared" si="62"/>
        <v>59516</v>
      </c>
      <c r="J1307" s="1838">
        <v>0</v>
      </c>
      <c r="K1307" s="1838">
        <v>0</v>
      </c>
      <c r="L1307" s="1838">
        <v>0</v>
      </c>
      <c r="M1307" s="1838">
        <v>0</v>
      </c>
      <c r="N1307" s="1838" t="s">
        <v>4350</v>
      </c>
      <c r="O1307" s="1838" t="s">
        <v>3297</v>
      </c>
      <c r="P1307" s="1838"/>
    </row>
    <row r="1308" spans="2:16" s="1843" customFormat="1">
      <c r="B1308" s="1838">
        <f t="shared" si="63"/>
        <v>1305</v>
      </c>
      <c r="C1308" s="1838" t="s">
        <v>441</v>
      </c>
      <c r="D1308" s="1838" t="s">
        <v>3162</v>
      </c>
      <c r="E1308" s="1838" t="s">
        <v>4421</v>
      </c>
      <c r="F1308" s="1839">
        <v>45349</v>
      </c>
      <c r="G1308" s="1840">
        <v>56777</v>
      </c>
      <c r="H1308" s="1841">
        <f t="shared" si="61"/>
        <v>33</v>
      </c>
      <c r="I1308" s="1838">
        <f t="shared" si="62"/>
        <v>56777</v>
      </c>
      <c r="J1308" s="1838">
        <v>0</v>
      </c>
      <c r="K1308" s="1838">
        <v>0</v>
      </c>
      <c r="L1308" s="1838">
        <v>0</v>
      </c>
      <c r="M1308" s="1838">
        <v>0</v>
      </c>
      <c r="N1308" s="1838" t="s">
        <v>4350</v>
      </c>
      <c r="O1308" s="1838" t="s">
        <v>3297</v>
      </c>
      <c r="P1308" s="1838"/>
    </row>
    <row r="1309" spans="2:16" s="1843" customFormat="1">
      <c r="B1309" s="1838">
        <f t="shared" si="63"/>
        <v>1306</v>
      </c>
      <c r="C1309" s="1838" t="s">
        <v>441</v>
      </c>
      <c r="D1309" s="1838" t="s">
        <v>3162</v>
      </c>
      <c r="E1309" s="1838" t="s">
        <v>4422</v>
      </c>
      <c r="F1309" s="1839">
        <v>45349</v>
      </c>
      <c r="G1309" s="1840">
        <v>48708</v>
      </c>
      <c r="H1309" s="1841">
        <f t="shared" si="61"/>
        <v>33</v>
      </c>
      <c r="I1309" s="1838">
        <f t="shared" si="62"/>
        <v>48708</v>
      </c>
      <c r="J1309" s="1838">
        <v>0</v>
      </c>
      <c r="K1309" s="1838">
        <v>0</v>
      </c>
      <c r="L1309" s="1838">
        <v>0</v>
      </c>
      <c r="M1309" s="1838">
        <v>0</v>
      </c>
      <c r="N1309" s="1838" t="s">
        <v>4350</v>
      </c>
      <c r="O1309" s="1838" t="s">
        <v>3297</v>
      </c>
      <c r="P1309" s="1838"/>
    </row>
    <row r="1310" spans="2:16" s="1843" customFormat="1">
      <c r="B1310" s="1838">
        <f t="shared" si="63"/>
        <v>1307</v>
      </c>
      <c r="C1310" s="1838" t="s">
        <v>441</v>
      </c>
      <c r="D1310" s="1838" t="s">
        <v>3162</v>
      </c>
      <c r="E1310" s="1838" t="s">
        <v>4423</v>
      </c>
      <c r="F1310" s="1839">
        <v>45350</v>
      </c>
      <c r="G1310" s="1840">
        <v>30424</v>
      </c>
      <c r="H1310" s="1841">
        <f t="shared" si="61"/>
        <v>32</v>
      </c>
      <c r="I1310" s="1838">
        <f t="shared" si="62"/>
        <v>30424</v>
      </c>
      <c r="J1310" s="1838">
        <v>0</v>
      </c>
      <c r="K1310" s="1838">
        <v>0</v>
      </c>
      <c r="L1310" s="1838">
        <v>0</v>
      </c>
      <c r="M1310" s="1838">
        <v>0</v>
      </c>
      <c r="N1310" s="1838" t="s">
        <v>4350</v>
      </c>
      <c r="O1310" s="1838" t="s">
        <v>3297</v>
      </c>
      <c r="P1310" s="1838"/>
    </row>
    <row r="1311" spans="2:16" s="1843" customFormat="1">
      <c r="B1311" s="1838">
        <f t="shared" si="63"/>
        <v>1308</v>
      </c>
      <c r="C1311" s="1838" t="s">
        <v>441</v>
      </c>
      <c r="D1311" s="1838" t="s">
        <v>3162</v>
      </c>
      <c r="E1311" s="1838" t="s">
        <v>4424</v>
      </c>
      <c r="F1311" s="1839">
        <v>45350</v>
      </c>
      <c r="G1311" s="1840">
        <v>38567</v>
      </c>
      <c r="H1311" s="1841">
        <f t="shared" si="61"/>
        <v>32</v>
      </c>
      <c r="I1311" s="1838">
        <f t="shared" si="62"/>
        <v>38567</v>
      </c>
      <c r="J1311" s="1838">
        <v>0</v>
      </c>
      <c r="K1311" s="1838">
        <v>0</v>
      </c>
      <c r="L1311" s="1838">
        <v>0</v>
      </c>
      <c r="M1311" s="1838">
        <v>0</v>
      </c>
      <c r="N1311" s="1838" t="s">
        <v>4350</v>
      </c>
      <c r="O1311" s="1838" t="s">
        <v>3297</v>
      </c>
      <c r="P1311" s="1838"/>
    </row>
    <row r="1312" spans="2:16" s="1843" customFormat="1">
      <c r="B1312" s="1838">
        <f t="shared" si="63"/>
        <v>1309</v>
      </c>
      <c r="C1312" s="1838" t="s">
        <v>441</v>
      </c>
      <c r="D1312" s="1838" t="s">
        <v>3162</v>
      </c>
      <c r="E1312" s="1838" t="s">
        <v>4425</v>
      </c>
      <c r="F1312" s="1839">
        <v>45350</v>
      </c>
      <c r="G1312" s="1840">
        <v>43305</v>
      </c>
      <c r="H1312" s="1841">
        <f t="shared" si="61"/>
        <v>32</v>
      </c>
      <c r="I1312" s="1838">
        <f t="shared" si="62"/>
        <v>43305</v>
      </c>
      <c r="J1312" s="1838">
        <v>0</v>
      </c>
      <c r="K1312" s="1838">
        <v>0</v>
      </c>
      <c r="L1312" s="1838">
        <v>0</v>
      </c>
      <c r="M1312" s="1838">
        <v>0</v>
      </c>
      <c r="N1312" s="1838" t="s">
        <v>4350</v>
      </c>
      <c r="O1312" s="1838" t="s">
        <v>3297</v>
      </c>
      <c r="P1312" s="1838"/>
    </row>
    <row r="1313" spans="2:16" s="1843" customFormat="1">
      <c r="B1313" s="1838">
        <f t="shared" si="63"/>
        <v>1310</v>
      </c>
      <c r="C1313" s="1838" t="s">
        <v>441</v>
      </c>
      <c r="D1313" s="1838" t="s">
        <v>3162</v>
      </c>
      <c r="E1313" s="1838" t="s">
        <v>4426</v>
      </c>
      <c r="F1313" s="1839">
        <v>45351</v>
      </c>
      <c r="G1313" s="1840">
        <v>27981</v>
      </c>
      <c r="H1313" s="1841">
        <f t="shared" si="61"/>
        <v>31</v>
      </c>
      <c r="I1313" s="1838">
        <f t="shared" si="62"/>
        <v>27981</v>
      </c>
      <c r="J1313" s="1838">
        <v>0</v>
      </c>
      <c r="K1313" s="1838">
        <v>0</v>
      </c>
      <c r="L1313" s="1838">
        <v>0</v>
      </c>
      <c r="M1313" s="1838">
        <v>0</v>
      </c>
      <c r="N1313" s="1838" t="s">
        <v>4350</v>
      </c>
      <c r="O1313" s="1838" t="s">
        <v>3297</v>
      </c>
      <c r="P1313" s="1838"/>
    </row>
    <row r="1314" spans="2:16" s="1843" customFormat="1">
      <c r="B1314" s="1838">
        <f t="shared" si="63"/>
        <v>1311</v>
      </c>
      <c r="C1314" s="1838" t="s">
        <v>441</v>
      </c>
      <c r="D1314" s="1838" t="s">
        <v>3162</v>
      </c>
      <c r="E1314" s="1838" t="s">
        <v>4427</v>
      </c>
      <c r="F1314" s="1839">
        <v>45351</v>
      </c>
      <c r="G1314" s="1840">
        <v>32976</v>
      </c>
      <c r="H1314" s="1841">
        <f t="shared" si="61"/>
        <v>31</v>
      </c>
      <c r="I1314" s="1838">
        <f t="shared" si="62"/>
        <v>32976</v>
      </c>
      <c r="J1314" s="1838">
        <v>0</v>
      </c>
      <c r="K1314" s="1838">
        <v>0</v>
      </c>
      <c r="L1314" s="1838">
        <v>0</v>
      </c>
      <c r="M1314" s="1838">
        <v>0</v>
      </c>
      <c r="N1314" s="1838" t="s">
        <v>4350</v>
      </c>
      <c r="O1314" s="1838" t="s">
        <v>3297</v>
      </c>
      <c r="P1314" s="1838"/>
    </row>
    <row r="1315" spans="2:16" s="1843" customFormat="1">
      <c r="B1315" s="1838">
        <f t="shared" si="63"/>
        <v>1312</v>
      </c>
      <c r="C1315" s="1838" t="s">
        <v>441</v>
      </c>
      <c r="D1315" s="1838" t="s">
        <v>3162</v>
      </c>
      <c r="E1315" s="1838" t="s">
        <v>4428</v>
      </c>
      <c r="F1315" s="1839">
        <v>45351</v>
      </c>
      <c r="G1315" s="1840">
        <v>59442</v>
      </c>
      <c r="H1315" s="1841">
        <f t="shared" si="61"/>
        <v>31</v>
      </c>
      <c r="I1315" s="1838">
        <f t="shared" si="62"/>
        <v>59442</v>
      </c>
      <c r="J1315" s="1838">
        <v>0</v>
      </c>
      <c r="K1315" s="1838">
        <v>0</v>
      </c>
      <c r="L1315" s="1838">
        <v>0</v>
      </c>
      <c r="M1315" s="1838">
        <v>0</v>
      </c>
      <c r="N1315" s="1838" t="s">
        <v>4350</v>
      </c>
      <c r="O1315" s="1838" t="s">
        <v>3297</v>
      </c>
      <c r="P1315" s="1838"/>
    </row>
    <row r="1316" spans="2:16" s="1843" customFormat="1">
      <c r="B1316" s="1838">
        <f t="shared" si="63"/>
        <v>1313</v>
      </c>
      <c r="C1316" s="1838" t="s">
        <v>441</v>
      </c>
      <c r="D1316" s="1838" t="s">
        <v>3162</v>
      </c>
      <c r="E1316" s="1838" t="s">
        <v>3805</v>
      </c>
      <c r="F1316" s="1839">
        <v>45351</v>
      </c>
      <c r="G1316" s="1840">
        <v>-3775</v>
      </c>
      <c r="H1316" s="1841">
        <f t="shared" si="61"/>
        <v>31</v>
      </c>
      <c r="I1316" s="1838">
        <f t="shared" si="62"/>
        <v>-3775</v>
      </c>
      <c r="J1316" s="1838">
        <v>0</v>
      </c>
      <c r="K1316" s="1838">
        <v>0</v>
      </c>
      <c r="L1316" s="1838">
        <v>0</v>
      </c>
      <c r="M1316" s="1838">
        <v>0</v>
      </c>
      <c r="N1316" s="1838" t="s">
        <v>4350</v>
      </c>
      <c r="O1316" s="1838" t="s">
        <v>3297</v>
      </c>
      <c r="P1316" s="1838"/>
    </row>
    <row r="1317" spans="2:16" s="1843" customFormat="1">
      <c r="B1317" s="1838">
        <f t="shared" si="63"/>
        <v>1314</v>
      </c>
      <c r="C1317" s="1838" t="s">
        <v>441</v>
      </c>
      <c r="D1317" s="1838" t="s">
        <v>3162</v>
      </c>
      <c r="E1317" s="1838" t="s">
        <v>4429</v>
      </c>
      <c r="F1317" s="1839">
        <v>45352</v>
      </c>
      <c r="G1317" s="1840">
        <v>47080</v>
      </c>
      <c r="H1317" s="1841">
        <f t="shared" si="61"/>
        <v>30</v>
      </c>
      <c r="I1317" s="1838">
        <f t="shared" si="62"/>
        <v>47080</v>
      </c>
      <c r="J1317" s="1838">
        <v>0</v>
      </c>
      <c r="K1317" s="1838">
        <v>0</v>
      </c>
      <c r="L1317" s="1838">
        <v>0</v>
      </c>
      <c r="M1317" s="1838">
        <v>0</v>
      </c>
      <c r="N1317" s="1838" t="s">
        <v>4350</v>
      </c>
      <c r="O1317" s="1838" t="s">
        <v>3297</v>
      </c>
      <c r="P1317" s="1838"/>
    </row>
    <row r="1318" spans="2:16" s="1843" customFormat="1">
      <c r="B1318" s="1838">
        <f t="shared" si="63"/>
        <v>1315</v>
      </c>
      <c r="C1318" s="1838" t="s">
        <v>441</v>
      </c>
      <c r="D1318" s="1838" t="s">
        <v>3162</v>
      </c>
      <c r="E1318" s="1838" t="s">
        <v>4430</v>
      </c>
      <c r="F1318" s="1839">
        <v>45353</v>
      </c>
      <c r="G1318" s="1840">
        <v>58464</v>
      </c>
      <c r="H1318" s="1841">
        <f t="shared" si="61"/>
        <v>29</v>
      </c>
      <c r="I1318" s="1838">
        <f t="shared" si="62"/>
        <v>58464</v>
      </c>
      <c r="J1318" s="1838">
        <v>0</v>
      </c>
      <c r="K1318" s="1838">
        <v>0</v>
      </c>
      <c r="L1318" s="1838">
        <v>0</v>
      </c>
      <c r="M1318" s="1838">
        <v>0</v>
      </c>
      <c r="N1318" s="1838" t="s">
        <v>4350</v>
      </c>
      <c r="O1318" s="1838" t="s">
        <v>3297</v>
      </c>
      <c r="P1318" s="1838"/>
    </row>
    <row r="1319" spans="2:16" s="1843" customFormat="1">
      <c r="B1319" s="1838">
        <f t="shared" si="63"/>
        <v>1316</v>
      </c>
      <c r="C1319" s="1838" t="s">
        <v>441</v>
      </c>
      <c r="D1319" s="1838" t="s">
        <v>3162</v>
      </c>
      <c r="E1319" s="1838" t="s">
        <v>4431</v>
      </c>
      <c r="F1319" s="1839">
        <v>45353</v>
      </c>
      <c r="G1319" s="1840">
        <v>92873</v>
      </c>
      <c r="H1319" s="1841">
        <f t="shared" si="61"/>
        <v>29</v>
      </c>
      <c r="I1319" s="1838">
        <f t="shared" si="62"/>
        <v>92873</v>
      </c>
      <c r="J1319" s="1838">
        <v>0</v>
      </c>
      <c r="K1319" s="1838">
        <v>0</v>
      </c>
      <c r="L1319" s="1838">
        <v>0</v>
      </c>
      <c r="M1319" s="1838">
        <v>0</v>
      </c>
      <c r="N1319" s="1838" t="s">
        <v>4350</v>
      </c>
      <c r="O1319" s="1838" t="s">
        <v>3297</v>
      </c>
      <c r="P1319" s="1838"/>
    </row>
    <row r="1320" spans="2:16" s="1843" customFormat="1">
      <c r="B1320" s="1838">
        <f t="shared" si="63"/>
        <v>1317</v>
      </c>
      <c r="C1320" s="1838" t="s">
        <v>441</v>
      </c>
      <c r="D1320" s="1838" t="s">
        <v>3162</v>
      </c>
      <c r="E1320" s="1838" t="s">
        <v>4432</v>
      </c>
      <c r="F1320" s="1839">
        <v>45354</v>
      </c>
      <c r="G1320" s="1840">
        <v>49177</v>
      </c>
      <c r="H1320" s="1841">
        <f t="shared" si="61"/>
        <v>28</v>
      </c>
      <c r="I1320" s="1838">
        <f t="shared" si="62"/>
        <v>49177</v>
      </c>
      <c r="J1320" s="1838">
        <v>0</v>
      </c>
      <c r="K1320" s="1838">
        <v>0</v>
      </c>
      <c r="L1320" s="1838">
        <v>0</v>
      </c>
      <c r="M1320" s="1838">
        <v>0</v>
      </c>
      <c r="N1320" s="1838" t="s">
        <v>4350</v>
      </c>
      <c r="O1320" s="1838" t="s">
        <v>3297</v>
      </c>
      <c r="P1320" s="1838"/>
    </row>
    <row r="1321" spans="2:16" s="1843" customFormat="1">
      <c r="B1321" s="1838">
        <f t="shared" si="63"/>
        <v>1318</v>
      </c>
      <c r="C1321" s="1838" t="s">
        <v>441</v>
      </c>
      <c r="D1321" s="1838" t="s">
        <v>3162</v>
      </c>
      <c r="E1321" s="1838" t="s">
        <v>4433</v>
      </c>
      <c r="F1321" s="1839">
        <v>45354</v>
      </c>
      <c r="G1321" s="1840">
        <v>49025</v>
      </c>
      <c r="H1321" s="1841">
        <f t="shared" si="61"/>
        <v>28</v>
      </c>
      <c r="I1321" s="1838">
        <f t="shared" si="62"/>
        <v>49025</v>
      </c>
      <c r="J1321" s="1838">
        <v>0</v>
      </c>
      <c r="K1321" s="1838">
        <v>0</v>
      </c>
      <c r="L1321" s="1838">
        <v>0</v>
      </c>
      <c r="M1321" s="1838">
        <v>0</v>
      </c>
      <c r="N1321" s="1838" t="s">
        <v>4350</v>
      </c>
      <c r="O1321" s="1838" t="s">
        <v>3297</v>
      </c>
      <c r="P1321" s="1838"/>
    </row>
    <row r="1322" spans="2:16" s="1843" customFormat="1">
      <c r="B1322" s="1838">
        <f t="shared" si="63"/>
        <v>1319</v>
      </c>
      <c r="C1322" s="1838" t="s">
        <v>441</v>
      </c>
      <c r="D1322" s="1838" t="s">
        <v>3162</v>
      </c>
      <c r="E1322" s="1838" t="s">
        <v>4434</v>
      </c>
      <c r="F1322" s="1839">
        <v>45355</v>
      </c>
      <c r="G1322" s="1840">
        <v>29841</v>
      </c>
      <c r="H1322" s="1841">
        <f t="shared" si="61"/>
        <v>27</v>
      </c>
      <c r="I1322" s="1838">
        <f t="shared" si="62"/>
        <v>29841</v>
      </c>
      <c r="J1322" s="1838">
        <v>0</v>
      </c>
      <c r="K1322" s="1838">
        <v>0</v>
      </c>
      <c r="L1322" s="1838">
        <v>0</v>
      </c>
      <c r="M1322" s="1838">
        <v>0</v>
      </c>
      <c r="N1322" s="1838" t="s">
        <v>4350</v>
      </c>
      <c r="O1322" s="1838" t="s">
        <v>3297</v>
      </c>
      <c r="P1322" s="1838"/>
    </row>
    <row r="1323" spans="2:16" s="1843" customFormat="1">
      <c r="B1323" s="1838">
        <f t="shared" si="63"/>
        <v>1320</v>
      </c>
      <c r="C1323" s="1838" t="s">
        <v>441</v>
      </c>
      <c r="D1323" s="1838" t="s">
        <v>3162</v>
      </c>
      <c r="E1323" s="1838" t="s">
        <v>4435</v>
      </c>
      <c r="F1323" s="1839">
        <v>45355</v>
      </c>
      <c r="G1323" s="1840">
        <v>74146</v>
      </c>
      <c r="H1323" s="1841">
        <f t="shared" si="61"/>
        <v>27</v>
      </c>
      <c r="I1323" s="1838">
        <f t="shared" si="62"/>
        <v>74146</v>
      </c>
      <c r="J1323" s="1838">
        <v>0</v>
      </c>
      <c r="K1323" s="1838">
        <v>0</v>
      </c>
      <c r="L1323" s="1838">
        <v>0</v>
      </c>
      <c r="M1323" s="1838">
        <v>0</v>
      </c>
      <c r="N1323" s="1838" t="s">
        <v>4350</v>
      </c>
      <c r="O1323" s="1838" t="s">
        <v>3297</v>
      </c>
      <c r="P1323" s="1838"/>
    </row>
    <row r="1324" spans="2:16" s="1843" customFormat="1">
      <c r="B1324" s="1838">
        <f t="shared" si="63"/>
        <v>1321</v>
      </c>
      <c r="C1324" s="1838" t="s">
        <v>441</v>
      </c>
      <c r="D1324" s="1838" t="s">
        <v>3162</v>
      </c>
      <c r="E1324" s="1838" t="s">
        <v>4436</v>
      </c>
      <c r="F1324" s="1839">
        <v>45355</v>
      </c>
      <c r="G1324" s="1840">
        <v>93177</v>
      </c>
      <c r="H1324" s="1841">
        <f t="shared" si="61"/>
        <v>27</v>
      </c>
      <c r="I1324" s="1838">
        <f t="shared" si="62"/>
        <v>93177</v>
      </c>
      <c r="J1324" s="1838">
        <v>0</v>
      </c>
      <c r="K1324" s="1838">
        <v>0</v>
      </c>
      <c r="L1324" s="1838">
        <v>0</v>
      </c>
      <c r="M1324" s="1838">
        <v>0</v>
      </c>
      <c r="N1324" s="1838" t="s">
        <v>4350</v>
      </c>
      <c r="O1324" s="1838" t="s">
        <v>3297</v>
      </c>
      <c r="P1324" s="1838"/>
    </row>
    <row r="1325" spans="2:16" s="1843" customFormat="1">
      <c r="B1325" s="1838">
        <f t="shared" si="63"/>
        <v>1322</v>
      </c>
      <c r="C1325" s="1838" t="s">
        <v>441</v>
      </c>
      <c r="D1325" s="1838" t="s">
        <v>3162</v>
      </c>
      <c r="E1325" s="1838" t="s">
        <v>4437</v>
      </c>
      <c r="F1325" s="1839">
        <v>45356</v>
      </c>
      <c r="G1325" s="1840">
        <v>57703</v>
      </c>
      <c r="H1325" s="1841">
        <f t="shared" si="61"/>
        <v>26</v>
      </c>
      <c r="I1325" s="1838">
        <f t="shared" si="62"/>
        <v>57703</v>
      </c>
      <c r="J1325" s="1838">
        <v>0</v>
      </c>
      <c r="K1325" s="1838">
        <v>0</v>
      </c>
      <c r="L1325" s="1838">
        <v>0</v>
      </c>
      <c r="M1325" s="1838">
        <v>0</v>
      </c>
      <c r="N1325" s="1838" t="s">
        <v>4350</v>
      </c>
      <c r="O1325" s="1838" t="s">
        <v>3297</v>
      </c>
      <c r="P1325" s="1838"/>
    </row>
    <row r="1326" spans="2:16" s="1843" customFormat="1">
      <c r="B1326" s="1838">
        <f t="shared" si="63"/>
        <v>1323</v>
      </c>
      <c r="C1326" s="1838" t="s">
        <v>441</v>
      </c>
      <c r="D1326" s="1838" t="s">
        <v>3162</v>
      </c>
      <c r="E1326" s="1838" t="s">
        <v>4438</v>
      </c>
      <c r="F1326" s="1839">
        <v>45356</v>
      </c>
      <c r="G1326" s="1840">
        <v>50033</v>
      </c>
      <c r="H1326" s="1841">
        <f t="shared" si="61"/>
        <v>26</v>
      </c>
      <c r="I1326" s="1838">
        <f t="shared" si="62"/>
        <v>50033</v>
      </c>
      <c r="J1326" s="1838">
        <v>0</v>
      </c>
      <c r="K1326" s="1838">
        <v>0</v>
      </c>
      <c r="L1326" s="1838">
        <v>0</v>
      </c>
      <c r="M1326" s="1838">
        <v>0</v>
      </c>
      <c r="N1326" s="1838" t="s">
        <v>4350</v>
      </c>
      <c r="O1326" s="1838" t="s">
        <v>3297</v>
      </c>
      <c r="P1326" s="1838"/>
    </row>
    <row r="1327" spans="2:16" s="1843" customFormat="1">
      <c r="B1327" s="1838">
        <f t="shared" si="63"/>
        <v>1324</v>
      </c>
      <c r="C1327" s="1838" t="s">
        <v>441</v>
      </c>
      <c r="D1327" s="1838" t="s">
        <v>3162</v>
      </c>
      <c r="E1327" s="1838" t="s">
        <v>4439</v>
      </c>
      <c r="F1327" s="1839">
        <v>45357</v>
      </c>
      <c r="G1327" s="1840">
        <v>72471</v>
      </c>
      <c r="H1327" s="1841">
        <f t="shared" si="61"/>
        <v>25</v>
      </c>
      <c r="I1327" s="1838">
        <f t="shared" si="62"/>
        <v>72471</v>
      </c>
      <c r="J1327" s="1838">
        <v>0</v>
      </c>
      <c r="K1327" s="1838">
        <v>0</v>
      </c>
      <c r="L1327" s="1838">
        <v>0</v>
      </c>
      <c r="M1327" s="1838">
        <v>0</v>
      </c>
      <c r="N1327" s="1838" t="s">
        <v>4350</v>
      </c>
      <c r="O1327" s="1838" t="s">
        <v>3297</v>
      </c>
      <c r="P1327" s="1838"/>
    </row>
    <row r="1328" spans="2:16" s="1843" customFormat="1">
      <c r="B1328" s="1838">
        <f t="shared" si="63"/>
        <v>1325</v>
      </c>
      <c r="C1328" s="1838" t="s">
        <v>441</v>
      </c>
      <c r="D1328" s="1838" t="s">
        <v>3162</v>
      </c>
      <c r="E1328" s="1838" t="s">
        <v>4440</v>
      </c>
      <c r="F1328" s="1839">
        <v>45357</v>
      </c>
      <c r="G1328" s="1840">
        <v>16824</v>
      </c>
      <c r="H1328" s="1841">
        <f t="shared" si="61"/>
        <v>25</v>
      </c>
      <c r="I1328" s="1838">
        <f t="shared" si="62"/>
        <v>16824</v>
      </c>
      <c r="J1328" s="1838">
        <v>0</v>
      </c>
      <c r="K1328" s="1838">
        <v>0</v>
      </c>
      <c r="L1328" s="1838">
        <v>0</v>
      </c>
      <c r="M1328" s="1838">
        <v>0</v>
      </c>
      <c r="N1328" s="1838" t="s">
        <v>4350</v>
      </c>
      <c r="O1328" s="1838" t="s">
        <v>3297</v>
      </c>
      <c r="P1328" s="1838"/>
    </row>
    <row r="1329" spans="2:16" s="1843" customFormat="1">
      <c r="B1329" s="1838">
        <f t="shared" si="63"/>
        <v>1326</v>
      </c>
      <c r="C1329" s="1838" t="s">
        <v>441</v>
      </c>
      <c r="D1329" s="1838" t="s">
        <v>3162</v>
      </c>
      <c r="E1329" s="1838" t="s">
        <v>4441</v>
      </c>
      <c r="F1329" s="1839">
        <v>45357</v>
      </c>
      <c r="G1329" s="1840">
        <v>29384</v>
      </c>
      <c r="H1329" s="1841">
        <f t="shared" si="61"/>
        <v>25</v>
      </c>
      <c r="I1329" s="1838">
        <f t="shared" si="62"/>
        <v>29384</v>
      </c>
      <c r="J1329" s="1838">
        <v>0</v>
      </c>
      <c r="K1329" s="1838">
        <v>0</v>
      </c>
      <c r="L1329" s="1838">
        <v>0</v>
      </c>
      <c r="M1329" s="1838">
        <v>0</v>
      </c>
      <c r="N1329" s="1838" t="s">
        <v>4350</v>
      </c>
      <c r="O1329" s="1838" t="s">
        <v>3297</v>
      </c>
      <c r="P1329" s="1838"/>
    </row>
    <row r="1330" spans="2:16" s="1843" customFormat="1">
      <c r="B1330" s="1838">
        <f t="shared" si="63"/>
        <v>1327</v>
      </c>
      <c r="C1330" s="1838" t="s">
        <v>441</v>
      </c>
      <c r="D1330" s="1838" t="s">
        <v>3162</v>
      </c>
      <c r="E1330" s="1838" t="s">
        <v>4442</v>
      </c>
      <c r="F1330" s="1839">
        <v>45357</v>
      </c>
      <c r="G1330" s="1840">
        <v>26415</v>
      </c>
      <c r="H1330" s="1841">
        <f t="shared" si="61"/>
        <v>25</v>
      </c>
      <c r="I1330" s="1838">
        <f t="shared" si="62"/>
        <v>26415</v>
      </c>
      <c r="J1330" s="1838">
        <v>0</v>
      </c>
      <c r="K1330" s="1838">
        <v>0</v>
      </c>
      <c r="L1330" s="1838">
        <v>0</v>
      </c>
      <c r="M1330" s="1838">
        <v>0</v>
      </c>
      <c r="N1330" s="1838" t="s">
        <v>4350</v>
      </c>
      <c r="O1330" s="1838" t="s">
        <v>3297</v>
      </c>
      <c r="P1330" s="1838"/>
    </row>
    <row r="1331" spans="2:16" s="1843" customFormat="1">
      <c r="B1331" s="1838">
        <f t="shared" si="63"/>
        <v>1328</v>
      </c>
      <c r="C1331" s="1838" t="s">
        <v>441</v>
      </c>
      <c r="D1331" s="1838" t="s">
        <v>3162</v>
      </c>
      <c r="E1331" s="1838" t="s">
        <v>4443</v>
      </c>
      <c r="F1331" s="1839">
        <v>45358</v>
      </c>
      <c r="G1331" s="1840">
        <v>52679</v>
      </c>
      <c r="H1331" s="1841">
        <f t="shared" si="61"/>
        <v>24</v>
      </c>
      <c r="I1331" s="1838">
        <f t="shared" si="62"/>
        <v>52679</v>
      </c>
      <c r="J1331" s="1838">
        <v>0</v>
      </c>
      <c r="K1331" s="1838">
        <v>0</v>
      </c>
      <c r="L1331" s="1838">
        <v>0</v>
      </c>
      <c r="M1331" s="1838">
        <v>0</v>
      </c>
      <c r="N1331" s="1838" t="s">
        <v>4350</v>
      </c>
      <c r="O1331" s="1838" t="s">
        <v>3297</v>
      </c>
      <c r="P1331" s="1838"/>
    </row>
    <row r="1332" spans="2:16" s="1843" customFormat="1">
      <c r="B1332" s="1838">
        <f t="shared" si="63"/>
        <v>1329</v>
      </c>
      <c r="C1332" s="1838" t="s">
        <v>441</v>
      </c>
      <c r="D1332" s="1838" t="s">
        <v>3162</v>
      </c>
      <c r="E1332" s="1838" t="s">
        <v>4444</v>
      </c>
      <c r="F1332" s="1839">
        <v>45359</v>
      </c>
      <c r="G1332" s="1840">
        <v>43848</v>
      </c>
      <c r="H1332" s="1841">
        <f t="shared" si="61"/>
        <v>23</v>
      </c>
      <c r="I1332" s="1838">
        <f t="shared" si="62"/>
        <v>43848</v>
      </c>
      <c r="J1332" s="1838">
        <v>0</v>
      </c>
      <c r="K1332" s="1838">
        <v>0</v>
      </c>
      <c r="L1332" s="1838">
        <v>0</v>
      </c>
      <c r="M1332" s="1838">
        <v>0</v>
      </c>
      <c r="N1332" s="1838" t="s">
        <v>4350</v>
      </c>
      <c r="O1332" s="1838" t="s">
        <v>3297</v>
      </c>
      <c r="P1332" s="1838"/>
    </row>
    <row r="1333" spans="2:16" s="1843" customFormat="1">
      <c r="B1333" s="1838">
        <f t="shared" si="63"/>
        <v>1330</v>
      </c>
      <c r="C1333" s="1838" t="s">
        <v>441</v>
      </c>
      <c r="D1333" s="1838" t="s">
        <v>3162</v>
      </c>
      <c r="E1333" s="1838" t="s">
        <v>4445</v>
      </c>
      <c r="F1333" s="1839">
        <v>45359</v>
      </c>
      <c r="G1333" s="1840">
        <v>59987</v>
      </c>
      <c r="H1333" s="1841">
        <f t="shared" si="61"/>
        <v>23</v>
      </c>
      <c r="I1333" s="1838">
        <f t="shared" si="62"/>
        <v>59987</v>
      </c>
      <c r="J1333" s="1838">
        <v>0</v>
      </c>
      <c r="K1333" s="1838">
        <v>0</v>
      </c>
      <c r="L1333" s="1838">
        <v>0</v>
      </c>
      <c r="M1333" s="1838">
        <v>0</v>
      </c>
      <c r="N1333" s="1838" t="s">
        <v>4350</v>
      </c>
      <c r="O1333" s="1838" t="s">
        <v>3297</v>
      </c>
      <c r="P1333" s="1838"/>
    </row>
    <row r="1334" spans="2:16" s="1843" customFormat="1">
      <c r="B1334" s="1838">
        <f t="shared" si="63"/>
        <v>1331</v>
      </c>
      <c r="C1334" s="1838" t="s">
        <v>441</v>
      </c>
      <c r="D1334" s="1838" t="s">
        <v>3162</v>
      </c>
      <c r="E1334" s="1838" t="s">
        <v>4446</v>
      </c>
      <c r="F1334" s="1839">
        <v>45360</v>
      </c>
      <c r="G1334" s="1840">
        <v>63641</v>
      </c>
      <c r="H1334" s="1841">
        <f t="shared" si="61"/>
        <v>22</v>
      </c>
      <c r="I1334" s="1838">
        <f t="shared" si="62"/>
        <v>63641</v>
      </c>
      <c r="J1334" s="1838">
        <v>0</v>
      </c>
      <c r="K1334" s="1838">
        <v>0</v>
      </c>
      <c r="L1334" s="1838">
        <v>0</v>
      </c>
      <c r="M1334" s="1838">
        <v>0</v>
      </c>
      <c r="N1334" s="1838" t="s">
        <v>4350</v>
      </c>
      <c r="O1334" s="1838" t="s">
        <v>3297</v>
      </c>
      <c r="P1334" s="1838"/>
    </row>
    <row r="1335" spans="2:16" s="1843" customFormat="1">
      <c r="B1335" s="1838">
        <f t="shared" si="63"/>
        <v>1332</v>
      </c>
      <c r="C1335" s="1838" t="s">
        <v>441</v>
      </c>
      <c r="D1335" s="1838" t="s">
        <v>3162</v>
      </c>
      <c r="E1335" s="1838" t="s">
        <v>4447</v>
      </c>
      <c r="F1335" s="1839">
        <v>45360</v>
      </c>
      <c r="G1335" s="1840">
        <v>28928</v>
      </c>
      <c r="H1335" s="1841">
        <f t="shared" si="61"/>
        <v>22</v>
      </c>
      <c r="I1335" s="1838">
        <f t="shared" si="62"/>
        <v>28928</v>
      </c>
      <c r="J1335" s="1838">
        <v>0</v>
      </c>
      <c r="K1335" s="1838">
        <v>0</v>
      </c>
      <c r="L1335" s="1838">
        <v>0</v>
      </c>
      <c r="M1335" s="1838">
        <v>0</v>
      </c>
      <c r="N1335" s="1838" t="s">
        <v>4350</v>
      </c>
      <c r="O1335" s="1838" t="s">
        <v>3297</v>
      </c>
      <c r="P1335" s="1838"/>
    </row>
    <row r="1336" spans="2:16" s="1843" customFormat="1">
      <c r="B1336" s="1838">
        <f t="shared" si="63"/>
        <v>1333</v>
      </c>
      <c r="C1336" s="1838" t="s">
        <v>441</v>
      </c>
      <c r="D1336" s="1838" t="s">
        <v>3162</v>
      </c>
      <c r="E1336" s="1838" t="s">
        <v>4448</v>
      </c>
      <c r="F1336" s="1839">
        <v>45361</v>
      </c>
      <c r="G1336" s="1840">
        <v>25426</v>
      </c>
      <c r="H1336" s="1841">
        <f t="shared" si="61"/>
        <v>21</v>
      </c>
      <c r="I1336" s="1838">
        <f t="shared" si="62"/>
        <v>25426</v>
      </c>
      <c r="J1336" s="1838">
        <v>0</v>
      </c>
      <c r="K1336" s="1838">
        <v>0</v>
      </c>
      <c r="L1336" s="1838">
        <v>0</v>
      </c>
      <c r="M1336" s="1838">
        <v>0</v>
      </c>
      <c r="N1336" s="1838" t="s">
        <v>4350</v>
      </c>
      <c r="O1336" s="1838" t="s">
        <v>3297</v>
      </c>
      <c r="P1336" s="1838"/>
    </row>
    <row r="1337" spans="2:16" s="1843" customFormat="1">
      <c r="B1337" s="1838">
        <f t="shared" si="63"/>
        <v>1334</v>
      </c>
      <c r="C1337" s="1838" t="s">
        <v>441</v>
      </c>
      <c r="D1337" s="1838" t="s">
        <v>3162</v>
      </c>
      <c r="E1337" s="1838" t="s">
        <v>4449</v>
      </c>
      <c r="F1337" s="1839">
        <v>45361</v>
      </c>
      <c r="G1337" s="1840">
        <v>71405</v>
      </c>
      <c r="H1337" s="1841">
        <f t="shared" si="61"/>
        <v>21</v>
      </c>
      <c r="I1337" s="1838">
        <f t="shared" si="62"/>
        <v>71405</v>
      </c>
      <c r="J1337" s="1838">
        <v>0</v>
      </c>
      <c r="K1337" s="1838">
        <v>0</v>
      </c>
      <c r="L1337" s="1838">
        <v>0</v>
      </c>
      <c r="M1337" s="1838">
        <v>0</v>
      </c>
      <c r="N1337" s="1838" t="s">
        <v>4350</v>
      </c>
      <c r="O1337" s="1838" t="s">
        <v>3297</v>
      </c>
      <c r="P1337" s="1838"/>
    </row>
    <row r="1338" spans="2:16" s="1843" customFormat="1">
      <c r="B1338" s="1838">
        <f t="shared" si="63"/>
        <v>1335</v>
      </c>
      <c r="C1338" s="1838" t="s">
        <v>441</v>
      </c>
      <c r="D1338" s="1838" t="s">
        <v>3162</v>
      </c>
      <c r="E1338" s="1838" t="s">
        <v>4450</v>
      </c>
      <c r="F1338" s="1839">
        <v>45361</v>
      </c>
      <c r="G1338" s="1840">
        <v>19793</v>
      </c>
      <c r="H1338" s="1841">
        <f t="shared" si="61"/>
        <v>21</v>
      </c>
      <c r="I1338" s="1838">
        <f t="shared" si="62"/>
        <v>19793</v>
      </c>
      <c r="J1338" s="1838">
        <v>0</v>
      </c>
      <c r="K1338" s="1838">
        <v>0</v>
      </c>
      <c r="L1338" s="1838">
        <v>0</v>
      </c>
      <c r="M1338" s="1838">
        <v>0</v>
      </c>
      <c r="N1338" s="1838" t="s">
        <v>4350</v>
      </c>
      <c r="O1338" s="1838" t="s">
        <v>3297</v>
      </c>
      <c r="P1338" s="1838"/>
    </row>
    <row r="1339" spans="2:16" s="1843" customFormat="1">
      <c r="B1339" s="1838">
        <f t="shared" si="63"/>
        <v>1336</v>
      </c>
      <c r="C1339" s="1838" t="s">
        <v>441</v>
      </c>
      <c r="D1339" s="1838" t="s">
        <v>3162</v>
      </c>
      <c r="E1339" s="1838" t="s">
        <v>4451</v>
      </c>
      <c r="F1339" s="1839">
        <v>45362</v>
      </c>
      <c r="G1339" s="1840">
        <v>60063</v>
      </c>
      <c r="H1339" s="1841">
        <f t="shared" si="61"/>
        <v>20</v>
      </c>
      <c r="I1339" s="1838">
        <f t="shared" si="62"/>
        <v>60063</v>
      </c>
      <c r="J1339" s="1838">
        <v>0</v>
      </c>
      <c r="K1339" s="1838">
        <v>0</v>
      </c>
      <c r="L1339" s="1838">
        <v>0</v>
      </c>
      <c r="M1339" s="1838">
        <v>0</v>
      </c>
      <c r="N1339" s="1838" t="s">
        <v>4350</v>
      </c>
      <c r="O1339" s="1838" t="s">
        <v>3297</v>
      </c>
      <c r="P1339" s="1838"/>
    </row>
    <row r="1340" spans="2:16" s="1843" customFormat="1">
      <c r="B1340" s="1838">
        <f t="shared" si="63"/>
        <v>1337</v>
      </c>
      <c r="C1340" s="1838" t="s">
        <v>441</v>
      </c>
      <c r="D1340" s="1838" t="s">
        <v>3162</v>
      </c>
      <c r="E1340" s="1838" t="s">
        <v>4452</v>
      </c>
      <c r="F1340" s="1839">
        <v>45362</v>
      </c>
      <c r="G1340" s="1840">
        <v>65772</v>
      </c>
      <c r="H1340" s="1841">
        <f t="shared" si="61"/>
        <v>20</v>
      </c>
      <c r="I1340" s="1838">
        <f t="shared" si="62"/>
        <v>65772</v>
      </c>
      <c r="J1340" s="1838">
        <v>0</v>
      </c>
      <c r="K1340" s="1838">
        <v>0</v>
      </c>
      <c r="L1340" s="1838">
        <v>0</v>
      </c>
      <c r="M1340" s="1838">
        <v>0</v>
      </c>
      <c r="N1340" s="1838" t="s">
        <v>4350</v>
      </c>
      <c r="O1340" s="1838" t="s">
        <v>3297</v>
      </c>
      <c r="P1340" s="1838"/>
    </row>
    <row r="1341" spans="2:16" s="1843" customFormat="1">
      <c r="B1341" s="1838">
        <f t="shared" si="63"/>
        <v>1338</v>
      </c>
      <c r="C1341" s="1838" t="s">
        <v>441</v>
      </c>
      <c r="D1341" s="1838" t="s">
        <v>3162</v>
      </c>
      <c r="E1341" s="1838" t="s">
        <v>4453</v>
      </c>
      <c r="F1341" s="1839">
        <v>45363</v>
      </c>
      <c r="G1341" s="1840">
        <v>24720</v>
      </c>
      <c r="H1341" s="1841">
        <f t="shared" si="61"/>
        <v>19</v>
      </c>
      <c r="I1341" s="1838">
        <f t="shared" si="62"/>
        <v>24720</v>
      </c>
      <c r="J1341" s="1838">
        <v>0</v>
      </c>
      <c r="K1341" s="1838">
        <v>0</v>
      </c>
      <c r="L1341" s="1838">
        <v>0</v>
      </c>
      <c r="M1341" s="1838">
        <v>0</v>
      </c>
      <c r="N1341" s="1838" t="s">
        <v>4350</v>
      </c>
      <c r="O1341" s="1838" t="s">
        <v>3297</v>
      </c>
      <c r="P1341" s="1838"/>
    </row>
    <row r="1342" spans="2:16" s="1843" customFormat="1">
      <c r="B1342" s="1838">
        <f t="shared" si="63"/>
        <v>1339</v>
      </c>
      <c r="C1342" s="1838" t="s">
        <v>441</v>
      </c>
      <c r="D1342" s="1838" t="s">
        <v>3162</v>
      </c>
      <c r="E1342" s="1838" t="s">
        <v>4454</v>
      </c>
      <c r="F1342" s="1839">
        <v>45363</v>
      </c>
      <c r="G1342" s="1840">
        <v>32307</v>
      </c>
      <c r="H1342" s="1841">
        <f t="shared" si="61"/>
        <v>19</v>
      </c>
      <c r="I1342" s="1838">
        <f t="shared" si="62"/>
        <v>32307</v>
      </c>
      <c r="J1342" s="1838">
        <v>0</v>
      </c>
      <c r="K1342" s="1838">
        <v>0</v>
      </c>
      <c r="L1342" s="1838">
        <v>0</v>
      </c>
      <c r="M1342" s="1838">
        <v>0</v>
      </c>
      <c r="N1342" s="1838" t="s">
        <v>4350</v>
      </c>
      <c r="O1342" s="1838" t="s">
        <v>3297</v>
      </c>
      <c r="P1342" s="1838"/>
    </row>
    <row r="1343" spans="2:16" s="1843" customFormat="1">
      <c r="B1343" s="1838">
        <f t="shared" si="63"/>
        <v>1340</v>
      </c>
      <c r="C1343" s="1838" t="s">
        <v>441</v>
      </c>
      <c r="D1343" s="1838" t="s">
        <v>3162</v>
      </c>
      <c r="E1343" s="1838" t="s">
        <v>4455</v>
      </c>
      <c r="F1343" s="1839">
        <v>45363</v>
      </c>
      <c r="G1343" s="1840">
        <v>62424</v>
      </c>
      <c r="H1343" s="1841">
        <f t="shared" si="61"/>
        <v>19</v>
      </c>
      <c r="I1343" s="1838">
        <f t="shared" si="62"/>
        <v>62424</v>
      </c>
      <c r="J1343" s="1838">
        <v>0</v>
      </c>
      <c r="K1343" s="1838">
        <v>0</v>
      </c>
      <c r="L1343" s="1838">
        <v>0</v>
      </c>
      <c r="M1343" s="1838">
        <v>0</v>
      </c>
      <c r="N1343" s="1838" t="s">
        <v>4350</v>
      </c>
      <c r="O1343" s="1838" t="s">
        <v>3297</v>
      </c>
      <c r="P1343" s="1838"/>
    </row>
    <row r="1344" spans="2:16" s="1843" customFormat="1">
      <c r="B1344" s="1838">
        <f t="shared" si="63"/>
        <v>1341</v>
      </c>
      <c r="C1344" s="1838" t="s">
        <v>441</v>
      </c>
      <c r="D1344" s="1838" t="s">
        <v>3162</v>
      </c>
      <c r="E1344" s="1838" t="s">
        <v>4456</v>
      </c>
      <c r="F1344" s="1839">
        <v>45364</v>
      </c>
      <c r="G1344" s="1840">
        <v>56322</v>
      </c>
      <c r="H1344" s="1841">
        <f t="shared" si="61"/>
        <v>18</v>
      </c>
      <c r="I1344" s="1838">
        <f t="shared" si="62"/>
        <v>56322</v>
      </c>
      <c r="J1344" s="1838">
        <v>0</v>
      </c>
      <c r="K1344" s="1838">
        <v>0</v>
      </c>
      <c r="L1344" s="1838">
        <v>0</v>
      </c>
      <c r="M1344" s="1838">
        <v>0</v>
      </c>
      <c r="N1344" s="1838" t="s">
        <v>4350</v>
      </c>
      <c r="O1344" s="1838" t="s">
        <v>3297</v>
      </c>
      <c r="P1344" s="1838"/>
    </row>
    <row r="1345" spans="2:16" s="1843" customFormat="1">
      <c r="B1345" s="1838">
        <f t="shared" si="63"/>
        <v>1342</v>
      </c>
      <c r="C1345" s="1838" t="s">
        <v>441</v>
      </c>
      <c r="D1345" s="1838" t="s">
        <v>3162</v>
      </c>
      <c r="E1345" s="1838" t="s">
        <v>4457</v>
      </c>
      <c r="F1345" s="1839">
        <v>45364</v>
      </c>
      <c r="G1345" s="1840">
        <v>55853</v>
      </c>
      <c r="H1345" s="1841">
        <f t="shared" si="61"/>
        <v>18</v>
      </c>
      <c r="I1345" s="1838">
        <f t="shared" si="62"/>
        <v>55853</v>
      </c>
      <c r="J1345" s="1838">
        <v>0</v>
      </c>
      <c r="K1345" s="1838">
        <v>0</v>
      </c>
      <c r="L1345" s="1838">
        <v>0</v>
      </c>
      <c r="M1345" s="1838">
        <v>0</v>
      </c>
      <c r="N1345" s="1838" t="s">
        <v>4350</v>
      </c>
      <c r="O1345" s="1838" t="s">
        <v>3297</v>
      </c>
      <c r="P1345" s="1838"/>
    </row>
    <row r="1346" spans="2:16" s="1843" customFormat="1">
      <c r="B1346" s="1838">
        <f t="shared" si="63"/>
        <v>1343</v>
      </c>
      <c r="C1346" s="1838" t="s">
        <v>441</v>
      </c>
      <c r="D1346" s="1838" t="s">
        <v>3162</v>
      </c>
      <c r="E1346" s="1838" t="s">
        <v>4458</v>
      </c>
      <c r="F1346" s="1839">
        <v>45365</v>
      </c>
      <c r="G1346" s="1840">
        <v>100128</v>
      </c>
      <c r="H1346" s="1841">
        <f t="shared" si="61"/>
        <v>17</v>
      </c>
      <c r="I1346" s="1838">
        <f t="shared" si="62"/>
        <v>100128</v>
      </c>
      <c r="J1346" s="1838">
        <v>0</v>
      </c>
      <c r="K1346" s="1838">
        <v>0</v>
      </c>
      <c r="L1346" s="1838">
        <v>0</v>
      </c>
      <c r="M1346" s="1838">
        <v>0</v>
      </c>
      <c r="N1346" s="1838" t="s">
        <v>4350</v>
      </c>
      <c r="O1346" s="1838" t="s">
        <v>3297</v>
      </c>
      <c r="P1346" s="1838"/>
    </row>
    <row r="1347" spans="2:16" s="1843" customFormat="1">
      <c r="B1347" s="1838">
        <f t="shared" si="63"/>
        <v>1344</v>
      </c>
      <c r="C1347" s="1838" t="s">
        <v>441</v>
      </c>
      <c r="D1347" s="1838" t="s">
        <v>3162</v>
      </c>
      <c r="E1347" s="1838" t="s">
        <v>4459</v>
      </c>
      <c r="F1347" s="1839">
        <v>45365</v>
      </c>
      <c r="G1347" s="1840">
        <v>47874</v>
      </c>
      <c r="H1347" s="1841">
        <f t="shared" si="61"/>
        <v>17</v>
      </c>
      <c r="I1347" s="1838">
        <f t="shared" si="62"/>
        <v>47874</v>
      </c>
      <c r="J1347" s="1838">
        <v>0</v>
      </c>
      <c r="K1347" s="1838">
        <v>0</v>
      </c>
      <c r="L1347" s="1838">
        <v>0</v>
      </c>
      <c r="M1347" s="1838">
        <v>0</v>
      </c>
      <c r="N1347" s="1838" t="s">
        <v>4350</v>
      </c>
      <c r="O1347" s="1838" t="s">
        <v>3297</v>
      </c>
      <c r="P1347" s="1838"/>
    </row>
    <row r="1348" spans="2:16" s="1843" customFormat="1">
      <c r="B1348" s="1838">
        <f t="shared" si="63"/>
        <v>1345</v>
      </c>
      <c r="C1348" s="1838" t="s">
        <v>441</v>
      </c>
      <c r="D1348" s="1838" t="s">
        <v>3162</v>
      </c>
      <c r="E1348" s="1838" t="s">
        <v>4460</v>
      </c>
      <c r="F1348" s="1839">
        <v>45366</v>
      </c>
      <c r="G1348" s="1840">
        <v>20026</v>
      </c>
      <c r="H1348" s="1841">
        <f t="shared" si="61"/>
        <v>16</v>
      </c>
      <c r="I1348" s="1838">
        <f t="shared" si="62"/>
        <v>20026</v>
      </c>
      <c r="J1348" s="1838">
        <v>0</v>
      </c>
      <c r="K1348" s="1838">
        <v>0</v>
      </c>
      <c r="L1348" s="1838">
        <v>0</v>
      </c>
      <c r="M1348" s="1838">
        <v>0</v>
      </c>
      <c r="N1348" s="1838" t="s">
        <v>4350</v>
      </c>
      <c r="O1348" s="1838" t="s">
        <v>3297</v>
      </c>
      <c r="P1348" s="1838"/>
    </row>
    <row r="1349" spans="2:16" s="1843" customFormat="1">
      <c r="B1349" s="1838">
        <f t="shared" si="63"/>
        <v>1346</v>
      </c>
      <c r="C1349" s="1838" t="s">
        <v>441</v>
      </c>
      <c r="D1349" s="1838" t="s">
        <v>3162</v>
      </c>
      <c r="E1349" s="1838" t="s">
        <v>4461</v>
      </c>
      <c r="F1349" s="1839">
        <v>45366</v>
      </c>
      <c r="G1349" s="1840">
        <v>65865</v>
      </c>
      <c r="H1349" s="1841">
        <f t="shared" ref="H1349:H1412" si="64">+$H$2-F1349</f>
        <v>16</v>
      </c>
      <c r="I1349" s="1838">
        <f t="shared" ref="I1349:I1404" si="65">+G1349</f>
        <v>65865</v>
      </c>
      <c r="J1349" s="1838">
        <v>0</v>
      </c>
      <c r="K1349" s="1838">
        <v>0</v>
      </c>
      <c r="L1349" s="1838">
        <v>0</v>
      </c>
      <c r="M1349" s="1838">
        <v>0</v>
      </c>
      <c r="N1349" s="1838" t="s">
        <v>4350</v>
      </c>
      <c r="O1349" s="1838" t="s">
        <v>3297</v>
      </c>
      <c r="P1349" s="1838"/>
    </row>
    <row r="1350" spans="2:16" s="1843" customFormat="1">
      <c r="B1350" s="1838">
        <f t="shared" ref="B1350:B1413" si="66">+B1349+1</f>
        <v>1347</v>
      </c>
      <c r="C1350" s="1838" t="s">
        <v>441</v>
      </c>
      <c r="D1350" s="1838" t="s">
        <v>3162</v>
      </c>
      <c r="E1350" s="1838" t="s">
        <v>4462</v>
      </c>
      <c r="F1350" s="1839">
        <v>45366</v>
      </c>
      <c r="G1350" s="1840">
        <v>29569</v>
      </c>
      <c r="H1350" s="1841">
        <f t="shared" si="64"/>
        <v>16</v>
      </c>
      <c r="I1350" s="1838">
        <f t="shared" si="65"/>
        <v>29569</v>
      </c>
      <c r="J1350" s="1838">
        <v>0</v>
      </c>
      <c r="K1350" s="1838">
        <v>0</v>
      </c>
      <c r="L1350" s="1838">
        <v>0</v>
      </c>
      <c r="M1350" s="1838">
        <v>0</v>
      </c>
      <c r="N1350" s="1838" t="s">
        <v>4350</v>
      </c>
      <c r="O1350" s="1838" t="s">
        <v>3297</v>
      </c>
      <c r="P1350" s="1838"/>
    </row>
    <row r="1351" spans="2:16" s="1843" customFormat="1">
      <c r="B1351" s="1838">
        <f t="shared" si="66"/>
        <v>1348</v>
      </c>
      <c r="C1351" s="1838" t="s">
        <v>441</v>
      </c>
      <c r="D1351" s="1838" t="s">
        <v>3162</v>
      </c>
      <c r="E1351" s="1838" t="s">
        <v>4463</v>
      </c>
      <c r="F1351" s="1839">
        <v>45366</v>
      </c>
      <c r="G1351" s="1840">
        <v>48055</v>
      </c>
      <c r="H1351" s="1841">
        <f t="shared" si="64"/>
        <v>16</v>
      </c>
      <c r="I1351" s="1838">
        <f t="shared" si="65"/>
        <v>48055</v>
      </c>
      <c r="J1351" s="1838">
        <v>0</v>
      </c>
      <c r="K1351" s="1838">
        <v>0</v>
      </c>
      <c r="L1351" s="1838">
        <v>0</v>
      </c>
      <c r="M1351" s="1838">
        <v>0</v>
      </c>
      <c r="N1351" s="1838" t="s">
        <v>4350</v>
      </c>
      <c r="O1351" s="1838" t="s">
        <v>3297</v>
      </c>
      <c r="P1351" s="1838"/>
    </row>
    <row r="1352" spans="2:16" s="1843" customFormat="1">
      <c r="B1352" s="1838">
        <f t="shared" si="66"/>
        <v>1349</v>
      </c>
      <c r="C1352" s="1838" t="s">
        <v>441</v>
      </c>
      <c r="D1352" s="1838" t="s">
        <v>3162</v>
      </c>
      <c r="E1352" s="1838" t="s">
        <v>4464</v>
      </c>
      <c r="F1352" s="1839">
        <v>45367</v>
      </c>
      <c r="G1352" s="1840">
        <v>127685</v>
      </c>
      <c r="H1352" s="1841">
        <f t="shared" si="64"/>
        <v>15</v>
      </c>
      <c r="I1352" s="1838">
        <f t="shared" si="65"/>
        <v>127685</v>
      </c>
      <c r="J1352" s="1838">
        <v>0</v>
      </c>
      <c r="K1352" s="1838">
        <v>0</v>
      </c>
      <c r="L1352" s="1838">
        <v>0</v>
      </c>
      <c r="M1352" s="1838">
        <v>0</v>
      </c>
      <c r="N1352" s="1838" t="s">
        <v>4350</v>
      </c>
      <c r="O1352" s="1838" t="s">
        <v>3297</v>
      </c>
      <c r="P1352" s="1838"/>
    </row>
    <row r="1353" spans="2:16" s="1843" customFormat="1">
      <c r="B1353" s="1838">
        <f t="shared" si="66"/>
        <v>1350</v>
      </c>
      <c r="C1353" s="1838" t="s">
        <v>441</v>
      </c>
      <c r="D1353" s="1838" t="s">
        <v>3162</v>
      </c>
      <c r="E1353" s="1838" t="s">
        <v>4465</v>
      </c>
      <c r="F1353" s="1839">
        <v>45367</v>
      </c>
      <c r="G1353" s="1840">
        <v>46935</v>
      </c>
      <c r="H1353" s="1841">
        <f t="shared" si="64"/>
        <v>15</v>
      </c>
      <c r="I1353" s="1838">
        <f t="shared" si="65"/>
        <v>46935</v>
      </c>
      <c r="J1353" s="1838">
        <v>0</v>
      </c>
      <c r="K1353" s="1838">
        <v>0</v>
      </c>
      <c r="L1353" s="1838">
        <v>0</v>
      </c>
      <c r="M1353" s="1838">
        <v>0</v>
      </c>
      <c r="N1353" s="1838" t="s">
        <v>4350</v>
      </c>
      <c r="O1353" s="1838" t="s">
        <v>3297</v>
      </c>
      <c r="P1353" s="1838"/>
    </row>
    <row r="1354" spans="2:16" s="1843" customFormat="1">
      <c r="B1354" s="1838">
        <f t="shared" si="66"/>
        <v>1351</v>
      </c>
      <c r="C1354" s="1838" t="s">
        <v>441</v>
      </c>
      <c r="D1354" s="1838" t="s">
        <v>3162</v>
      </c>
      <c r="E1354" s="1838" t="s">
        <v>4466</v>
      </c>
      <c r="F1354" s="1839">
        <v>45367</v>
      </c>
      <c r="G1354" s="1840">
        <v>106722</v>
      </c>
      <c r="H1354" s="1841">
        <f t="shared" si="64"/>
        <v>15</v>
      </c>
      <c r="I1354" s="1838">
        <f t="shared" si="65"/>
        <v>106722</v>
      </c>
      <c r="J1354" s="1838">
        <v>0</v>
      </c>
      <c r="K1354" s="1838">
        <v>0</v>
      </c>
      <c r="L1354" s="1838">
        <v>0</v>
      </c>
      <c r="M1354" s="1838">
        <v>0</v>
      </c>
      <c r="N1354" s="1838" t="s">
        <v>4350</v>
      </c>
      <c r="O1354" s="1838" t="s">
        <v>3297</v>
      </c>
      <c r="P1354" s="1838"/>
    </row>
    <row r="1355" spans="2:16" s="1843" customFormat="1">
      <c r="B1355" s="1838">
        <f t="shared" si="66"/>
        <v>1352</v>
      </c>
      <c r="C1355" s="1838" t="s">
        <v>441</v>
      </c>
      <c r="D1355" s="1838" t="s">
        <v>3162</v>
      </c>
      <c r="E1355" s="1838" t="s">
        <v>4467</v>
      </c>
      <c r="F1355" s="1839">
        <v>45367</v>
      </c>
      <c r="G1355" s="1840">
        <v>65396</v>
      </c>
      <c r="H1355" s="1841">
        <f t="shared" si="64"/>
        <v>15</v>
      </c>
      <c r="I1355" s="1838">
        <f t="shared" si="65"/>
        <v>65396</v>
      </c>
      <c r="J1355" s="1838">
        <v>0</v>
      </c>
      <c r="K1355" s="1838">
        <v>0</v>
      </c>
      <c r="L1355" s="1838">
        <v>0</v>
      </c>
      <c r="M1355" s="1838">
        <v>0</v>
      </c>
      <c r="N1355" s="1838" t="s">
        <v>4350</v>
      </c>
      <c r="O1355" s="1838" t="s">
        <v>3297</v>
      </c>
      <c r="P1355" s="1838"/>
    </row>
    <row r="1356" spans="2:16" s="1843" customFormat="1">
      <c r="B1356" s="1838">
        <f t="shared" si="66"/>
        <v>1353</v>
      </c>
      <c r="C1356" s="1838" t="s">
        <v>441</v>
      </c>
      <c r="D1356" s="1838" t="s">
        <v>3162</v>
      </c>
      <c r="E1356" s="1838" t="s">
        <v>4468</v>
      </c>
      <c r="F1356" s="1839">
        <v>45367</v>
      </c>
      <c r="G1356" s="1840">
        <v>39269</v>
      </c>
      <c r="H1356" s="1841">
        <f t="shared" si="64"/>
        <v>15</v>
      </c>
      <c r="I1356" s="1838">
        <f t="shared" si="65"/>
        <v>39269</v>
      </c>
      <c r="J1356" s="1838">
        <v>0</v>
      </c>
      <c r="K1356" s="1838">
        <v>0</v>
      </c>
      <c r="L1356" s="1838">
        <v>0</v>
      </c>
      <c r="M1356" s="1838">
        <v>0</v>
      </c>
      <c r="N1356" s="1838" t="s">
        <v>4350</v>
      </c>
      <c r="O1356" s="1838" t="s">
        <v>3297</v>
      </c>
      <c r="P1356" s="1838"/>
    </row>
    <row r="1357" spans="2:16" s="1843" customFormat="1">
      <c r="B1357" s="1838">
        <f t="shared" si="66"/>
        <v>1354</v>
      </c>
      <c r="C1357" s="1838" t="s">
        <v>441</v>
      </c>
      <c r="D1357" s="1838" t="s">
        <v>3162</v>
      </c>
      <c r="E1357" s="1838" t="s">
        <v>4469</v>
      </c>
      <c r="F1357" s="1839">
        <v>45368</v>
      </c>
      <c r="G1357" s="1840">
        <v>63675</v>
      </c>
      <c r="H1357" s="1841">
        <f t="shared" si="64"/>
        <v>14</v>
      </c>
      <c r="I1357" s="1838">
        <f t="shared" si="65"/>
        <v>63675</v>
      </c>
      <c r="J1357" s="1838">
        <v>0</v>
      </c>
      <c r="K1357" s="1838">
        <v>0</v>
      </c>
      <c r="L1357" s="1838">
        <v>0</v>
      </c>
      <c r="M1357" s="1838">
        <v>0</v>
      </c>
      <c r="N1357" s="1838" t="s">
        <v>4350</v>
      </c>
      <c r="O1357" s="1838" t="s">
        <v>3297</v>
      </c>
      <c r="P1357" s="1838"/>
    </row>
    <row r="1358" spans="2:16" s="1843" customFormat="1">
      <c r="B1358" s="1838">
        <f t="shared" si="66"/>
        <v>1355</v>
      </c>
      <c r="C1358" s="1838" t="s">
        <v>441</v>
      </c>
      <c r="D1358" s="1838" t="s">
        <v>3162</v>
      </c>
      <c r="E1358" s="1838" t="s">
        <v>4470</v>
      </c>
      <c r="F1358" s="1839">
        <v>45368</v>
      </c>
      <c r="G1358" s="1840">
        <v>6571</v>
      </c>
      <c r="H1358" s="1841">
        <f t="shared" si="64"/>
        <v>14</v>
      </c>
      <c r="I1358" s="1838">
        <f t="shared" si="65"/>
        <v>6571</v>
      </c>
      <c r="J1358" s="1838">
        <v>0</v>
      </c>
      <c r="K1358" s="1838">
        <v>0</v>
      </c>
      <c r="L1358" s="1838">
        <v>0</v>
      </c>
      <c r="M1358" s="1838">
        <v>0</v>
      </c>
      <c r="N1358" s="1838" t="s">
        <v>4350</v>
      </c>
      <c r="O1358" s="1838" t="s">
        <v>3297</v>
      </c>
      <c r="P1358" s="1838"/>
    </row>
    <row r="1359" spans="2:16" s="1843" customFormat="1">
      <c r="B1359" s="1838">
        <f t="shared" si="66"/>
        <v>1356</v>
      </c>
      <c r="C1359" s="1838" t="s">
        <v>441</v>
      </c>
      <c r="D1359" s="1838" t="s">
        <v>3162</v>
      </c>
      <c r="E1359" s="1838" t="s">
        <v>4471</v>
      </c>
      <c r="F1359" s="1839">
        <v>45369</v>
      </c>
      <c r="G1359" s="1840">
        <v>69464</v>
      </c>
      <c r="H1359" s="1841">
        <f t="shared" si="64"/>
        <v>13</v>
      </c>
      <c r="I1359" s="1838">
        <f t="shared" si="65"/>
        <v>69464</v>
      </c>
      <c r="J1359" s="1838">
        <v>0</v>
      </c>
      <c r="K1359" s="1838">
        <v>0</v>
      </c>
      <c r="L1359" s="1838">
        <v>0</v>
      </c>
      <c r="M1359" s="1838">
        <v>0</v>
      </c>
      <c r="N1359" s="1838" t="s">
        <v>4350</v>
      </c>
      <c r="O1359" s="1838" t="s">
        <v>3297</v>
      </c>
      <c r="P1359" s="1838"/>
    </row>
    <row r="1360" spans="2:16" s="1843" customFormat="1">
      <c r="B1360" s="1838">
        <f t="shared" si="66"/>
        <v>1357</v>
      </c>
      <c r="C1360" s="1838" t="s">
        <v>441</v>
      </c>
      <c r="D1360" s="1838" t="s">
        <v>3162</v>
      </c>
      <c r="E1360" s="1838" t="s">
        <v>4472</v>
      </c>
      <c r="F1360" s="1839">
        <v>45369</v>
      </c>
      <c r="G1360" s="1840">
        <v>44275</v>
      </c>
      <c r="H1360" s="1841">
        <f t="shared" si="64"/>
        <v>13</v>
      </c>
      <c r="I1360" s="1838">
        <f t="shared" si="65"/>
        <v>44275</v>
      </c>
      <c r="J1360" s="1838">
        <v>0</v>
      </c>
      <c r="K1360" s="1838">
        <v>0</v>
      </c>
      <c r="L1360" s="1838">
        <v>0</v>
      </c>
      <c r="M1360" s="1838">
        <v>0</v>
      </c>
      <c r="N1360" s="1838" t="s">
        <v>4350</v>
      </c>
      <c r="O1360" s="1838" t="s">
        <v>3297</v>
      </c>
      <c r="P1360" s="1838"/>
    </row>
    <row r="1361" spans="2:16" s="1843" customFormat="1">
      <c r="B1361" s="1838">
        <f t="shared" si="66"/>
        <v>1358</v>
      </c>
      <c r="C1361" s="1838" t="s">
        <v>441</v>
      </c>
      <c r="D1361" s="1838" t="s">
        <v>3162</v>
      </c>
      <c r="E1361" s="1838" t="s">
        <v>4473</v>
      </c>
      <c r="F1361" s="1839">
        <v>45370</v>
      </c>
      <c r="G1361" s="1840">
        <v>7979</v>
      </c>
      <c r="H1361" s="1841">
        <f t="shared" si="64"/>
        <v>12</v>
      </c>
      <c r="I1361" s="1838">
        <f t="shared" si="65"/>
        <v>7979</v>
      </c>
      <c r="J1361" s="1838">
        <v>0</v>
      </c>
      <c r="K1361" s="1838">
        <v>0</v>
      </c>
      <c r="L1361" s="1838">
        <v>0</v>
      </c>
      <c r="M1361" s="1838">
        <v>0</v>
      </c>
      <c r="N1361" s="1838" t="s">
        <v>4350</v>
      </c>
      <c r="O1361" s="1838" t="s">
        <v>3297</v>
      </c>
      <c r="P1361" s="1838"/>
    </row>
    <row r="1362" spans="2:16" s="1843" customFormat="1">
      <c r="B1362" s="1838">
        <f t="shared" si="66"/>
        <v>1359</v>
      </c>
      <c r="C1362" s="1838" t="s">
        <v>441</v>
      </c>
      <c r="D1362" s="1838" t="s">
        <v>3162</v>
      </c>
      <c r="E1362" s="1838" t="s">
        <v>4474</v>
      </c>
      <c r="F1362" s="1839">
        <v>45370</v>
      </c>
      <c r="G1362" s="1840">
        <v>35999</v>
      </c>
      <c r="H1362" s="1841">
        <f t="shared" si="64"/>
        <v>12</v>
      </c>
      <c r="I1362" s="1838">
        <f t="shared" si="65"/>
        <v>35999</v>
      </c>
      <c r="J1362" s="1838">
        <v>0</v>
      </c>
      <c r="K1362" s="1838">
        <v>0</v>
      </c>
      <c r="L1362" s="1838">
        <v>0</v>
      </c>
      <c r="M1362" s="1838">
        <v>0</v>
      </c>
      <c r="N1362" s="1838" t="s">
        <v>4350</v>
      </c>
      <c r="O1362" s="1838" t="s">
        <v>3297</v>
      </c>
      <c r="P1362" s="1838"/>
    </row>
    <row r="1363" spans="2:16" s="1843" customFormat="1">
      <c r="B1363" s="1838">
        <f t="shared" si="66"/>
        <v>1360</v>
      </c>
      <c r="C1363" s="1838" t="s">
        <v>441</v>
      </c>
      <c r="D1363" s="1838" t="s">
        <v>3162</v>
      </c>
      <c r="E1363" s="1838" t="s">
        <v>4475</v>
      </c>
      <c r="F1363" s="1839">
        <v>45370</v>
      </c>
      <c r="G1363" s="1840">
        <v>31290</v>
      </c>
      <c r="H1363" s="1841">
        <f t="shared" si="64"/>
        <v>12</v>
      </c>
      <c r="I1363" s="1838">
        <f t="shared" si="65"/>
        <v>31290</v>
      </c>
      <c r="J1363" s="1838">
        <v>0</v>
      </c>
      <c r="K1363" s="1838">
        <v>0</v>
      </c>
      <c r="L1363" s="1838">
        <v>0</v>
      </c>
      <c r="M1363" s="1838">
        <v>0</v>
      </c>
      <c r="N1363" s="1838" t="s">
        <v>4350</v>
      </c>
      <c r="O1363" s="1838" t="s">
        <v>3297</v>
      </c>
      <c r="P1363" s="1838"/>
    </row>
    <row r="1364" spans="2:16" s="1843" customFormat="1">
      <c r="B1364" s="1838">
        <f t="shared" si="66"/>
        <v>1361</v>
      </c>
      <c r="C1364" s="1838" t="s">
        <v>441</v>
      </c>
      <c r="D1364" s="1838" t="s">
        <v>3162</v>
      </c>
      <c r="E1364" s="1838" t="s">
        <v>4476</v>
      </c>
      <c r="F1364" s="1839">
        <v>45371</v>
      </c>
      <c r="G1364" s="1840">
        <v>170305</v>
      </c>
      <c r="H1364" s="1841">
        <f t="shared" si="64"/>
        <v>11</v>
      </c>
      <c r="I1364" s="1838">
        <f t="shared" si="65"/>
        <v>170305</v>
      </c>
      <c r="J1364" s="1838">
        <v>0</v>
      </c>
      <c r="K1364" s="1838">
        <v>0</v>
      </c>
      <c r="L1364" s="1838">
        <v>0</v>
      </c>
      <c r="M1364" s="1838">
        <v>0</v>
      </c>
      <c r="N1364" s="1838" t="s">
        <v>4350</v>
      </c>
      <c r="O1364" s="1838" t="s">
        <v>3297</v>
      </c>
      <c r="P1364" s="1838"/>
    </row>
    <row r="1365" spans="2:16" s="1843" customFormat="1">
      <c r="B1365" s="1838">
        <f t="shared" si="66"/>
        <v>1362</v>
      </c>
      <c r="C1365" s="1838" t="s">
        <v>441</v>
      </c>
      <c r="D1365" s="1838" t="s">
        <v>3162</v>
      </c>
      <c r="E1365" s="1838" t="s">
        <v>4477</v>
      </c>
      <c r="F1365" s="1839">
        <v>45371</v>
      </c>
      <c r="G1365" s="1840">
        <v>58982</v>
      </c>
      <c r="H1365" s="1841">
        <f t="shared" si="64"/>
        <v>11</v>
      </c>
      <c r="I1365" s="1838">
        <f t="shared" si="65"/>
        <v>58982</v>
      </c>
      <c r="J1365" s="1838">
        <v>0</v>
      </c>
      <c r="K1365" s="1838">
        <v>0</v>
      </c>
      <c r="L1365" s="1838">
        <v>0</v>
      </c>
      <c r="M1365" s="1838">
        <v>0</v>
      </c>
      <c r="N1365" s="1838" t="s">
        <v>4350</v>
      </c>
      <c r="O1365" s="1838" t="s">
        <v>3297</v>
      </c>
      <c r="P1365" s="1838"/>
    </row>
    <row r="1366" spans="2:16" s="1843" customFormat="1">
      <c r="B1366" s="1838">
        <f t="shared" si="66"/>
        <v>1363</v>
      </c>
      <c r="C1366" s="1838" t="s">
        <v>441</v>
      </c>
      <c r="D1366" s="1838" t="s">
        <v>3162</v>
      </c>
      <c r="E1366" s="1838" t="s">
        <v>4478</v>
      </c>
      <c r="F1366" s="1839">
        <v>45371</v>
      </c>
      <c r="G1366" s="1840">
        <v>119821</v>
      </c>
      <c r="H1366" s="1841">
        <f t="shared" si="64"/>
        <v>11</v>
      </c>
      <c r="I1366" s="1838">
        <f t="shared" si="65"/>
        <v>119821</v>
      </c>
      <c r="J1366" s="1838">
        <v>0</v>
      </c>
      <c r="K1366" s="1838">
        <v>0</v>
      </c>
      <c r="L1366" s="1838">
        <v>0</v>
      </c>
      <c r="M1366" s="1838">
        <v>0</v>
      </c>
      <c r="N1366" s="1838" t="s">
        <v>4350</v>
      </c>
      <c r="O1366" s="1838" t="s">
        <v>3297</v>
      </c>
      <c r="P1366" s="1838"/>
    </row>
    <row r="1367" spans="2:16" s="1843" customFormat="1">
      <c r="B1367" s="1838">
        <f t="shared" si="66"/>
        <v>1364</v>
      </c>
      <c r="C1367" s="1838" t="s">
        <v>441</v>
      </c>
      <c r="D1367" s="1838" t="s">
        <v>3162</v>
      </c>
      <c r="E1367" s="1838" t="s">
        <v>4479</v>
      </c>
      <c r="F1367" s="1839">
        <v>45371</v>
      </c>
      <c r="G1367" s="1840">
        <v>208073</v>
      </c>
      <c r="H1367" s="1841">
        <f t="shared" si="64"/>
        <v>11</v>
      </c>
      <c r="I1367" s="1838">
        <f t="shared" si="65"/>
        <v>208073</v>
      </c>
      <c r="J1367" s="1838">
        <v>0</v>
      </c>
      <c r="K1367" s="1838">
        <v>0</v>
      </c>
      <c r="L1367" s="1838">
        <v>0</v>
      </c>
      <c r="M1367" s="1838">
        <v>0</v>
      </c>
      <c r="N1367" s="1838" t="s">
        <v>4350</v>
      </c>
      <c r="O1367" s="1838" t="s">
        <v>3297</v>
      </c>
      <c r="P1367" s="1838"/>
    </row>
    <row r="1368" spans="2:16" s="1843" customFormat="1">
      <c r="B1368" s="1838">
        <f t="shared" si="66"/>
        <v>1365</v>
      </c>
      <c r="C1368" s="1838" t="s">
        <v>441</v>
      </c>
      <c r="D1368" s="1838" t="s">
        <v>3162</v>
      </c>
      <c r="E1368" s="1838" t="s">
        <v>4480</v>
      </c>
      <c r="F1368" s="1839">
        <v>45371</v>
      </c>
      <c r="G1368" s="1840">
        <v>29726</v>
      </c>
      <c r="H1368" s="1841">
        <f t="shared" si="64"/>
        <v>11</v>
      </c>
      <c r="I1368" s="1838">
        <f t="shared" si="65"/>
        <v>29726</v>
      </c>
      <c r="J1368" s="1838">
        <v>0</v>
      </c>
      <c r="K1368" s="1838">
        <v>0</v>
      </c>
      <c r="L1368" s="1838">
        <v>0</v>
      </c>
      <c r="M1368" s="1838">
        <v>0</v>
      </c>
      <c r="N1368" s="1838" t="s">
        <v>4350</v>
      </c>
      <c r="O1368" s="1838" t="s">
        <v>3297</v>
      </c>
      <c r="P1368" s="1838"/>
    </row>
    <row r="1369" spans="2:16" s="1843" customFormat="1">
      <c r="B1369" s="1838">
        <f t="shared" si="66"/>
        <v>1366</v>
      </c>
      <c r="C1369" s="1838" t="s">
        <v>441</v>
      </c>
      <c r="D1369" s="1838" t="s">
        <v>3162</v>
      </c>
      <c r="E1369" s="1838" t="s">
        <v>4481</v>
      </c>
      <c r="F1369" s="1839">
        <v>45372</v>
      </c>
      <c r="G1369" s="1840">
        <v>30821</v>
      </c>
      <c r="H1369" s="1841">
        <f t="shared" si="64"/>
        <v>10</v>
      </c>
      <c r="I1369" s="1838">
        <f t="shared" si="65"/>
        <v>30821</v>
      </c>
      <c r="J1369" s="1838">
        <v>0</v>
      </c>
      <c r="K1369" s="1838">
        <v>0</v>
      </c>
      <c r="L1369" s="1838">
        <v>0</v>
      </c>
      <c r="M1369" s="1838">
        <v>0</v>
      </c>
      <c r="N1369" s="1838" t="s">
        <v>4350</v>
      </c>
      <c r="O1369" s="1838" t="s">
        <v>3297</v>
      </c>
      <c r="P1369" s="1838"/>
    </row>
    <row r="1370" spans="2:16" s="1843" customFormat="1">
      <c r="B1370" s="1838">
        <f t="shared" si="66"/>
        <v>1367</v>
      </c>
      <c r="C1370" s="1838" t="s">
        <v>441</v>
      </c>
      <c r="D1370" s="1838" t="s">
        <v>3162</v>
      </c>
      <c r="E1370" s="1838" t="s">
        <v>4482</v>
      </c>
      <c r="F1370" s="1839">
        <v>45372</v>
      </c>
      <c r="G1370" s="1840">
        <v>31290</v>
      </c>
      <c r="H1370" s="1841">
        <f t="shared" si="64"/>
        <v>10</v>
      </c>
      <c r="I1370" s="1838">
        <f t="shared" si="65"/>
        <v>31290</v>
      </c>
      <c r="J1370" s="1838">
        <v>0</v>
      </c>
      <c r="K1370" s="1838">
        <v>0</v>
      </c>
      <c r="L1370" s="1838">
        <v>0</v>
      </c>
      <c r="M1370" s="1838">
        <v>0</v>
      </c>
      <c r="N1370" s="1838" t="s">
        <v>4350</v>
      </c>
      <c r="O1370" s="1838" t="s">
        <v>3297</v>
      </c>
      <c r="P1370" s="1838"/>
    </row>
    <row r="1371" spans="2:16" s="1843" customFormat="1">
      <c r="B1371" s="1838">
        <f t="shared" si="66"/>
        <v>1368</v>
      </c>
      <c r="C1371" s="1838" t="s">
        <v>441</v>
      </c>
      <c r="D1371" s="1838" t="s">
        <v>3162</v>
      </c>
      <c r="E1371" s="1838" t="s">
        <v>4483</v>
      </c>
      <c r="F1371" s="1839">
        <v>45372</v>
      </c>
      <c r="G1371" s="1840">
        <v>101493</v>
      </c>
      <c r="H1371" s="1841">
        <f t="shared" si="64"/>
        <v>10</v>
      </c>
      <c r="I1371" s="1838">
        <f t="shared" si="65"/>
        <v>101493</v>
      </c>
      <c r="J1371" s="1838">
        <v>0</v>
      </c>
      <c r="K1371" s="1838">
        <v>0</v>
      </c>
      <c r="L1371" s="1838">
        <v>0</v>
      </c>
      <c r="M1371" s="1838">
        <v>0</v>
      </c>
      <c r="N1371" s="1838" t="s">
        <v>4350</v>
      </c>
      <c r="O1371" s="1838" t="s">
        <v>3297</v>
      </c>
      <c r="P1371" s="1838"/>
    </row>
    <row r="1372" spans="2:16" s="1843" customFormat="1">
      <c r="B1372" s="1838">
        <f t="shared" si="66"/>
        <v>1369</v>
      </c>
      <c r="C1372" s="1838" t="s">
        <v>441</v>
      </c>
      <c r="D1372" s="1838" t="s">
        <v>3162</v>
      </c>
      <c r="E1372" s="1838" t="s">
        <v>4484</v>
      </c>
      <c r="F1372" s="1839">
        <v>45372</v>
      </c>
      <c r="G1372" s="1840">
        <v>58199</v>
      </c>
      <c r="H1372" s="1841">
        <f t="shared" si="64"/>
        <v>10</v>
      </c>
      <c r="I1372" s="1838">
        <f t="shared" si="65"/>
        <v>58199</v>
      </c>
      <c r="J1372" s="1838">
        <v>0</v>
      </c>
      <c r="K1372" s="1838">
        <v>0</v>
      </c>
      <c r="L1372" s="1838">
        <v>0</v>
      </c>
      <c r="M1372" s="1838">
        <v>0</v>
      </c>
      <c r="N1372" s="1838" t="s">
        <v>4350</v>
      </c>
      <c r="O1372" s="1838" t="s">
        <v>3297</v>
      </c>
      <c r="P1372" s="1838"/>
    </row>
    <row r="1373" spans="2:16" s="1843" customFormat="1">
      <c r="B1373" s="1838">
        <f t="shared" si="66"/>
        <v>1370</v>
      </c>
      <c r="C1373" s="1838" t="s">
        <v>441</v>
      </c>
      <c r="D1373" s="1838" t="s">
        <v>3162</v>
      </c>
      <c r="E1373" s="1838" t="s">
        <v>4485</v>
      </c>
      <c r="F1373" s="1839">
        <v>45372</v>
      </c>
      <c r="G1373" s="1840">
        <v>30821</v>
      </c>
      <c r="H1373" s="1841">
        <f t="shared" si="64"/>
        <v>10</v>
      </c>
      <c r="I1373" s="1838">
        <f t="shared" si="65"/>
        <v>30821</v>
      </c>
      <c r="J1373" s="1838">
        <v>0</v>
      </c>
      <c r="K1373" s="1838">
        <v>0</v>
      </c>
      <c r="L1373" s="1838">
        <v>0</v>
      </c>
      <c r="M1373" s="1838">
        <v>0</v>
      </c>
      <c r="N1373" s="1838" t="s">
        <v>4350</v>
      </c>
      <c r="O1373" s="1838" t="s">
        <v>3297</v>
      </c>
      <c r="P1373" s="1838"/>
    </row>
    <row r="1374" spans="2:16" s="1843" customFormat="1">
      <c r="B1374" s="1838">
        <f t="shared" si="66"/>
        <v>1371</v>
      </c>
      <c r="C1374" s="1838" t="s">
        <v>441</v>
      </c>
      <c r="D1374" s="1838" t="s">
        <v>3162</v>
      </c>
      <c r="E1374" s="1838" t="s">
        <v>4486</v>
      </c>
      <c r="F1374" s="1839">
        <v>45372</v>
      </c>
      <c r="G1374" s="1840">
        <v>71185</v>
      </c>
      <c r="H1374" s="1841">
        <f t="shared" si="64"/>
        <v>10</v>
      </c>
      <c r="I1374" s="1838">
        <f t="shared" si="65"/>
        <v>71185</v>
      </c>
      <c r="J1374" s="1838">
        <v>0</v>
      </c>
      <c r="K1374" s="1838">
        <v>0</v>
      </c>
      <c r="L1374" s="1838">
        <v>0</v>
      </c>
      <c r="M1374" s="1838">
        <v>0</v>
      </c>
      <c r="N1374" s="1838" t="s">
        <v>4350</v>
      </c>
      <c r="O1374" s="1838" t="s">
        <v>3297</v>
      </c>
      <c r="P1374" s="1838"/>
    </row>
    <row r="1375" spans="2:16" s="1843" customFormat="1">
      <c r="B1375" s="1838">
        <f t="shared" si="66"/>
        <v>1372</v>
      </c>
      <c r="C1375" s="1838" t="s">
        <v>441</v>
      </c>
      <c r="D1375" s="1838" t="s">
        <v>3162</v>
      </c>
      <c r="E1375" s="1838" t="s">
        <v>4487</v>
      </c>
      <c r="F1375" s="1839">
        <v>45372</v>
      </c>
      <c r="G1375" s="1840">
        <v>7118</v>
      </c>
      <c r="H1375" s="1841">
        <f t="shared" si="64"/>
        <v>10</v>
      </c>
      <c r="I1375" s="1838">
        <f t="shared" si="65"/>
        <v>7118</v>
      </c>
      <c r="J1375" s="1838">
        <v>0</v>
      </c>
      <c r="K1375" s="1838">
        <v>0</v>
      </c>
      <c r="L1375" s="1838">
        <v>0</v>
      </c>
      <c r="M1375" s="1838">
        <v>0</v>
      </c>
      <c r="N1375" s="1838" t="s">
        <v>4350</v>
      </c>
      <c r="O1375" s="1838" t="s">
        <v>3297</v>
      </c>
      <c r="P1375" s="1838"/>
    </row>
    <row r="1376" spans="2:16" s="1843" customFormat="1">
      <c r="B1376" s="1838">
        <f t="shared" si="66"/>
        <v>1373</v>
      </c>
      <c r="C1376" s="1838" t="s">
        <v>441</v>
      </c>
      <c r="D1376" s="1838" t="s">
        <v>3162</v>
      </c>
      <c r="E1376" s="1838" t="s">
        <v>4488</v>
      </c>
      <c r="F1376" s="1839">
        <v>45373</v>
      </c>
      <c r="G1376" s="1840">
        <v>290246</v>
      </c>
      <c r="H1376" s="1841">
        <f t="shared" si="64"/>
        <v>9</v>
      </c>
      <c r="I1376" s="1838">
        <f t="shared" si="65"/>
        <v>290246</v>
      </c>
      <c r="J1376" s="1838">
        <v>0</v>
      </c>
      <c r="K1376" s="1838">
        <v>0</v>
      </c>
      <c r="L1376" s="1838">
        <v>0</v>
      </c>
      <c r="M1376" s="1838">
        <v>0</v>
      </c>
      <c r="N1376" s="1838" t="s">
        <v>4350</v>
      </c>
      <c r="O1376" s="1838" t="s">
        <v>3297</v>
      </c>
      <c r="P1376" s="1838"/>
    </row>
    <row r="1377" spans="2:16" s="1843" customFormat="1">
      <c r="B1377" s="1838">
        <f t="shared" si="66"/>
        <v>1374</v>
      </c>
      <c r="C1377" s="1838" t="s">
        <v>441</v>
      </c>
      <c r="D1377" s="1838" t="s">
        <v>3162</v>
      </c>
      <c r="E1377" s="1838" t="s">
        <v>4489</v>
      </c>
      <c r="F1377" s="1839">
        <v>45373</v>
      </c>
      <c r="G1377" s="1840">
        <v>286608</v>
      </c>
      <c r="H1377" s="1841">
        <f t="shared" si="64"/>
        <v>9</v>
      </c>
      <c r="I1377" s="1838">
        <f t="shared" si="65"/>
        <v>286608</v>
      </c>
      <c r="J1377" s="1838">
        <v>0</v>
      </c>
      <c r="K1377" s="1838">
        <v>0</v>
      </c>
      <c r="L1377" s="1838">
        <v>0</v>
      </c>
      <c r="M1377" s="1838">
        <v>0</v>
      </c>
      <c r="N1377" s="1838" t="s">
        <v>4350</v>
      </c>
      <c r="O1377" s="1838" t="s">
        <v>3297</v>
      </c>
      <c r="P1377" s="1838"/>
    </row>
    <row r="1378" spans="2:16" s="1843" customFormat="1">
      <c r="B1378" s="1838">
        <f t="shared" si="66"/>
        <v>1375</v>
      </c>
      <c r="C1378" s="1838" t="s">
        <v>441</v>
      </c>
      <c r="D1378" s="1838" t="s">
        <v>3162</v>
      </c>
      <c r="E1378" s="1838" t="s">
        <v>4490</v>
      </c>
      <c r="F1378" s="1839">
        <v>45373</v>
      </c>
      <c r="G1378" s="1840">
        <v>294144</v>
      </c>
      <c r="H1378" s="1841">
        <f t="shared" si="64"/>
        <v>9</v>
      </c>
      <c r="I1378" s="1838">
        <f t="shared" si="65"/>
        <v>294144</v>
      </c>
      <c r="J1378" s="1838">
        <v>0</v>
      </c>
      <c r="K1378" s="1838">
        <v>0</v>
      </c>
      <c r="L1378" s="1838">
        <v>0</v>
      </c>
      <c r="M1378" s="1838">
        <v>0</v>
      </c>
      <c r="N1378" s="1838" t="s">
        <v>4350</v>
      </c>
      <c r="O1378" s="1838" t="s">
        <v>3297</v>
      </c>
      <c r="P1378" s="1838"/>
    </row>
    <row r="1379" spans="2:16" s="1843" customFormat="1">
      <c r="B1379" s="1838">
        <f t="shared" si="66"/>
        <v>1376</v>
      </c>
      <c r="C1379" s="1838" t="s">
        <v>441</v>
      </c>
      <c r="D1379" s="1838" t="s">
        <v>3162</v>
      </c>
      <c r="E1379" s="1838" t="s">
        <v>4491</v>
      </c>
      <c r="F1379" s="1839">
        <v>45373</v>
      </c>
      <c r="G1379" s="1840">
        <v>191008</v>
      </c>
      <c r="H1379" s="1841">
        <f t="shared" si="64"/>
        <v>9</v>
      </c>
      <c r="I1379" s="1838">
        <f t="shared" si="65"/>
        <v>191008</v>
      </c>
      <c r="J1379" s="1838">
        <v>0</v>
      </c>
      <c r="K1379" s="1838">
        <v>0</v>
      </c>
      <c r="L1379" s="1838">
        <v>0</v>
      </c>
      <c r="M1379" s="1838">
        <v>0</v>
      </c>
      <c r="N1379" s="1838" t="s">
        <v>4350</v>
      </c>
      <c r="O1379" s="1838" t="s">
        <v>3297</v>
      </c>
      <c r="P1379" s="1838"/>
    </row>
    <row r="1380" spans="2:16" s="1843" customFormat="1">
      <c r="B1380" s="1838">
        <f t="shared" si="66"/>
        <v>1377</v>
      </c>
      <c r="C1380" s="1838" t="s">
        <v>441</v>
      </c>
      <c r="D1380" s="1838" t="s">
        <v>3162</v>
      </c>
      <c r="E1380" s="1838" t="s">
        <v>4492</v>
      </c>
      <c r="F1380" s="1839">
        <v>45373</v>
      </c>
      <c r="G1380" s="1840">
        <v>59681</v>
      </c>
      <c r="H1380" s="1841">
        <f t="shared" si="64"/>
        <v>9</v>
      </c>
      <c r="I1380" s="1838">
        <f t="shared" si="65"/>
        <v>59681</v>
      </c>
      <c r="J1380" s="1838">
        <v>0</v>
      </c>
      <c r="K1380" s="1838">
        <v>0</v>
      </c>
      <c r="L1380" s="1838">
        <v>0</v>
      </c>
      <c r="M1380" s="1838">
        <v>0</v>
      </c>
      <c r="N1380" s="1838" t="s">
        <v>4350</v>
      </c>
      <c r="O1380" s="1838" t="s">
        <v>3297</v>
      </c>
      <c r="P1380" s="1838"/>
    </row>
    <row r="1381" spans="2:16" s="1843" customFormat="1">
      <c r="B1381" s="1838">
        <f t="shared" si="66"/>
        <v>1378</v>
      </c>
      <c r="C1381" s="1838" t="s">
        <v>441</v>
      </c>
      <c r="D1381" s="1838" t="s">
        <v>3162</v>
      </c>
      <c r="E1381" s="1838" t="s">
        <v>4493</v>
      </c>
      <c r="F1381" s="1839">
        <v>45373</v>
      </c>
      <c r="G1381" s="1840">
        <v>31086</v>
      </c>
      <c r="H1381" s="1841">
        <f t="shared" si="64"/>
        <v>9</v>
      </c>
      <c r="I1381" s="1838">
        <f t="shared" si="65"/>
        <v>31086</v>
      </c>
      <c r="J1381" s="1838">
        <v>0</v>
      </c>
      <c r="K1381" s="1838">
        <v>0</v>
      </c>
      <c r="L1381" s="1838">
        <v>0</v>
      </c>
      <c r="M1381" s="1838">
        <v>0</v>
      </c>
      <c r="N1381" s="1838" t="s">
        <v>4350</v>
      </c>
      <c r="O1381" s="1838" t="s">
        <v>3297</v>
      </c>
      <c r="P1381" s="1838"/>
    </row>
    <row r="1382" spans="2:16" s="1843" customFormat="1">
      <c r="B1382" s="1838">
        <f t="shared" si="66"/>
        <v>1379</v>
      </c>
      <c r="C1382" s="1838" t="s">
        <v>441</v>
      </c>
      <c r="D1382" s="1838" t="s">
        <v>3162</v>
      </c>
      <c r="E1382" s="1838" t="s">
        <v>4494</v>
      </c>
      <c r="F1382" s="1839">
        <v>45373</v>
      </c>
      <c r="G1382" s="1840">
        <v>89161</v>
      </c>
      <c r="H1382" s="1841">
        <f t="shared" si="64"/>
        <v>9</v>
      </c>
      <c r="I1382" s="1838">
        <f t="shared" si="65"/>
        <v>89161</v>
      </c>
      <c r="J1382" s="1838">
        <v>0</v>
      </c>
      <c r="K1382" s="1838">
        <v>0</v>
      </c>
      <c r="L1382" s="1838">
        <v>0</v>
      </c>
      <c r="M1382" s="1838">
        <v>0</v>
      </c>
      <c r="N1382" s="1838" t="s">
        <v>4350</v>
      </c>
      <c r="O1382" s="1838" t="s">
        <v>3297</v>
      </c>
      <c r="P1382" s="1838"/>
    </row>
    <row r="1383" spans="2:16" s="1843" customFormat="1">
      <c r="B1383" s="1838">
        <f t="shared" si="66"/>
        <v>1380</v>
      </c>
      <c r="C1383" s="1838" t="s">
        <v>441</v>
      </c>
      <c r="D1383" s="1838" t="s">
        <v>3162</v>
      </c>
      <c r="E1383" s="1838" t="s">
        <v>4494</v>
      </c>
      <c r="F1383" s="1839">
        <v>45373</v>
      </c>
      <c r="G1383" s="1840">
        <v>-2772</v>
      </c>
      <c r="H1383" s="1841">
        <f t="shared" si="64"/>
        <v>9</v>
      </c>
      <c r="I1383" s="1838">
        <f t="shared" si="65"/>
        <v>-2772</v>
      </c>
      <c r="J1383" s="1838">
        <v>0</v>
      </c>
      <c r="K1383" s="1838">
        <v>0</v>
      </c>
      <c r="L1383" s="1838">
        <v>0</v>
      </c>
      <c r="M1383" s="1838">
        <v>0</v>
      </c>
      <c r="N1383" s="1838" t="s">
        <v>4350</v>
      </c>
      <c r="O1383" s="1838" t="s">
        <v>3297</v>
      </c>
      <c r="P1383" s="1838"/>
    </row>
    <row r="1384" spans="2:16" s="1843" customFormat="1">
      <c r="B1384" s="1838">
        <f t="shared" si="66"/>
        <v>1381</v>
      </c>
      <c r="C1384" s="1838" t="s">
        <v>441</v>
      </c>
      <c r="D1384" s="1838" t="s">
        <v>3162</v>
      </c>
      <c r="E1384" s="1838" t="s">
        <v>4495</v>
      </c>
      <c r="F1384" s="1839">
        <v>45374</v>
      </c>
      <c r="G1384" s="1840">
        <v>172730</v>
      </c>
      <c r="H1384" s="1841">
        <f t="shared" si="64"/>
        <v>8</v>
      </c>
      <c r="I1384" s="1838">
        <f t="shared" si="65"/>
        <v>172730</v>
      </c>
      <c r="J1384" s="1838">
        <v>0</v>
      </c>
      <c r="K1384" s="1838">
        <v>0</v>
      </c>
      <c r="L1384" s="1838">
        <v>0</v>
      </c>
      <c r="M1384" s="1838">
        <v>0</v>
      </c>
      <c r="N1384" s="1838" t="s">
        <v>4350</v>
      </c>
      <c r="O1384" s="1838" t="s">
        <v>3297</v>
      </c>
      <c r="P1384" s="1838"/>
    </row>
    <row r="1385" spans="2:16" s="1843" customFormat="1">
      <c r="B1385" s="1838">
        <f t="shared" si="66"/>
        <v>1382</v>
      </c>
      <c r="C1385" s="1838" t="s">
        <v>441</v>
      </c>
      <c r="D1385" s="1838" t="s">
        <v>3162</v>
      </c>
      <c r="E1385" s="1838" t="s">
        <v>4496</v>
      </c>
      <c r="F1385" s="1839">
        <v>45374</v>
      </c>
      <c r="G1385" s="1840">
        <v>106029</v>
      </c>
      <c r="H1385" s="1841">
        <f t="shared" si="64"/>
        <v>8</v>
      </c>
      <c r="I1385" s="1838">
        <f t="shared" si="65"/>
        <v>106029</v>
      </c>
      <c r="J1385" s="1838">
        <v>0</v>
      </c>
      <c r="K1385" s="1838">
        <v>0</v>
      </c>
      <c r="L1385" s="1838">
        <v>0</v>
      </c>
      <c r="M1385" s="1838">
        <v>0</v>
      </c>
      <c r="N1385" s="1838" t="s">
        <v>4350</v>
      </c>
      <c r="O1385" s="1838" t="s">
        <v>3297</v>
      </c>
      <c r="P1385" s="1838"/>
    </row>
    <row r="1386" spans="2:16" s="1843" customFormat="1">
      <c r="B1386" s="1838">
        <f t="shared" si="66"/>
        <v>1383</v>
      </c>
      <c r="C1386" s="1838" t="s">
        <v>441</v>
      </c>
      <c r="D1386" s="1838" t="s">
        <v>3162</v>
      </c>
      <c r="E1386" s="1838" t="s">
        <v>4497</v>
      </c>
      <c r="F1386" s="1839">
        <v>45374</v>
      </c>
      <c r="G1386" s="1840">
        <v>46160</v>
      </c>
      <c r="H1386" s="1841">
        <f t="shared" si="64"/>
        <v>8</v>
      </c>
      <c r="I1386" s="1838">
        <f t="shared" si="65"/>
        <v>46160</v>
      </c>
      <c r="J1386" s="1838">
        <v>0</v>
      </c>
      <c r="K1386" s="1838">
        <v>0</v>
      </c>
      <c r="L1386" s="1838">
        <v>0</v>
      </c>
      <c r="M1386" s="1838">
        <v>0</v>
      </c>
      <c r="N1386" s="1838" t="s">
        <v>4350</v>
      </c>
      <c r="O1386" s="1838" t="s">
        <v>3297</v>
      </c>
      <c r="P1386" s="1838"/>
    </row>
    <row r="1387" spans="2:16" s="1843" customFormat="1">
      <c r="B1387" s="1838">
        <f t="shared" si="66"/>
        <v>1384</v>
      </c>
      <c r="C1387" s="1838" t="s">
        <v>441</v>
      </c>
      <c r="D1387" s="1838" t="s">
        <v>3162</v>
      </c>
      <c r="E1387" s="1838" t="s">
        <v>4498</v>
      </c>
      <c r="F1387" s="1839">
        <v>45374</v>
      </c>
      <c r="G1387" s="1840">
        <v>51890</v>
      </c>
      <c r="H1387" s="1841">
        <f t="shared" si="64"/>
        <v>8</v>
      </c>
      <c r="I1387" s="1838">
        <f t="shared" si="65"/>
        <v>51890</v>
      </c>
      <c r="J1387" s="1838">
        <v>0</v>
      </c>
      <c r="K1387" s="1838">
        <v>0</v>
      </c>
      <c r="L1387" s="1838">
        <v>0</v>
      </c>
      <c r="M1387" s="1838">
        <v>0</v>
      </c>
      <c r="N1387" s="1838" t="s">
        <v>4350</v>
      </c>
      <c r="O1387" s="1838" t="s">
        <v>3297</v>
      </c>
      <c r="P1387" s="1838"/>
    </row>
    <row r="1388" spans="2:16" s="1843" customFormat="1">
      <c r="B1388" s="1838">
        <f t="shared" si="66"/>
        <v>1385</v>
      </c>
      <c r="C1388" s="1838" t="s">
        <v>441</v>
      </c>
      <c r="D1388" s="1838" t="s">
        <v>3162</v>
      </c>
      <c r="E1388" s="1838" t="s">
        <v>4499</v>
      </c>
      <c r="F1388" s="1839">
        <v>45374</v>
      </c>
      <c r="G1388" s="1840">
        <v>43697</v>
      </c>
      <c r="H1388" s="1841">
        <f t="shared" si="64"/>
        <v>8</v>
      </c>
      <c r="I1388" s="1838">
        <f t="shared" si="65"/>
        <v>43697</v>
      </c>
      <c r="J1388" s="1838">
        <v>0</v>
      </c>
      <c r="K1388" s="1838">
        <v>0</v>
      </c>
      <c r="L1388" s="1838">
        <v>0</v>
      </c>
      <c r="M1388" s="1838">
        <v>0</v>
      </c>
      <c r="N1388" s="1838" t="s">
        <v>4350</v>
      </c>
      <c r="O1388" s="1838" t="s">
        <v>3297</v>
      </c>
      <c r="P1388" s="1838"/>
    </row>
    <row r="1389" spans="2:16" s="1843" customFormat="1">
      <c r="B1389" s="1838">
        <f t="shared" si="66"/>
        <v>1386</v>
      </c>
      <c r="C1389" s="1838" t="s">
        <v>441</v>
      </c>
      <c r="D1389" s="1838" t="s">
        <v>3162</v>
      </c>
      <c r="E1389" s="1838" t="s">
        <v>4500</v>
      </c>
      <c r="F1389" s="1839">
        <v>45374</v>
      </c>
      <c r="G1389" s="1840">
        <v>31407</v>
      </c>
      <c r="H1389" s="1841">
        <f t="shared" si="64"/>
        <v>8</v>
      </c>
      <c r="I1389" s="1838">
        <f t="shared" si="65"/>
        <v>31407</v>
      </c>
      <c r="J1389" s="1838">
        <v>0</v>
      </c>
      <c r="K1389" s="1838">
        <v>0</v>
      </c>
      <c r="L1389" s="1838">
        <v>0</v>
      </c>
      <c r="M1389" s="1838">
        <v>0</v>
      </c>
      <c r="N1389" s="1838" t="s">
        <v>4350</v>
      </c>
      <c r="O1389" s="1838" t="s">
        <v>3297</v>
      </c>
      <c r="P1389" s="1838"/>
    </row>
    <row r="1390" spans="2:16" s="1843" customFormat="1">
      <c r="B1390" s="1838">
        <f t="shared" si="66"/>
        <v>1387</v>
      </c>
      <c r="C1390" s="1838" t="s">
        <v>441</v>
      </c>
      <c r="D1390" s="1838" t="s">
        <v>3162</v>
      </c>
      <c r="E1390" s="1838" t="s">
        <v>4501</v>
      </c>
      <c r="F1390" s="1839">
        <v>45374</v>
      </c>
      <c r="G1390" s="1840">
        <v>61047</v>
      </c>
      <c r="H1390" s="1841">
        <f t="shared" si="64"/>
        <v>8</v>
      </c>
      <c r="I1390" s="1838">
        <f t="shared" si="65"/>
        <v>61047</v>
      </c>
      <c r="J1390" s="1838">
        <v>0</v>
      </c>
      <c r="K1390" s="1838">
        <v>0</v>
      </c>
      <c r="L1390" s="1838">
        <v>0</v>
      </c>
      <c r="M1390" s="1838">
        <v>0</v>
      </c>
      <c r="N1390" s="1838" t="s">
        <v>4350</v>
      </c>
      <c r="O1390" s="1838" t="s">
        <v>3297</v>
      </c>
      <c r="P1390" s="1838"/>
    </row>
    <row r="1391" spans="2:16" s="1843" customFormat="1">
      <c r="B1391" s="1838">
        <f t="shared" si="66"/>
        <v>1388</v>
      </c>
      <c r="C1391" s="1838" t="s">
        <v>441</v>
      </c>
      <c r="D1391" s="1838" t="s">
        <v>3162</v>
      </c>
      <c r="E1391" s="1838" t="s">
        <v>4502</v>
      </c>
      <c r="F1391" s="1839">
        <v>45375</v>
      </c>
      <c r="G1391" s="1840">
        <v>64903</v>
      </c>
      <c r="H1391" s="1841">
        <f t="shared" si="64"/>
        <v>7</v>
      </c>
      <c r="I1391" s="1838">
        <f t="shared" si="65"/>
        <v>64903</v>
      </c>
      <c r="J1391" s="1838">
        <v>0</v>
      </c>
      <c r="K1391" s="1838">
        <v>0</v>
      </c>
      <c r="L1391" s="1838">
        <v>0</v>
      </c>
      <c r="M1391" s="1838">
        <v>0</v>
      </c>
      <c r="N1391" s="1838" t="s">
        <v>4350</v>
      </c>
      <c r="O1391" s="1838" t="s">
        <v>3297</v>
      </c>
      <c r="P1391" s="1838"/>
    </row>
    <row r="1392" spans="2:16" s="1843" customFormat="1">
      <c r="B1392" s="1838">
        <f t="shared" si="66"/>
        <v>1389</v>
      </c>
      <c r="C1392" s="1838" t="s">
        <v>441</v>
      </c>
      <c r="D1392" s="1838" t="s">
        <v>3162</v>
      </c>
      <c r="E1392" s="1838" t="s">
        <v>4503</v>
      </c>
      <c r="F1392" s="1839">
        <v>45375</v>
      </c>
      <c r="G1392" s="1840">
        <v>32773</v>
      </c>
      <c r="H1392" s="1841">
        <f t="shared" si="64"/>
        <v>7</v>
      </c>
      <c r="I1392" s="1838">
        <f t="shared" si="65"/>
        <v>32773</v>
      </c>
      <c r="J1392" s="1838">
        <v>0</v>
      </c>
      <c r="K1392" s="1838">
        <v>0</v>
      </c>
      <c r="L1392" s="1838">
        <v>0</v>
      </c>
      <c r="M1392" s="1838">
        <v>0</v>
      </c>
      <c r="N1392" s="1838" t="s">
        <v>4350</v>
      </c>
      <c r="O1392" s="1838" t="s">
        <v>3297</v>
      </c>
      <c r="P1392" s="1838"/>
    </row>
    <row r="1393" spans="2:16" s="1843" customFormat="1">
      <c r="B1393" s="1838">
        <f t="shared" si="66"/>
        <v>1390</v>
      </c>
      <c r="C1393" s="1838" t="s">
        <v>441</v>
      </c>
      <c r="D1393" s="1838" t="s">
        <v>3162</v>
      </c>
      <c r="E1393" s="1838" t="s">
        <v>4504</v>
      </c>
      <c r="F1393" s="1839">
        <v>45378</v>
      </c>
      <c r="G1393" s="1840">
        <v>123008</v>
      </c>
      <c r="H1393" s="1841">
        <f t="shared" si="64"/>
        <v>4</v>
      </c>
      <c r="I1393" s="1838">
        <f t="shared" si="65"/>
        <v>123008</v>
      </c>
      <c r="J1393" s="1838">
        <v>0</v>
      </c>
      <c r="K1393" s="1838">
        <v>0</v>
      </c>
      <c r="L1393" s="1838">
        <v>0</v>
      </c>
      <c r="M1393" s="1838">
        <v>0</v>
      </c>
      <c r="N1393" s="1838" t="s">
        <v>4350</v>
      </c>
      <c r="O1393" s="1838" t="s">
        <v>3297</v>
      </c>
      <c r="P1393" s="1838"/>
    </row>
    <row r="1394" spans="2:16" s="1843" customFormat="1">
      <c r="B1394" s="1838">
        <f t="shared" si="66"/>
        <v>1391</v>
      </c>
      <c r="C1394" s="1838" t="s">
        <v>441</v>
      </c>
      <c r="D1394" s="1838" t="s">
        <v>3162</v>
      </c>
      <c r="E1394" s="1838" t="s">
        <v>4505</v>
      </c>
      <c r="F1394" s="1839">
        <v>45378</v>
      </c>
      <c r="G1394" s="1840">
        <v>138860</v>
      </c>
      <c r="H1394" s="1841">
        <f t="shared" si="64"/>
        <v>4</v>
      </c>
      <c r="I1394" s="1838">
        <f t="shared" si="65"/>
        <v>138860</v>
      </c>
      <c r="J1394" s="1838">
        <v>0</v>
      </c>
      <c r="K1394" s="1838">
        <v>0</v>
      </c>
      <c r="L1394" s="1838">
        <v>0</v>
      </c>
      <c r="M1394" s="1838">
        <v>0</v>
      </c>
      <c r="N1394" s="1838" t="s">
        <v>4350</v>
      </c>
      <c r="O1394" s="1838" t="s">
        <v>3297</v>
      </c>
      <c r="P1394" s="1838"/>
    </row>
    <row r="1395" spans="2:16" s="1843" customFormat="1">
      <c r="B1395" s="1838">
        <f t="shared" si="66"/>
        <v>1392</v>
      </c>
      <c r="C1395" s="1838" t="s">
        <v>441</v>
      </c>
      <c r="D1395" s="1838" t="s">
        <v>3162</v>
      </c>
      <c r="E1395" s="1838" t="s">
        <v>4506</v>
      </c>
      <c r="F1395" s="1839">
        <v>45379</v>
      </c>
      <c r="G1395" s="1840">
        <v>49631</v>
      </c>
      <c r="H1395" s="1841">
        <f t="shared" si="64"/>
        <v>3</v>
      </c>
      <c r="I1395" s="1838">
        <f t="shared" si="65"/>
        <v>49631</v>
      </c>
      <c r="J1395" s="1838">
        <v>0</v>
      </c>
      <c r="K1395" s="1838">
        <v>0</v>
      </c>
      <c r="L1395" s="1838">
        <v>0</v>
      </c>
      <c r="M1395" s="1838">
        <v>0</v>
      </c>
      <c r="N1395" s="1838" t="s">
        <v>4350</v>
      </c>
      <c r="O1395" s="1838" t="s">
        <v>3297</v>
      </c>
      <c r="P1395" s="1838"/>
    </row>
    <row r="1396" spans="2:16" s="1843" customFormat="1">
      <c r="B1396" s="1838">
        <f t="shared" si="66"/>
        <v>1393</v>
      </c>
      <c r="C1396" s="1838" t="s">
        <v>441</v>
      </c>
      <c r="D1396" s="1838" t="s">
        <v>3162</v>
      </c>
      <c r="E1396" s="1838" t="s">
        <v>4507</v>
      </c>
      <c r="F1396" s="1839">
        <v>45380</v>
      </c>
      <c r="G1396" s="1840">
        <v>34398</v>
      </c>
      <c r="H1396" s="1841">
        <f t="shared" si="64"/>
        <v>2</v>
      </c>
      <c r="I1396" s="1838">
        <f t="shared" si="65"/>
        <v>34398</v>
      </c>
      <c r="J1396" s="1838">
        <v>0</v>
      </c>
      <c r="K1396" s="1838">
        <v>0</v>
      </c>
      <c r="L1396" s="1838">
        <v>0</v>
      </c>
      <c r="M1396" s="1838">
        <v>0</v>
      </c>
      <c r="N1396" s="1838" t="s">
        <v>4350</v>
      </c>
      <c r="O1396" s="1838" t="s">
        <v>3297</v>
      </c>
      <c r="P1396" s="1838"/>
    </row>
    <row r="1397" spans="2:16" s="1843" customFormat="1">
      <c r="B1397" s="1838">
        <f t="shared" si="66"/>
        <v>1394</v>
      </c>
      <c r="C1397" s="1838" t="s">
        <v>441</v>
      </c>
      <c r="D1397" s="1838" t="s">
        <v>3162</v>
      </c>
      <c r="E1397" s="1838" t="s">
        <v>4508</v>
      </c>
      <c r="F1397" s="1839">
        <v>45380</v>
      </c>
      <c r="G1397" s="1840">
        <v>35381</v>
      </c>
      <c r="H1397" s="1841">
        <f t="shared" si="64"/>
        <v>2</v>
      </c>
      <c r="I1397" s="1838">
        <f t="shared" si="65"/>
        <v>35381</v>
      </c>
      <c r="J1397" s="1838">
        <v>0</v>
      </c>
      <c r="K1397" s="1838">
        <v>0</v>
      </c>
      <c r="L1397" s="1838">
        <v>0</v>
      </c>
      <c r="M1397" s="1838">
        <v>0</v>
      </c>
      <c r="N1397" s="1838" t="s">
        <v>4350</v>
      </c>
      <c r="O1397" s="1838" t="s">
        <v>3297</v>
      </c>
      <c r="P1397" s="1838"/>
    </row>
    <row r="1398" spans="2:16" s="1843" customFormat="1">
      <c r="B1398" s="1838">
        <f t="shared" si="66"/>
        <v>1395</v>
      </c>
      <c r="C1398" s="1838" t="s">
        <v>441</v>
      </c>
      <c r="D1398" s="1838" t="s">
        <v>3162</v>
      </c>
      <c r="E1398" s="1838" t="s">
        <v>4509</v>
      </c>
      <c r="F1398" s="1839">
        <v>45382</v>
      </c>
      <c r="G1398" s="1840">
        <v>93776</v>
      </c>
      <c r="H1398" s="1841">
        <f t="shared" si="64"/>
        <v>0</v>
      </c>
      <c r="I1398" s="1838">
        <f t="shared" si="65"/>
        <v>93776</v>
      </c>
      <c r="J1398" s="1838">
        <v>0</v>
      </c>
      <c r="K1398" s="1838">
        <v>0</v>
      </c>
      <c r="L1398" s="1838">
        <v>0</v>
      </c>
      <c r="M1398" s="1838">
        <v>0</v>
      </c>
      <c r="N1398" s="1838" t="s">
        <v>4350</v>
      </c>
      <c r="O1398" s="1838" t="s">
        <v>3297</v>
      </c>
      <c r="P1398" s="1838"/>
    </row>
    <row r="1399" spans="2:16" s="1843" customFormat="1">
      <c r="B1399" s="1838">
        <f t="shared" si="66"/>
        <v>1396</v>
      </c>
      <c r="C1399" s="1838" t="s">
        <v>441</v>
      </c>
      <c r="D1399" s="1838" t="s">
        <v>3162</v>
      </c>
      <c r="E1399" s="1838" t="s">
        <v>3337</v>
      </c>
      <c r="F1399" s="1839">
        <v>45382</v>
      </c>
      <c r="G1399" s="1840">
        <v>-5672</v>
      </c>
      <c r="H1399" s="1841">
        <f t="shared" si="64"/>
        <v>0</v>
      </c>
      <c r="I1399" s="1838">
        <f t="shared" si="65"/>
        <v>-5672</v>
      </c>
      <c r="J1399" s="1838">
        <v>0</v>
      </c>
      <c r="K1399" s="1838">
        <v>0</v>
      </c>
      <c r="L1399" s="1838">
        <v>0</v>
      </c>
      <c r="M1399" s="1838">
        <v>0</v>
      </c>
      <c r="N1399" s="1838" t="s">
        <v>4350</v>
      </c>
      <c r="O1399" s="1838" t="s">
        <v>3297</v>
      </c>
      <c r="P1399" s="1838"/>
    </row>
    <row r="1400" spans="2:16" s="1843" customFormat="1">
      <c r="B1400" s="1838">
        <f t="shared" si="66"/>
        <v>1397</v>
      </c>
      <c r="C1400" s="1838" t="s">
        <v>441</v>
      </c>
      <c r="D1400" s="1838" t="s">
        <v>3162</v>
      </c>
      <c r="E1400" s="1838" t="s">
        <v>3180</v>
      </c>
      <c r="F1400" s="1839">
        <v>45382</v>
      </c>
      <c r="G1400" s="1840">
        <v>1</v>
      </c>
      <c r="H1400" s="1841">
        <f t="shared" si="64"/>
        <v>0</v>
      </c>
      <c r="I1400" s="1838">
        <f t="shared" si="65"/>
        <v>1</v>
      </c>
      <c r="J1400" s="1838">
        <v>0</v>
      </c>
      <c r="K1400" s="1838">
        <v>0</v>
      </c>
      <c r="L1400" s="1838">
        <v>0</v>
      </c>
      <c r="M1400" s="1838">
        <v>0</v>
      </c>
      <c r="N1400" s="1838" t="s">
        <v>4350</v>
      </c>
      <c r="O1400" s="1838" t="s">
        <v>3297</v>
      </c>
      <c r="P1400" s="1838"/>
    </row>
    <row r="1401" spans="2:16" s="1843" customFormat="1">
      <c r="B1401" s="1838">
        <f t="shared" si="66"/>
        <v>1398</v>
      </c>
      <c r="C1401" s="1838" t="s">
        <v>3063</v>
      </c>
      <c r="D1401" s="1838" t="s">
        <v>3162</v>
      </c>
      <c r="E1401" s="1838" t="s">
        <v>4510</v>
      </c>
      <c r="F1401" s="1839">
        <v>45382</v>
      </c>
      <c r="G1401" s="1840">
        <v>19514</v>
      </c>
      <c r="H1401" s="1841">
        <f t="shared" si="64"/>
        <v>0</v>
      </c>
      <c r="I1401" s="1838">
        <f t="shared" si="65"/>
        <v>19514</v>
      </c>
      <c r="J1401" s="1838">
        <v>0</v>
      </c>
      <c r="K1401" s="1838">
        <v>0</v>
      </c>
      <c r="L1401" s="1838">
        <v>0</v>
      </c>
      <c r="M1401" s="1838">
        <v>0</v>
      </c>
      <c r="N1401" s="1838" t="s">
        <v>3182</v>
      </c>
      <c r="O1401" s="1838" t="s">
        <v>3183</v>
      </c>
      <c r="P1401" s="1838" t="s">
        <v>3184</v>
      </c>
    </row>
    <row r="1402" spans="2:16" s="649" customFormat="1">
      <c r="B1402" s="1834">
        <f t="shared" si="66"/>
        <v>1399</v>
      </c>
      <c r="C1402" s="1834" t="s">
        <v>448</v>
      </c>
      <c r="D1402" s="1834" t="s">
        <v>3162</v>
      </c>
      <c r="E1402" s="1834" t="s">
        <v>4511</v>
      </c>
      <c r="F1402" s="1835">
        <v>45373</v>
      </c>
      <c r="G1402" s="1836">
        <v>-2500000</v>
      </c>
      <c r="H1402" s="1837">
        <f t="shared" si="64"/>
        <v>9</v>
      </c>
      <c r="I1402" s="1834">
        <f t="shared" si="65"/>
        <v>-2500000</v>
      </c>
      <c r="J1402" s="1834">
        <v>0</v>
      </c>
      <c r="K1402" s="1834">
        <v>0</v>
      </c>
      <c r="L1402" s="1834">
        <v>0</v>
      </c>
      <c r="M1402" s="1834">
        <v>0</v>
      </c>
      <c r="N1402" s="1834" t="s">
        <v>3182</v>
      </c>
      <c r="O1402" s="1834" t="s">
        <v>3183</v>
      </c>
      <c r="P1402" s="1834"/>
    </row>
    <row r="1403" spans="2:16" s="649" customFormat="1">
      <c r="B1403" s="1834">
        <f t="shared" si="66"/>
        <v>1400</v>
      </c>
      <c r="C1403" s="1834" t="s">
        <v>448</v>
      </c>
      <c r="D1403" s="1834" t="s">
        <v>3162</v>
      </c>
      <c r="E1403" s="1834" t="s">
        <v>4511</v>
      </c>
      <c r="F1403" s="1835">
        <v>45373</v>
      </c>
      <c r="G1403" s="1836">
        <v>-433780</v>
      </c>
      <c r="H1403" s="1837">
        <f t="shared" si="64"/>
        <v>9</v>
      </c>
      <c r="I1403" s="1834">
        <f t="shared" si="65"/>
        <v>-433780</v>
      </c>
      <c r="J1403" s="1834">
        <v>0</v>
      </c>
      <c r="K1403" s="1834">
        <v>0</v>
      </c>
      <c r="L1403" s="1834">
        <v>0</v>
      </c>
      <c r="M1403" s="1834">
        <v>0</v>
      </c>
      <c r="N1403" s="1834" t="s">
        <v>3182</v>
      </c>
      <c r="O1403" s="1834" t="s">
        <v>3183</v>
      </c>
      <c r="P1403" s="1834"/>
    </row>
    <row r="1404" spans="2:16" s="649" customFormat="1">
      <c r="B1404" s="1834">
        <f t="shared" si="66"/>
        <v>1401</v>
      </c>
      <c r="C1404" s="1834" t="s">
        <v>448</v>
      </c>
      <c r="D1404" s="1834" t="s">
        <v>3162</v>
      </c>
      <c r="E1404" s="1834" t="s">
        <v>4511</v>
      </c>
      <c r="F1404" s="1835">
        <v>45373</v>
      </c>
      <c r="G1404" s="1836">
        <v>-20.43</v>
      </c>
      <c r="H1404" s="1837">
        <f t="shared" si="64"/>
        <v>9</v>
      </c>
      <c r="I1404" s="1834">
        <f t="shared" si="65"/>
        <v>-20.43</v>
      </c>
      <c r="J1404" s="1834">
        <v>0</v>
      </c>
      <c r="K1404" s="1834">
        <v>0</v>
      </c>
      <c r="L1404" s="1834">
        <v>0</v>
      </c>
      <c r="M1404" s="1834">
        <v>0</v>
      </c>
      <c r="N1404" s="1834" t="s">
        <v>3182</v>
      </c>
      <c r="O1404" s="1834" t="s">
        <v>3183</v>
      </c>
      <c r="P1404" s="1834"/>
    </row>
    <row r="1405" spans="2:16" s="649" customFormat="1">
      <c r="B1405" s="1834">
        <f t="shared" si="66"/>
        <v>1402</v>
      </c>
      <c r="C1405" s="1834" t="s">
        <v>239</v>
      </c>
      <c r="D1405" s="1834" t="s">
        <v>3162</v>
      </c>
      <c r="E1405" s="1834" t="s">
        <v>4512</v>
      </c>
      <c r="F1405" s="1835">
        <v>45016</v>
      </c>
      <c r="G1405" s="1834">
        <v>-127093</v>
      </c>
      <c r="H1405" s="1837">
        <f t="shared" si="64"/>
        <v>366</v>
      </c>
      <c r="I1405" s="1834">
        <v>0</v>
      </c>
      <c r="J1405" s="1834">
        <v>0</v>
      </c>
      <c r="K1405" s="1834">
        <f>+G1405</f>
        <v>-127093</v>
      </c>
      <c r="L1405" s="1834">
        <v>0</v>
      </c>
      <c r="M1405" s="1834">
        <v>0</v>
      </c>
      <c r="N1405" s="1834" t="s">
        <v>3182</v>
      </c>
      <c r="O1405" s="1834" t="s">
        <v>3183</v>
      </c>
      <c r="P1405" s="1834" t="s">
        <v>3184</v>
      </c>
    </row>
    <row r="1406" spans="2:16" s="649" customFormat="1">
      <c r="B1406" s="1834">
        <f t="shared" si="66"/>
        <v>1403</v>
      </c>
      <c r="C1406" s="1834" t="s">
        <v>239</v>
      </c>
      <c r="D1406" s="1834" t="s">
        <v>3162</v>
      </c>
      <c r="E1406" s="1834" t="s">
        <v>4511</v>
      </c>
      <c r="F1406" s="1835">
        <v>45360</v>
      </c>
      <c r="G1406" s="1834">
        <v>-562226</v>
      </c>
      <c r="H1406" s="1837">
        <f t="shared" si="64"/>
        <v>22</v>
      </c>
      <c r="I1406" s="1834">
        <f t="shared" ref="I1406:I1427" si="67">+G1406</f>
        <v>-562226</v>
      </c>
      <c r="J1406" s="1834">
        <v>0</v>
      </c>
      <c r="K1406" s="1834">
        <v>0</v>
      </c>
      <c r="L1406" s="1834">
        <v>0</v>
      </c>
      <c r="M1406" s="1834">
        <v>0</v>
      </c>
      <c r="N1406" s="1834" t="s">
        <v>3182</v>
      </c>
      <c r="O1406" s="1834" t="s">
        <v>3183</v>
      </c>
      <c r="P1406" s="1834" t="s">
        <v>3184</v>
      </c>
    </row>
    <row r="1407" spans="2:16" s="649" customFormat="1">
      <c r="B1407" s="1834">
        <f t="shared" si="66"/>
        <v>1404</v>
      </c>
      <c r="C1407" s="1834" t="s">
        <v>239</v>
      </c>
      <c r="D1407" s="1834" t="s">
        <v>3162</v>
      </c>
      <c r="E1407" s="1834" t="s">
        <v>4511</v>
      </c>
      <c r="F1407" s="1835">
        <v>45360</v>
      </c>
      <c r="G1407" s="1834">
        <v>-562226</v>
      </c>
      <c r="H1407" s="1837">
        <f t="shared" si="64"/>
        <v>22</v>
      </c>
      <c r="I1407" s="1834">
        <f t="shared" si="67"/>
        <v>-562226</v>
      </c>
      <c r="J1407" s="1834">
        <v>0</v>
      </c>
      <c r="K1407" s="1834">
        <v>0</v>
      </c>
      <c r="L1407" s="1834">
        <v>0</v>
      </c>
      <c r="M1407" s="1834">
        <v>0</v>
      </c>
      <c r="N1407" s="1834" t="s">
        <v>3182</v>
      </c>
      <c r="O1407" s="1834" t="s">
        <v>3183</v>
      </c>
      <c r="P1407" s="1834" t="s">
        <v>3184</v>
      </c>
    </row>
    <row r="1408" spans="2:16" s="649" customFormat="1">
      <c r="B1408" s="1834">
        <f t="shared" si="66"/>
        <v>1405</v>
      </c>
      <c r="C1408" s="1834" t="s">
        <v>239</v>
      </c>
      <c r="D1408" s="1834" t="s">
        <v>3162</v>
      </c>
      <c r="E1408" s="1834" t="s">
        <v>4511</v>
      </c>
      <c r="F1408" s="1835">
        <v>45360</v>
      </c>
      <c r="G1408" s="1834">
        <v>-286848</v>
      </c>
      <c r="H1408" s="1837">
        <f t="shared" si="64"/>
        <v>22</v>
      </c>
      <c r="I1408" s="1834">
        <f t="shared" si="67"/>
        <v>-286848</v>
      </c>
      <c r="J1408" s="1834">
        <v>0</v>
      </c>
      <c r="K1408" s="1834">
        <v>0</v>
      </c>
      <c r="L1408" s="1834">
        <v>0</v>
      </c>
      <c r="M1408" s="1834">
        <v>0</v>
      </c>
      <c r="N1408" s="1834" t="s">
        <v>3182</v>
      </c>
      <c r="O1408" s="1834" t="s">
        <v>3183</v>
      </c>
      <c r="P1408" s="1834" t="s">
        <v>3184</v>
      </c>
    </row>
    <row r="1409" spans="2:16" s="649" customFormat="1">
      <c r="B1409" s="1834">
        <f t="shared" si="66"/>
        <v>1406</v>
      </c>
      <c r="C1409" s="1834" t="s">
        <v>239</v>
      </c>
      <c r="D1409" s="1834" t="s">
        <v>3162</v>
      </c>
      <c r="E1409" s="1834" t="s">
        <v>4511</v>
      </c>
      <c r="F1409" s="1835">
        <v>45360</v>
      </c>
      <c r="G1409" s="1834">
        <v>-485819</v>
      </c>
      <c r="H1409" s="1837">
        <f t="shared" si="64"/>
        <v>22</v>
      </c>
      <c r="I1409" s="1834">
        <f t="shared" si="67"/>
        <v>-485819</v>
      </c>
      <c r="J1409" s="1834">
        <v>0</v>
      </c>
      <c r="K1409" s="1834">
        <v>0</v>
      </c>
      <c r="L1409" s="1834">
        <v>0</v>
      </c>
      <c r="M1409" s="1834">
        <v>0</v>
      </c>
      <c r="N1409" s="1834" t="s">
        <v>3182</v>
      </c>
      <c r="O1409" s="1834" t="s">
        <v>3183</v>
      </c>
      <c r="P1409" s="1834" t="s">
        <v>3184</v>
      </c>
    </row>
    <row r="1410" spans="2:16" s="649" customFormat="1">
      <c r="B1410" s="1834">
        <f t="shared" si="66"/>
        <v>1407</v>
      </c>
      <c r="C1410" s="1834" t="s">
        <v>239</v>
      </c>
      <c r="D1410" s="1834" t="s">
        <v>3162</v>
      </c>
      <c r="E1410" s="1834" t="s">
        <v>4511</v>
      </c>
      <c r="F1410" s="1835">
        <v>45360</v>
      </c>
      <c r="G1410" s="1834">
        <v>-441653</v>
      </c>
      <c r="H1410" s="1837">
        <f t="shared" si="64"/>
        <v>22</v>
      </c>
      <c r="I1410" s="1834">
        <f t="shared" si="67"/>
        <v>-441653</v>
      </c>
      <c r="J1410" s="1834">
        <v>0</v>
      </c>
      <c r="K1410" s="1834">
        <v>0</v>
      </c>
      <c r="L1410" s="1834">
        <v>0</v>
      </c>
      <c r="M1410" s="1834">
        <v>0</v>
      </c>
      <c r="N1410" s="1834" t="s">
        <v>3182</v>
      </c>
      <c r="O1410" s="1834" t="s">
        <v>3183</v>
      </c>
      <c r="P1410" s="1834" t="s">
        <v>3184</v>
      </c>
    </row>
    <row r="1411" spans="2:16" s="1843" customFormat="1">
      <c r="B1411" s="1838">
        <f t="shared" si="66"/>
        <v>1408</v>
      </c>
      <c r="C1411" s="1838" t="s">
        <v>320</v>
      </c>
      <c r="D1411" s="1838" t="s">
        <v>4513</v>
      </c>
      <c r="E1411" s="1838" t="s">
        <v>4514</v>
      </c>
      <c r="F1411" s="1839">
        <v>45322</v>
      </c>
      <c r="G1411" s="1838">
        <v>503497</v>
      </c>
      <c r="H1411" s="1841">
        <f t="shared" si="64"/>
        <v>60</v>
      </c>
      <c r="I1411" s="1838">
        <f t="shared" si="67"/>
        <v>503497</v>
      </c>
      <c r="J1411" s="1838">
        <v>0</v>
      </c>
      <c r="K1411" s="1838">
        <v>0</v>
      </c>
      <c r="L1411" s="1838">
        <v>0</v>
      </c>
      <c r="M1411" s="1838">
        <v>0</v>
      </c>
      <c r="N1411" s="1838" t="s">
        <v>3182</v>
      </c>
      <c r="O1411" s="1838" t="s">
        <v>3183</v>
      </c>
      <c r="P1411" s="1838"/>
    </row>
    <row r="1412" spans="2:16" s="1843" customFormat="1">
      <c r="B1412" s="1838">
        <f t="shared" si="66"/>
        <v>1409</v>
      </c>
      <c r="C1412" s="1838" t="s">
        <v>320</v>
      </c>
      <c r="D1412" s="1838" t="s">
        <v>4513</v>
      </c>
      <c r="E1412" s="1838" t="s">
        <v>4515</v>
      </c>
      <c r="F1412" s="1839">
        <v>45322</v>
      </c>
      <c r="G1412" s="1838">
        <v>86701</v>
      </c>
      <c r="H1412" s="1841">
        <f t="shared" si="64"/>
        <v>60</v>
      </c>
      <c r="I1412" s="1838">
        <f t="shared" si="67"/>
        <v>86701</v>
      </c>
      <c r="J1412" s="1838">
        <v>0</v>
      </c>
      <c r="K1412" s="1838">
        <v>0</v>
      </c>
      <c r="L1412" s="1838">
        <v>0</v>
      </c>
      <c r="M1412" s="1838">
        <v>0</v>
      </c>
      <c r="N1412" s="1838" t="s">
        <v>3182</v>
      </c>
      <c r="O1412" s="1838" t="s">
        <v>3183</v>
      </c>
      <c r="P1412" s="1838"/>
    </row>
    <row r="1413" spans="2:16" s="1843" customFormat="1">
      <c r="B1413" s="1838">
        <f t="shared" si="66"/>
        <v>1410</v>
      </c>
      <c r="C1413" s="1838" t="s">
        <v>320</v>
      </c>
      <c r="D1413" s="1838" t="s">
        <v>4513</v>
      </c>
      <c r="E1413" s="1838" t="s">
        <v>4516</v>
      </c>
      <c r="F1413" s="1839">
        <v>45351</v>
      </c>
      <c r="G1413" s="1838">
        <v>689320</v>
      </c>
      <c r="H1413" s="1841">
        <f t="shared" ref="H1413:H1476" si="68">+$H$2-F1413</f>
        <v>31</v>
      </c>
      <c r="I1413" s="1838">
        <f t="shared" si="67"/>
        <v>689320</v>
      </c>
      <c r="J1413" s="1838">
        <v>0</v>
      </c>
      <c r="K1413" s="1838">
        <v>0</v>
      </c>
      <c r="L1413" s="1838">
        <v>0</v>
      </c>
      <c r="M1413" s="1838">
        <v>0</v>
      </c>
      <c r="N1413" s="1838" t="s">
        <v>3182</v>
      </c>
      <c r="O1413" s="1838" t="s">
        <v>3183</v>
      </c>
      <c r="P1413" s="1838"/>
    </row>
    <row r="1414" spans="2:16" s="1843" customFormat="1">
      <c r="B1414" s="1838">
        <f t="shared" ref="B1414:B1477" si="69">+B1413+1</f>
        <v>1411</v>
      </c>
      <c r="C1414" s="1838" t="s">
        <v>320</v>
      </c>
      <c r="D1414" s="1838" t="s">
        <v>4513</v>
      </c>
      <c r="E1414" s="1838" t="s">
        <v>4517</v>
      </c>
      <c r="F1414" s="1839">
        <v>45351</v>
      </c>
      <c r="G1414" s="1838">
        <v>121380</v>
      </c>
      <c r="H1414" s="1841">
        <f t="shared" si="68"/>
        <v>31</v>
      </c>
      <c r="I1414" s="1838">
        <f t="shared" si="67"/>
        <v>121380</v>
      </c>
      <c r="J1414" s="1838">
        <v>0</v>
      </c>
      <c r="K1414" s="1838">
        <v>0</v>
      </c>
      <c r="L1414" s="1838">
        <v>0</v>
      </c>
      <c r="M1414" s="1838">
        <v>0</v>
      </c>
      <c r="N1414" s="1838" t="s">
        <v>3182</v>
      </c>
      <c r="O1414" s="1838" t="s">
        <v>3183</v>
      </c>
      <c r="P1414" s="1838"/>
    </row>
    <row r="1415" spans="2:16" s="1843" customFormat="1">
      <c r="B1415" s="1838">
        <f t="shared" si="69"/>
        <v>1412</v>
      </c>
      <c r="C1415" s="1838" t="s">
        <v>320</v>
      </c>
      <c r="D1415" s="1838" t="s">
        <v>4513</v>
      </c>
      <c r="E1415" s="1838" t="s">
        <v>4518</v>
      </c>
      <c r="F1415" s="1839">
        <v>45351</v>
      </c>
      <c r="G1415" s="1838">
        <v>93385</v>
      </c>
      <c r="H1415" s="1841">
        <f t="shared" si="68"/>
        <v>31</v>
      </c>
      <c r="I1415" s="1838">
        <f t="shared" si="67"/>
        <v>93385</v>
      </c>
      <c r="J1415" s="1838">
        <v>0</v>
      </c>
      <c r="K1415" s="1838">
        <v>0</v>
      </c>
      <c r="L1415" s="1838">
        <v>0</v>
      </c>
      <c r="M1415" s="1838">
        <v>0</v>
      </c>
      <c r="N1415" s="1838" t="s">
        <v>3182</v>
      </c>
      <c r="O1415" s="1838" t="s">
        <v>3183</v>
      </c>
      <c r="P1415" s="1838"/>
    </row>
    <row r="1416" spans="2:16" s="1843" customFormat="1">
      <c r="B1416" s="1838">
        <f t="shared" si="69"/>
        <v>1413</v>
      </c>
      <c r="C1416" s="1838" t="s">
        <v>320</v>
      </c>
      <c r="D1416" s="1838" t="s">
        <v>4513</v>
      </c>
      <c r="E1416" s="1838" t="s">
        <v>4519</v>
      </c>
      <c r="F1416" s="1839">
        <v>45351</v>
      </c>
      <c r="G1416" s="1838">
        <v>34286</v>
      </c>
      <c r="H1416" s="1841">
        <f t="shared" si="68"/>
        <v>31</v>
      </c>
      <c r="I1416" s="1838">
        <f t="shared" si="67"/>
        <v>34286</v>
      </c>
      <c r="J1416" s="1838">
        <v>0</v>
      </c>
      <c r="K1416" s="1838">
        <v>0</v>
      </c>
      <c r="L1416" s="1838">
        <v>0</v>
      </c>
      <c r="M1416" s="1838">
        <v>0</v>
      </c>
      <c r="N1416" s="1838" t="s">
        <v>3182</v>
      </c>
      <c r="O1416" s="1838" t="s">
        <v>3183</v>
      </c>
      <c r="P1416" s="1838"/>
    </row>
    <row r="1417" spans="2:16" s="1843" customFormat="1">
      <c r="B1417" s="1838">
        <f t="shared" si="69"/>
        <v>1414</v>
      </c>
      <c r="C1417" s="1838" t="s">
        <v>320</v>
      </c>
      <c r="D1417" s="1838" t="s">
        <v>4513</v>
      </c>
      <c r="E1417" s="1838" t="s">
        <v>4520</v>
      </c>
      <c r="F1417" s="1839">
        <v>45382</v>
      </c>
      <c r="G1417" s="1838">
        <v>362447</v>
      </c>
      <c r="H1417" s="1841">
        <f t="shared" si="68"/>
        <v>0</v>
      </c>
      <c r="I1417" s="1838">
        <f t="shared" si="67"/>
        <v>362447</v>
      </c>
      <c r="J1417" s="1838">
        <v>0</v>
      </c>
      <c r="K1417" s="1838">
        <v>0</v>
      </c>
      <c r="L1417" s="1838">
        <v>0</v>
      </c>
      <c r="M1417" s="1838">
        <v>0</v>
      </c>
      <c r="N1417" s="1838" t="s">
        <v>3182</v>
      </c>
      <c r="O1417" s="1838" t="s">
        <v>3183</v>
      </c>
      <c r="P1417" s="1838"/>
    </row>
    <row r="1418" spans="2:16" s="1843" customFormat="1">
      <c r="B1418" s="1838">
        <f t="shared" si="69"/>
        <v>1415</v>
      </c>
      <c r="C1418" s="1838" t="s">
        <v>320</v>
      </c>
      <c r="D1418" s="1838" t="s">
        <v>4513</v>
      </c>
      <c r="E1418" s="1838" t="s">
        <v>4521</v>
      </c>
      <c r="F1418" s="1839">
        <v>45382</v>
      </c>
      <c r="G1418" s="1838">
        <v>111520</v>
      </c>
      <c r="H1418" s="1841">
        <f t="shared" si="68"/>
        <v>0</v>
      </c>
      <c r="I1418" s="1838">
        <f t="shared" si="67"/>
        <v>111520</v>
      </c>
      <c r="J1418" s="1838">
        <v>0</v>
      </c>
      <c r="K1418" s="1838">
        <v>0</v>
      </c>
      <c r="L1418" s="1838">
        <v>0</v>
      </c>
      <c r="M1418" s="1838">
        <v>0</v>
      </c>
      <c r="N1418" s="1838" t="s">
        <v>3182</v>
      </c>
      <c r="O1418" s="1838" t="s">
        <v>3183</v>
      </c>
      <c r="P1418" s="1838"/>
    </row>
    <row r="1419" spans="2:16" s="1843" customFormat="1">
      <c r="B1419" s="1838">
        <f t="shared" si="69"/>
        <v>1416</v>
      </c>
      <c r="C1419" s="1838" t="s">
        <v>320</v>
      </c>
      <c r="D1419" s="1838" t="s">
        <v>4513</v>
      </c>
      <c r="E1419" s="1838" t="s">
        <v>4522</v>
      </c>
      <c r="F1419" s="1839">
        <v>45382</v>
      </c>
      <c r="G1419" s="1838">
        <v>256290</v>
      </c>
      <c r="H1419" s="1841">
        <f t="shared" si="68"/>
        <v>0</v>
      </c>
      <c r="I1419" s="1838">
        <f t="shared" si="67"/>
        <v>256290</v>
      </c>
      <c r="J1419" s="1838">
        <v>0</v>
      </c>
      <c r="K1419" s="1838">
        <v>0</v>
      </c>
      <c r="L1419" s="1838">
        <v>0</v>
      </c>
      <c r="M1419" s="1838">
        <v>0</v>
      </c>
      <c r="N1419" s="1838" t="s">
        <v>3182</v>
      </c>
      <c r="O1419" s="1838" t="s">
        <v>3183</v>
      </c>
      <c r="P1419" s="1838"/>
    </row>
    <row r="1420" spans="2:16" s="1843" customFormat="1">
      <c r="B1420" s="1838">
        <f t="shared" si="69"/>
        <v>1417</v>
      </c>
      <c r="C1420" s="1838" t="s">
        <v>320</v>
      </c>
      <c r="D1420" s="1838" t="s">
        <v>4513</v>
      </c>
      <c r="E1420" s="1838" t="s">
        <v>4523</v>
      </c>
      <c r="F1420" s="1839">
        <v>45382</v>
      </c>
      <c r="G1420" s="1838">
        <v>141305</v>
      </c>
      <c r="H1420" s="1841">
        <f t="shared" si="68"/>
        <v>0</v>
      </c>
      <c r="I1420" s="1838">
        <f t="shared" si="67"/>
        <v>141305</v>
      </c>
      <c r="J1420" s="1838">
        <v>0</v>
      </c>
      <c r="K1420" s="1838">
        <v>0</v>
      </c>
      <c r="L1420" s="1838">
        <v>0</v>
      </c>
      <c r="M1420" s="1838">
        <v>0</v>
      </c>
      <c r="N1420" s="1838" t="s">
        <v>3182</v>
      </c>
      <c r="O1420" s="1838" t="s">
        <v>3183</v>
      </c>
      <c r="P1420" s="1838"/>
    </row>
    <row r="1421" spans="2:16" s="1843" customFormat="1">
      <c r="B1421" s="1838">
        <f t="shared" si="69"/>
        <v>1418</v>
      </c>
      <c r="C1421" s="1838" t="s">
        <v>526</v>
      </c>
      <c r="D1421" s="1838" t="s">
        <v>4513</v>
      </c>
      <c r="E1421" s="1838" t="s">
        <v>4524</v>
      </c>
      <c r="F1421" s="1839">
        <v>45351</v>
      </c>
      <c r="G1421" s="1838">
        <v>138750</v>
      </c>
      <c r="H1421" s="1841">
        <f t="shared" si="68"/>
        <v>31</v>
      </c>
      <c r="I1421" s="1838">
        <f t="shared" si="67"/>
        <v>138750</v>
      </c>
      <c r="J1421" s="1838">
        <v>0</v>
      </c>
      <c r="K1421" s="1838">
        <v>0</v>
      </c>
      <c r="L1421" s="1838">
        <v>0</v>
      </c>
      <c r="M1421" s="1838">
        <v>0</v>
      </c>
      <c r="N1421" s="1838" t="s">
        <v>3182</v>
      </c>
      <c r="O1421" s="1838" t="s">
        <v>3183</v>
      </c>
      <c r="P1421" s="1838"/>
    </row>
    <row r="1422" spans="2:16" s="1843" customFormat="1">
      <c r="B1422" s="1838">
        <f t="shared" si="69"/>
        <v>1419</v>
      </c>
      <c r="C1422" s="1838" t="s">
        <v>526</v>
      </c>
      <c r="D1422" s="1838" t="s">
        <v>4513</v>
      </c>
      <c r="E1422" s="1838" t="s">
        <v>4525</v>
      </c>
      <c r="F1422" s="1839">
        <v>45358</v>
      </c>
      <c r="G1422" s="1838">
        <v>97125</v>
      </c>
      <c r="H1422" s="1841">
        <f t="shared" si="68"/>
        <v>24</v>
      </c>
      <c r="I1422" s="1838">
        <f t="shared" si="67"/>
        <v>97125</v>
      </c>
      <c r="J1422" s="1838">
        <v>0</v>
      </c>
      <c r="K1422" s="1838">
        <v>0</v>
      </c>
      <c r="L1422" s="1838">
        <v>0</v>
      </c>
      <c r="M1422" s="1838">
        <v>0</v>
      </c>
      <c r="N1422" s="1838" t="s">
        <v>3182</v>
      </c>
      <c r="O1422" s="1838" t="s">
        <v>3183</v>
      </c>
      <c r="P1422" s="1838"/>
    </row>
    <row r="1423" spans="2:16" s="1843" customFormat="1">
      <c r="B1423" s="1838">
        <f t="shared" si="69"/>
        <v>1420</v>
      </c>
      <c r="C1423" s="1838" t="s">
        <v>526</v>
      </c>
      <c r="D1423" s="1838" t="s">
        <v>4513</v>
      </c>
      <c r="E1423" s="1838" t="s">
        <v>4526</v>
      </c>
      <c r="F1423" s="1839">
        <v>45358</v>
      </c>
      <c r="G1423" s="1838">
        <v>27750</v>
      </c>
      <c r="H1423" s="1841">
        <f t="shared" si="68"/>
        <v>24</v>
      </c>
      <c r="I1423" s="1838">
        <f t="shared" si="67"/>
        <v>27750</v>
      </c>
      <c r="J1423" s="1838">
        <v>0</v>
      </c>
      <c r="K1423" s="1838">
        <v>0</v>
      </c>
      <c r="L1423" s="1838">
        <v>0</v>
      </c>
      <c r="M1423" s="1838">
        <v>0</v>
      </c>
      <c r="N1423" s="1838" t="s">
        <v>3182</v>
      </c>
      <c r="O1423" s="1838" t="s">
        <v>3183</v>
      </c>
      <c r="P1423" s="1838"/>
    </row>
    <row r="1424" spans="2:16" s="1843" customFormat="1">
      <c r="B1424" s="1838">
        <f t="shared" si="69"/>
        <v>1421</v>
      </c>
      <c r="C1424" s="1838" t="s">
        <v>526</v>
      </c>
      <c r="D1424" s="1838" t="s">
        <v>4513</v>
      </c>
      <c r="E1424" s="1838" t="s">
        <v>4527</v>
      </c>
      <c r="F1424" s="1839">
        <v>45377</v>
      </c>
      <c r="G1424" s="1838">
        <v>69375</v>
      </c>
      <c r="H1424" s="1841">
        <f t="shared" si="68"/>
        <v>5</v>
      </c>
      <c r="I1424" s="1838">
        <f t="shared" si="67"/>
        <v>69375</v>
      </c>
      <c r="J1424" s="1838">
        <v>0</v>
      </c>
      <c r="K1424" s="1838">
        <v>0</v>
      </c>
      <c r="L1424" s="1838">
        <v>0</v>
      </c>
      <c r="M1424" s="1838">
        <v>0</v>
      </c>
      <c r="N1424" s="1838" t="s">
        <v>3182</v>
      </c>
      <c r="O1424" s="1838" t="s">
        <v>3183</v>
      </c>
      <c r="P1424" s="1838"/>
    </row>
    <row r="1425" spans="2:16" s="1843" customFormat="1">
      <c r="B1425" s="1838">
        <f t="shared" si="69"/>
        <v>1422</v>
      </c>
      <c r="C1425" s="1838" t="s">
        <v>2979</v>
      </c>
      <c r="D1425" s="1838" t="s">
        <v>4513</v>
      </c>
      <c r="E1425" s="1838" t="s">
        <v>4528</v>
      </c>
      <c r="F1425" s="1839">
        <v>45330</v>
      </c>
      <c r="G1425" s="1838">
        <v>54850</v>
      </c>
      <c r="H1425" s="1841">
        <f t="shared" si="68"/>
        <v>52</v>
      </c>
      <c r="I1425" s="1838">
        <f t="shared" si="67"/>
        <v>54850</v>
      </c>
      <c r="J1425" s="1838">
        <v>0</v>
      </c>
      <c r="K1425" s="1838">
        <v>0</v>
      </c>
      <c r="L1425" s="1838">
        <v>0</v>
      </c>
      <c r="M1425" s="1838">
        <v>0</v>
      </c>
      <c r="N1425" s="1838" t="s">
        <v>3182</v>
      </c>
      <c r="O1425" s="1838" t="s">
        <v>3183</v>
      </c>
      <c r="P1425" s="1838"/>
    </row>
    <row r="1426" spans="2:16" s="1843" customFormat="1">
      <c r="B1426" s="1838">
        <f t="shared" si="69"/>
        <v>1423</v>
      </c>
      <c r="C1426" s="1838" t="s">
        <v>2979</v>
      </c>
      <c r="D1426" s="1838" t="s">
        <v>4513</v>
      </c>
      <c r="E1426" s="1838" t="s">
        <v>4529</v>
      </c>
      <c r="F1426" s="1839">
        <v>45339</v>
      </c>
      <c r="G1426" s="1838">
        <v>38550</v>
      </c>
      <c r="H1426" s="1841">
        <f t="shared" si="68"/>
        <v>43</v>
      </c>
      <c r="I1426" s="1838">
        <f t="shared" si="67"/>
        <v>38550</v>
      </c>
      <c r="J1426" s="1838">
        <v>0</v>
      </c>
      <c r="K1426" s="1838">
        <v>0</v>
      </c>
      <c r="L1426" s="1838">
        <v>0</v>
      </c>
      <c r="M1426" s="1838">
        <v>0</v>
      </c>
      <c r="N1426" s="1838" t="s">
        <v>3182</v>
      </c>
      <c r="O1426" s="1838" t="s">
        <v>3183</v>
      </c>
      <c r="P1426" s="1838"/>
    </row>
    <row r="1427" spans="2:16" s="1843" customFormat="1">
      <c r="B1427" s="1838">
        <f t="shared" si="69"/>
        <v>1424</v>
      </c>
      <c r="C1427" s="1838" t="s">
        <v>4530</v>
      </c>
      <c r="D1427" s="1838" t="s">
        <v>4513</v>
      </c>
      <c r="E1427" s="1838" t="s">
        <v>4531</v>
      </c>
      <c r="F1427" s="1839">
        <v>45382</v>
      </c>
      <c r="G1427" s="1838">
        <v>22492</v>
      </c>
      <c r="H1427" s="1841">
        <f t="shared" si="68"/>
        <v>0</v>
      </c>
      <c r="I1427" s="1838">
        <f t="shared" si="67"/>
        <v>22492</v>
      </c>
      <c r="J1427" s="1838">
        <v>0</v>
      </c>
      <c r="K1427" s="1838">
        <v>0</v>
      </c>
      <c r="L1427" s="1838">
        <v>0</v>
      </c>
      <c r="M1427" s="1838">
        <v>0</v>
      </c>
      <c r="N1427" s="1838" t="s">
        <v>3182</v>
      </c>
      <c r="O1427" s="1838" t="s">
        <v>3183</v>
      </c>
      <c r="P1427" s="1838" t="s">
        <v>3184</v>
      </c>
    </row>
    <row r="1428" spans="2:16" s="649" customFormat="1">
      <c r="B1428" s="1834">
        <f t="shared" si="69"/>
        <v>1425</v>
      </c>
      <c r="C1428" s="1834" t="s">
        <v>452</v>
      </c>
      <c r="D1428" s="1834" t="s">
        <v>4532</v>
      </c>
      <c r="E1428" s="1834" t="s">
        <v>4533</v>
      </c>
      <c r="F1428" s="1835">
        <v>45187</v>
      </c>
      <c r="G1428" s="1834">
        <v>1392000</v>
      </c>
      <c r="H1428" s="1837">
        <f t="shared" si="68"/>
        <v>195</v>
      </c>
      <c r="I1428" s="1834">
        <v>0</v>
      </c>
      <c r="J1428" s="1834">
        <f>+G1428</f>
        <v>1392000</v>
      </c>
      <c r="K1428" s="1834">
        <v>0</v>
      </c>
      <c r="L1428" s="1834">
        <v>0</v>
      </c>
      <c r="M1428" s="1834">
        <v>0</v>
      </c>
      <c r="N1428" s="1834" t="s">
        <v>4534</v>
      </c>
      <c r="O1428" s="1834" t="s">
        <v>3165</v>
      </c>
      <c r="P1428" s="1834"/>
    </row>
    <row r="1429" spans="2:16" s="649" customFormat="1">
      <c r="B1429" s="1834">
        <f t="shared" si="69"/>
        <v>1426</v>
      </c>
      <c r="C1429" s="1834" t="s">
        <v>452</v>
      </c>
      <c r="D1429" s="1834" t="s">
        <v>4532</v>
      </c>
      <c r="E1429" s="1834" t="s">
        <v>4511</v>
      </c>
      <c r="F1429" s="1835">
        <v>45035</v>
      </c>
      <c r="G1429" s="1834">
        <v>-700000</v>
      </c>
      <c r="H1429" s="1837">
        <f t="shared" si="68"/>
        <v>347</v>
      </c>
      <c r="I1429" s="1834">
        <v>0</v>
      </c>
      <c r="J1429" s="1834">
        <f t="shared" ref="J1429:J1434" si="70">+G1429</f>
        <v>-700000</v>
      </c>
      <c r="K1429" s="1834">
        <v>0</v>
      </c>
      <c r="L1429" s="1834">
        <v>0</v>
      </c>
      <c r="M1429" s="1834">
        <v>0</v>
      </c>
      <c r="N1429" s="1834" t="s">
        <v>4534</v>
      </c>
      <c r="O1429" s="1834" t="s">
        <v>3165</v>
      </c>
      <c r="P1429" s="1834"/>
    </row>
    <row r="1430" spans="2:16" s="649" customFormat="1">
      <c r="B1430" s="1834">
        <f t="shared" si="69"/>
        <v>1427</v>
      </c>
      <c r="C1430" s="1834" t="s">
        <v>452</v>
      </c>
      <c r="D1430" s="1834" t="s">
        <v>4532</v>
      </c>
      <c r="E1430" s="1834" t="s">
        <v>4511</v>
      </c>
      <c r="F1430" s="1835">
        <v>45136</v>
      </c>
      <c r="G1430" s="1834">
        <v>-350350</v>
      </c>
      <c r="H1430" s="1837">
        <f t="shared" si="68"/>
        <v>246</v>
      </c>
      <c r="I1430" s="1834">
        <v>0</v>
      </c>
      <c r="J1430" s="1834">
        <f t="shared" si="70"/>
        <v>-350350</v>
      </c>
      <c r="K1430" s="1834">
        <v>0</v>
      </c>
      <c r="L1430" s="1834">
        <v>0</v>
      </c>
      <c r="M1430" s="1834">
        <v>0</v>
      </c>
      <c r="N1430" s="1834" t="s">
        <v>4534</v>
      </c>
      <c r="O1430" s="1834" t="s">
        <v>3165</v>
      </c>
      <c r="P1430" s="1834"/>
    </row>
    <row r="1431" spans="2:16" s="649" customFormat="1">
      <c r="B1431" s="1834">
        <f t="shared" si="69"/>
        <v>1428</v>
      </c>
      <c r="C1431" s="1834" t="s">
        <v>452</v>
      </c>
      <c r="D1431" s="1834" t="s">
        <v>4532</v>
      </c>
      <c r="E1431" s="1834" t="s">
        <v>4535</v>
      </c>
      <c r="F1431" s="1835">
        <v>45138</v>
      </c>
      <c r="G1431" s="1834">
        <v>-93185</v>
      </c>
      <c r="H1431" s="1837">
        <f t="shared" si="68"/>
        <v>244</v>
      </c>
      <c r="I1431" s="1834">
        <v>0</v>
      </c>
      <c r="J1431" s="1834">
        <f t="shared" si="70"/>
        <v>-93185</v>
      </c>
      <c r="K1431" s="1834">
        <v>0</v>
      </c>
      <c r="L1431" s="1834">
        <v>0</v>
      </c>
      <c r="M1431" s="1834">
        <v>0</v>
      </c>
      <c r="N1431" s="1834" t="s">
        <v>4534</v>
      </c>
      <c r="O1431" s="1834" t="s">
        <v>3165</v>
      </c>
      <c r="P1431" s="1834"/>
    </row>
    <row r="1432" spans="2:16" s="649" customFormat="1">
      <c r="B1432" s="1834">
        <f t="shared" si="69"/>
        <v>1429</v>
      </c>
      <c r="C1432" s="1834" t="s">
        <v>452</v>
      </c>
      <c r="D1432" s="1834" t="s">
        <v>4532</v>
      </c>
      <c r="E1432" s="1834" t="s">
        <v>4536</v>
      </c>
      <c r="F1432" s="1835">
        <v>45139</v>
      </c>
      <c r="G1432" s="1834">
        <v>-800</v>
      </c>
      <c r="H1432" s="1837">
        <f t="shared" si="68"/>
        <v>243</v>
      </c>
      <c r="I1432" s="1834">
        <v>0</v>
      </c>
      <c r="J1432" s="1834">
        <f t="shared" si="70"/>
        <v>-800</v>
      </c>
      <c r="K1432" s="1834">
        <v>0</v>
      </c>
      <c r="L1432" s="1834">
        <v>0</v>
      </c>
      <c r="M1432" s="1834">
        <v>0</v>
      </c>
      <c r="N1432" s="1834" t="s">
        <v>4534</v>
      </c>
      <c r="O1432" s="1834" t="s">
        <v>3165</v>
      </c>
      <c r="P1432" s="1834"/>
    </row>
    <row r="1433" spans="2:16" s="649" customFormat="1">
      <c r="B1433" s="1834">
        <f t="shared" si="69"/>
        <v>1430</v>
      </c>
      <c r="C1433" s="1834" t="s">
        <v>452</v>
      </c>
      <c r="D1433" s="1834" t="s">
        <v>4532</v>
      </c>
      <c r="E1433" s="1834" t="s">
        <v>4537</v>
      </c>
      <c r="F1433" s="1835">
        <v>45148</v>
      </c>
      <c r="G1433" s="1834">
        <v>-20540</v>
      </c>
      <c r="H1433" s="1837">
        <f t="shared" si="68"/>
        <v>234</v>
      </c>
      <c r="I1433" s="1834">
        <v>0</v>
      </c>
      <c r="J1433" s="1834">
        <f t="shared" si="70"/>
        <v>-20540</v>
      </c>
      <c r="K1433" s="1834">
        <v>0</v>
      </c>
      <c r="L1433" s="1834">
        <v>0</v>
      </c>
      <c r="M1433" s="1834">
        <v>0</v>
      </c>
      <c r="N1433" s="1834" t="s">
        <v>4534</v>
      </c>
      <c r="O1433" s="1834" t="s">
        <v>3165</v>
      </c>
      <c r="P1433" s="1834"/>
    </row>
    <row r="1434" spans="2:16" s="649" customFormat="1">
      <c r="B1434" s="1834">
        <f t="shared" si="69"/>
        <v>1431</v>
      </c>
      <c r="C1434" s="1834" t="s">
        <v>452</v>
      </c>
      <c r="D1434" s="1834" t="s">
        <v>4532</v>
      </c>
      <c r="E1434" s="1834" t="s">
        <v>4538</v>
      </c>
      <c r="F1434" s="1835">
        <v>45168</v>
      </c>
      <c r="G1434" s="1834">
        <v>-6272</v>
      </c>
      <c r="H1434" s="1837">
        <f t="shared" si="68"/>
        <v>214</v>
      </c>
      <c r="I1434" s="1834">
        <v>0</v>
      </c>
      <c r="J1434" s="1834">
        <f t="shared" si="70"/>
        <v>-6272</v>
      </c>
      <c r="K1434" s="1834">
        <v>0</v>
      </c>
      <c r="L1434" s="1834">
        <v>0</v>
      </c>
      <c r="M1434" s="1834">
        <v>0</v>
      </c>
      <c r="N1434" s="1834" t="s">
        <v>4534</v>
      </c>
      <c r="O1434" s="1834" t="s">
        <v>3165</v>
      </c>
      <c r="P1434" s="1834"/>
    </row>
    <row r="1435" spans="2:16" s="649" customFormat="1">
      <c r="B1435" s="1834">
        <f t="shared" si="69"/>
        <v>1432</v>
      </c>
      <c r="C1435" s="1834" t="s">
        <v>21</v>
      </c>
      <c r="D1435" s="1834" t="s">
        <v>4532</v>
      </c>
      <c r="E1435" s="1834" t="s">
        <v>4539</v>
      </c>
      <c r="F1435" s="1835">
        <v>45323</v>
      </c>
      <c r="G1435" s="1834">
        <v>632914</v>
      </c>
      <c r="H1435" s="1837">
        <f t="shared" si="68"/>
        <v>59</v>
      </c>
      <c r="I1435" s="1834">
        <f t="shared" ref="I1435:I1498" si="71">+G1435</f>
        <v>632914</v>
      </c>
      <c r="J1435" s="1834">
        <v>0</v>
      </c>
      <c r="K1435" s="1834">
        <v>0</v>
      </c>
      <c r="L1435" s="1834">
        <v>0</v>
      </c>
      <c r="M1435" s="1834">
        <v>0</v>
      </c>
      <c r="N1435" s="1834" t="s">
        <v>4540</v>
      </c>
      <c r="O1435" s="1834" t="s">
        <v>3489</v>
      </c>
      <c r="P1435" s="1834"/>
    </row>
    <row r="1436" spans="2:16" s="649" customFormat="1">
      <c r="B1436" s="1834">
        <f t="shared" si="69"/>
        <v>1433</v>
      </c>
      <c r="C1436" s="1834" t="s">
        <v>549</v>
      </c>
      <c r="D1436" s="1834" t="s">
        <v>4532</v>
      </c>
      <c r="E1436" s="1834" t="s">
        <v>4541</v>
      </c>
      <c r="F1436" s="1835">
        <v>45370</v>
      </c>
      <c r="G1436" s="1834">
        <v>54000</v>
      </c>
      <c r="H1436" s="1837">
        <f t="shared" si="68"/>
        <v>12</v>
      </c>
      <c r="I1436" s="1834">
        <f t="shared" si="71"/>
        <v>54000</v>
      </c>
      <c r="J1436" s="1834">
        <v>0</v>
      </c>
      <c r="K1436" s="1834">
        <v>0</v>
      </c>
      <c r="L1436" s="1834">
        <v>0</v>
      </c>
      <c r="M1436" s="1834">
        <v>0</v>
      </c>
      <c r="N1436" s="1834" t="s">
        <v>4542</v>
      </c>
      <c r="O1436" s="1834" t="s">
        <v>3297</v>
      </c>
      <c r="P1436" s="1834"/>
    </row>
    <row r="1437" spans="2:16" s="649" customFormat="1">
      <c r="B1437" s="1834">
        <f t="shared" si="69"/>
        <v>1434</v>
      </c>
      <c r="C1437" s="1834" t="s">
        <v>105</v>
      </c>
      <c r="D1437" s="1834" t="s">
        <v>4532</v>
      </c>
      <c r="E1437" s="1834" t="s">
        <v>4511</v>
      </c>
      <c r="F1437" s="1835">
        <v>45268</v>
      </c>
      <c r="G1437" s="1834">
        <v>-43085</v>
      </c>
      <c r="H1437" s="1837">
        <f t="shared" si="68"/>
        <v>114</v>
      </c>
      <c r="I1437" s="1834">
        <f t="shared" si="71"/>
        <v>-43085</v>
      </c>
      <c r="J1437" s="1834">
        <v>0</v>
      </c>
      <c r="K1437" s="1834">
        <v>0</v>
      </c>
      <c r="L1437" s="1834">
        <v>0</v>
      </c>
      <c r="M1437" s="1834">
        <v>0</v>
      </c>
      <c r="N1437" s="1834" t="s">
        <v>3182</v>
      </c>
      <c r="O1437" s="1834" t="s">
        <v>3183</v>
      </c>
      <c r="P1437" s="1834"/>
    </row>
    <row r="1438" spans="2:16" s="649" customFormat="1">
      <c r="B1438" s="1834">
        <f t="shared" si="69"/>
        <v>1435</v>
      </c>
      <c r="C1438" s="1834" t="s">
        <v>105</v>
      </c>
      <c r="D1438" s="1834" t="s">
        <v>4532</v>
      </c>
      <c r="E1438" s="1834" t="s">
        <v>4543</v>
      </c>
      <c r="F1438" s="1835">
        <v>45291</v>
      </c>
      <c r="G1438" s="1834">
        <v>-30000</v>
      </c>
      <c r="H1438" s="1837">
        <f t="shared" si="68"/>
        <v>91</v>
      </c>
      <c r="I1438" s="1834">
        <f t="shared" si="71"/>
        <v>-30000</v>
      </c>
      <c r="J1438" s="1834">
        <v>0</v>
      </c>
      <c r="K1438" s="1834">
        <v>0</v>
      </c>
      <c r="L1438" s="1834">
        <v>0</v>
      </c>
      <c r="M1438" s="1834">
        <v>0</v>
      </c>
      <c r="N1438" s="1834" t="s">
        <v>3182</v>
      </c>
      <c r="O1438" s="1834" t="s">
        <v>3183</v>
      </c>
      <c r="P1438" s="1834"/>
    </row>
    <row r="1439" spans="2:16" s="1843" customFormat="1">
      <c r="B1439" s="1838">
        <f t="shared" si="69"/>
        <v>1436</v>
      </c>
      <c r="C1439" s="1838" t="s">
        <v>298</v>
      </c>
      <c r="D1439" s="1838" t="s">
        <v>4544</v>
      </c>
      <c r="E1439" s="1838" t="s">
        <v>4545</v>
      </c>
      <c r="F1439" s="1839">
        <v>45300</v>
      </c>
      <c r="G1439" s="1838">
        <v>16992</v>
      </c>
      <c r="H1439" s="1841">
        <f t="shared" si="68"/>
        <v>82</v>
      </c>
      <c r="I1439" s="1838">
        <f t="shared" si="71"/>
        <v>16992</v>
      </c>
      <c r="J1439" s="1838">
        <v>0</v>
      </c>
      <c r="K1439" s="1838">
        <v>0</v>
      </c>
      <c r="L1439" s="1838">
        <v>0</v>
      </c>
      <c r="M1439" s="1838">
        <v>0</v>
      </c>
      <c r="N1439" s="1838" t="s">
        <v>4546</v>
      </c>
      <c r="O1439" s="1838" t="s">
        <v>3297</v>
      </c>
      <c r="P1439" s="1838"/>
    </row>
    <row r="1440" spans="2:16" s="1843" customFormat="1">
      <c r="B1440" s="1838">
        <f t="shared" si="69"/>
        <v>1437</v>
      </c>
      <c r="C1440" s="1838" t="s">
        <v>298</v>
      </c>
      <c r="D1440" s="1838" t="s">
        <v>4544</v>
      </c>
      <c r="E1440" s="1838" t="s">
        <v>4547</v>
      </c>
      <c r="F1440" s="1839">
        <v>45314</v>
      </c>
      <c r="G1440" s="1838">
        <v>32200</v>
      </c>
      <c r="H1440" s="1841">
        <f t="shared" si="68"/>
        <v>68</v>
      </c>
      <c r="I1440" s="1838">
        <f t="shared" si="71"/>
        <v>32200</v>
      </c>
      <c r="J1440" s="1838">
        <v>0</v>
      </c>
      <c r="K1440" s="1838">
        <v>0</v>
      </c>
      <c r="L1440" s="1838">
        <v>0</v>
      </c>
      <c r="M1440" s="1838">
        <v>0</v>
      </c>
      <c r="N1440" s="1838" t="s">
        <v>4546</v>
      </c>
      <c r="O1440" s="1838" t="s">
        <v>3297</v>
      </c>
      <c r="P1440" s="1838"/>
    </row>
    <row r="1441" spans="2:16" s="1843" customFormat="1">
      <c r="B1441" s="1838">
        <f t="shared" si="69"/>
        <v>1438</v>
      </c>
      <c r="C1441" s="1838" t="s">
        <v>298</v>
      </c>
      <c r="D1441" s="1838" t="s">
        <v>4544</v>
      </c>
      <c r="E1441" s="1838" t="s">
        <v>4548</v>
      </c>
      <c r="F1441" s="1839">
        <v>45322</v>
      </c>
      <c r="G1441" s="1838">
        <v>75373</v>
      </c>
      <c r="H1441" s="1841">
        <f t="shared" si="68"/>
        <v>60</v>
      </c>
      <c r="I1441" s="1838">
        <f t="shared" si="71"/>
        <v>75373</v>
      </c>
      <c r="J1441" s="1838">
        <v>0</v>
      </c>
      <c r="K1441" s="1838">
        <v>0</v>
      </c>
      <c r="L1441" s="1838">
        <v>0</v>
      </c>
      <c r="M1441" s="1838">
        <v>0</v>
      </c>
      <c r="N1441" s="1838" t="s">
        <v>4546</v>
      </c>
      <c r="O1441" s="1838" t="s">
        <v>3297</v>
      </c>
      <c r="P1441" s="1838"/>
    </row>
    <row r="1442" spans="2:16" s="1843" customFormat="1">
      <c r="B1442" s="1838">
        <f t="shared" si="69"/>
        <v>1439</v>
      </c>
      <c r="C1442" s="1838" t="s">
        <v>298</v>
      </c>
      <c r="D1442" s="1838" t="s">
        <v>4544</v>
      </c>
      <c r="E1442" s="1838" t="s">
        <v>4549</v>
      </c>
      <c r="F1442" s="1839">
        <v>45337</v>
      </c>
      <c r="G1442" s="1838">
        <v>11264</v>
      </c>
      <c r="H1442" s="1841">
        <f t="shared" si="68"/>
        <v>45</v>
      </c>
      <c r="I1442" s="1838">
        <f t="shared" si="71"/>
        <v>11264</v>
      </c>
      <c r="J1442" s="1838">
        <v>0</v>
      </c>
      <c r="K1442" s="1838">
        <v>0</v>
      </c>
      <c r="L1442" s="1838">
        <v>0</v>
      </c>
      <c r="M1442" s="1838">
        <v>0</v>
      </c>
      <c r="N1442" s="1838" t="s">
        <v>4546</v>
      </c>
      <c r="O1442" s="1838" t="s">
        <v>3297</v>
      </c>
      <c r="P1442" s="1838"/>
    </row>
    <row r="1443" spans="2:16" s="1843" customFormat="1">
      <c r="B1443" s="1838">
        <f t="shared" si="69"/>
        <v>1440</v>
      </c>
      <c r="C1443" s="1838" t="s">
        <v>298</v>
      </c>
      <c r="D1443" s="1838" t="s">
        <v>4544</v>
      </c>
      <c r="E1443" s="1838" t="s">
        <v>4550</v>
      </c>
      <c r="F1443" s="1839">
        <v>45382</v>
      </c>
      <c r="G1443" s="1838">
        <v>33600</v>
      </c>
      <c r="H1443" s="1841">
        <f t="shared" si="68"/>
        <v>0</v>
      </c>
      <c r="I1443" s="1838">
        <f t="shared" si="71"/>
        <v>33600</v>
      </c>
      <c r="J1443" s="1838">
        <v>0</v>
      </c>
      <c r="K1443" s="1838">
        <v>0</v>
      </c>
      <c r="L1443" s="1838">
        <v>0</v>
      </c>
      <c r="M1443" s="1838">
        <v>0</v>
      </c>
      <c r="N1443" s="1838" t="s">
        <v>4546</v>
      </c>
      <c r="O1443" s="1838" t="s">
        <v>3297</v>
      </c>
      <c r="P1443" s="1838"/>
    </row>
    <row r="1444" spans="2:16" s="1843" customFormat="1">
      <c r="B1444" s="1838">
        <f t="shared" si="69"/>
        <v>1441</v>
      </c>
      <c r="C1444" s="1838" t="s">
        <v>7</v>
      </c>
      <c r="D1444" s="1838" t="s">
        <v>4544</v>
      </c>
      <c r="E1444" s="1838" t="s">
        <v>4551</v>
      </c>
      <c r="F1444" s="1839">
        <v>45314</v>
      </c>
      <c r="G1444" s="1838">
        <v>54000</v>
      </c>
      <c r="H1444" s="1841">
        <f t="shared" si="68"/>
        <v>68</v>
      </c>
      <c r="I1444" s="1838">
        <f t="shared" si="71"/>
        <v>54000</v>
      </c>
      <c r="J1444" s="1838">
        <v>0</v>
      </c>
      <c r="K1444" s="1838">
        <v>0</v>
      </c>
      <c r="L1444" s="1838">
        <v>0</v>
      </c>
      <c r="M1444" s="1838">
        <v>0</v>
      </c>
      <c r="N1444" s="1838" t="s">
        <v>4552</v>
      </c>
      <c r="O1444" s="1838" t="s">
        <v>3489</v>
      </c>
      <c r="P1444" s="1838"/>
    </row>
    <row r="1445" spans="2:16" s="1843" customFormat="1">
      <c r="B1445" s="1838">
        <f t="shared" si="69"/>
        <v>1442</v>
      </c>
      <c r="C1445" s="1838" t="s">
        <v>7</v>
      </c>
      <c r="D1445" s="1838" t="s">
        <v>4544</v>
      </c>
      <c r="E1445" s="1838" t="s">
        <v>4553</v>
      </c>
      <c r="F1445" s="1839">
        <v>45335</v>
      </c>
      <c r="G1445" s="1838">
        <v>81000</v>
      </c>
      <c r="H1445" s="1841">
        <f t="shared" si="68"/>
        <v>47</v>
      </c>
      <c r="I1445" s="1838">
        <f t="shared" si="71"/>
        <v>81000</v>
      </c>
      <c r="J1445" s="1838">
        <v>0</v>
      </c>
      <c r="K1445" s="1838">
        <v>0</v>
      </c>
      <c r="L1445" s="1838">
        <v>0</v>
      </c>
      <c r="M1445" s="1838">
        <v>0</v>
      </c>
      <c r="N1445" s="1838" t="s">
        <v>4552</v>
      </c>
      <c r="O1445" s="1838" t="s">
        <v>3489</v>
      </c>
      <c r="P1445" s="1838"/>
    </row>
    <row r="1446" spans="2:16" s="1843" customFormat="1">
      <c r="B1446" s="1838">
        <f t="shared" si="69"/>
        <v>1443</v>
      </c>
      <c r="C1446" s="1838" t="s">
        <v>7</v>
      </c>
      <c r="D1446" s="1838" t="s">
        <v>4544</v>
      </c>
      <c r="E1446" s="1838" t="s">
        <v>4554</v>
      </c>
      <c r="F1446" s="1839">
        <v>45382</v>
      </c>
      <c r="G1446" s="1838">
        <v>54000</v>
      </c>
      <c r="H1446" s="1841">
        <f t="shared" si="68"/>
        <v>0</v>
      </c>
      <c r="I1446" s="1838">
        <f t="shared" si="71"/>
        <v>54000</v>
      </c>
      <c r="J1446" s="1838">
        <v>0</v>
      </c>
      <c r="K1446" s="1838">
        <v>0</v>
      </c>
      <c r="L1446" s="1838">
        <v>0</v>
      </c>
      <c r="M1446" s="1838">
        <v>0</v>
      </c>
      <c r="N1446" s="1838" t="s">
        <v>4552</v>
      </c>
      <c r="O1446" s="1838" t="s">
        <v>3489</v>
      </c>
      <c r="P1446" s="1838"/>
    </row>
    <row r="1447" spans="2:16" s="1843" customFormat="1">
      <c r="B1447" s="1838">
        <f t="shared" si="69"/>
        <v>1444</v>
      </c>
      <c r="C1447" s="1838" t="s">
        <v>7</v>
      </c>
      <c r="D1447" s="1838" t="s">
        <v>4544</v>
      </c>
      <c r="E1447" s="1838" t="s">
        <v>4555</v>
      </c>
      <c r="F1447" s="1839">
        <v>45382</v>
      </c>
      <c r="G1447" s="1838">
        <v>19440</v>
      </c>
      <c r="H1447" s="1841">
        <f t="shared" si="68"/>
        <v>0</v>
      </c>
      <c r="I1447" s="1838">
        <f t="shared" si="71"/>
        <v>19440</v>
      </c>
      <c r="J1447" s="1838">
        <v>0</v>
      </c>
      <c r="K1447" s="1838">
        <v>0</v>
      </c>
      <c r="L1447" s="1838">
        <v>0</v>
      </c>
      <c r="M1447" s="1838">
        <v>0</v>
      </c>
      <c r="N1447" s="1838" t="s">
        <v>4552</v>
      </c>
      <c r="O1447" s="1838" t="s">
        <v>3489</v>
      </c>
      <c r="P1447" s="1838"/>
    </row>
    <row r="1448" spans="2:16" s="1843" customFormat="1">
      <c r="B1448" s="1838">
        <f t="shared" si="69"/>
        <v>1445</v>
      </c>
      <c r="C1448" s="1838" t="s">
        <v>2942</v>
      </c>
      <c r="D1448" s="1838" t="s">
        <v>4544</v>
      </c>
      <c r="E1448" s="1838" t="s">
        <v>4556</v>
      </c>
      <c r="F1448" s="1839">
        <v>45294</v>
      </c>
      <c r="G1448" s="1838">
        <v>115749</v>
      </c>
      <c r="H1448" s="1841">
        <f t="shared" si="68"/>
        <v>88</v>
      </c>
      <c r="I1448" s="1838">
        <f t="shared" si="71"/>
        <v>115749</v>
      </c>
      <c r="J1448" s="1838">
        <v>0</v>
      </c>
      <c r="K1448" s="1838">
        <v>0</v>
      </c>
      <c r="L1448" s="1838">
        <v>0</v>
      </c>
      <c r="M1448" s="1838">
        <v>0</v>
      </c>
      <c r="N1448" s="1838" t="s">
        <v>4557</v>
      </c>
      <c r="O1448" s="1838" t="s">
        <v>3165</v>
      </c>
      <c r="P1448" s="1838"/>
    </row>
    <row r="1449" spans="2:16" s="1843" customFormat="1">
      <c r="B1449" s="1838">
        <f t="shared" si="69"/>
        <v>1446</v>
      </c>
      <c r="C1449" s="1838" t="s">
        <v>69</v>
      </c>
      <c r="D1449" s="1838" t="s">
        <v>4544</v>
      </c>
      <c r="E1449" s="1838" t="s">
        <v>4558</v>
      </c>
      <c r="F1449" s="1839">
        <v>45276</v>
      </c>
      <c r="G1449" s="1838">
        <v>2761</v>
      </c>
      <c r="H1449" s="1841">
        <f t="shared" si="68"/>
        <v>106</v>
      </c>
      <c r="I1449" s="1838">
        <f t="shared" si="71"/>
        <v>2761</v>
      </c>
      <c r="J1449" s="1838">
        <v>0</v>
      </c>
      <c r="K1449" s="1838">
        <v>0</v>
      </c>
      <c r="L1449" s="1838">
        <v>0</v>
      </c>
      <c r="M1449" s="1838">
        <v>0</v>
      </c>
      <c r="N1449" s="1838" t="s">
        <v>4559</v>
      </c>
      <c r="O1449" s="1838" t="s">
        <v>3297</v>
      </c>
      <c r="P1449" s="1838"/>
    </row>
    <row r="1450" spans="2:16" s="1843" customFormat="1">
      <c r="B1450" s="1838">
        <f t="shared" si="69"/>
        <v>1447</v>
      </c>
      <c r="C1450" s="1838" t="s">
        <v>69</v>
      </c>
      <c r="D1450" s="1838" t="s">
        <v>4544</v>
      </c>
      <c r="E1450" s="1838" t="s">
        <v>4560</v>
      </c>
      <c r="F1450" s="1839">
        <v>45281</v>
      </c>
      <c r="G1450" s="1838">
        <v>52551</v>
      </c>
      <c r="H1450" s="1841">
        <f t="shared" si="68"/>
        <v>101</v>
      </c>
      <c r="I1450" s="1838">
        <f t="shared" si="71"/>
        <v>52551</v>
      </c>
      <c r="J1450" s="1838">
        <v>0</v>
      </c>
      <c r="K1450" s="1838">
        <v>0</v>
      </c>
      <c r="L1450" s="1838">
        <v>0</v>
      </c>
      <c r="M1450" s="1838">
        <v>0</v>
      </c>
      <c r="N1450" s="1838" t="s">
        <v>4559</v>
      </c>
      <c r="O1450" s="1838" t="s">
        <v>3297</v>
      </c>
      <c r="P1450" s="1838"/>
    </row>
    <row r="1451" spans="2:16" s="1843" customFormat="1">
      <c r="B1451" s="1838">
        <f t="shared" si="69"/>
        <v>1448</v>
      </c>
      <c r="C1451" s="1838" t="s">
        <v>69</v>
      </c>
      <c r="D1451" s="1838" t="s">
        <v>4544</v>
      </c>
      <c r="E1451" s="1838" t="s">
        <v>4561</v>
      </c>
      <c r="F1451" s="1839">
        <v>45286</v>
      </c>
      <c r="G1451" s="1838">
        <v>274161</v>
      </c>
      <c r="H1451" s="1841">
        <f t="shared" si="68"/>
        <v>96</v>
      </c>
      <c r="I1451" s="1838">
        <f t="shared" si="71"/>
        <v>274161</v>
      </c>
      <c r="J1451" s="1838">
        <v>0</v>
      </c>
      <c r="K1451" s="1838">
        <v>0</v>
      </c>
      <c r="L1451" s="1838">
        <v>0</v>
      </c>
      <c r="M1451" s="1838">
        <v>0</v>
      </c>
      <c r="N1451" s="1838" t="s">
        <v>4559</v>
      </c>
      <c r="O1451" s="1838" t="s">
        <v>3297</v>
      </c>
      <c r="P1451" s="1838"/>
    </row>
    <row r="1452" spans="2:16" s="1843" customFormat="1">
      <c r="B1452" s="1838">
        <f t="shared" si="69"/>
        <v>1449</v>
      </c>
      <c r="C1452" s="1838" t="s">
        <v>69</v>
      </c>
      <c r="D1452" s="1838" t="s">
        <v>4544</v>
      </c>
      <c r="E1452" s="1838" t="s">
        <v>4562</v>
      </c>
      <c r="F1452" s="1839">
        <v>45287</v>
      </c>
      <c r="G1452" s="1838">
        <v>41111</v>
      </c>
      <c r="H1452" s="1841">
        <f t="shared" si="68"/>
        <v>95</v>
      </c>
      <c r="I1452" s="1838">
        <f t="shared" si="71"/>
        <v>41111</v>
      </c>
      <c r="J1452" s="1838">
        <v>0</v>
      </c>
      <c r="K1452" s="1838">
        <v>0</v>
      </c>
      <c r="L1452" s="1838">
        <v>0</v>
      </c>
      <c r="M1452" s="1838">
        <v>0</v>
      </c>
      <c r="N1452" s="1838" t="s">
        <v>4559</v>
      </c>
      <c r="O1452" s="1838" t="s">
        <v>3297</v>
      </c>
      <c r="P1452" s="1838"/>
    </row>
    <row r="1453" spans="2:16" s="1843" customFormat="1">
      <c r="B1453" s="1838">
        <f t="shared" si="69"/>
        <v>1450</v>
      </c>
      <c r="C1453" s="1838" t="s">
        <v>69</v>
      </c>
      <c r="D1453" s="1838" t="s">
        <v>4544</v>
      </c>
      <c r="E1453" s="1838" t="s">
        <v>4563</v>
      </c>
      <c r="F1453" s="1839">
        <v>45288</v>
      </c>
      <c r="G1453" s="1838">
        <v>55224</v>
      </c>
      <c r="H1453" s="1841">
        <f t="shared" si="68"/>
        <v>94</v>
      </c>
      <c r="I1453" s="1838">
        <f t="shared" si="71"/>
        <v>55224</v>
      </c>
      <c r="J1453" s="1838">
        <v>0</v>
      </c>
      <c r="K1453" s="1838">
        <v>0</v>
      </c>
      <c r="L1453" s="1838">
        <v>0</v>
      </c>
      <c r="M1453" s="1838">
        <v>0</v>
      </c>
      <c r="N1453" s="1838" t="s">
        <v>4559</v>
      </c>
      <c r="O1453" s="1838" t="s">
        <v>3297</v>
      </c>
      <c r="P1453" s="1838"/>
    </row>
    <row r="1454" spans="2:16" s="1843" customFormat="1">
      <c r="B1454" s="1838">
        <f t="shared" si="69"/>
        <v>1451</v>
      </c>
      <c r="C1454" s="1838" t="s">
        <v>69</v>
      </c>
      <c r="D1454" s="1838" t="s">
        <v>4544</v>
      </c>
      <c r="E1454" s="1838" t="s">
        <v>4564</v>
      </c>
      <c r="F1454" s="1839">
        <v>45294</v>
      </c>
      <c r="G1454" s="1838">
        <v>5829</v>
      </c>
      <c r="H1454" s="1841">
        <f t="shared" si="68"/>
        <v>88</v>
      </c>
      <c r="I1454" s="1838">
        <f t="shared" si="71"/>
        <v>5829</v>
      </c>
      <c r="J1454" s="1838">
        <v>0</v>
      </c>
      <c r="K1454" s="1838">
        <v>0</v>
      </c>
      <c r="L1454" s="1838">
        <v>0</v>
      </c>
      <c r="M1454" s="1838">
        <v>0</v>
      </c>
      <c r="N1454" s="1838" t="s">
        <v>4559</v>
      </c>
      <c r="O1454" s="1838" t="s">
        <v>3297</v>
      </c>
      <c r="P1454" s="1838"/>
    </row>
    <row r="1455" spans="2:16" s="1843" customFormat="1">
      <c r="B1455" s="1838">
        <f t="shared" si="69"/>
        <v>1452</v>
      </c>
      <c r="C1455" s="1838" t="s">
        <v>69</v>
      </c>
      <c r="D1455" s="1838" t="s">
        <v>4544</v>
      </c>
      <c r="E1455" s="1838" t="s">
        <v>4565</v>
      </c>
      <c r="F1455" s="1839">
        <v>45295</v>
      </c>
      <c r="G1455" s="1838">
        <v>35400</v>
      </c>
      <c r="H1455" s="1841">
        <f t="shared" si="68"/>
        <v>87</v>
      </c>
      <c r="I1455" s="1838">
        <f t="shared" si="71"/>
        <v>35400</v>
      </c>
      <c r="J1455" s="1838">
        <v>0</v>
      </c>
      <c r="K1455" s="1838">
        <v>0</v>
      </c>
      <c r="L1455" s="1838">
        <v>0</v>
      </c>
      <c r="M1455" s="1838">
        <v>0</v>
      </c>
      <c r="N1455" s="1838" t="s">
        <v>4559</v>
      </c>
      <c r="O1455" s="1838" t="s">
        <v>3297</v>
      </c>
      <c r="P1455" s="1838"/>
    </row>
    <row r="1456" spans="2:16" s="1843" customFormat="1">
      <c r="B1456" s="1838">
        <f t="shared" si="69"/>
        <v>1453</v>
      </c>
      <c r="C1456" s="1838" t="s">
        <v>69</v>
      </c>
      <c r="D1456" s="1838" t="s">
        <v>4544</v>
      </c>
      <c r="E1456" s="1838" t="s">
        <v>4566</v>
      </c>
      <c r="F1456" s="1839">
        <v>45296</v>
      </c>
      <c r="G1456" s="1838">
        <v>12656</v>
      </c>
      <c r="H1456" s="1841">
        <f t="shared" si="68"/>
        <v>86</v>
      </c>
      <c r="I1456" s="1838">
        <f t="shared" si="71"/>
        <v>12656</v>
      </c>
      <c r="J1456" s="1838">
        <v>0</v>
      </c>
      <c r="K1456" s="1838">
        <v>0</v>
      </c>
      <c r="L1456" s="1838">
        <v>0</v>
      </c>
      <c r="M1456" s="1838">
        <v>0</v>
      </c>
      <c r="N1456" s="1838" t="s">
        <v>4559</v>
      </c>
      <c r="O1456" s="1838" t="s">
        <v>3297</v>
      </c>
      <c r="P1456" s="1838"/>
    </row>
    <row r="1457" spans="2:16" s="1843" customFormat="1">
      <c r="B1457" s="1838">
        <f t="shared" si="69"/>
        <v>1454</v>
      </c>
      <c r="C1457" s="1838" t="s">
        <v>69</v>
      </c>
      <c r="D1457" s="1838" t="s">
        <v>4544</v>
      </c>
      <c r="E1457" s="1838" t="s">
        <v>4567</v>
      </c>
      <c r="F1457" s="1839">
        <v>45301</v>
      </c>
      <c r="G1457" s="1838">
        <v>85919</v>
      </c>
      <c r="H1457" s="1841">
        <f t="shared" si="68"/>
        <v>81</v>
      </c>
      <c r="I1457" s="1838">
        <f t="shared" si="71"/>
        <v>85919</v>
      </c>
      <c r="J1457" s="1838">
        <v>0</v>
      </c>
      <c r="K1457" s="1838">
        <v>0</v>
      </c>
      <c r="L1457" s="1838">
        <v>0</v>
      </c>
      <c r="M1457" s="1838">
        <v>0</v>
      </c>
      <c r="N1457" s="1838" t="s">
        <v>4559</v>
      </c>
      <c r="O1457" s="1838" t="s">
        <v>3297</v>
      </c>
      <c r="P1457" s="1838"/>
    </row>
    <row r="1458" spans="2:16" s="1843" customFormat="1">
      <c r="B1458" s="1838">
        <f t="shared" si="69"/>
        <v>1455</v>
      </c>
      <c r="C1458" s="1838" t="s">
        <v>69</v>
      </c>
      <c r="D1458" s="1838" t="s">
        <v>4544</v>
      </c>
      <c r="E1458" s="1838" t="s">
        <v>4568</v>
      </c>
      <c r="F1458" s="1839">
        <v>45307</v>
      </c>
      <c r="G1458" s="1838">
        <v>12536</v>
      </c>
      <c r="H1458" s="1841">
        <f t="shared" si="68"/>
        <v>75</v>
      </c>
      <c r="I1458" s="1838">
        <f t="shared" si="71"/>
        <v>12536</v>
      </c>
      <c r="J1458" s="1838">
        <v>0</v>
      </c>
      <c r="K1458" s="1838">
        <v>0</v>
      </c>
      <c r="L1458" s="1838">
        <v>0</v>
      </c>
      <c r="M1458" s="1838">
        <v>0</v>
      </c>
      <c r="N1458" s="1838" t="s">
        <v>4559</v>
      </c>
      <c r="O1458" s="1838" t="s">
        <v>3297</v>
      </c>
      <c r="P1458" s="1838"/>
    </row>
    <row r="1459" spans="2:16" s="1843" customFormat="1">
      <c r="B1459" s="1838">
        <f t="shared" si="69"/>
        <v>1456</v>
      </c>
      <c r="C1459" s="1838" t="s">
        <v>69</v>
      </c>
      <c r="D1459" s="1838" t="s">
        <v>4544</v>
      </c>
      <c r="E1459" s="1838" t="s">
        <v>4569</v>
      </c>
      <c r="F1459" s="1839">
        <v>45311</v>
      </c>
      <c r="G1459" s="1838">
        <v>55006</v>
      </c>
      <c r="H1459" s="1841">
        <f t="shared" si="68"/>
        <v>71</v>
      </c>
      <c r="I1459" s="1838">
        <f t="shared" si="71"/>
        <v>55006</v>
      </c>
      <c r="J1459" s="1838">
        <v>0</v>
      </c>
      <c r="K1459" s="1838">
        <v>0</v>
      </c>
      <c r="L1459" s="1838">
        <v>0</v>
      </c>
      <c r="M1459" s="1838">
        <v>0</v>
      </c>
      <c r="N1459" s="1838" t="s">
        <v>4559</v>
      </c>
      <c r="O1459" s="1838" t="s">
        <v>3297</v>
      </c>
      <c r="P1459" s="1838"/>
    </row>
    <row r="1460" spans="2:16" s="1843" customFormat="1">
      <c r="B1460" s="1838">
        <f t="shared" si="69"/>
        <v>1457</v>
      </c>
      <c r="C1460" s="1838" t="s">
        <v>69</v>
      </c>
      <c r="D1460" s="1838" t="s">
        <v>4544</v>
      </c>
      <c r="E1460" s="1838" t="s">
        <v>4570</v>
      </c>
      <c r="F1460" s="1839">
        <v>45321</v>
      </c>
      <c r="G1460" s="1838">
        <v>11286</v>
      </c>
      <c r="H1460" s="1841">
        <f t="shared" si="68"/>
        <v>61</v>
      </c>
      <c r="I1460" s="1838">
        <f t="shared" si="71"/>
        <v>11286</v>
      </c>
      <c r="J1460" s="1838">
        <v>0</v>
      </c>
      <c r="K1460" s="1838">
        <v>0</v>
      </c>
      <c r="L1460" s="1838">
        <v>0</v>
      </c>
      <c r="M1460" s="1838">
        <v>0</v>
      </c>
      <c r="N1460" s="1838" t="s">
        <v>4559</v>
      </c>
      <c r="O1460" s="1838" t="s">
        <v>3297</v>
      </c>
      <c r="P1460" s="1838"/>
    </row>
    <row r="1461" spans="2:16" s="1843" customFormat="1">
      <c r="B1461" s="1838">
        <f t="shared" si="69"/>
        <v>1458</v>
      </c>
      <c r="C1461" s="1838" t="s">
        <v>69</v>
      </c>
      <c r="D1461" s="1838" t="s">
        <v>4544</v>
      </c>
      <c r="E1461" s="1838" t="s">
        <v>4571</v>
      </c>
      <c r="F1461" s="1839">
        <v>45338</v>
      </c>
      <c r="G1461" s="1838">
        <v>2443</v>
      </c>
      <c r="H1461" s="1841">
        <f t="shared" si="68"/>
        <v>44</v>
      </c>
      <c r="I1461" s="1838">
        <f t="shared" si="71"/>
        <v>2443</v>
      </c>
      <c r="J1461" s="1838">
        <v>0</v>
      </c>
      <c r="K1461" s="1838">
        <v>0</v>
      </c>
      <c r="L1461" s="1838">
        <v>0</v>
      </c>
      <c r="M1461" s="1838">
        <v>0</v>
      </c>
      <c r="N1461" s="1838" t="s">
        <v>4559</v>
      </c>
      <c r="O1461" s="1838" t="s">
        <v>3297</v>
      </c>
      <c r="P1461" s="1838"/>
    </row>
    <row r="1462" spans="2:16" s="1843" customFormat="1">
      <c r="B1462" s="1838">
        <f t="shared" si="69"/>
        <v>1459</v>
      </c>
      <c r="C1462" s="1838" t="s">
        <v>69</v>
      </c>
      <c r="D1462" s="1838" t="s">
        <v>4544</v>
      </c>
      <c r="E1462" s="1838" t="s">
        <v>4572</v>
      </c>
      <c r="F1462" s="1839">
        <v>45350</v>
      </c>
      <c r="G1462" s="1838">
        <v>24072</v>
      </c>
      <c r="H1462" s="1841">
        <f t="shared" si="68"/>
        <v>32</v>
      </c>
      <c r="I1462" s="1838">
        <f t="shared" si="71"/>
        <v>24072</v>
      </c>
      <c r="J1462" s="1838">
        <v>0</v>
      </c>
      <c r="K1462" s="1838">
        <v>0</v>
      </c>
      <c r="L1462" s="1838">
        <v>0</v>
      </c>
      <c r="M1462" s="1838">
        <v>0</v>
      </c>
      <c r="N1462" s="1838" t="s">
        <v>4559</v>
      </c>
      <c r="O1462" s="1838" t="s">
        <v>3297</v>
      </c>
      <c r="P1462" s="1838"/>
    </row>
    <row r="1463" spans="2:16" s="1843" customFormat="1">
      <c r="B1463" s="1838">
        <f t="shared" si="69"/>
        <v>1460</v>
      </c>
      <c r="C1463" s="1838" t="s">
        <v>69</v>
      </c>
      <c r="D1463" s="1838" t="s">
        <v>4544</v>
      </c>
      <c r="E1463" s="1838" t="s">
        <v>4573</v>
      </c>
      <c r="F1463" s="1839">
        <v>45355</v>
      </c>
      <c r="G1463" s="1838">
        <v>86047</v>
      </c>
      <c r="H1463" s="1841">
        <f t="shared" si="68"/>
        <v>27</v>
      </c>
      <c r="I1463" s="1838">
        <f t="shared" si="71"/>
        <v>86047</v>
      </c>
      <c r="J1463" s="1838">
        <v>0</v>
      </c>
      <c r="K1463" s="1838">
        <v>0</v>
      </c>
      <c r="L1463" s="1838">
        <v>0</v>
      </c>
      <c r="M1463" s="1838">
        <v>0</v>
      </c>
      <c r="N1463" s="1838" t="s">
        <v>4559</v>
      </c>
      <c r="O1463" s="1838" t="s">
        <v>3297</v>
      </c>
      <c r="P1463" s="1838"/>
    </row>
    <row r="1464" spans="2:16" s="1843" customFormat="1">
      <c r="B1464" s="1838">
        <f t="shared" si="69"/>
        <v>1461</v>
      </c>
      <c r="C1464" s="1838" t="s">
        <v>377</v>
      </c>
      <c r="D1464" s="1838" t="s">
        <v>4544</v>
      </c>
      <c r="E1464" s="1838" t="s">
        <v>4574</v>
      </c>
      <c r="F1464" s="1839">
        <v>45379</v>
      </c>
      <c r="G1464" s="1838">
        <v>93574</v>
      </c>
      <c r="H1464" s="1841">
        <f t="shared" si="68"/>
        <v>3</v>
      </c>
      <c r="I1464" s="1838">
        <f t="shared" si="71"/>
        <v>93574</v>
      </c>
      <c r="J1464" s="1838">
        <v>0</v>
      </c>
      <c r="K1464" s="1838">
        <v>0</v>
      </c>
      <c r="L1464" s="1838">
        <v>0</v>
      </c>
      <c r="M1464" s="1838">
        <v>0</v>
      </c>
      <c r="N1464" s="1838" t="s">
        <v>4575</v>
      </c>
      <c r="O1464" s="1838" t="s">
        <v>3165</v>
      </c>
      <c r="P1464" s="1838"/>
    </row>
    <row r="1465" spans="2:16" s="1843" customFormat="1">
      <c r="B1465" s="1838">
        <f t="shared" si="69"/>
        <v>1462</v>
      </c>
      <c r="C1465" s="1838" t="s">
        <v>4576</v>
      </c>
      <c r="D1465" s="1838" t="s">
        <v>4544</v>
      </c>
      <c r="E1465" s="1838"/>
      <c r="F1465" s="1839">
        <v>45381</v>
      </c>
      <c r="G1465" s="1838">
        <v>30858</v>
      </c>
      <c r="H1465" s="1841">
        <f t="shared" si="68"/>
        <v>1</v>
      </c>
      <c r="I1465" s="1838">
        <f t="shared" si="71"/>
        <v>30858</v>
      </c>
      <c r="J1465" s="1838">
        <v>0</v>
      </c>
      <c r="K1465" s="1838">
        <v>0</v>
      </c>
      <c r="L1465" s="1838">
        <v>0</v>
      </c>
      <c r="M1465" s="1838">
        <v>0</v>
      </c>
      <c r="N1465" s="1838" t="s">
        <v>3182</v>
      </c>
      <c r="O1465" s="1838" t="s">
        <v>3183</v>
      </c>
      <c r="P1465" s="1838" t="s">
        <v>3184</v>
      </c>
    </row>
    <row r="1466" spans="2:16" s="1843" customFormat="1">
      <c r="B1466" s="1838">
        <f t="shared" si="69"/>
        <v>1463</v>
      </c>
      <c r="C1466" s="1838" t="s">
        <v>4577</v>
      </c>
      <c r="D1466" s="1838" t="s">
        <v>4544</v>
      </c>
      <c r="E1466" s="1838" t="s">
        <v>4578</v>
      </c>
      <c r="F1466" s="1839">
        <v>45382</v>
      </c>
      <c r="G1466" s="1838">
        <v>66909</v>
      </c>
      <c r="H1466" s="1841">
        <f t="shared" si="68"/>
        <v>0</v>
      </c>
      <c r="I1466" s="1838">
        <f t="shared" si="71"/>
        <v>66909</v>
      </c>
      <c r="J1466" s="1838">
        <v>0</v>
      </c>
      <c r="K1466" s="1838">
        <v>0</v>
      </c>
      <c r="L1466" s="1838">
        <v>0</v>
      </c>
      <c r="M1466" s="1838">
        <v>0</v>
      </c>
      <c r="N1466" s="1838" t="s">
        <v>3182</v>
      </c>
      <c r="O1466" s="1838" t="s">
        <v>3183</v>
      </c>
      <c r="P1466" s="1838" t="s">
        <v>3184</v>
      </c>
    </row>
    <row r="1467" spans="2:16" s="1843" customFormat="1">
      <c r="B1467" s="1838">
        <f t="shared" si="69"/>
        <v>1464</v>
      </c>
      <c r="C1467" s="1838" t="s">
        <v>2961</v>
      </c>
      <c r="D1467" s="1838" t="s">
        <v>4544</v>
      </c>
      <c r="E1467" s="1838" t="s">
        <v>4579</v>
      </c>
      <c r="F1467" s="1839">
        <v>45380</v>
      </c>
      <c r="G1467" s="1838">
        <v>23600</v>
      </c>
      <c r="H1467" s="1841">
        <f t="shared" si="68"/>
        <v>2</v>
      </c>
      <c r="I1467" s="1838">
        <f t="shared" si="71"/>
        <v>23600</v>
      </c>
      <c r="J1467" s="1838">
        <v>0</v>
      </c>
      <c r="K1467" s="1838">
        <v>0</v>
      </c>
      <c r="L1467" s="1838">
        <v>0</v>
      </c>
      <c r="M1467" s="1838">
        <v>0</v>
      </c>
      <c r="N1467" s="1838" t="s">
        <v>3182</v>
      </c>
      <c r="O1467" s="1838" t="s">
        <v>3183</v>
      </c>
      <c r="P1467" s="1838" t="s">
        <v>3184</v>
      </c>
    </row>
    <row r="1468" spans="2:16" s="1843" customFormat="1">
      <c r="B1468" s="1838">
        <f t="shared" si="69"/>
        <v>1465</v>
      </c>
      <c r="C1468" s="1838" t="s">
        <v>177</v>
      </c>
      <c r="D1468" s="1838" t="s">
        <v>4544</v>
      </c>
      <c r="E1468" s="1838" t="s">
        <v>3820</v>
      </c>
      <c r="F1468" s="1839">
        <v>45379</v>
      </c>
      <c r="G1468" s="1838">
        <v>156751</v>
      </c>
      <c r="H1468" s="1841">
        <f t="shared" si="68"/>
        <v>3</v>
      </c>
      <c r="I1468" s="1838">
        <f t="shared" si="71"/>
        <v>156751</v>
      </c>
      <c r="J1468" s="1838">
        <v>0</v>
      </c>
      <c r="K1468" s="1838">
        <v>0</v>
      </c>
      <c r="L1468" s="1838">
        <v>0</v>
      </c>
      <c r="M1468" s="1838">
        <v>0</v>
      </c>
      <c r="N1468" s="1838" t="s">
        <v>4580</v>
      </c>
      <c r="O1468" s="1838" t="s">
        <v>3189</v>
      </c>
      <c r="P1468" s="1838"/>
    </row>
    <row r="1469" spans="2:16" s="1843" customFormat="1">
      <c r="B1469" s="1838">
        <f t="shared" si="69"/>
        <v>1466</v>
      </c>
      <c r="C1469" s="1838" t="s">
        <v>180</v>
      </c>
      <c r="D1469" s="1838" t="s">
        <v>4544</v>
      </c>
      <c r="E1469" s="1838" t="s">
        <v>4581</v>
      </c>
      <c r="F1469" s="1839">
        <v>45382</v>
      </c>
      <c r="G1469" s="1838">
        <v>111510</v>
      </c>
      <c r="H1469" s="1841">
        <f t="shared" si="68"/>
        <v>0</v>
      </c>
      <c r="I1469" s="1838">
        <f t="shared" si="71"/>
        <v>111510</v>
      </c>
      <c r="J1469" s="1838">
        <v>0</v>
      </c>
      <c r="K1469" s="1838">
        <v>0</v>
      </c>
      <c r="L1469" s="1838">
        <v>0</v>
      </c>
      <c r="M1469" s="1838">
        <v>0</v>
      </c>
      <c r="N1469" s="1838" t="s">
        <v>4582</v>
      </c>
      <c r="O1469" s="1838" t="s">
        <v>3763</v>
      </c>
      <c r="P1469" s="1838"/>
    </row>
    <row r="1470" spans="2:16" s="1843" customFormat="1">
      <c r="B1470" s="1838">
        <f t="shared" si="69"/>
        <v>1467</v>
      </c>
      <c r="C1470" s="1838" t="s">
        <v>434</v>
      </c>
      <c r="D1470" s="1838" t="s">
        <v>4544</v>
      </c>
      <c r="E1470" s="1838" t="s">
        <v>4583</v>
      </c>
      <c r="F1470" s="1839">
        <v>45253</v>
      </c>
      <c r="G1470" s="1838">
        <v>175160</v>
      </c>
      <c r="H1470" s="1841">
        <f t="shared" si="68"/>
        <v>129</v>
      </c>
      <c r="I1470" s="1838">
        <f t="shared" si="71"/>
        <v>175160</v>
      </c>
      <c r="J1470" s="1838">
        <v>0</v>
      </c>
      <c r="K1470" s="1838">
        <v>0</v>
      </c>
      <c r="L1470" s="1838">
        <v>0</v>
      </c>
      <c r="M1470" s="1838">
        <v>0</v>
      </c>
      <c r="N1470" s="1838" t="s">
        <v>4584</v>
      </c>
      <c r="O1470" s="1838" t="s">
        <v>3340</v>
      </c>
      <c r="P1470" s="1838"/>
    </row>
    <row r="1471" spans="2:16" s="1843" customFormat="1">
      <c r="B1471" s="1838">
        <f t="shared" si="69"/>
        <v>1468</v>
      </c>
      <c r="C1471" s="1838" t="s">
        <v>434</v>
      </c>
      <c r="D1471" s="1838" t="s">
        <v>4544</v>
      </c>
      <c r="E1471" s="1838"/>
      <c r="F1471" s="1839">
        <v>45260</v>
      </c>
      <c r="G1471" s="1838">
        <v>-12390</v>
      </c>
      <c r="H1471" s="1841">
        <f t="shared" si="68"/>
        <v>122</v>
      </c>
      <c r="I1471" s="1838">
        <f t="shared" si="71"/>
        <v>-12390</v>
      </c>
      <c r="J1471" s="1838">
        <v>0</v>
      </c>
      <c r="K1471" s="1838">
        <v>0</v>
      </c>
      <c r="L1471" s="1838">
        <v>0</v>
      </c>
      <c r="M1471" s="1838">
        <v>0</v>
      </c>
      <c r="N1471" s="1838" t="s">
        <v>4584</v>
      </c>
      <c r="O1471" s="1838" t="s">
        <v>3340</v>
      </c>
      <c r="P1471" s="1838"/>
    </row>
    <row r="1472" spans="2:16" s="1843" customFormat="1">
      <c r="B1472" s="1838">
        <f t="shared" si="69"/>
        <v>1469</v>
      </c>
      <c r="C1472" s="1838" t="s">
        <v>434</v>
      </c>
      <c r="D1472" s="1838" t="s">
        <v>4544</v>
      </c>
      <c r="E1472" s="1838" t="s">
        <v>4585</v>
      </c>
      <c r="F1472" s="1839">
        <v>45324</v>
      </c>
      <c r="G1472" s="1838">
        <v>591600</v>
      </c>
      <c r="H1472" s="1841">
        <f t="shared" si="68"/>
        <v>58</v>
      </c>
      <c r="I1472" s="1838">
        <f t="shared" si="71"/>
        <v>591600</v>
      </c>
      <c r="J1472" s="1838">
        <v>0</v>
      </c>
      <c r="K1472" s="1838">
        <v>0</v>
      </c>
      <c r="L1472" s="1838">
        <v>0</v>
      </c>
      <c r="M1472" s="1838">
        <v>0</v>
      </c>
      <c r="N1472" s="1838" t="s">
        <v>4584</v>
      </c>
      <c r="O1472" s="1838" t="s">
        <v>3340</v>
      </c>
      <c r="P1472" s="1838"/>
    </row>
    <row r="1473" spans="2:16" s="1843" customFormat="1">
      <c r="B1473" s="1838">
        <f t="shared" si="69"/>
        <v>1470</v>
      </c>
      <c r="C1473" s="1838" t="s">
        <v>223</v>
      </c>
      <c r="D1473" s="1838" t="s">
        <v>4544</v>
      </c>
      <c r="E1473" s="1838" t="s">
        <v>4586</v>
      </c>
      <c r="F1473" s="1839">
        <v>45381</v>
      </c>
      <c r="G1473" s="1838">
        <v>3154</v>
      </c>
      <c r="H1473" s="1841">
        <f t="shared" si="68"/>
        <v>1</v>
      </c>
      <c r="I1473" s="1838">
        <f t="shared" si="71"/>
        <v>3154</v>
      </c>
      <c r="J1473" s="1838">
        <v>0</v>
      </c>
      <c r="K1473" s="1838">
        <v>0</v>
      </c>
      <c r="L1473" s="1838">
        <v>0</v>
      </c>
      <c r="M1473" s="1838">
        <v>0</v>
      </c>
      <c r="N1473" s="1838" t="s">
        <v>3182</v>
      </c>
      <c r="O1473" s="1838" t="s">
        <v>3183</v>
      </c>
      <c r="P1473" s="1838" t="s">
        <v>3184</v>
      </c>
    </row>
    <row r="1474" spans="2:16" s="1843" customFormat="1">
      <c r="B1474" s="1838">
        <f t="shared" si="69"/>
        <v>1471</v>
      </c>
      <c r="C1474" s="1838" t="s">
        <v>2971</v>
      </c>
      <c r="D1474" s="1838" t="s">
        <v>4544</v>
      </c>
      <c r="E1474" s="1838" t="s">
        <v>4587</v>
      </c>
      <c r="F1474" s="1839">
        <v>45335</v>
      </c>
      <c r="G1474" s="1838">
        <v>135000</v>
      </c>
      <c r="H1474" s="1841">
        <f t="shared" si="68"/>
        <v>47</v>
      </c>
      <c r="I1474" s="1838">
        <f t="shared" si="71"/>
        <v>135000</v>
      </c>
      <c r="J1474" s="1838">
        <v>0</v>
      </c>
      <c r="K1474" s="1838">
        <v>0</v>
      </c>
      <c r="L1474" s="1838">
        <v>0</v>
      </c>
      <c r="M1474" s="1838">
        <v>0</v>
      </c>
      <c r="N1474" s="1838" t="s">
        <v>4588</v>
      </c>
      <c r="O1474" s="1838" t="s">
        <v>3763</v>
      </c>
      <c r="P1474" s="1838"/>
    </row>
    <row r="1475" spans="2:16" s="1843" customFormat="1">
      <c r="B1475" s="1838">
        <f t="shared" si="69"/>
        <v>1472</v>
      </c>
      <c r="C1475" s="1838" t="s">
        <v>2981</v>
      </c>
      <c r="D1475" s="1838" t="s">
        <v>4544</v>
      </c>
      <c r="E1475" s="1838" t="s">
        <v>4589</v>
      </c>
      <c r="F1475" s="1839">
        <v>45360</v>
      </c>
      <c r="G1475" s="1838">
        <v>39629</v>
      </c>
      <c r="H1475" s="1841">
        <f t="shared" si="68"/>
        <v>22</v>
      </c>
      <c r="I1475" s="1838">
        <f t="shared" si="71"/>
        <v>39629</v>
      </c>
      <c r="J1475" s="1838">
        <v>0</v>
      </c>
      <c r="K1475" s="1838">
        <v>0</v>
      </c>
      <c r="L1475" s="1838">
        <v>0</v>
      </c>
      <c r="M1475" s="1838">
        <v>0</v>
      </c>
      <c r="N1475" s="1838" t="s">
        <v>4590</v>
      </c>
      <c r="O1475" s="1838" t="s">
        <v>3189</v>
      </c>
      <c r="P1475" s="1838"/>
    </row>
    <row r="1476" spans="2:16" s="1843" customFormat="1">
      <c r="B1476" s="1838">
        <f t="shared" si="69"/>
        <v>1473</v>
      </c>
      <c r="C1476" s="1838" t="s">
        <v>2978</v>
      </c>
      <c r="D1476" s="1838" t="s">
        <v>4544</v>
      </c>
      <c r="E1476" s="1838" t="s">
        <v>4591</v>
      </c>
      <c r="F1476" s="1839">
        <v>45356</v>
      </c>
      <c r="G1476" s="1838">
        <v>40020</v>
      </c>
      <c r="H1476" s="1841">
        <f t="shared" si="68"/>
        <v>26</v>
      </c>
      <c r="I1476" s="1838">
        <f t="shared" si="71"/>
        <v>40020</v>
      </c>
      <c r="J1476" s="1838">
        <v>0</v>
      </c>
      <c r="K1476" s="1838">
        <v>0</v>
      </c>
      <c r="L1476" s="1838">
        <v>0</v>
      </c>
      <c r="M1476" s="1838">
        <v>0</v>
      </c>
      <c r="N1476" s="1838" t="s">
        <v>4592</v>
      </c>
      <c r="O1476" s="1838" t="s">
        <v>3297</v>
      </c>
      <c r="P1476" s="1838"/>
    </row>
    <row r="1477" spans="2:16" s="1843" customFormat="1">
      <c r="B1477" s="1838">
        <f t="shared" si="69"/>
        <v>1474</v>
      </c>
      <c r="C1477" s="1838" t="s">
        <v>188</v>
      </c>
      <c r="D1477" s="1838" t="s">
        <v>4544</v>
      </c>
      <c r="E1477" s="1838" t="s">
        <v>4593</v>
      </c>
      <c r="F1477" s="1839">
        <v>45272</v>
      </c>
      <c r="G1477" s="1838">
        <v>20776</v>
      </c>
      <c r="H1477" s="1841">
        <f t="shared" ref="H1477:H1540" si="72">+$H$2-F1477</f>
        <v>110</v>
      </c>
      <c r="I1477" s="1838">
        <f t="shared" si="71"/>
        <v>20776</v>
      </c>
      <c r="J1477" s="1838">
        <v>0</v>
      </c>
      <c r="K1477" s="1838">
        <v>0</v>
      </c>
      <c r="L1477" s="1838">
        <v>0</v>
      </c>
      <c r="M1477" s="1838">
        <v>0</v>
      </c>
      <c r="N1477" s="1838" t="s">
        <v>3182</v>
      </c>
      <c r="O1477" s="1838" t="s">
        <v>3183</v>
      </c>
      <c r="P1477" s="1838"/>
    </row>
    <row r="1478" spans="2:16" s="1843" customFormat="1">
      <c r="B1478" s="1838">
        <f t="shared" ref="B1478:B1541" si="73">+B1477+1</f>
        <v>1475</v>
      </c>
      <c r="C1478" s="1838" t="s">
        <v>188</v>
      </c>
      <c r="D1478" s="1838" t="s">
        <v>4544</v>
      </c>
      <c r="E1478" s="1838" t="s">
        <v>4594</v>
      </c>
      <c r="F1478" s="1839">
        <v>45272</v>
      </c>
      <c r="G1478" s="1838">
        <v>62950</v>
      </c>
      <c r="H1478" s="1841">
        <f t="shared" si="72"/>
        <v>110</v>
      </c>
      <c r="I1478" s="1838">
        <f t="shared" si="71"/>
        <v>62950</v>
      </c>
      <c r="J1478" s="1838">
        <v>0</v>
      </c>
      <c r="K1478" s="1838">
        <v>0</v>
      </c>
      <c r="L1478" s="1838">
        <v>0</v>
      </c>
      <c r="M1478" s="1838">
        <v>0</v>
      </c>
      <c r="N1478" s="1838" t="s">
        <v>3182</v>
      </c>
      <c r="O1478" s="1838" t="s">
        <v>3183</v>
      </c>
      <c r="P1478" s="1838"/>
    </row>
    <row r="1479" spans="2:16" s="1843" customFormat="1">
      <c r="B1479" s="1838">
        <f t="shared" si="73"/>
        <v>1476</v>
      </c>
      <c r="C1479" s="1838" t="s">
        <v>188</v>
      </c>
      <c r="D1479" s="1838" t="s">
        <v>4544</v>
      </c>
      <c r="E1479" s="1838" t="s">
        <v>4595</v>
      </c>
      <c r="F1479" s="1839">
        <v>45272</v>
      </c>
      <c r="G1479" s="1838">
        <v>30068</v>
      </c>
      <c r="H1479" s="1841">
        <f t="shared" si="72"/>
        <v>110</v>
      </c>
      <c r="I1479" s="1838">
        <f t="shared" si="71"/>
        <v>30068</v>
      </c>
      <c r="J1479" s="1838">
        <v>0</v>
      </c>
      <c r="K1479" s="1838">
        <v>0</v>
      </c>
      <c r="L1479" s="1838">
        <v>0</v>
      </c>
      <c r="M1479" s="1838">
        <v>0</v>
      </c>
      <c r="N1479" s="1838" t="s">
        <v>3182</v>
      </c>
      <c r="O1479" s="1838" t="s">
        <v>3183</v>
      </c>
      <c r="P1479" s="1838"/>
    </row>
    <row r="1480" spans="2:16" s="1843" customFormat="1">
      <c r="B1480" s="1838">
        <f t="shared" si="73"/>
        <v>1477</v>
      </c>
      <c r="C1480" s="1838" t="s">
        <v>188</v>
      </c>
      <c r="D1480" s="1838" t="s">
        <v>4544</v>
      </c>
      <c r="E1480" s="1838" t="s">
        <v>4596</v>
      </c>
      <c r="F1480" s="1839">
        <v>45274</v>
      </c>
      <c r="G1480" s="1838">
        <v>81597</v>
      </c>
      <c r="H1480" s="1841">
        <f t="shared" si="72"/>
        <v>108</v>
      </c>
      <c r="I1480" s="1838">
        <f t="shared" si="71"/>
        <v>81597</v>
      </c>
      <c r="J1480" s="1838">
        <v>0</v>
      </c>
      <c r="K1480" s="1838">
        <v>0</v>
      </c>
      <c r="L1480" s="1838">
        <v>0</v>
      </c>
      <c r="M1480" s="1838">
        <v>0</v>
      </c>
      <c r="N1480" s="1838" t="s">
        <v>3182</v>
      </c>
      <c r="O1480" s="1838" t="s">
        <v>3183</v>
      </c>
      <c r="P1480" s="1838"/>
    </row>
    <row r="1481" spans="2:16" s="1843" customFormat="1">
      <c r="B1481" s="1838">
        <f t="shared" si="73"/>
        <v>1478</v>
      </c>
      <c r="C1481" s="1838" t="s">
        <v>188</v>
      </c>
      <c r="D1481" s="1838" t="s">
        <v>4544</v>
      </c>
      <c r="E1481" s="1838" t="s">
        <v>4597</v>
      </c>
      <c r="F1481" s="1839">
        <v>45275</v>
      </c>
      <c r="G1481" s="1838">
        <v>32482</v>
      </c>
      <c r="H1481" s="1841">
        <f t="shared" si="72"/>
        <v>107</v>
      </c>
      <c r="I1481" s="1838">
        <f t="shared" si="71"/>
        <v>32482</v>
      </c>
      <c r="J1481" s="1838">
        <v>0</v>
      </c>
      <c r="K1481" s="1838">
        <v>0</v>
      </c>
      <c r="L1481" s="1838">
        <v>0</v>
      </c>
      <c r="M1481" s="1838">
        <v>0</v>
      </c>
      <c r="N1481" s="1838" t="s">
        <v>3182</v>
      </c>
      <c r="O1481" s="1838" t="s">
        <v>3183</v>
      </c>
      <c r="P1481" s="1838"/>
    </row>
    <row r="1482" spans="2:16" s="1843" customFormat="1">
      <c r="B1482" s="1838">
        <f t="shared" si="73"/>
        <v>1479</v>
      </c>
      <c r="C1482" s="1838" t="s">
        <v>188</v>
      </c>
      <c r="D1482" s="1838" t="s">
        <v>4544</v>
      </c>
      <c r="E1482" s="1838" t="s">
        <v>4598</v>
      </c>
      <c r="F1482" s="1839">
        <v>45275</v>
      </c>
      <c r="G1482" s="1838">
        <v>14903</v>
      </c>
      <c r="H1482" s="1841">
        <f t="shared" si="72"/>
        <v>107</v>
      </c>
      <c r="I1482" s="1838">
        <f t="shared" si="71"/>
        <v>14903</v>
      </c>
      <c r="J1482" s="1838">
        <v>0</v>
      </c>
      <c r="K1482" s="1838">
        <v>0</v>
      </c>
      <c r="L1482" s="1838">
        <v>0</v>
      </c>
      <c r="M1482" s="1838">
        <v>0</v>
      </c>
      <c r="N1482" s="1838" t="s">
        <v>3182</v>
      </c>
      <c r="O1482" s="1838" t="s">
        <v>3183</v>
      </c>
      <c r="P1482" s="1838"/>
    </row>
    <row r="1483" spans="2:16" s="1843" customFormat="1">
      <c r="B1483" s="1838">
        <f t="shared" si="73"/>
        <v>1480</v>
      </c>
      <c r="C1483" s="1838" t="s">
        <v>188</v>
      </c>
      <c r="D1483" s="1838" t="s">
        <v>4544</v>
      </c>
      <c r="E1483" s="1838" t="s">
        <v>4599</v>
      </c>
      <c r="F1483" s="1839">
        <v>45279</v>
      </c>
      <c r="G1483" s="1838">
        <v>18526</v>
      </c>
      <c r="H1483" s="1841">
        <f t="shared" si="72"/>
        <v>103</v>
      </c>
      <c r="I1483" s="1838">
        <f t="shared" si="71"/>
        <v>18526</v>
      </c>
      <c r="J1483" s="1838">
        <v>0</v>
      </c>
      <c r="K1483" s="1838">
        <v>0</v>
      </c>
      <c r="L1483" s="1838">
        <v>0</v>
      </c>
      <c r="M1483" s="1838">
        <v>0</v>
      </c>
      <c r="N1483" s="1838" t="s">
        <v>3182</v>
      </c>
      <c r="O1483" s="1838" t="s">
        <v>3183</v>
      </c>
      <c r="P1483" s="1838"/>
    </row>
    <row r="1484" spans="2:16" s="1843" customFormat="1">
      <c r="B1484" s="1838">
        <f t="shared" si="73"/>
        <v>1481</v>
      </c>
      <c r="C1484" s="1838" t="s">
        <v>188</v>
      </c>
      <c r="D1484" s="1838" t="s">
        <v>4544</v>
      </c>
      <c r="E1484" s="1838" t="s">
        <v>4600</v>
      </c>
      <c r="F1484" s="1839">
        <v>45280</v>
      </c>
      <c r="G1484" s="1838">
        <v>11623</v>
      </c>
      <c r="H1484" s="1841">
        <f t="shared" si="72"/>
        <v>102</v>
      </c>
      <c r="I1484" s="1838">
        <f t="shared" si="71"/>
        <v>11623</v>
      </c>
      <c r="J1484" s="1838">
        <v>0</v>
      </c>
      <c r="K1484" s="1838">
        <v>0</v>
      </c>
      <c r="L1484" s="1838">
        <v>0</v>
      </c>
      <c r="M1484" s="1838">
        <v>0</v>
      </c>
      <c r="N1484" s="1838" t="s">
        <v>3182</v>
      </c>
      <c r="O1484" s="1838" t="s">
        <v>3183</v>
      </c>
      <c r="P1484" s="1838"/>
    </row>
    <row r="1485" spans="2:16" s="1843" customFormat="1">
      <c r="B1485" s="1838">
        <f t="shared" si="73"/>
        <v>1482</v>
      </c>
      <c r="C1485" s="1838" t="s">
        <v>188</v>
      </c>
      <c r="D1485" s="1838" t="s">
        <v>4544</v>
      </c>
      <c r="E1485" s="1838" t="s">
        <v>4601</v>
      </c>
      <c r="F1485" s="1839">
        <v>45287</v>
      </c>
      <c r="G1485" s="1838">
        <v>10502</v>
      </c>
      <c r="H1485" s="1841">
        <f t="shared" si="72"/>
        <v>95</v>
      </c>
      <c r="I1485" s="1838">
        <f t="shared" si="71"/>
        <v>10502</v>
      </c>
      <c r="J1485" s="1838">
        <v>0</v>
      </c>
      <c r="K1485" s="1838">
        <v>0</v>
      </c>
      <c r="L1485" s="1838">
        <v>0</v>
      </c>
      <c r="M1485" s="1838">
        <v>0</v>
      </c>
      <c r="N1485" s="1838" t="s">
        <v>3182</v>
      </c>
      <c r="O1485" s="1838" t="s">
        <v>3183</v>
      </c>
      <c r="P1485" s="1838"/>
    </row>
    <row r="1486" spans="2:16" s="1843" customFormat="1">
      <c r="B1486" s="1838">
        <f t="shared" si="73"/>
        <v>1483</v>
      </c>
      <c r="C1486" s="1838" t="s">
        <v>188</v>
      </c>
      <c r="D1486" s="1838" t="s">
        <v>4544</v>
      </c>
      <c r="E1486" s="1838" t="s">
        <v>4602</v>
      </c>
      <c r="F1486" s="1839">
        <v>45296</v>
      </c>
      <c r="G1486" s="1838">
        <v>66113</v>
      </c>
      <c r="H1486" s="1841">
        <f t="shared" si="72"/>
        <v>86</v>
      </c>
      <c r="I1486" s="1838">
        <f t="shared" si="71"/>
        <v>66113</v>
      </c>
      <c r="J1486" s="1838">
        <v>0</v>
      </c>
      <c r="K1486" s="1838">
        <v>0</v>
      </c>
      <c r="L1486" s="1838">
        <v>0</v>
      </c>
      <c r="M1486" s="1838">
        <v>0</v>
      </c>
      <c r="N1486" s="1838" t="s">
        <v>3182</v>
      </c>
      <c r="O1486" s="1838" t="s">
        <v>3183</v>
      </c>
      <c r="P1486" s="1838"/>
    </row>
    <row r="1487" spans="2:16" s="1843" customFormat="1">
      <c r="B1487" s="1838">
        <f t="shared" si="73"/>
        <v>1484</v>
      </c>
      <c r="C1487" s="1838" t="s">
        <v>188</v>
      </c>
      <c r="D1487" s="1838" t="s">
        <v>4544</v>
      </c>
      <c r="E1487" s="1838" t="s">
        <v>4603</v>
      </c>
      <c r="F1487" s="1839">
        <v>45296</v>
      </c>
      <c r="G1487" s="1838">
        <v>3068</v>
      </c>
      <c r="H1487" s="1841">
        <f t="shared" si="72"/>
        <v>86</v>
      </c>
      <c r="I1487" s="1838">
        <f t="shared" si="71"/>
        <v>3068</v>
      </c>
      <c r="J1487" s="1838">
        <v>0</v>
      </c>
      <c r="K1487" s="1838">
        <v>0</v>
      </c>
      <c r="L1487" s="1838">
        <v>0</v>
      </c>
      <c r="M1487" s="1838">
        <v>0</v>
      </c>
      <c r="N1487" s="1838" t="s">
        <v>3182</v>
      </c>
      <c r="O1487" s="1838" t="s">
        <v>3183</v>
      </c>
      <c r="P1487" s="1838"/>
    </row>
    <row r="1488" spans="2:16" s="1843" customFormat="1">
      <c r="B1488" s="1838">
        <f t="shared" si="73"/>
        <v>1485</v>
      </c>
      <c r="C1488" s="1838" t="s">
        <v>188</v>
      </c>
      <c r="D1488" s="1838" t="s">
        <v>4544</v>
      </c>
      <c r="E1488" s="1838" t="s">
        <v>4604</v>
      </c>
      <c r="F1488" s="1839">
        <v>45310</v>
      </c>
      <c r="G1488" s="1838">
        <v>7523</v>
      </c>
      <c r="H1488" s="1841">
        <f t="shared" si="72"/>
        <v>72</v>
      </c>
      <c r="I1488" s="1838">
        <f t="shared" si="71"/>
        <v>7523</v>
      </c>
      <c r="J1488" s="1838">
        <v>0</v>
      </c>
      <c r="K1488" s="1838">
        <v>0</v>
      </c>
      <c r="L1488" s="1838">
        <v>0</v>
      </c>
      <c r="M1488" s="1838">
        <v>0</v>
      </c>
      <c r="N1488" s="1838" t="s">
        <v>3182</v>
      </c>
      <c r="O1488" s="1838" t="s">
        <v>3183</v>
      </c>
      <c r="P1488" s="1838"/>
    </row>
    <row r="1489" spans="2:16" s="1843" customFormat="1">
      <c r="B1489" s="1838">
        <f t="shared" si="73"/>
        <v>1486</v>
      </c>
      <c r="C1489" s="1838" t="s">
        <v>188</v>
      </c>
      <c r="D1489" s="1838" t="s">
        <v>4544</v>
      </c>
      <c r="E1489" s="1838" t="s">
        <v>4605</v>
      </c>
      <c r="F1489" s="1839">
        <v>45311</v>
      </c>
      <c r="G1489" s="1838">
        <v>5880</v>
      </c>
      <c r="H1489" s="1841">
        <f t="shared" si="72"/>
        <v>71</v>
      </c>
      <c r="I1489" s="1838">
        <f t="shared" si="71"/>
        <v>5880</v>
      </c>
      <c r="J1489" s="1838">
        <v>0</v>
      </c>
      <c r="K1489" s="1838">
        <v>0</v>
      </c>
      <c r="L1489" s="1838">
        <v>0</v>
      </c>
      <c r="M1489" s="1838">
        <v>0</v>
      </c>
      <c r="N1489" s="1838" t="s">
        <v>3182</v>
      </c>
      <c r="O1489" s="1838" t="s">
        <v>3183</v>
      </c>
      <c r="P1489" s="1838"/>
    </row>
    <row r="1490" spans="2:16" s="1843" customFormat="1">
      <c r="B1490" s="1838">
        <f t="shared" si="73"/>
        <v>1487</v>
      </c>
      <c r="C1490" s="1838" t="s">
        <v>188</v>
      </c>
      <c r="D1490" s="1838" t="s">
        <v>4544</v>
      </c>
      <c r="E1490" s="1838" t="s">
        <v>4606</v>
      </c>
      <c r="F1490" s="1839">
        <v>45329</v>
      </c>
      <c r="G1490" s="1838">
        <v>4295</v>
      </c>
      <c r="H1490" s="1841">
        <f t="shared" si="72"/>
        <v>53</v>
      </c>
      <c r="I1490" s="1838">
        <f t="shared" si="71"/>
        <v>4295</v>
      </c>
      <c r="J1490" s="1838">
        <v>0</v>
      </c>
      <c r="K1490" s="1838">
        <v>0</v>
      </c>
      <c r="L1490" s="1838">
        <v>0</v>
      </c>
      <c r="M1490" s="1838">
        <v>0</v>
      </c>
      <c r="N1490" s="1838" t="s">
        <v>3182</v>
      </c>
      <c r="O1490" s="1838" t="s">
        <v>3183</v>
      </c>
      <c r="P1490" s="1838"/>
    </row>
    <row r="1491" spans="2:16" s="1843" customFormat="1">
      <c r="B1491" s="1838">
        <f t="shared" si="73"/>
        <v>1488</v>
      </c>
      <c r="C1491" s="1838" t="s">
        <v>188</v>
      </c>
      <c r="D1491" s="1838" t="s">
        <v>4544</v>
      </c>
      <c r="E1491" s="1838" t="s">
        <v>4607</v>
      </c>
      <c r="F1491" s="1839">
        <v>45332</v>
      </c>
      <c r="G1491" s="1838">
        <v>19956</v>
      </c>
      <c r="H1491" s="1841">
        <f t="shared" si="72"/>
        <v>50</v>
      </c>
      <c r="I1491" s="1838">
        <f t="shared" si="71"/>
        <v>19956</v>
      </c>
      <c r="J1491" s="1838">
        <v>0</v>
      </c>
      <c r="K1491" s="1838">
        <v>0</v>
      </c>
      <c r="L1491" s="1838">
        <v>0</v>
      </c>
      <c r="M1491" s="1838">
        <v>0</v>
      </c>
      <c r="N1491" s="1838" t="s">
        <v>3182</v>
      </c>
      <c r="O1491" s="1838" t="s">
        <v>3183</v>
      </c>
      <c r="P1491" s="1838"/>
    </row>
    <row r="1492" spans="2:16" s="1843" customFormat="1">
      <c r="B1492" s="1838">
        <f t="shared" si="73"/>
        <v>1489</v>
      </c>
      <c r="C1492" s="1838" t="s">
        <v>188</v>
      </c>
      <c r="D1492" s="1838" t="s">
        <v>4544</v>
      </c>
      <c r="E1492" s="1838" t="s">
        <v>4608</v>
      </c>
      <c r="F1492" s="1839">
        <v>45336</v>
      </c>
      <c r="G1492" s="1838">
        <v>19399</v>
      </c>
      <c r="H1492" s="1841">
        <f t="shared" si="72"/>
        <v>46</v>
      </c>
      <c r="I1492" s="1838">
        <f t="shared" si="71"/>
        <v>19399</v>
      </c>
      <c r="J1492" s="1838">
        <v>0</v>
      </c>
      <c r="K1492" s="1838">
        <v>0</v>
      </c>
      <c r="L1492" s="1838">
        <v>0</v>
      </c>
      <c r="M1492" s="1838">
        <v>0</v>
      </c>
      <c r="N1492" s="1838" t="s">
        <v>3182</v>
      </c>
      <c r="O1492" s="1838" t="s">
        <v>3183</v>
      </c>
      <c r="P1492" s="1838"/>
    </row>
    <row r="1493" spans="2:16" s="1843" customFormat="1">
      <c r="B1493" s="1838">
        <f t="shared" si="73"/>
        <v>1490</v>
      </c>
      <c r="C1493" s="1838" t="s">
        <v>188</v>
      </c>
      <c r="D1493" s="1838" t="s">
        <v>4544</v>
      </c>
      <c r="E1493" s="1838" t="s">
        <v>4609</v>
      </c>
      <c r="F1493" s="1839">
        <v>45349</v>
      </c>
      <c r="G1493" s="1838">
        <v>19287</v>
      </c>
      <c r="H1493" s="1841">
        <f t="shared" si="72"/>
        <v>33</v>
      </c>
      <c r="I1493" s="1838">
        <f t="shared" si="71"/>
        <v>19287</v>
      </c>
      <c r="J1493" s="1838">
        <v>0</v>
      </c>
      <c r="K1493" s="1838">
        <v>0</v>
      </c>
      <c r="L1493" s="1838">
        <v>0</v>
      </c>
      <c r="M1493" s="1838">
        <v>0</v>
      </c>
      <c r="N1493" s="1838" t="s">
        <v>3182</v>
      </c>
      <c r="O1493" s="1838" t="s">
        <v>3183</v>
      </c>
      <c r="P1493" s="1838"/>
    </row>
    <row r="1494" spans="2:16" s="1843" customFormat="1">
      <c r="B1494" s="1838">
        <f t="shared" si="73"/>
        <v>1491</v>
      </c>
      <c r="C1494" s="1838" t="s">
        <v>188</v>
      </c>
      <c r="D1494" s="1838" t="s">
        <v>4544</v>
      </c>
      <c r="E1494" s="1838" t="s">
        <v>4610</v>
      </c>
      <c r="F1494" s="1839">
        <v>45370</v>
      </c>
      <c r="G1494" s="1838">
        <v>30002</v>
      </c>
      <c r="H1494" s="1841">
        <f t="shared" si="72"/>
        <v>12</v>
      </c>
      <c r="I1494" s="1838">
        <f t="shared" si="71"/>
        <v>30002</v>
      </c>
      <c r="J1494" s="1838">
        <v>0</v>
      </c>
      <c r="K1494" s="1838">
        <v>0</v>
      </c>
      <c r="L1494" s="1838">
        <v>0</v>
      </c>
      <c r="M1494" s="1838">
        <v>0</v>
      </c>
      <c r="N1494" s="1838" t="s">
        <v>3182</v>
      </c>
      <c r="O1494" s="1838" t="s">
        <v>3183</v>
      </c>
      <c r="P1494" s="1838"/>
    </row>
    <row r="1495" spans="2:16" s="1843" customFormat="1">
      <c r="B1495" s="1838">
        <f t="shared" si="73"/>
        <v>1492</v>
      </c>
      <c r="C1495" s="1838" t="s">
        <v>188</v>
      </c>
      <c r="D1495" s="1838" t="s">
        <v>4544</v>
      </c>
      <c r="E1495" s="1838" t="s">
        <v>4611</v>
      </c>
      <c r="F1495" s="1839">
        <v>45370</v>
      </c>
      <c r="G1495" s="1838">
        <v>38610</v>
      </c>
      <c r="H1495" s="1841">
        <f t="shared" si="72"/>
        <v>12</v>
      </c>
      <c r="I1495" s="1838">
        <f t="shared" si="71"/>
        <v>38610</v>
      </c>
      <c r="J1495" s="1838">
        <v>0</v>
      </c>
      <c r="K1495" s="1838">
        <v>0</v>
      </c>
      <c r="L1495" s="1838">
        <v>0</v>
      </c>
      <c r="M1495" s="1838">
        <v>0</v>
      </c>
      <c r="N1495" s="1838" t="s">
        <v>3182</v>
      </c>
      <c r="O1495" s="1838" t="s">
        <v>3183</v>
      </c>
      <c r="P1495" s="1838"/>
    </row>
    <row r="1496" spans="2:16" s="1843" customFormat="1">
      <c r="B1496" s="1838">
        <f t="shared" si="73"/>
        <v>1493</v>
      </c>
      <c r="C1496" s="1838" t="s">
        <v>188</v>
      </c>
      <c r="D1496" s="1838" t="s">
        <v>4544</v>
      </c>
      <c r="E1496" s="1838" t="s">
        <v>4612</v>
      </c>
      <c r="F1496" s="1839">
        <v>45370</v>
      </c>
      <c r="G1496" s="1838">
        <v>17039</v>
      </c>
      <c r="H1496" s="1841">
        <f t="shared" si="72"/>
        <v>12</v>
      </c>
      <c r="I1496" s="1838">
        <f t="shared" si="71"/>
        <v>17039</v>
      </c>
      <c r="J1496" s="1838">
        <v>0</v>
      </c>
      <c r="K1496" s="1838">
        <v>0</v>
      </c>
      <c r="L1496" s="1838">
        <v>0</v>
      </c>
      <c r="M1496" s="1838">
        <v>0</v>
      </c>
      <c r="N1496" s="1838" t="s">
        <v>3182</v>
      </c>
      <c r="O1496" s="1838" t="s">
        <v>3183</v>
      </c>
      <c r="P1496" s="1838"/>
    </row>
    <row r="1497" spans="2:16" s="1843" customFormat="1">
      <c r="B1497" s="1838">
        <f t="shared" si="73"/>
        <v>1494</v>
      </c>
      <c r="C1497" s="1838" t="s">
        <v>4613</v>
      </c>
      <c r="D1497" s="1838" t="s">
        <v>4544</v>
      </c>
      <c r="E1497" s="1838" t="s">
        <v>4614</v>
      </c>
      <c r="F1497" s="1839">
        <v>45382</v>
      </c>
      <c r="G1497" s="1838">
        <v>35044</v>
      </c>
      <c r="H1497" s="1841">
        <f t="shared" si="72"/>
        <v>0</v>
      </c>
      <c r="I1497" s="1838">
        <f t="shared" si="71"/>
        <v>35044</v>
      </c>
      <c r="J1497" s="1838">
        <v>0</v>
      </c>
      <c r="K1497" s="1838">
        <v>0</v>
      </c>
      <c r="L1497" s="1838">
        <v>0</v>
      </c>
      <c r="M1497" s="1838">
        <v>0</v>
      </c>
      <c r="N1497" s="1838" t="s">
        <v>3182</v>
      </c>
      <c r="O1497" s="1838" t="s">
        <v>3183</v>
      </c>
      <c r="P1497" s="1838" t="s">
        <v>3184</v>
      </c>
    </row>
    <row r="1498" spans="2:16" s="1843" customFormat="1">
      <c r="B1498" s="1838">
        <f t="shared" si="73"/>
        <v>1495</v>
      </c>
      <c r="C1498" s="1838" t="s">
        <v>516</v>
      </c>
      <c r="D1498" s="1838" t="s">
        <v>4544</v>
      </c>
      <c r="E1498" s="1838" t="s">
        <v>4615</v>
      </c>
      <c r="F1498" s="1839">
        <v>45314</v>
      </c>
      <c r="G1498" s="1838">
        <v>106554</v>
      </c>
      <c r="H1498" s="1841">
        <f t="shared" si="72"/>
        <v>68</v>
      </c>
      <c r="I1498" s="1838">
        <f t="shared" si="71"/>
        <v>106554</v>
      </c>
      <c r="J1498" s="1838">
        <v>0</v>
      </c>
      <c r="K1498" s="1838">
        <v>0</v>
      </c>
      <c r="L1498" s="1838">
        <v>0</v>
      </c>
      <c r="M1498" s="1838">
        <v>0</v>
      </c>
      <c r="N1498" s="1838" t="s">
        <v>4616</v>
      </c>
      <c r="O1498" s="1838" t="s">
        <v>3165</v>
      </c>
      <c r="P1498" s="1838"/>
    </row>
    <row r="1499" spans="2:16" s="1843" customFormat="1">
      <c r="B1499" s="1838">
        <f t="shared" si="73"/>
        <v>1496</v>
      </c>
      <c r="C1499" s="1838" t="s">
        <v>516</v>
      </c>
      <c r="D1499" s="1838" t="s">
        <v>4544</v>
      </c>
      <c r="E1499" s="1838" t="s">
        <v>4617</v>
      </c>
      <c r="F1499" s="1839">
        <v>45364</v>
      </c>
      <c r="G1499" s="1838">
        <v>64213</v>
      </c>
      <c r="H1499" s="1841">
        <f t="shared" si="72"/>
        <v>18</v>
      </c>
      <c r="I1499" s="1838">
        <f t="shared" ref="I1499:I1562" si="74">+G1499</f>
        <v>64213</v>
      </c>
      <c r="J1499" s="1838">
        <v>0</v>
      </c>
      <c r="K1499" s="1838">
        <v>0</v>
      </c>
      <c r="L1499" s="1838">
        <v>0</v>
      </c>
      <c r="M1499" s="1838">
        <v>0</v>
      </c>
      <c r="N1499" s="1838" t="s">
        <v>4616</v>
      </c>
      <c r="O1499" s="1838" t="s">
        <v>3165</v>
      </c>
      <c r="P1499" s="1838"/>
    </row>
    <row r="1500" spans="2:16" s="1843" customFormat="1">
      <c r="B1500" s="1838">
        <f t="shared" si="73"/>
        <v>1497</v>
      </c>
      <c r="C1500" s="1838" t="s">
        <v>516</v>
      </c>
      <c r="D1500" s="1838" t="s">
        <v>4544</v>
      </c>
      <c r="E1500" s="1838" t="s">
        <v>4618</v>
      </c>
      <c r="F1500" s="1839">
        <v>45379</v>
      </c>
      <c r="G1500" s="1838">
        <v>47784</v>
      </c>
      <c r="H1500" s="1841">
        <f t="shared" si="72"/>
        <v>3</v>
      </c>
      <c r="I1500" s="1838">
        <f t="shared" si="74"/>
        <v>47784</v>
      </c>
      <c r="J1500" s="1838">
        <v>0</v>
      </c>
      <c r="K1500" s="1838">
        <v>0</v>
      </c>
      <c r="L1500" s="1838">
        <v>0</v>
      </c>
      <c r="M1500" s="1838">
        <v>0</v>
      </c>
      <c r="N1500" s="1838" t="s">
        <v>4616</v>
      </c>
      <c r="O1500" s="1838" t="s">
        <v>3165</v>
      </c>
      <c r="P1500" s="1838"/>
    </row>
    <row r="1501" spans="2:16" s="1843" customFormat="1">
      <c r="B1501" s="1838">
        <f t="shared" si="73"/>
        <v>1498</v>
      </c>
      <c r="C1501" s="1838" t="s">
        <v>263</v>
      </c>
      <c r="D1501" s="1838" t="s">
        <v>4544</v>
      </c>
      <c r="E1501" s="1838" t="s">
        <v>4619</v>
      </c>
      <c r="F1501" s="1839">
        <v>45374</v>
      </c>
      <c r="G1501" s="1838">
        <v>10050</v>
      </c>
      <c r="H1501" s="1841">
        <f t="shared" si="72"/>
        <v>8</v>
      </c>
      <c r="I1501" s="1838">
        <f t="shared" si="74"/>
        <v>10050</v>
      </c>
      <c r="J1501" s="1838">
        <v>0</v>
      </c>
      <c r="K1501" s="1838">
        <v>0</v>
      </c>
      <c r="L1501" s="1838">
        <v>0</v>
      </c>
      <c r="M1501" s="1838">
        <v>0</v>
      </c>
      <c r="N1501" s="1838" t="s">
        <v>3182</v>
      </c>
      <c r="O1501" s="1838" t="s">
        <v>3183</v>
      </c>
      <c r="P1501" s="1838"/>
    </row>
    <row r="1502" spans="2:16" s="1843" customFormat="1">
      <c r="B1502" s="1838">
        <f t="shared" si="73"/>
        <v>1499</v>
      </c>
      <c r="C1502" s="1838" t="s">
        <v>263</v>
      </c>
      <c r="D1502" s="1838" t="s">
        <v>4544</v>
      </c>
      <c r="E1502" s="1838" t="s">
        <v>4620</v>
      </c>
      <c r="F1502" s="1839">
        <v>45381</v>
      </c>
      <c r="G1502" s="1838">
        <v>5397</v>
      </c>
      <c r="H1502" s="1841">
        <f t="shared" si="72"/>
        <v>1</v>
      </c>
      <c r="I1502" s="1838">
        <f t="shared" si="74"/>
        <v>5397</v>
      </c>
      <c r="J1502" s="1838">
        <v>0</v>
      </c>
      <c r="K1502" s="1838">
        <v>0</v>
      </c>
      <c r="L1502" s="1838">
        <v>0</v>
      </c>
      <c r="M1502" s="1838">
        <v>0</v>
      </c>
      <c r="N1502" s="1838" t="s">
        <v>3182</v>
      </c>
      <c r="O1502" s="1838" t="s">
        <v>3183</v>
      </c>
      <c r="P1502" s="1838"/>
    </row>
    <row r="1503" spans="2:16" s="1843" customFormat="1">
      <c r="B1503" s="1838">
        <f t="shared" si="73"/>
        <v>1500</v>
      </c>
      <c r="C1503" s="1838" t="s">
        <v>263</v>
      </c>
      <c r="D1503" s="1838" t="s">
        <v>4544</v>
      </c>
      <c r="E1503" s="1838" t="s">
        <v>4621</v>
      </c>
      <c r="F1503" s="1839">
        <v>45381</v>
      </c>
      <c r="G1503" s="1838">
        <v>1050</v>
      </c>
      <c r="H1503" s="1841">
        <f t="shared" si="72"/>
        <v>1</v>
      </c>
      <c r="I1503" s="1838">
        <f t="shared" si="74"/>
        <v>1050</v>
      </c>
      <c r="J1503" s="1838">
        <v>0</v>
      </c>
      <c r="K1503" s="1838">
        <v>0</v>
      </c>
      <c r="L1503" s="1838">
        <v>0</v>
      </c>
      <c r="M1503" s="1838">
        <v>0</v>
      </c>
      <c r="N1503" s="1838" t="s">
        <v>3182</v>
      </c>
      <c r="O1503" s="1838" t="s">
        <v>3183</v>
      </c>
      <c r="P1503" s="1838"/>
    </row>
    <row r="1504" spans="2:16" s="1843" customFormat="1">
      <c r="B1504" s="1838">
        <f t="shared" si="73"/>
        <v>1501</v>
      </c>
      <c r="C1504" s="1838" t="s">
        <v>2973</v>
      </c>
      <c r="D1504" s="1838" t="s">
        <v>4544</v>
      </c>
      <c r="E1504" s="1838" t="s">
        <v>4622</v>
      </c>
      <c r="F1504" s="1839">
        <v>45364</v>
      </c>
      <c r="G1504" s="1838">
        <v>21830</v>
      </c>
      <c r="H1504" s="1841">
        <f t="shared" si="72"/>
        <v>18</v>
      </c>
      <c r="I1504" s="1838">
        <f t="shared" si="74"/>
        <v>21830</v>
      </c>
      <c r="J1504" s="1838">
        <v>0</v>
      </c>
      <c r="K1504" s="1838">
        <v>0</v>
      </c>
      <c r="L1504" s="1838">
        <v>0</v>
      </c>
      <c r="M1504" s="1838">
        <v>0</v>
      </c>
      <c r="N1504" s="1838" t="s">
        <v>3182</v>
      </c>
      <c r="O1504" s="1838" t="s">
        <v>3183</v>
      </c>
      <c r="P1504" s="1838"/>
    </row>
    <row r="1505" spans="2:16" s="1843" customFormat="1">
      <c r="B1505" s="1838">
        <f t="shared" si="73"/>
        <v>1502</v>
      </c>
      <c r="C1505" s="1838" t="s">
        <v>538</v>
      </c>
      <c r="D1505" s="1838" t="s">
        <v>4544</v>
      </c>
      <c r="E1505" s="1838" t="s">
        <v>4623</v>
      </c>
      <c r="F1505" s="1839">
        <v>45323</v>
      </c>
      <c r="G1505" s="1838">
        <v>233626</v>
      </c>
      <c r="H1505" s="1841">
        <f t="shared" si="72"/>
        <v>59</v>
      </c>
      <c r="I1505" s="1838">
        <f t="shared" si="74"/>
        <v>233626</v>
      </c>
      <c r="J1505" s="1838">
        <v>0</v>
      </c>
      <c r="K1505" s="1838">
        <v>0</v>
      </c>
      <c r="L1505" s="1838">
        <v>0</v>
      </c>
      <c r="M1505" s="1838">
        <v>0</v>
      </c>
      <c r="N1505" s="1838" t="s">
        <v>4624</v>
      </c>
      <c r="O1505" s="1838" t="s">
        <v>3297</v>
      </c>
      <c r="P1505" s="1838"/>
    </row>
    <row r="1506" spans="2:16" s="1843" customFormat="1">
      <c r="B1506" s="1838">
        <f t="shared" si="73"/>
        <v>1503</v>
      </c>
      <c r="C1506" s="1838" t="s">
        <v>538</v>
      </c>
      <c r="D1506" s="1838" t="s">
        <v>4544</v>
      </c>
      <c r="E1506" s="1838" t="s">
        <v>4625</v>
      </c>
      <c r="F1506" s="1839">
        <v>45335</v>
      </c>
      <c r="G1506" s="1838">
        <v>7012</v>
      </c>
      <c r="H1506" s="1841">
        <f t="shared" si="72"/>
        <v>47</v>
      </c>
      <c r="I1506" s="1838">
        <f t="shared" si="74"/>
        <v>7012</v>
      </c>
      <c r="J1506" s="1838">
        <v>0</v>
      </c>
      <c r="K1506" s="1838">
        <v>0</v>
      </c>
      <c r="L1506" s="1838">
        <v>0</v>
      </c>
      <c r="M1506" s="1838">
        <v>0</v>
      </c>
      <c r="N1506" s="1838" t="s">
        <v>4624</v>
      </c>
      <c r="O1506" s="1838" t="s">
        <v>3297</v>
      </c>
      <c r="P1506" s="1838"/>
    </row>
    <row r="1507" spans="2:16" s="1843" customFormat="1">
      <c r="B1507" s="1838">
        <f t="shared" si="73"/>
        <v>1504</v>
      </c>
      <c r="C1507" s="1838" t="s">
        <v>538</v>
      </c>
      <c r="D1507" s="1838" t="s">
        <v>4544</v>
      </c>
      <c r="E1507" s="1838" t="s">
        <v>4626</v>
      </c>
      <c r="F1507" s="1839">
        <v>45346</v>
      </c>
      <c r="G1507" s="1838">
        <v>57260</v>
      </c>
      <c r="H1507" s="1841">
        <f t="shared" si="72"/>
        <v>36</v>
      </c>
      <c r="I1507" s="1838">
        <f t="shared" si="74"/>
        <v>57260</v>
      </c>
      <c r="J1507" s="1838">
        <v>0</v>
      </c>
      <c r="K1507" s="1838">
        <v>0</v>
      </c>
      <c r="L1507" s="1838">
        <v>0</v>
      </c>
      <c r="M1507" s="1838">
        <v>0</v>
      </c>
      <c r="N1507" s="1838" t="s">
        <v>4624</v>
      </c>
      <c r="O1507" s="1838" t="s">
        <v>3297</v>
      </c>
      <c r="P1507" s="1838"/>
    </row>
    <row r="1508" spans="2:16" s="1843" customFormat="1">
      <c r="B1508" s="1838">
        <f t="shared" si="73"/>
        <v>1505</v>
      </c>
      <c r="C1508" s="1838" t="s">
        <v>538</v>
      </c>
      <c r="D1508" s="1838" t="s">
        <v>4544</v>
      </c>
      <c r="E1508" s="1838" t="s">
        <v>4627</v>
      </c>
      <c r="F1508" s="1839">
        <v>45346</v>
      </c>
      <c r="G1508" s="1838">
        <v>8113</v>
      </c>
      <c r="H1508" s="1841">
        <f t="shared" si="72"/>
        <v>36</v>
      </c>
      <c r="I1508" s="1838">
        <f t="shared" si="74"/>
        <v>8113</v>
      </c>
      <c r="J1508" s="1838">
        <v>0</v>
      </c>
      <c r="K1508" s="1838">
        <v>0</v>
      </c>
      <c r="L1508" s="1838">
        <v>0</v>
      </c>
      <c r="M1508" s="1838">
        <v>0</v>
      </c>
      <c r="N1508" s="1838" t="s">
        <v>4624</v>
      </c>
      <c r="O1508" s="1838" t="s">
        <v>3297</v>
      </c>
      <c r="P1508" s="1838"/>
    </row>
    <row r="1509" spans="2:16" s="1843" customFormat="1">
      <c r="B1509" s="1838">
        <f t="shared" si="73"/>
        <v>1506</v>
      </c>
      <c r="C1509" s="1838" t="s">
        <v>538</v>
      </c>
      <c r="D1509" s="1838" t="s">
        <v>4544</v>
      </c>
      <c r="E1509" s="1838" t="s">
        <v>4628</v>
      </c>
      <c r="F1509" s="1839">
        <v>45350</v>
      </c>
      <c r="G1509" s="1838">
        <v>33748</v>
      </c>
      <c r="H1509" s="1841">
        <f t="shared" si="72"/>
        <v>32</v>
      </c>
      <c r="I1509" s="1838">
        <f t="shared" si="74"/>
        <v>33748</v>
      </c>
      <c r="J1509" s="1838">
        <v>0</v>
      </c>
      <c r="K1509" s="1838">
        <v>0</v>
      </c>
      <c r="L1509" s="1838">
        <v>0</v>
      </c>
      <c r="M1509" s="1838">
        <v>0</v>
      </c>
      <c r="N1509" s="1838" t="s">
        <v>4624</v>
      </c>
      <c r="O1509" s="1838" t="s">
        <v>3297</v>
      </c>
      <c r="P1509" s="1838"/>
    </row>
    <row r="1510" spans="2:16" s="1843" customFormat="1">
      <c r="B1510" s="1838">
        <f t="shared" si="73"/>
        <v>1507</v>
      </c>
      <c r="C1510" s="1838" t="s">
        <v>538</v>
      </c>
      <c r="D1510" s="1838" t="s">
        <v>4544</v>
      </c>
      <c r="E1510" s="1838" t="s">
        <v>4629</v>
      </c>
      <c r="F1510" s="1839">
        <v>45350</v>
      </c>
      <c r="G1510" s="1838">
        <v>2473</v>
      </c>
      <c r="H1510" s="1841">
        <f t="shared" si="72"/>
        <v>32</v>
      </c>
      <c r="I1510" s="1838">
        <f t="shared" si="74"/>
        <v>2473</v>
      </c>
      <c r="J1510" s="1838">
        <v>0</v>
      </c>
      <c r="K1510" s="1838">
        <v>0</v>
      </c>
      <c r="L1510" s="1838">
        <v>0</v>
      </c>
      <c r="M1510" s="1838">
        <v>0</v>
      </c>
      <c r="N1510" s="1838" t="s">
        <v>4624</v>
      </c>
      <c r="O1510" s="1838" t="s">
        <v>3297</v>
      </c>
      <c r="P1510" s="1838"/>
    </row>
    <row r="1511" spans="2:16" s="1843" customFormat="1">
      <c r="B1511" s="1838">
        <f t="shared" si="73"/>
        <v>1508</v>
      </c>
      <c r="C1511" s="1838" t="s">
        <v>538</v>
      </c>
      <c r="D1511" s="1838" t="s">
        <v>4544</v>
      </c>
      <c r="E1511" s="1838" t="s">
        <v>4630</v>
      </c>
      <c r="F1511" s="1839">
        <v>45351</v>
      </c>
      <c r="G1511" s="1838">
        <v>1062</v>
      </c>
      <c r="H1511" s="1841">
        <f t="shared" si="72"/>
        <v>31</v>
      </c>
      <c r="I1511" s="1838">
        <f t="shared" si="74"/>
        <v>1062</v>
      </c>
      <c r="J1511" s="1838">
        <v>0</v>
      </c>
      <c r="K1511" s="1838">
        <v>0</v>
      </c>
      <c r="L1511" s="1838">
        <v>0</v>
      </c>
      <c r="M1511" s="1838">
        <v>0</v>
      </c>
      <c r="N1511" s="1838" t="s">
        <v>4624</v>
      </c>
      <c r="O1511" s="1838" t="s">
        <v>3297</v>
      </c>
      <c r="P1511" s="1838"/>
    </row>
    <row r="1512" spans="2:16" s="1843" customFormat="1">
      <c r="B1512" s="1838">
        <f t="shared" si="73"/>
        <v>1509</v>
      </c>
      <c r="C1512" s="1838" t="s">
        <v>538</v>
      </c>
      <c r="D1512" s="1838" t="s">
        <v>4544</v>
      </c>
      <c r="E1512" s="1838" t="s">
        <v>4631</v>
      </c>
      <c r="F1512" s="1839">
        <v>45353</v>
      </c>
      <c r="G1512" s="1838">
        <v>9135</v>
      </c>
      <c r="H1512" s="1841">
        <f t="shared" si="72"/>
        <v>29</v>
      </c>
      <c r="I1512" s="1838">
        <f t="shared" si="74"/>
        <v>9135</v>
      </c>
      <c r="J1512" s="1838">
        <v>0</v>
      </c>
      <c r="K1512" s="1838">
        <v>0</v>
      </c>
      <c r="L1512" s="1838">
        <v>0</v>
      </c>
      <c r="M1512" s="1838">
        <v>0</v>
      </c>
      <c r="N1512" s="1838" t="s">
        <v>4624</v>
      </c>
      <c r="O1512" s="1838" t="s">
        <v>3297</v>
      </c>
      <c r="P1512" s="1838"/>
    </row>
    <row r="1513" spans="2:16" s="1843" customFormat="1">
      <c r="B1513" s="1838">
        <f t="shared" si="73"/>
        <v>1510</v>
      </c>
      <c r="C1513" s="1838" t="s">
        <v>538</v>
      </c>
      <c r="D1513" s="1838" t="s">
        <v>4544</v>
      </c>
      <c r="E1513" s="1838" t="s">
        <v>4632</v>
      </c>
      <c r="F1513" s="1839">
        <v>45362</v>
      </c>
      <c r="G1513" s="1838">
        <v>2529</v>
      </c>
      <c r="H1513" s="1841">
        <f t="shared" si="72"/>
        <v>20</v>
      </c>
      <c r="I1513" s="1838">
        <f t="shared" si="74"/>
        <v>2529</v>
      </c>
      <c r="J1513" s="1838">
        <v>0</v>
      </c>
      <c r="K1513" s="1838">
        <v>0</v>
      </c>
      <c r="L1513" s="1838">
        <v>0</v>
      </c>
      <c r="M1513" s="1838">
        <v>0</v>
      </c>
      <c r="N1513" s="1838" t="s">
        <v>4624</v>
      </c>
      <c r="O1513" s="1838" t="s">
        <v>3297</v>
      </c>
      <c r="P1513" s="1838"/>
    </row>
    <row r="1514" spans="2:16" s="1843" customFormat="1">
      <c r="B1514" s="1838">
        <f t="shared" si="73"/>
        <v>1511</v>
      </c>
      <c r="C1514" s="1838" t="s">
        <v>538</v>
      </c>
      <c r="D1514" s="1838" t="s">
        <v>4544</v>
      </c>
      <c r="E1514" s="1838" t="s">
        <v>4633</v>
      </c>
      <c r="F1514" s="1839">
        <v>45363</v>
      </c>
      <c r="G1514" s="1838">
        <v>11210</v>
      </c>
      <c r="H1514" s="1841">
        <f t="shared" si="72"/>
        <v>19</v>
      </c>
      <c r="I1514" s="1838">
        <f t="shared" si="74"/>
        <v>11210</v>
      </c>
      <c r="J1514" s="1838">
        <v>0</v>
      </c>
      <c r="K1514" s="1838">
        <v>0</v>
      </c>
      <c r="L1514" s="1838">
        <v>0</v>
      </c>
      <c r="M1514" s="1838">
        <v>0</v>
      </c>
      <c r="N1514" s="1838" t="s">
        <v>4624</v>
      </c>
      <c r="O1514" s="1838" t="s">
        <v>3297</v>
      </c>
      <c r="P1514" s="1838"/>
    </row>
    <row r="1515" spans="2:16" s="1843" customFormat="1">
      <c r="B1515" s="1838">
        <f t="shared" si="73"/>
        <v>1512</v>
      </c>
      <c r="C1515" s="1838" t="s">
        <v>538</v>
      </c>
      <c r="D1515" s="1838" t="s">
        <v>4544</v>
      </c>
      <c r="E1515" s="1838" t="s">
        <v>4634</v>
      </c>
      <c r="F1515" s="1839">
        <v>45365</v>
      </c>
      <c r="G1515" s="1838">
        <v>18014</v>
      </c>
      <c r="H1515" s="1841">
        <f t="shared" si="72"/>
        <v>17</v>
      </c>
      <c r="I1515" s="1838">
        <f t="shared" si="74"/>
        <v>18014</v>
      </c>
      <c r="J1515" s="1838">
        <v>0</v>
      </c>
      <c r="K1515" s="1838">
        <v>0</v>
      </c>
      <c r="L1515" s="1838">
        <v>0</v>
      </c>
      <c r="M1515" s="1838">
        <v>0</v>
      </c>
      <c r="N1515" s="1838" t="s">
        <v>4624</v>
      </c>
      <c r="O1515" s="1838" t="s">
        <v>3297</v>
      </c>
      <c r="P1515" s="1838"/>
    </row>
    <row r="1516" spans="2:16" s="1843" customFormat="1">
      <c r="B1516" s="1838">
        <f t="shared" si="73"/>
        <v>1513</v>
      </c>
      <c r="C1516" s="1838" t="s">
        <v>538</v>
      </c>
      <c r="D1516" s="1838" t="s">
        <v>4544</v>
      </c>
      <c r="E1516" s="1838" t="s">
        <v>4635</v>
      </c>
      <c r="F1516" s="1839">
        <v>45380</v>
      </c>
      <c r="G1516" s="1838">
        <v>3540</v>
      </c>
      <c r="H1516" s="1841">
        <f t="shared" si="72"/>
        <v>2</v>
      </c>
      <c r="I1516" s="1838">
        <f t="shared" si="74"/>
        <v>3540</v>
      </c>
      <c r="J1516" s="1838">
        <v>0</v>
      </c>
      <c r="K1516" s="1838">
        <v>0</v>
      </c>
      <c r="L1516" s="1838">
        <v>0</v>
      </c>
      <c r="M1516" s="1838">
        <v>0</v>
      </c>
      <c r="N1516" s="1838" t="s">
        <v>4624</v>
      </c>
      <c r="O1516" s="1838" t="s">
        <v>3297</v>
      </c>
      <c r="P1516" s="1838"/>
    </row>
    <row r="1517" spans="2:16" s="1843" customFormat="1">
      <c r="B1517" s="1838">
        <f t="shared" si="73"/>
        <v>1514</v>
      </c>
      <c r="C1517" s="1838" t="s">
        <v>538</v>
      </c>
      <c r="D1517" s="1838" t="s">
        <v>4544</v>
      </c>
      <c r="E1517" s="1838" t="s">
        <v>4636</v>
      </c>
      <c r="F1517" s="1839">
        <v>45380</v>
      </c>
      <c r="G1517" s="1838">
        <v>2124</v>
      </c>
      <c r="H1517" s="1841">
        <f t="shared" si="72"/>
        <v>2</v>
      </c>
      <c r="I1517" s="1838">
        <f t="shared" si="74"/>
        <v>2124</v>
      </c>
      <c r="J1517" s="1838">
        <v>0</v>
      </c>
      <c r="K1517" s="1838">
        <v>0</v>
      </c>
      <c r="L1517" s="1838">
        <v>0</v>
      </c>
      <c r="M1517" s="1838">
        <v>0</v>
      </c>
      <c r="N1517" s="1838" t="s">
        <v>4624</v>
      </c>
      <c r="O1517" s="1838" t="s">
        <v>3297</v>
      </c>
      <c r="P1517" s="1838"/>
    </row>
    <row r="1518" spans="2:16" s="1843" customFormat="1">
      <c r="B1518" s="1838">
        <f t="shared" si="73"/>
        <v>1515</v>
      </c>
      <c r="C1518" s="1838" t="s">
        <v>538</v>
      </c>
      <c r="D1518" s="1838" t="s">
        <v>4544</v>
      </c>
      <c r="E1518" s="1838" t="s">
        <v>4637</v>
      </c>
      <c r="F1518" s="1839">
        <v>45381</v>
      </c>
      <c r="G1518" s="1838">
        <v>7316</v>
      </c>
      <c r="H1518" s="1841">
        <f t="shared" si="72"/>
        <v>1</v>
      </c>
      <c r="I1518" s="1838">
        <f t="shared" si="74"/>
        <v>7316</v>
      </c>
      <c r="J1518" s="1838">
        <v>0</v>
      </c>
      <c r="K1518" s="1838">
        <v>0</v>
      </c>
      <c r="L1518" s="1838">
        <v>0</v>
      </c>
      <c r="M1518" s="1838">
        <v>0</v>
      </c>
      <c r="N1518" s="1838" t="s">
        <v>4624</v>
      </c>
      <c r="O1518" s="1838" t="s">
        <v>3297</v>
      </c>
      <c r="P1518" s="1838"/>
    </row>
    <row r="1519" spans="2:16" s="1843" customFormat="1">
      <c r="B1519" s="1838">
        <f t="shared" si="73"/>
        <v>1516</v>
      </c>
      <c r="C1519" s="1838" t="s">
        <v>538</v>
      </c>
      <c r="D1519" s="1838" t="s">
        <v>4544</v>
      </c>
      <c r="E1519" s="1838" t="s">
        <v>4638</v>
      </c>
      <c r="F1519" s="1839">
        <v>45381</v>
      </c>
      <c r="G1519" s="1838">
        <v>173298</v>
      </c>
      <c r="H1519" s="1841">
        <f t="shared" si="72"/>
        <v>1</v>
      </c>
      <c r="I1519" s="1838">
        <f t="shared" si="74"/>
        <v>173298</v>
      </c>
      <c r="J1519" s="1838">
        <v>0</v>
      </c>
      <c r="K1519" s="1838">
        <v>0</v>
      </c>
      <c r="L1519" s="1838">
        <v>0</v>
      </c>
      <c r="M1519" s="1838">
        <v>0</v>
      </c>
      <c r="N1519" s="1838" t="s">
        <v>4624</v>
      </c>
      <c r="O1519" s="1838" t="s">
        <v>3297</v>
      </c>
      <c r="P1519" s="1838"/>
    </row>
    <row r="1520" spans="2:16" s="1843" customFormat="1">
      <c r="B1520" s="1838">
        <f t="shared" si="73"/>
        <v>1517</v>
      </c>
      <c r="C1520" s="1838" t="s">
        <v>2989</v>
      </c>
      <c r="D1520" s="1838" t="s">
        <v>4544</v>
      </c>
      <c r="E1520" s="1838" t="s">
        <v>4639</v>
      </c>
      <c r="F1520" s="1839">
        <v>45381</v>
      </c>
      <c r="G1520" s="1838">
        <v>5290</v>
      </c>
      <c r="H1520" s="1841">
        <f t="shared" si="72"/>
        <v>1</v>
      </c>
      <c r="I1520" s="1838">
        <f t="shared" si="74"/>
        <v>5290</v>
      </c>
      <c r="J1520" s="1838">
        <v>0</v>
      </c>
      <c r="K1520" s="1838">
        <v>0</v>
      </c>
      <c r="L1520" s="1838">
        <v>0</v>
      </c>
      <c r="M1520" s="1838">
        <v>0</v>
      </c>
      <c r="N1520" s="1838" t="s">
        <v>3182</v>
      </c>
      <c r="O1520" s="1838" t="s">
        <v>3183</v>
      </c>
      <c r="P1520" s="1838" t="s">
        <v>3184</v>
      </c>
    </row>
    <row r="1521" spans="2:16" s="1843" customFormat="1">
      <c r="B1521" s="1838">
        <f t="shared" si="73"/>
        <v>1518</v>
      </c>
      <c r="C1521" s="1838" t="s">
        <v>564</v>
      </c>
      <c r="D1521" s="1838" t="s">
        <v>4544</v>
      </c>
      <c r="E1521" s="1838" t="s">
        <v>4640</v>
      </c>
      <c r="F1521" s="1839">
        <v>45266</v>
      </c>
      <c r="G1521" s="1838">
        <v>12697</v>
      </c>
      <c r="H1521" s="1841">
        <f t="shared" si="72"/>
        <v>116</v>
      </c>
      <c r="I1521" s="1838">
        <f t="shared" si="74"/>
        <v>12697</v>
      </c>
      <c r="J1521" s="1838">
        <v>0</v>
      </c>
      <c r="K1521" s="1838">
        <v>0</v>
      </c>
      <c r="L1521" s="1838">
        <v>0</v>
      </c>
      <c r="M1521" s="1838">
        <v>0</v>
      </c>
      <c r="N1521" s="1838" t="s">
        <v>4641</v>
      </c>
      <c r="O1521" s="1838" t="s">
        <v>3189</v>
      </c>
      <c r="P1521" s="1838"/>
    </row>
    <row r="1522" spans="2:16" s="1843" customFormat="1">
      <c r="B1522" s="1838">
        <f t="shared" si="73"/>
        <v>1519</v>
      </c>
      <c r="C1522" s="1838" t="s">
        <v>564</v>
      </c>
      <c r="D1522" s="1838" t="s">
        <v>4544</v>
      </c>
      <c r="E1522" s="1838" t="s">
        <v>4642</v>
      </c>
      <c r="F1522" s="1839">
        <v>45271</v>
      </c>
      <c r="G1522" s="1838">
        <v>20926</v>
      </c>
      <c r="H1522" s="1841">
        <f t="shared" si="72"/>
        <v>111</v>
      </c>
      <c r="I1522" s="1838">
        <f t="shared" si="74"/>
        <v>20926</v>
      </c>
      <c r="J1522" s="1838">
        <v>0</v>
      </c>
      <c r="K1522" s="1838">
        <v>0</v>
      </c>
      <c r="L1522" s="1838">
        <v>0</v>
      </c>
      <c r="M1522" s="1838">
        <v>0</v>
      </c>
      <c r="N1522" s="1838" t="s">
        <v>4641</v>
      </c>
      <c r="O1522" s="1838" t="s">
        <v>3189</v>
      </c>
      <c r="P1522" s="1838"/>
    </row>
    <row r="1523" spans="2:16" s="1843" customFormat="1">
      <c r="B1523" s="1838">
        <f t="shared" si="73"/>
        <v>1520</v>
      </c>
      <c r="C1523" s="1838" t="s">
        <v>564</v>
      </c>
      <c r="D1523" s="1838" t="s">
        <v>4544</v>
      </c>
      <c r="E1523" s="1838" t="s">
        <v>4643</v>
      </c>
      <c r="F1523" s="1839">
        <v>45271</v>
      </c>
      <c r="G1523" s="1838">
        <v>10843</v>
      </c>
      <c r="H1523" s="1841">
        <f t="shared" si="72"/>
        <v>111</v>
      </c>
      <c r="I1523" s="1838">
        <f t="shared" si="74"/>
        <v>10843</v>
      </c>
      <c r="J1523" s="1838">
        <v>0</v>
      </c>
      <c r="K1523" s="1838">
        <v>0</v>
      </c>
      <c r="L1523" s="1838">
        <v>0</v>
      </c>
      <c r="M1523" s="1838">
        <v>0</v>
      </c>
      <c r="N1523" s="1838" t="s">
        <v>4641</v>
      </c>
      <c r="O1523" s="1838" t="s">
        <v>3189</v>
      </c>
      <c r="P1523" s="1838"/>
    </row>
    <row r="1524" spans="2:16" s="1843" customFormat="1">
      <c r="B1524" s="1838">
        <f t="shared" si="73"/>
        <v>1521</v>
      </c>
      <c r="C1524" s="1838" t="s">
        <v>564</v>
      </c>
      <c r="D1524" s="1838" t="s">
        <v>4544</v>
      </c>
      <c r="E1524" s="1838" t="s">
        <v>4644</v>
      </c>
      <c r="F1524" s="1839">
        <v>45272</v>
      </c>
      <c r="G1524" s="1838">
        <v>14750</v>
      </c>
      <c r="H1524" s="1841">
        <f t="shared" si="72"/>
        <v>110</v>
      </c>
      <c r="I1524" s="1838">
        <f t="shared" si="74"/>
        <v>14750</v>
      </c>
      <c r="J1524" s="1838">
        <v>0</v>
      </c>
      <c r="K1524" s="1838">
        <v>0</v>
      </c>
      <c r="L1524" s="1838">
        <v>0</v>
      </c>
      <c r="M1524" s="1838">
        <v>0</v>
      </c>
      <c r="N1524" s="1838" t="s">
        <v>4641</v>
      </c>
      <c r="O1524" s="1838" t="s">
        <v>3189</v>
      </c>
      <c r="P1524" s="1838"/>
    </row>
    <row r="1525" spans="2:16" s="1843" customFormat="1">
      <c r="B1525" s="1838">
        <f t="shared" si="73"/>
        <v>1522</v>
      </c>
      <c r="C1525" s="1838" t="s">
        <v>564</v>
      </c>
      <c r="D1525" s="1838" t="s">
        <v>4544</v>
      </c>
      <c r="E1525" s="1838" t="s">
        <v>4645</v>
      </c>
      <c r="F1525" s="1839">
        <v>45273</v>
      </c>
      <c r="G1525" s="1838">
        <v>25052</v>
      </c>
      <c r="H1525" s="1841">
        <f t="shared" si="72"/>
        <v>109</v>
      </c>
      <c r="I1525" s="1838">
        <f t="shared" si="74"/>
        <v>25052</v>
      </c>
      <c r="J1525" s="1838">
        <v>0</v>
      </c>
      <c r="K1525" s="1838">
        <v>0</v>
      </c>
      <c r="L1525" s="1838">
        <v>0</v>
      </c>
      <c r="M1525" s="1838">
        <v>0</v>
      </c>
      <c r="N1525" s="1838" t="s">
        <v>4641</v>
      </c>
      <c r="O1525" s="1838" t="s">
        <v>3189</v>
      </c>
      <c r="P1525" s="1838"/>
    </row>
    <row r="1526" spans="2:16" s="1843" customFormat="1">
      <c r="B1526" s="1838">
        <f t="shared" si="73"/>
        <v>1523</v>
      </c>
      <c r="C1526" s="1838" t="s">
        <v>564</v>
      </c>
      <c r="D1526" s="1838" t="s">
        <v>4544</v>
      </c>
      <c r="E1526" s="1838" t="s">
        <v>4646</v>
      </c>
      <c r="F1526" s="1839">
        <v>45273</v>
      </c>
      <c r="G1526" s="1838">
        <v>42650</v>
      </c>
      <c r="H1526" s="1841">
        <f t="shared" si="72"/>
        <v>109</v>
      </c>
      <c r="I1526" s="1838">
        <f t="shared" si="74"/>
        <v>42650</v>
      </c>
      <c r="J1526" s="1838">
        <v>0</v>
      </c>
      <c r="K1526" s="1838">
        <v>0</v>
      </c>
      <c r="L1526" s="1838">
        <v>0</v>
      </c>
      <c r="M1526" s="1838">
        <v>0</v>
      </c>
      <c r="N1526" s="1838" t="s">
        <v>4641</v>
      </c>
      <c r="O1526" s="1838" t="s">
        <v>3189</v>
      </c>
      <c r="P1526" s="1838"/>
    </row>
    <row r="1527" spans="2:16" s="1843" customFormat="1">
      <c r="B1527" s="1838">
        <f t="shared" si="73"/>
        <v>1524</v>
      </c>
      <c r="C1527" s="1838" t="s">
        <v>564</v>
      </c>
      <c r="D1527" s="1838" t="s">
        <v>4544</v>
      </c>
      <c r="E1527" s="1838" t="s">
        <v>4647</v>
      </c>
      <c r="F1527" s="1839">
        <v>45280</v>
      </c>
      <c r="G1527" s="1838">
        <v>18819</v>
      </c>
      <c r="H1527" s="1841">
        <f t="shared" si="72"/>
        <v>102</v>
      </c>
      <c r="I1527" s="1838">
        <f t="shared" si="74"/>
        <v>18819</v>
      </c>
      <c r="J1527" s="1838">
        <v>0</v>
      </c>
      <c r="K1527" s="1838">
        <v>0</v>
      </c>
      <c r="L1527" s="1838">
        <v>0</v>
      </c>
      <c r="M1527" s="1838">
        <v>0</v>
      </c>
      <c r="N1527" s="1838" t="s">
        <v>4641</v>
      </c>
      <c r="O1527" s="1838" t="s">
        <v>3189</v>
      </c>
      <c r="P1527" s="1838"/>
    </row>
    <row r="1528" spans="2:16" s="1843" customFormat="1">
      <c r="B1528" s="1838">
        <f t="shared" si="73"/>
        <v>1525</v>
      </c>
      <c r="C1528" s="1838" t="s">
        <v>564</v>
      </c>
      <c r="D1528" s="1838" t="s">
        <v>4544</v>
      </c>
      <c r="E1528" s="1838" t="s">
        <v>4648</v>
      </c>
      <c r="F1528" s="1839">
        <v>45281</v>
      </c>
      <c r="G1528" s="1838">
        <v>17027</v>
      </c>
      <c r="H1528" s="1841">
        <f t="shared" si="72"/>
        <v>101</v>
      </c>
      <c r="I1528" s="1838">
        <f t="shared" si="74"/>
        <v>17027</v>
      </c>
      <c r="J1528" s="1838">
        <v>0</v>
      </c>
      <c r="K1528" s="1838">
        <v>0</v>
      </c>
      <c r="L1528" s="1838">
        <v>0</v>
      </c>
      <c r="M1528" s="1838">
        <v>0</v>
      </c>
      <c r="N1528" s="1838" t="s">
        <v>4641</v>
      </c>
      <c r="O1528" s="1838" t="s">
        <v>3189</v>
      </c>
      <c r="P1528" s="1838"/>
    </row>
    <row r="1529" spans="2:16" s="1843" customFormat="1">
      <c r="B1529" s="1838">
        <f t="shared" si="73"/>
        <v>1526</v>
      </c>
      <c r="C1529" s="1838" t="s">
        <v>564</v>
      </c>
      <c r="D1529" s="1838" t="s">
        <v>4544</v>
      </c>
      <c r="E1529" s="1838" t="s">
        <v>4649</v>
      </c>
      <c r="F1529" s="1839">
        <v>45283</v>
      </c>
      <c r="G1529" s="1838">
        <v>51937</v>
      </c>
      <c r="H1529" s="1841">
        <f t="shared" si="72"/>
        <v>99</v>
      </c>
      <c r="I1529" s="1838">
        <f t="shared" si="74"/>
        <v>51937</v>
      </c>
      <c r="J1529" s="1838">
        <v>0</v>
      </c>
      <c r="K1529" s="1838">
        <v>0</v>
      </c>
      <c r="L1529" s="1838">
        <v>0</v>
      </c>
      <c r="M1529" s="1838">
        <v>0</v>
      </c>
      <c r="N1529" s="1838" t="s">
        <v>4641</v>
      </c>
      <c r="O1529" s="1838" t="s">
        <v>3189</v>
      </c>
      <c r="P1529" s="1838"/>
    </row>
    <row r="1530" spans="2:16" s="1843" customFormat="1">
      <c r="B1530" s="1838">
        <f t="shared" si="73"/>
        <v>1527</v>
      </c>
      <c r="C1530" s="1838" t="s">
        <v>564</v>
      </c>
      <c r="D1530" s="1838" t="s">
        <v>4544</v>
      </c>
      <c r="E1530" s="1838" t="s">
        <v>4650</v>
      </c>
      <c r="F1530" s="1839">
        <v>45283</v>
      </c>
      <c r="G1530" s="1838">
        <v>7898</v>
      </c>
      <c r="H1530" s="1841">
        <f t="shared" si="72"/>
        <v>99</v>
      </c>
      <c r="I1530" s="1838">
        <f t="shared" si="74"/>
        <v>7898</v>
      </c>
      <c r="J1530" s="1838">
        <v>0</v>
      </c>
      <c r="K1530" s="1838">
        <v>0</v>
      </c>
      <c r="L1530" s="1838">
        <v>0</v>
      </c>
      <c r="M1530" s="1838">
        <v>0</v>
      </c>
      <c r="N1530" s="1838" t="s">
        <v>4641</v>
      </c>
      <c r="O1530" s="1838" t="s">
        <v>3189</v>
      </c>
      <c r="P1530" s="1838"/>
    </row>
    <row r="1531" spans="2:16" s="1843" customFormat="1">
      <c r="B1531" s="1838">
        <f t="shared" si="73"/>
        <v>1528</v>
      </c>
      <c r="C1531" s="1838" t="s">
        <v>564</v>
      </c>
      <c r="D1531" s="1838" t="s">
        <v>4544</v>
      </c>
      <c r="E1531" s="1838" t="s">
        <v>4651</v>
      </c>
      <c r="F1531" s="1839">
        <v>45285</v>
      </c>
      <c r="G1531" s="1838">
        <v>17053</v>
      </c>
      <c r="H1531" s="1841">
        <f t="shared" si="72"/>
        <v>97</v>
      </c>
      <c r="I1531" s="1838">
        <f t="shared" si="74"/>
        <v>17053</v>
      </c>
      <c r="J1531" s="1838">
        <v>0</v>
      </c>
      <c r="K1531" s="1838">
        <v>0</v>
      </c>
      <c r="L1531" s="1838">
        <v>0</v>
      </c>
      <c r="M1531" s="1838">
        <v>0</v>
      </c>
      <c r="N1531" s="1838" t="s">
        <v>4641</v>
      </c>
      <c r="O1531" s="1838" t="s">
        <v>3189</v>
      </c>
      <c r="P1531" s="1838"/>
    </row>
    <row r="1532" spans="2:16" s="1843" customFormat="1">
      <c r="B1532" s="1838">
        <f t="shared" si="73"/>
        <v>1529</v>
      </c>
      <c r="C1532" s="1838" t="s">
        <v>564</v>
      </c>
      <c r="D1532" s="1838" t="s">
        <v>4544</v>
      </c>
      <c r="E1532" s="1838" t="s">
        <v>4652</v>
      </c>
      <c r="F1532" s="1839">
        <v>45289</v>
      </c>
      <c r="G1532" s="1838">
        <v>9204</v>
      </c>
      <c r="H1532" s="1841">
        <f t="shared" si="72"/>
        <v>93</v>
      </c>
      <c r="I1532" s="1838">
        <f t="shared" si="74"/>
        <v>9204</v>
      </c>
      <c r="J1532" s="1838">
        <v>0</v>
      </c>
      <c r="K1532" s="1838">
        <v>0</v>
      </c>
      <c r="L1532" s="1838">
        <v>0</v>
      </c>
      <c r="M1532" s="1838">
        <v>0</v>
      </c>
      <c r="N1532" s="1838" t="s">
        <v>4641</v>
      </c>
      <c r="O1532" s="1838" t="s">
        <v>3189</v>
      </c>
      <c r="P1532" s="1838"/>
    </row>
    <row r="1533" spans="2:16" s="1843" customFormat="1">
      <c r="B1533" s="1838">
        <f t="shared" si="73"/>
        <v>1530</v>
      </c>
      <c r="C1533" s="1838" t="s">
        <v>564</v>
      </c>
      <c r="D1533" s="1838" t="s">
        <v>4544</v>
      </c>
      <c r="E1533" s="1838" t="s">
        <v>4653</v>
      </c>
      <c r="F1533" s="1839">
        <v>45289</v>
      </c>
      <c r="G1533" s="1838">
        <v>14424</v>
      </c>
      <c r="H1533" s="1841">
        <f t="shared" si="72"/>
        <v>93</v>
      </c>
      <c r="I1533" s="1838">
        <f t="shared" si="74"/>
        <v>14424</v>
      </c>
      <c r="J1533" s="1838">
        <v>0</v>
      </c>
      <c r="K1533" s="1838">
        <v>0</v>
      </c>
      <c r="L1533" s="1838">
        <v>0</v>
      </c>
      <c r="M1533" s="1838">
        <v>0</v>
      </c>
      <c r="N1533" s="1838" t="s">
        <v>4641</v>
      </c>
      <c r="O1533" s="1838" t="s">
        <v>3189</v>
      </c>
      <c r="P1533" s="1838"/>
    </row>
    <row r="1534" spans="2:16" s="1843" customFormat="1">
      <c r="B1534" s="1838">
        <f t="shared" si="73"/>
        <v>1531</v>
      </c>
      <c r="C1534" s="1838" t="s">
        <v>564</v>
      </c>
      <c r="D1534" s="1838" t="s">
        <v>4544</v>
      </c>
      <c r="E1534" s="1838" t="s">
        <v>4654</v>
      </c>
      <c r="F1534" s="1839">
        <v>45290</v>
      </c>
      <c r="G1534" s="1838">
        <v>10721</v>
      </c>
      <c r="H1534" s="1841">
        <f t="shared" si="72"/>
        <v>92</v>
      </c>
      <c r="I1534" s="1838">
        <f t="shared" si="74"/>
        <v>10721</v>
      </c>
      <c r="J1534" s="1838">
        <v>0</v>
      </c>
      <c r="K1534" s="1838">
        <v>0</v>
      </c>
      <c r="L1534" s="1838">
        <v>0</v>
      </c>
      <c r="M1534" s="1838">
        <v>0</v>
      </c>
      <c r="N1534" s="1838" t="s">
        <v>4641</v>
      </c>
      <c r="O1534" s="1838" t="s">
        <v>3189</v>
      </c>
      <c r="P1534" s="1838"/>
    </row>
    <row r="1535" spans="2:16" s="1843" customFormat="1">
      <c r="B1535" s="1838">
        <f t="shared" si="73"/>
        <v>1532</v>
      </c>
      <c r="C1535" s="1838" t="s">
        <v>564</v>
      </c>
      <c r="D1535" s="1838" t="s">
        <v>4544</v>
      </c>
      <c r="E1535" s="1838" t="s">
        <v>4655</v>
      </c>
      <c r="F1535" s="1839">
        <v>45296</v>
      </c>
      <c r="G1535" s="1838">
        <v>21517</v>
      </c>
      <c r="H1535" s="1841">
        <f t="shared" si="72"/>
        <v>86</v>
      </c>
      <c r="I1535" s="1838">
        <f t="shared" si="74"/>
        <v>21517</v>
      </c>
      <c r="J1535" s="1838">
        <v>0</v>
      </c>
      <c r="K1535" s="1838">
        <v>0</v>
      </c>
      <c r="L1535" s="1838">
        <v>0</v>
      </c>
      <c r="M1535" s="1838">
        <v>0</v>
      </c>
      <c r="N1535" s="1838" t="s">
        <v>4641</v>
      </c>
      <c r="O1535" s="1838" t="s">
        <v>3189</v>
      </c>
      <c r="P1535" s="1838"/>
    </row>
    <row r="1536" spans="2:16" s="1843" customFormat="1">
      <c r="B1536" s="1838">
        <f t="shared" si="73"/>
        <v>1533</v>
      </c>
      <c r="C1536" s="1838" t="s">
        <v>564</v>
      </c>
      <c r="D1536" s="1838" t="s">
        <v>4544</v>
      </c>
      <c r="E1536" s="1838" t="s">
        <v>4656</v>
      </c>
      <c r="F1536" s="1839">
        <v>45307</v>
      </c>
      <c r="G1536" s="1838">
        <v>7228</v>
      </c>
      <c r="H1536" s="1841">
        <f t="shared" si="72"/>
        <v>75</v>
      </c>
      <c r="I1536" s="1838">
        <f t="shared" si="74"/>
        <v>7228</v>
      </c>
      <c r="J1536" s="1838">
        <v>0</v>
      </c>
      <c r="K1536" s="1838">
        <v>0</v>
      </c>
      <c r="L1536" s="1838">
        <v>0</v>
      </c>
      <c r="M1536" s="1838">
        <v>0</v>
      </c>
      <c r="N1536" s="1838" t="s">
        <v>4641</v>
      </c>
      <c r="O1536" s="1838" t="s">
        <v>3189</v>
      </c>
      <c r="P1536" s="1838"/>
    </row>
    <row r="1537" spans="2:16" s="1843" customFormat="1">
      <c r="B1537" s="1838">
        <f t="shared" si="73"/>
        <v>1534</v>
      </c>
      <c r="C1537" s="1838" t="s">
        <v>564</v>
      </c>
      <c r="D1537" s="1838" t="s">
        <v>4544</v>
      </c>
      <c r="E1537" s="1838" t="s">
        <v>4657</v>
      </c>
      <c r="F1537" s="1839">
        <v>45320</v>
      </c>
      <c r="G1537" s="1838">
        <v>19948</v>
      </c>
      <c r="H1537" s="1841">
        <f t="shared" si="72"/>
        <v>62</v>
      </c>
      <c r="I1537" s="1838">
        <f t="shared" si="74"/>
        <v>19948</v>
      </c>
      <c r="J1537" s="1838">
        <v>0</v>
      </c>
      <c r="K1537" s="1838">
        <v>0</v>
      </c>
      <c r="L1537" s="1838">
        <v>0</v>
      </c>
      <c r="M1537" s="1838">
        <v>0</v>
      </c>
      <c r="N1537" s="1838" t="s">
        <v>4641</v>
      </c>
      <c r="O1537" s="1838" t="s">
        <v>3189</v>
      </c>
      <c r="P1537" s="1838"/>
    </row>
    <row r="1538" spans="2:16" s="1843" customFormat="1">
      <c r="B1538" s="1838">
        <f t="shared" si="73"/>
        <v>1535</v>
      </c>
      <c r="C1538" s="1838" t="s">
        <v>564</v>
      </c>
      <c r="D1538" s="1838" t="s">
        <v>4544</v>
      </c>
      <c r="E1538" s="1838" t="s">
        <v>4658</v>
      </c>
      <c r="F1538" s="1839">
        <v>45320</v>
      </c>
      <c r="G1538" s="1838">
        <v>9892</v>
      </c>
      <c r="H1538" s="1841">
        <f t="shared" si="72"/>
        <v>62</v>
      </c>
      <c r="I1538" s="1838">
        <f t="shared" si="74"/>
        <v>9892</v>
      </c>
      <c r="J1538" s="1838">
        <v>0</v>
      </c>
      <c r="K1538" s="1838">
        <v>0</v>
      </c>
      <c r="L1538" s="1838">
        <v>0</v>
      </c>
      <c r="M1538" s="1838">
        <v>0</v>
      </c>
      <c r="N1538" s="1838" t="s">
        <v>4641</v>
      </c>
      <c r="O1538" s="1838" t="s">
        <v>3189</v>
      </c>
      <c r="P1538" s="1838"/>
    </row>
    <row r="1539" spans="2:16" s="1843" customFormat="1">
      <c r="B1539" s="1838">
        <f t="shared" si="73"/>
        <v>1536</v>
      </c>
      <c r="C1539" s="1838" t="s">
        <v>564</v>
      </c>
      <c r="D1539" s="1838" t="s">
        <v>4544</v>
      </c>
      <c r="E1539" s="1838" t="s">
        <v>4659</v>
      </c>
      <c r="F1539" s="1839">
        <v>45321</v>
      </c>
      <c r="G1539" s="1838">
        <v>6273</v>
      </c>
      <c r="H1539" s="1841">
        <f t="shared" si="72"/>
        <v>61</v>
      </c>
      <c r="I1539" s="1838">
        <f t="shared" si="74"/>
        <v>6273</v>
      </c>
      <c r="J1539" s="1838">
        <v>0</v>
      </c>
      <c r="K1539" s="1838">
        <v>0</v>
      </c>
      <c r="L1539" s="1838">
        <v>0</v>
      </c>
      <c r="M1539" s="1838">
        <v>0</v>
      </c>
      <c r="N1539" s="1838" t="s">
        <v>4641</v>
      </c>
      <c r="O1539" s="1838" t="s">
        <v>3189</v>
      </c>
      <c r="P1539" s="1838"/>
    </row>
    <row r="1540" spans="2:16" s="1843" customFormat="1">
      <c r="B1540" s="1838">
        <f t="shared" si="73"/>
        <v>1537</v>
      </c>
      <c r="C1540" s="1838" t="s">
        <v>564</v>
      </c>
      <c r="D1540" s="1838" t="s">
        <v>4544</v>
      </c>
      <c r="E1540" s="1838" t="s">
        <v>4660</v>
      </c>
      <c r="F1540" s="1839">
        <v>45325</v>
      </c>
      <c r="G1540" s="1838">
        <v>5664</v>
      </c>
      <c r="H1540" s="1841">
        <f t="shared" si="72"/>
        <v>57</v>
      </c>
      <c r="I1540" s="1838">
        <f t="shared" si="74"/>
        <v>5664</v>
      </c>
      <c r="J1540" s="1838">
        <v>0</v>
      </c>
      <c r="K1540" s="1838">
        <v>0</v>
      </c>
      <c r="L1540" s="1838">
        <v>0</v>
      </c>
      <c r="M1540" s="1838">
        <v>0</v>
      </c>
      <c r="N1540" s="1838" t="s">
        <v>4641</v>
      </c>
      <c r="O1540" s="1838" t="s">
        <v>3189</v>
      </c>
      <c r="P1540" s="1838"/>
    </row>
    <row r="1541" spans="2:16" s="1843" customFormat="1">
      <c r="B1541" s="1838">
        <f t="shared" si="73"/>
        <v>1538</v>
      </c>
      <c r="C1541" s="1838" t="s">
        <v>564</v>
      </c>
      <c r="D1541" s="1838" t="s">
        <v>4544</v>
      </c>
      <c r="E1541" s="1838" t="s">
        <v>4661</v>
      </c>
      <c r="F1541" s="1839">
        <v>45329</v>
      </c>
      <c r="G1541" s="1838">
        <v>18290</v>
      </c>
      <c r="H1541" s="1841">
        <f t="shared" ref="H1541:H1578" si="75">+$H$2-F1541</f>
        <v>53</v>
      </c>
      <c r="I1541" s="1838">
        <f t="shared" si="74"/>
        <v>18290</v>
      </c>
      <c r="J1541" s="1838">
        <v>0</v>
      </c>
      <c r="K1541" s="1838">
        <v>0</v>
      </c>
      <c r="L1541" s="1838">
        <v>0</v>
      </c>
      <c r="M1541" s="1838">
        <v>0</v>
      </c>
      <c r="N1541" s="1838" t="s">
        <v>4641</v>
      </c>
      <c r="O1541" s="1838" t="s">
        <v>3189</v>
      </c>
      <c r="P1541" s="1838"/>
    </row>
    <row r="1542" spans="2:16" s="1843" customFormat="1">
      <c r="B1542" s="1838">
        <f t="shared" ref="B1542:B1578" si="76">+B1541+1</f>
        <v>1539</v>
      </c>
      <c r="C1542" s="1838" t="s">
        <v>564</v>
      </c>
      <c r="D1542" s="1838" t="s">
        <v>4544</v>
      </c>
      <c r="E1542" s="1838" t="s">
        <v>4662</v>
      </c>
      <c r="F1542" s="1839">
        <v>45329</v>
      </c>
      <c r="G1542" s="1838">
        <v>8876</v>
      </c>
      <c r="H1542" s="1841">
        <f t="shared" si="75"/>
        <v>53</v>
      </c>
      <c r="I1542" s="1838">
        <f t="shared" si="74"/>
        <v>8876</v>
      </c>
      <c r="J1542" s="1838">
        <v>0</v>
      </c>
      <c r="K1542" s="1838">
        <v>0</v>
      </c>
      <c r="L1542" s="1838">
        <v>0</v>
      </c>
      <c r="M1542" s="1838">
        <v>0</v>
      </c>
      <c r="N1542" s="1838" t="s">
        <v>4641</v>
      </c>
      <c r="O1542" s="1838" t="s">
        <v>3189</v>
      </c>
      <c r="P1542" s="1838"/>
    </row>
    <row r="1543" spans="2:16" s="1843" customFormat="1">
      <c r="B1543" s="1838">
        <f t="shared" si="76"/>
        <v>1540</v>
      </c>
      <c r="C1543" s="1838" t="s">
        <v>564</v>
      </c>
      <c r="D1543" s="1838" t="s">
        <v>4544</v>
      </c>
      <c r="E1543" s="1838" t="s">
        <v>4663</v>
      </c>
      <c r="F1543" s="1839">
        <v>45330</v>
      </c>
      <c r="G1543" s="1838">
        <v>16645</v>
      </c>
      <c r="H1543" s="1841">
        <f t="shared" si="75"/>
        <v>52</v>
      </c>
      <c r="I1543" s="1838">
        <f t="shared" si="74"/>
        <v>16645</v>
      </c>
      <c r="J1543" s="1838">
        <v>0</v>
      </c>
      <c r="K1543" s="1838">
        <v>0</v>
      </c>
      <c r="L1543" s="1838">
        <v>0</v>
      </c>
      <c r="M1543" s="1838">
        <v>0</v>
      </c>
      <c r="N1543" s="1838" t="s">
        <v>4641</v>
      </c>
      <c r="O1543" s="1838" t="s">
        <v>3189</v>
      </c>
      <c r="P1543" s="1838"/>
    </row>
    <row r="1544" spans="2:16" s="1843" customFormat="1">
      <c r="B1544" s="1838">
        <f t="shared" si="76"/>
        <v>1541</v>
      </c>
      <c r="C1544" s="1838" t="s">
        <v>564</v>
      </c>
      <c r="D1544" s="1838" t="s">
        <v>4544</v>
      </c>
      <c r="E1544" s="1838" t="s">
        <v>4664</v>
      </c>
      <c r="F1544" s="1839">
        <v>45337</v>
      </c>
      <c r="G1544" s="1838">
        <v>9976</v>
      </c>
      <c r="H1544" s="1841">
        <f t="shared" si="75"/>
        <v>45</v>
      </c>
      <c r="I1544" s="1838">
        <f t="shared" si="74"/>
        <v>9976</v>
      </c>
      <c r="J1544" s="1838">
        <v>0</v>
      </c>
      <c r="K1544" s="1838">
        <v>0</v>
      </c>
      <c r="L1544" s="1838">
        <v>0</v>
      </c>
      <c r="M1544" s="1838">
        <v>0</v>
      </c>
      <c r="N1544" s="1838" t="s">
        <v>4641</v>
      </c>
      <c r="O1544" s="1838" t="s">
        <v>3189</v>
      </c>
      <c r="P1544" s="1838"/>
    </row>
    <row r="1545" spans="2:16" s="1843" customFormat="1">
      <c r="B1545" s="1838">
        <f t="shared" si="76"/>
        <v>1542</v>
      </c>
      <c r="C1545" s="1838" t="s">
        <v>564</v>
      </c>
      <c r="D1545" s="1838" t="s">
        <v>4544</v>
      </c>
      <c r="E1545" s="1838" t="s">
        <v>4665</v>
      </c>
      <c r="F1545" s="1839">
        <v>45342</v>
      </c>
      <c r="G1545" s="1838">
        <v>26649</v>
      </c>
      <c r="H1545" s="1841">
        <f t="shared" si="75"/>
        <v>40</v>
      </c>
      <c r="I1545" s="1838">
        <f t="shared" si="74"/>
        <v>26649</v>
      </c>
      <c r="J1545" s="1838">
        <v>0</v>
      </c>
      <c r="K1545" s="1838">
        <v>0</v>
      </c>
      <c r="L1545" s="1838">
        <v>0</v>
      </c>
      <c r="M1545" s="1838">
        <v>0</v>
      </c>
      <c r="N1545" s="1838" t="s">
        <v>4641</v>
      </c>
      <c r="O1545" s="1838" t="s">
        <v>3189</v>
      </c>
      <c r="P1545" s="1838"/>
    </row>
    <row r="1546" spans="2:16" s="1843" customFormat="1">
      <c r="B1546" s="1838">
        <f t="shared" si="76"/>
        <v>1543</v>
      </c>
      <c r="C1546" s="1838" t="s">
        <v>564</v>
      </c>
      <c r="D1546" s="1838" t="s">
        <v>4544</v>
      </c>
      <c r="E1546" s="1838" t="s">
        <v>4666</v>
      </c>
      <c r="F1546" s="1839">
        <v>45348</v>
      </c>
      <c r="G1546" s="1838">
        <v>13629</v>
      </c>
      <c r="H1546" s="1841">
        <f t="shared" si="75"/>
        <v>34</v>
      </c>
      <c r="I1546" s="1838">
        <f t="shared" si="74"/>
        <v>13629</v>
      </c>
      <c r="J1546" s="1838">
        <v>0</v>
      </c>
      <c r="K1546" s="1838">
        <v>0</v>
      </c>
      <c r="L1546" s="1838">
        <v>0</v>
      </c>
      <c r="M1546" s="1838">
        <v>0</v>
      </c>
      <c r="N1546" s="1838" t="s">
        <v>4641</v>
      </c>
      <c r="O1546" s="1838" t="s">
        <v>3189</v>
      </c>
      <c r="P1546" s="1838"/>
    </row>
    <row r="1547" spans="2:16" s="1843" customFormat="1">
      <c r="B1547" s="1838">
        <f t="shared" si="76"/>
        <v>1544</v>
      </c>
      <c r="C1547" s="1838" t="s">
        <v>564</v>
      </c>
      <c r="D1547" s="1838" t="s">
        <v>4544</v>
      </c>
      <c r="E1547" s="1838" t="s">
        <v>4667</v>
      </c>
      <c r="F1547" s="1839">
        <v>45351</v>
      </c>
      <c r="G1547" s="1838">
        <v>15767</v>
      </c>
      <c r="H1547" s="1841">
        <f t="shared" si="75"/>
        <v>31</v>
      </c>
      <c r="I1547" s="1838">
        <f t="shared" si="74"/>
        <v>15767</v>
      </c>
      <c r="J1547" s="1838">
        <v>0</v>
      </c>
      <c r="K1547" s="1838">
        <v>0</v>
      </c>
      <c r="L1547" s="1838">
        <v>0</v>
      </c>
      <c r="M1547" s="1838">
        <v>0</v>
      </c>
      <c r="N1547" s="1838" t="s">
        <v>4641</v>
      </c>
      <c r="O1547" s="1838" t="s">
        <v>3189</v>
      </c>
      <c r="P1547" s="1838"/>
    </row>
    <row r="1548" spans="2:16" s="1843" customFormat="1">
      <c r="B1548" s="1838">
        <f t="shared" si="76"/>
        <v>1545</v>
      </c>
      <c r="C1548" s="1838" t="s">
        <v>564</v>
      </c>
      <c r="D1548" s="1838" t="s">
        <v>4544</v>
      </c>
      <c r="E1548" s="1838" t="s">
        <v>4668</v>
      </c>
      <c r="F1548" s="1839">
        <v>45356</v>
      </c>
      <c r="G1548" s="1838">
        <v>11882</v>
      </c>
      <c r="H1548" s="1841">
        <f t="shared" si="75"/>
        <v>26</v>
      </c>
      <c r="I1548" s="1838">
        <f t="shared" si="74"/>
        <v>11882</v>
      </c>
      <c r="J1548" s="1838">
        <v>0</v>
      </c>
      <c r="K1548" s="1838">
        <v>0</v>
      </c>
      <c r="L1548" s="1838">
        <v>0</v>
      </c>
      <c r="M1548" s="1838">
        <v>0</v>
      </c>
      <c r="N1548" s="1838" t="s">
        <v>4641</v>
      </c>
      <c r="O1548" s="1838" t="s">
        <v>3189</v>
      </c>
      <c r="P1548" s="1838"/>
    </row>
    <row r="1549" spans="2:16" s="1843" customFormat="1">
      <c r="B1549" s="1838">
        <f t="shared" si="76"/>
        <v>1546</v>
      </c>
      <c r="C1549" s="1838" t="s">
        <v>564</v>
      </c>
      <c r="D1549" s="1838" t="s">
        <v>4544</v>
      </c>
      <c r="E1549" s="1838" t="s">
        <v>4669</v>
      </c>
      <c r="F1549" s="1839">
        <v>45357</v>
      </c>
      <c r="G1549" s="1838">
        <v>15635</v>
      </c>
      <c r="H1549" s="1841">
        <f t="shared" si="75"/>
        <v>25</v>
      </c>
      <c r="I1549" s="1838">
        <f t="shared" si="74"/>
        <v>15635</v>
      </c>
      <c r="J1549" s="1838">
        <v>0</v>
      </c>
      <c r="K1549" s="1838">
        <v>0</v>
      </c>
      <c r="L1549" s="1838">
        <v>0</v>
      </c>
      <c r="M1549" s="1838">
        <v>0</v>
      </c>
      <c r="N1549" s="1838" t="s">
        <v>4641</v>
      </c>
      <c r="O1549" s="1838" t="s">
        <v>3189</v>
      </c>
      <c r="P1549" s="1838"/>
    </row>
    <row r="1550" spans="2:16" s="1843" customFormat="1">
      <c r="B1550" s="1838">
        <f t="shared" si="76"/>
        <v>1547</v>
      </c>
      <c r="C1550" s="1838" t="s">
        <v>564</v>
      </c>
      <c r="D1550" s="1838" t="s">
        <v>4544</v>
      </c>
      <c r="E1550" s="1838" t="s">
        <v>4670</v>
      </c>
      <c r="F1550" s="1839">
        <v>45359</v>
      </c>
      <c r="G1550" s="1838">
        <v>7137</v>
      </c>
      <c r="H1550" s="1841">
        <f t="shared" si="75"/>
        <v>23</v>
      </c>
      <c r="I1550" s="1838">
        <f t="shared" si="74"/>
        <v>7137</v>
      </c>
      <c r="J1550" s="1838">
        <v>0</v>
      </c>
      <c r="K1550" s="1838">
        <v>0</v>
      </c>
      <c r="L1550" s="1838">
        <v>0</v>
      </c>
      <c r="M1550" s="1838">
        <v>0</v>
      </c>
      <c r="N1550" s="1838" t="s">
        <v>4641</v>
      </c>
      <c r="O1550" s="1838" t="s">
        <v>3189</v>
      </c>
      <c r="P1550" s="1838"/>
    </row>
    <row r="1551" spans="2:16" s="1843" customFormat="1">
      <c r="B1551" s="1838">
        <f t="shared" si="76"/>
        <v>1548</v>
      </c>
      <c r="C1551" s="1838" t="s">
        <v>564</v>
      </c>
      <c r="D1551" s="1838" t="s">
        <v>4544</v>
      </c>
      <c r="E1551" s="1838" t="s">
        <v>4671</v>
      </c>
      <c r="F1551" s="1839">
        <v>45359</v>
      </c>
      <c r="G1551" s="1838">
        <v>8260</v>
      </c>
      <c r="H1551" s="1841">
        <f t="shared" si="75"/>
        <v>23</v>
      </c>
      <c r="I1551" s="1838">
        <f t="shared" si="74"/>
        <v>8260</v>
      </c>
      <c r="J1551" s="1838">
        <v>0</v>
      </c>
      <c r="K1551" s="1838">
        <v>0</v>
      </c>
      <c r="L1551" s="1838">
        <v>0</v>
      </c>
      <c r="M1551" s="1838">
        <v>0</v>
      </c>
      <c r="N1551" s="1838" t="s">
        <v>4641</v>
      </c>
      <c r="O1551" s="1838" t="s">
        <v>3189</v>
      </c>
      <c r="P1551" s="1838"/>
    </row>
    <row r="1552" spans="2:16" s="1843" customFormat="1">
      <c r="B1552" s="1838">
        <f t="shared" si="76"/>
        <v>1549</v>
      </c>
      <c r="C1552" s="1838" t="s">
        <v>564</v>
      </c>
      <c r="D1552" s="1838" t="s">
        <v>4544</v>
      </c>
      <c r="E1552" s="1838" t="s">
        <v>4672</v>
      </c>
      <c r="F1552" s="1839">
        <v>45364</v>
      </c>
      <c r="G1552" s="1838">
        <v>6495</v>
      </c>
      <c r="H1552" s="1841">
        <f t="shared" si="75"/>
        <v>18</v>
      </c>
      <c r="I1552" s="1838">
        <f t="shared" si="74"/>
        <v>6495</v>
      </c>
      <c r="J1552" s="1838">
        <v>0</v>
      </c>
      <c r="K1552" s="1838">
        <v>0</v>
      </c>
      <c r="L1552" s="1838">
        <v>0</v>
      </c>
      <c r="M1552" s="1838">
        <v>0</v>
      </c>
      <c r="N1552" s="1838" t="s">
        <v>4641</v>
      </c>
      <c r="O1552" s="1838" t="s">
        <v>3189</v>
      </c>
      <c r="P1552" s="1838"/>
    </row>
    <row r="1553" spans="2:16" s="1843" customFormat="1">
      <c r="B1553" s="1838">
        <f t="shared" si="76"/>
        <v>1550</v>
      </c>
      <c r="C1553" s="1838" t="s">
        <v>564</v>
      </c>
      <c r="D1553" s="1838" t="s">
        <v>4544</v>
      </c>
      <c r="E1553" s="1838" t="s">
        <v>4673</v>
      </c>
      <c r="F1553" s="1839">
        <v>45373</v>
      </c>
      <c r="G1553" s="1838">
        <v>19533</v>
      </c>
      <c r="H1553" s="1841">
        <f t="shared" si="75"/>
        <v>9</v>
      </c>
      <c r="I1553" s="1838">
        <f t="shared" si="74"/>
        <v>19533</v>
      </c>
      <c r="J1553" s="1838">
        <v>0</v>
      </c>
      <c r="K1553" s="1838">
        <v>0</v>
      </c>
      <c r="L1553" s="1838">
        <v>0</v>
      </c>
      <c r="M1553" s="1838">
        <v>0</v>
      </c>
      <c r="N1553" s="1838" t="s">
        <v>4641</v>
      </c>
      <c r="O1553" s="1838" t="s">
        <v>3189</v>
      </c>
      <c r="P1553" s="1838"/>
    </row>
    <row r="1554" spans="2:16" s="1843" customFormat="1">
      <c r="B1554" s="1838">
        <f t="shared" si="76"/>
        <v>1551</v>
      </c>
      <c r="C1554" s="1838" t="s">
        <v>564</v>
      </c>
      <c r="D1554" s="1838" t="s">
        <v>4544</v>
      </c>
      <c r="E1554" s="1838" t="s">
        <v>4674</v>
      </c>
      <c r="F1554" s="1839">
        <v>45373</v>
      </c>
      <c r="G1554" s="1838">
        <v>10889</v>
      </c>
      <c r="H1554" s="1841">
        <f t="shared" si="75"/>
        <v>9</v>
      </c>
      <c r="I1554" s="1838">
        <f t="shared" si="74"/>
        <v>10889</v>
      </c>
      <c r="J1554" s="1838">
        <v>0</v>
      </c>
      <c r="K1554" s="1838">
        <v>0</v>
      </c>
      <c r="L1554" s="1838">
        <v>0</v>
      </c>
      <c r="M1554" s="1838">
        <v>0</v>
      </c>
      <c r="N1554" s="1838" t="s">
        <v>4641</v>
      </c>
      <c r="O1554" s="1838" t="s">
        <v>3189</v>
      </c>
      <c r="P1554" s="1838"/>
    </row>
    <row r="1555" spans="2:16" s="1843" customFormat="1">
      <c r="B1555" s="1838">
        <f t="shared" si="76"/>
        <v>1552</v>
      </c>
      <c r="C1555" s="1838" t="s">
        <v>564</v>
      </c>
      <c r="D1555" s="1838" t="s">
        <v>4544</v>
      </c>
      <c r="E1555" s="1838" t="s">
        <v>4675</v>
      </c>
      <c r="F1555" s="1839">
        <v>45381</v>
      </c>
      <c r="G1555" s="1838">
        <v>14244</v>
      </c>
      <c r="H1555" s="1841">
        <f t="shared" si="75"/>
        <v>1</v>
      </c>
      <c r="I1555" s="1838">
        <f t="shared" si="74"/>
        <v>14244</v>
      </c>
      <c r="J1555" s="1838">
        <v>0</v>
      </c>
      <c r="K1555" s="1838">
        <v>0</v>
      </c>
      <c r="L1555" s="1838">
        <v>0</v>
      </c>
      <c r="M1555" s="1838">
        <v>0</v>
      </c>
      <c r="N1555" s="1838" t="s">
        <v>4641</v>
      </c>
      <c r="O1555" s="1838" t="s">
        <v>3189</v>
      </c>
      <c r="P1555" s="1838"/>
    </row>
    <row r="1556" spans="2:16" s="1843" customFormat="1">
      <c r="B1556" s="1838">
        <f t="shared" si="76"/>
        <v>1553</v>
      </c>
      <c r="C1556" s="1838" t="s">
        <v>2995</v>
      </c>
      <c r="D1556" s="1838" t="s">
        <v>4544</v>
      </c>
      <c r="E1556" s="1838" t="s">
        <v>4676</v>
      </c>
      <c r="F1556" s="1839">
        <v>45307</v>
      </c>
      <c r="G1556" s="1838">
        <v>17346</v>
      </c>
      <c r="H1556" s="1841">
        <f t="shared" si="75"/>
        <v>75</v>
      </c>
      <c r="I1556" s="1838">
        <f t="shared" si="74"/>
        <v>17346</v>
      </c>
      <c r="J1556" s="1838">
        <v>0</v>
      </c>
      <c r="K1556" s="1838">
        <v>0</v>
      </c>
      <c r="L1556" s="1838">
        <v>0</v>
      </c>
      <c r="M1556" s="1838">
        <v>0</v>
      </c>
      <c r="N1556" s="1838" t="s">
        <v>4677</v>
      </c>
      <c r="O1556" s="1838" t="s">
        <v>3297</v>
      </c>
      <c r="P1556" s="1838"/>
    </row>
    <row r="1557" spans="2:16" s="1843" customFormat="1">
      <c r="B1557" s="1838">
        <f t="shared" si="76"/>
        <v>1554</v>
      </c>
      <c r="C1557" s="1838" t="s">
        <v>2995</v>
      </c>
      <c r="D1557" s="1838" t="s">
        <v>4544</v>
      </c>
      <c r="E1557" s="1838" t="s">
        <v>4678</v>
      </c>
      <c r="F1557" s="1839">
        <v>45320</v>
      </c>
      <c r="G1557" s="1838">
        <v>60770</v>
      </c>
      <c r="H1557" s="1841">
        <f t="shared" si="75"/>
        <v>62</v>
      </c>
      <c r="I1557" s="1838">
        <f t="shared" si="74"/>
        <v>60770</v>
      </c>
      <c r="J1557" s="1838">
        <v>0</v>
      </c>
      <c r="K1557" s="1838">
        <v>0</v>
      </c>
      <c r="L1557" s="1838">
        <v>0</v>
      </c>
      <c r="M1557" s="1838">
        <v>0</v>
      </c>
      <c r="N1557" s="1838" t="s">
        <v>4677</v>
      </c>
      <c r="O1557" s="1838" t="s">
        <v>3297</v>
      </c>
      <c r="P1557" s="1838"/>
    </row>
    <row r="1558" spans="2:16" s="1843" customFormat="1">
      <c r="B1558" s="1838">
        <f t="shared" si="76"/>
        <v>1555</v>
      </c>
      <c r="C1558" s="1838" t="s">
        <v>2995</v>
      </c>
      <c r="D1558" s="1838" t="s">
        <v>4544</v>
      </c>
      <c r="E1558" s="1838" t="s">
        <v>4679</v>
      </c>
      <c r="F1558" s="1839">
        <v>45359</v>
      </c>
      <c r="G1558" s="1838">
        <v>33040</v>
      </c>
      <c r="H1558" s="1841">
        <f t="shared" si="75"/>
        <v>23</v>
      </c>
      <c r="I1558" s="1838">
        <f t="shared" si="74"/>
        <v>33040</v>
      </c>
      <c r="J1558" s="1838">
        <v>0</v>
      </c>
      <c r="K1558" s="1838">
        <v>0</v>
      </c>
      <c r="L1558" s="1838">
        <v>0</v>
      </c>
      <c r="M1558" s="1838">
        <v>0</v>
      </c>
      <c r="N1558" s="1838" t="s">
        <v>4677</v>
      </c>
      <c r="O1558" s="1838" t="s">
        <v>3297</v>
      </c>
      <c r="P1558" s="1838"/>
    </row>
    <row r="1559" spans="2:16" s="1843" customFormat="1">
      <c r="B1559" s="1838">
        <f t="shared" si="76"/>
        <v>1556</v>
      </c>
      <c r="C1559" s="1838" t="s">
        <v>2995</v>
      </c>
      <c r="D1559" s="1838" t="s">
        <v>4544</v>
      </c>
      <c r="E1559" s="1838" t="s">
        <v>4680</v>
      </c>
      <c r="F1559" s="1839">
        <v>45379</v>
      </c>
      <c r="G1559" s="1838">
        <v>33040</v>
      </c>
      <c r="H1559" s="1841">
        <f t="shared" si="75"/>
        <v>3</v>
      </c>
      <c r="I1559" s="1838">
        <f t="shared" si="74"/>
        <v>33040</v>
      </c>
      <c r="J1559" s="1838">
        <v>0</v>
      </c>
      <c r="K1559" s="1838">
        <v>0</v>
      </c>
      <c r="L1559" s="1838">
        <v>0</v>
      </c>
      <c r="M1559" s="1838">
        <v>0</v>
      </c>
      <c r="N1559" s="1838" t="s">
        <v>4677</v>
      </c>
      <c r="O1559" s="1838" t="s">
        <v>3297</v>
      </c>
      <c r="P1559" s="1838"/>
    </row>
    <row r="1560" spans="2:16" s="1843" customFormat="1">
      <c r="B1560" s="1838">
        <f t="shared" si="76"/>
        <v>1557</v>
      </c>
      <c r="C1560" s="1838" t="s">
        <v>2995</v>
      </c>
      <c r="D1560" s="1838" t="s">
        <v>4544</v>
      </c>
      <c r="E1560" s="1838" t="s">
        <v>4681</v>
      </c>
      <c r="F1560" s="1839">
        <v>45380</v>
      </c>
      <c r="G1560" s="1838">
        <v>114106</v>
      </c>
      <c r="H1560" s="1841">
        <f t="shared" si="75"/>
        <v>2</v>
      </c>
      <c r="I1560" s="1838">
        <f t="shared" si="74"/>
        <v>114106</v>
      </c>
      <c r="J1560" s="1838">
        <v>0</v>
      </c>
      <c r="K1560" s="1838">
        <v>0</v>
      </c>
      <c r="L1560" s="1838">
        <v>0</v>
      </c>
      <c r="M1560" s="1838">
        <v>0</v>
      </c>
      <c r="N1560" s="1838" t="s">
        <v>4677</v>
      </c>
      <c r="O1560" s="1838" t="s">
        <v>3297</v>
      </c>
      <c r="P1560" s="1838"/>
    </row>
    <row r="1561" spans="2:16" s="1843" customFormat="1">
      <c r="B1561" s="1838">
        <f t="shared" si="76"/>
        <v>1558</v>
      </c>
      <c r="C1561" s="1838" t="s">
        <v>2996</v>
      </c>
      <c r="D1561" s="1838" t="s">
        <v>4544</v>
      </c>
      <c r="E1561" s="1838" t="s">
        <v>4682</v>
      </c>
      <c r="F1561" s="1839">
        <v>45324</v>
      </c>
      <c r="G1561" s="1838">
        <v>114628</v>
      </c>
      <c r="H1561" s="1841">
        <f t="shared" si="75"/>
        <v>58</v>
      </c>
      <c r="I1561" s="1838">
        <f t="shared" si="74"/>
        <v>114628</v>
      </c>
      <c r="J1561" s="1838">
        <v>0</v>
      </c>
      <c r="K1561" s="1838">
        <v>0</v>
      </c>
      <c r="L1561" s="1838">
        <v>0</v>
      </c>
      <c r="M1561" s="1838">
        <v>0</v>
      </c>
      <c r="N1561" s="1838" t="s">
        <v>3182</v>
      </c>
      <c r="O1561" s="1838" t="s">
        <v>3183</v>
      </c>
      <c r="P1561" s="1838"/>
    </row>
    <row r="1562" spans="2:16" s="1843" customFormat="1">
      <c r="B1562" s="1838">
        <f t="shared" si="76"/>
        <v>1559</v>
      </c>
      <c r="C1562" s="1838" t="s">
        <v>3004</v>
      </c>
      <c r="D1562" s="1838" t="s">
        <v>4544</v>
      </c>
      <c r="E1562" s="1838" t="s">
        <v>4683</v>
      </c>
      <c r="F1562" s="1839">
        <v>45329</v>
      </c>
      <c r="G1562" s="1838">
        <v>162657.20000000001</v>
      </c>
      <c r="H1562" s="1841">
        <f t="shared" si="75"/>
        <v>53</v>
      </c>
      <c r="I1562" s="1838">
        <f t="shared" si="74"/>
        <v>162657.20000000001</v>
      </c>
      <c r="J1562" s="1838">
        <v>0</v>
      </c>
      <c r="K1562" s="1838">
        <v>0</v>
      </c>
      <c r="L1562" s="1838">
        <v>0</v>
      </c>
      <c r="M1562" s="1838">
        <v>0</v>
      </c>
      <c r="N1562" s="1838" t="s">
        <v>4684</v>
      </c>
      <c r="O1562" s="1838" t="s">
        <v>3189</v>
      </c>
      <c r="P1562" s="1838"/>
    </row>
    <row r="1563" spans="2:16" s="1843" customFormat="1">
      <c r="B1563" s="1838">
        <f t="shared" si="76"/>
        <v>1560</v>
      </c>
      <c r="C1563" s="1838" t="s">
        <v>427</v>
      </c>
      <c r="D1563" s="1838" t="s">
        <v>4544</v>
      </c>
      <c r="E1563" s="1838" t="s">
        <v>4685</v>
      </c>
      <c r="F1563" s="1839">
        <v>45382</v>
      </c>
      <c r="G1563" s="1838">
        <v>27540</v>
      </c>
      <c r="H1563" s="1841">
        <f t="shared" si="75"/>
        <v>0</v>
      </c>
      <c r="I1563" s="1838">
        <f t="shared" ref="I1563:I1573" si="77">+G1563</f>
        <v>27540</v>
      </c>
      <c r="J1563" s="1838">
        <v>0</v>
      </c>
      <c r="K1563" s="1838">
        <v>0</v>
      </c>
      <c r="L1563" s="1838">
        <v>0</v>
      </c>
      <c r="M1563" s="1838">
        <v>0</v>
      </c>
      <c r="N1563" s="1838" t="s">
        <v>3182</v>
      </c>
      <c r="O1563" s="1838" t="s">
        <v>3183</v>
      </c>
      <c r="P1563" s="1838" t="s">
        <v>3184</v>
      </c>
    </row>
    <row r="1564" spans="2:16" s="1843" customFormat="1">
      <c r="B1564" s="1838">
        <f t="shared" si="76"/>
        <v>1561</v>
      </c>
      <c r="C1564" s="1838" t="s">
        <v>442</v>
      </c>
      <c r="D1564" s="1838" t="s">
        <v>4544</v>
      </c>
      <c r="E1564" s="1838" t="s">
        <v>4686</v>
      </c>
      <c r="F1564" s="1839">
        <v>45364</v>
      </c>
      <c r="G1564" s="1838">
        <v>349861</v>
      </c>
      <c r="H1564" s="1841">
        <f t="shared" si="75"/>
        <v>18</v>
      </c>
      <c r="I1564" s="1838">
        <f t="shared" si="77"/>
        <v>349861</v>
      </c>
      <c r="J1564" s="1838">
        <v>0</v>
      </c>
      <c r="K1564" s="1838">
        <v>0</v>
      </c>
      <c r="L1564" s="1838">
        <v>0</v>
      </c>
      <c r="M1564" s="1838">
        <v>0</v>
      </c>
      <c r="N1564" s="1838" t="s">
        <v>3182</v>
      </c>
      <c r="O1564" s="1838" t="s">
        <v>3183</v>
      </c>
      <c r="P1564" s="1838"/>
    </row>
    <row r="1565" spans="2:16" s="1843" customFormat="1">
      <c r="B1565" s="1838">
        <f t="shared" si="76"/>
        <v>1562</v>
      </c>
      <c r="C1565" s="1838" t="s">
        <v>442</v>
      </c>
      <c r="D1565" s="1838" t="s">
        <v>4544</v>
      </c>
      <c r="E1565" s="1838" t="s">
        <v>4687</v>
      </c>
      <c r="F1565" s="1839">
        <v>45382</v>
      </c>
      <c r="G1565" s="1838">
        <v>210395</v>
      </c>
      <c r="H1565" s="1841">
        <f t="shared" si="75"/>
        <v>0</v>
      </c>
      <c r="I1565" s="1838">
        <f t="shared" si="77"/>
        <v>210395</v>
      </c>
      <c r="J1565" s="1838">
        <v>0</v>
      </c>
      <c r="K1565" s="1838">
        <v>0</v>
      </c>
      <c r="L1565" s="1838">
        <v>0</v>
      </c>
      <c r="M1565" s="1838">
        <v>0</v>
      </c>
      <c r="N1565" s="1838" t="s">
        <v>3182</v>
      </c>
      <c r="O1565" s="1838" t="s">
        <v>3183</v>
      </c>
      <c r="P1565" s="1838"/>
    </row>
    <row r="1566" spans="2:16" s="1843" customFormat="1">
      <c r="B1566" s="1838">
        <f t="shared" si="76"/>
        <v>1563</v>
      </c>
      <c r="C1566" s="1838" t="s">
        <v>430</v>
      </c>
      <c r="D1566" s="1838" t="s">
        <v>4544</v>
      </c>
      <c r="E1566" s="1838" t="s">
        <v>4688</v>
      </c>
      <c r="F1566" s="1839">
        <v>45382</v>
      </c>
      <c r="G1566" s="1838">
        <v>13500</v>
      </c>
      <c r="H1566" s="1841">
        <f t="shared" si="75"/>
        <v>0</v>
      </c>
      <c r="I1566" s="1838">
        <f t="shared" si="77"/>
        <v>13500</v>
      </c>
      <c r="J1566" s="1838">
        <v>0</v>
      </c>
      <c r="K1566" s="1838">
        <v>0</v>
      </c>
      <c r="L1566" s="1838">
        <v>0</v>
      </c>
      <c r="M1566" s="1838">
        <v>0</v>
      </c>
      <c r="N1566" s="1838" t="s">
        <v>3182</v>
      </c>
      <c r="O1566" s="1838" t="s">
        <v>3183</v>
      </c>
      <c r="P1566" s="1838" t="s">
        <v>3184</v>
      </c>
    </row>
    <row r="1567" spans="2:16" s="1843" customFormat="1">
      <c r="B1567" s="1838">
        <f t="shared" si="76"/>
        <v>1564</v>
      </c>
      <c r="C1567" s="1838" t="s">
        <v>3009</v>
      </c>
      <c r="D1567" s="1838" t="s">
        <v>4544</v>
      </c>
      <c r="E1567" s="1838" t="s">
        <v>4689</v>
      </c>
      <c r="F1567" s="1839">
        <v>45303</v>
      </c>
      <c r="G1567" s="1838">
        <v>114229</v>
      </c>
      <c r="H1567" s="1841">
        <f t="shared" si="75"/>
        <v>79</v>
      </c>
      <c r="I1567" s="1838">
        <f t="shared" si="77"/>
        <v>114229</v>
      </c>
      <c r="J1567" s="1838">
        <v>0</v>
      </c>
      <c r="K1567" s="1838">
        <v>0</v>
      </c>
      <c r="L1567" s="1838">
        <v>0</v>
      </c>
      <c r="M1567" s="1838">
        <v>0</v>
      </c>
      <c r="N1567" s="1838" t="s">
        <v>4690</v>
      </c>
      <c r="O1567" s="1838" t="s">
        <v>3165</v>
      </c>
      <c r="P1567" s="1838"/>
    </row>
    <row r="1568" spans="2:16" s="1843" customFormat="1">
      <c r="B1568" s="1838">
        <f t="shared" si="76"/>
        <v>1565</v>
      </c>
      <c r="C1568" s="1838" t="s">
        <v>3009</v>
      </c>
      <c r="D1568" s="1838" t="s">
        <v>4544</v>
      </c>
      <c r="E1568" s="1838" t="s">
        <v>4691</v>
      </c>
      <c r="F1568" s="1839">
        <v>45303</v>
      </c>
      <c r="G1568" s="1838">
        <v>114229</v>
      </c>
      <c r="H1568" s="1841">
        <f t="shared" si="75"/>
        <v>79</v>
      </c>
      <c r="I1568" s="1838">
        <f t="shared" si="77"/>
        <v>114229</v>
      </c>
      <c r="J1568" s="1838">
        <v>0</v>
      </c>
      <c r="K1568" s="1838">
        <v>0</v>
      </c>
      <c r="L1568" s="1838">
        <v>0</v>
      </c>
      <c r="M1568" s="1838">
        <v>0</v>
      </c>
      <c r="N1568" s="1838" t="s">
        <v>4690</v>
      </c>
      <c r="O1568" s="1838" t="s">
        <v>3165</v>
      </c>
      <c r="P1568" s="1838"/>
    </row>
    <row r="1569" spans="2:16" s="1843" customFormat="1">
      <c r="B1569" s="1838">
        <f t="shared" si="76"/>
        <v>1566</v>
      </c>
      <c r="C1569" s="1838" t="s">
        <v>3009</v>
      </c>
      <c r="D1569" s="1838" t="s">
        <v>4544</v>
      </c>
      <c r="E1569" s="1838" t="s">
        <v>4692</v>
      </c>
      <c r="F1569" s="1839">
        <v>45337</v>
      </c>
      <c r="G1569" s="1838">
        <v>142421</v>
      </c>
      <c r="H1569" s="1841">
        <f t="shared" si="75"/>
        <v>45</v>
      </c>
      <c r="I1569" s="1838">
        <f t="shared" si="77"/>
        <v>142421</v>
      </c>
      <c r="J1569" s="1838">
        <v>0</v>
      </c>
      <c r="K1569" s="1838">
        <v>0</v>
      </c>
      <c r="L1569" s="1838">
        <v>0</v>
      </c>
      <c r="M1569" s="1838">
        <v>0</v>
      </c>
      <c r="N1569" s="1838" t="s">
        <v>4690</v>
      </c>
      <c r="O1569" s="1838" t="s">
        <v>3165</v>
      </c>
      <c r="P1569" s="1838"/>
    </row>
    <row r="1570" spans="2:16" s="1843" customFormat="1">
      <c r="B1570" s="1838">
        <f t="shared" si="76"/>
        <v>1567</v>
      </c>
      <c r="C1570" s="1838" t="s">
        <v>3009</v>
      </c>
      <c r="D1570" s="1838" t="s">
        <v>4544</v>
      </c>
      <c r="E1570" s="1838" t="s">
        <v>4693</v>
      </c>
      <c r="F1570" s="1839">
        <v>45337</v>
      </c>
      <c r="G1570" s="1838">
        <v>145824</v>
      </c>
      <c r="H1570" s="1841">
        <f t="shared" si="75"/>
        <v>45</v>
      </c>
      <c r="I1570" s="1838">
        <f t="shared" si="77"/>
        <v>145824</v>
      </c>
      <c r="J1570" s="1838">
        <v>0</v>
      </c>
      <c r="K1570" s="1838">
        <v>0</v>
      </c>
      <c r="L1570" s="1838">
        <v>0</v>
      </c>
      <c r="M1570" s="1838">
        <v>0</v>
      </c>
      <c r="N1570" s="1838" t="s">
        <v>4690</v>
      </c>
      <c r="O1570" s="1838" t="s">
        <v>3165</v>
      </c>
      <c r="P1570" s="1838"/>
    </row>
    <row r="1571" spans="2:16" s="1843" customFormat="1">
      <c r="B1571" s="1838">
        <f t="shared" si="76"/>
        <v>1568</v>
      </c>
      <c r="C1571" s="1838" t="s">
        <v>3009</v>
      </c>
      <c r="D1571" s="1838" t="s">
        <v>4544</v>
      </c>
      <c r="E1571" s="1838" t="s">
        <v>4694</v>
      </c>
      <c r="F1571" s="1839">
        <v>45337</v>
      </c>
      <c r="G1571" s="1838">
        <v>197348</v>
      </c>
      <c r="H1571" s="1841">
        <f t="shared" si="75"/>
        <v>45</v>
      </c>
      <c r="I1571" s="1838">
        <f t="shared" si="77"/>
        <v>197348</v>
      </c>
      <c r="J1571" s="1838">
        <v>0</v>
      </c>
      <c r="K1571" s="1838">
        <v>0</v>
      </c>
      <c r="L1571" s="1838">
        <v>0</v>
      </c>
      <c r="M1571" s="1838">
        <v>0</v>
      </c>
      <c r="N1571" s="1838" t="s">
        <v>4690</v>
      </c>
      <c r="O1571" s="1838" t="s">
        <v>3165</v>
      </c>
      <c r="P1571" s="1838"/>
    </row>
    <row r="1572" spans="2:16" s="1843" customFormat="1">
      <c r="B1572" s="1838">
        <f t="shared" si="76"/>
        <v>1569</v>
      </c>
      <c r="C1572" s="1838" t="s">
        <v>3010</v>
      </c>
      <c r="D1572" s="1838" t="s">
        <v>4544</v>
      </c>
      <c r="E1572" s="1838" t="s">
        <v>4695</v>
      </c>
      <c r="F1572" s="1839">
        <v>45303</v>
      </c>
      <c r="G1572" s="1838">
        <v>351471</v>
      </c>
      <c r="H1572" s="1841">
        <f t="shared" si="75"/>
        <v>79</v>
      </c>
      <c r="I1572" s="1838">
        <f t="shared" si="77"/>
        <v>351471</v>
      </c>
      <c r="J1572" s="1838">
        <v>0</v>
      </c>
      <c r="K1572" s="1838">
        <v>0</v>
      </c>
      <c r="L1572" s="1838">
        <v>0</v>
      </c>
      <c r="M1572" s="1838">
        <v>0</v>
      </c>
      <c r="N1572" s="1838" t="s">
        <v>3182</v>
      </c>
      <c r="O1572" s="1838" t="s">
        <v>3183</v>
      </c>
      <c r="P1572" s="1838"/>
    </row>
    <row r="1573" spans="2:16" s="1843" customFormat="1">
      <c r="B1573" s="1838">
        <f t="shared" si="76"/>
        <v>1570</v>
      </c>
      <c r="C1573" s="1838" t="s">
        <v>2990</v>
      </c>
      <c r="D1573" s="1838" t="s">
        <v>4544</v>
      </c>
      <c r="E1573" s="1838" t="s">
        <v>4696</v>
      </c>
      <c r="F1573" s="1839">
        <v>45316</v>
      </c>
      <c r="G1573" s="1838">
        <v>-1094</v>
      </c>
      <c r="H1573" s="1841">
        <f t="shared" si="75"/>
        <v>66</v>
      </c>
      <c r="I1573" s="1838">
        <f t="shared" si="77"/>
        <v>-1094</v>
      </c>
      <c r="J1573" s="1838">
        <v>0</v>
      </c>
      <c r="K1573" s="1838">
        <v>0</v>
      </c>
      <c r="L1573" s="1838">
        <v>0</v>
      </c>
      <c r="M1573" s="1838">
        <v>0</v>
      </c>
      <c r="N1573" s="1838" t="s">
        <v>3182</v>
      </c>
      <c r="O1573" s="1838" t="s">
        <v>3183</v>
      </c>
      <c r="P1573" s="1838"/>
    </row>
    <row r="1574" spans="2:16" s="1843" customFormat="1">
      <c r="B1574" s="1838">
        <f t="shared" si="76"/>
        <v>1571</v>
      </c>
      <c r="C1574" s="1838" t="s">
        <v>2984</v>
      </c>
      <c r="D1574" s="1838" t="s">
        <v>4544</v>
      </c>
      <c r="E1574" s="1838" t="s">
        <v>4697</v>
      </c>
      <c r="F1574" s="1839">
        <v>45198</v>
      </c>
      <c r="G1574" s="1838">
        <v>-846</v>
      </c>
      <c r="H1574" s="1841">
        <f t="shared" si="75"/>
        <v>184</v>
      </c>
      <c r="I1574" s="1838">
        <v>0</v>
      </c>
      <c r="J1574" s="1838">
        <f>+G1574</f>
        <v>-846</v>
      </c>
      <c r="K1574" s="1838">
        <v>0</v>
      </c>
      <c r="L1574" s="1838">
        <v>0</v>
      </c>
      <c r="M1574" s="1838">
        <v>0</v>
      </c>
      <c r="N1574" s="1838" t="s">
        <v>4698</v>
      </c>
      <c r="O1574" s="1838" t="s">
        <v>3189</v>
      </c>
      <c r="P1574" s="1838"/>
    </row>
    <row r="1575" spans="2:16" s="1843" customFormat="1">
      <c r="B1575" s="1838">
        <f t="shared" si="76"/>
        <v>1572</v>
      </c>
      <c r="C1575" s="1838" t="s">
        <v>4699</v>
      </c>
      <c r="D1575" s="1838" t="s">
        <v>4544</v>
      </c>
      <c r="E1575" s="1838" t="s">
        <v>4700</v>
      </c>
      <c r="F1575" s="1839">
        <v>45365</v>
      </c>
      <c r="G1575" s="1838">
        <v>-58000</v>
      </c>
      <c r="H1575" s="1841">
        <f t="shared" si="75"/>
        <v>17</v>
      </c>
      <c r="I1575" s="1838">
        <f t="shared" ref="I1575:I1578" si="78">+G1575</f>
        <v>-58000</v>
      </c>
      <c r="J1575" s="1838">
        <v>0</v>
      </c>
      <c r="K1575" s="1838">
        <v>0</v>
      </c>
      <c r="L1575" s="1838">
        <v>0</v>
      </c>
      <c r="M1575" s="1838">
        <v>0</v>
      </c>
      <c r="N1575" s="1838" t="s">
        <v>3182</v>
      </c>
      <c r="O1575" s="1838" t="s">
        <v>3183</v>
      </c>
      <c r="P1575" s="1838" t="s">
        <v>3184</v>
      </c>
    </row>
    <row r="1576" spans="2:16" s="1843" customFormat="1">
      <c r="B1576" s="1838">
        <f>+B1575+1</f>
        <v>1573</v>
      </c>
      <c r="C1576" s="1838" t="s">
        <v>146</v>
      </c>
      <c r="D1576" s="1838" t="s">
        <v>4544</v>
      </c>
      <c r="E1576" s="1838" t="s">
        <v>4511</v>
      </c>
      <c r="F1576" s="1839">
        <v>45355</v>
      </c>
      <c r="G1576" s="1838">
        <v>-93204</v>
      </c>
      <c r="H1576" s="1841">
        <f t="shared" si="75"/>
        <v>27</v>
      </c>
      <c r="I1576" s="1838">
        <f t="shared" si="78"/>
        <v>-93204</v>
      </c>
      <c r="J1576" s="1838">
        <v>0</v>
      </c>
      <c r="K1576" s="1838">
        <v>0</v>
      </c>
      <c r="L1576" s="1838">
        <v>0</v>
      </c>
      <c r="M1576" s="1838">
        <v>0</v>
      </c>
      <c r="N1576" s="1838" t="s">
        <v>3182</v>
      </c>
      <c r="O1576" s="1838" t="s">
        <v>3183</v>
      </c>
      <c r="P1576" s="1838"/>
    </row>
    <row r="1577" spans="2:16" s="1843" customFormat="1">
      <c r="B1577" s="1838">
        <f t="shared" si="76"/>
        <v>1574</v>
      </c>
      <c r="C1577" s="1838" t="s">
        <v>146</v>
      </c>
      <c r="D1577" s="1838" t="s">
        <v>4544</v>
      </c>
      <c r="E1577" s="1838" t="s">
        <v>4511</v>
      </c>
      <c r="F1577" s="1839">
        <v>45371</v>
      </c>
      <c r="G1577" s="1838">
        <v>-75000</v>
      </c>
      <c r="H1577" s="1841">
        <f t="shared" si="75"/>
        <v>11</v>
      </c>
      <c r="I1577" s="1838">
        <f t="shared" si="78"/>
        <v>-75000</v>
      </c>
      <c r="J1577" s="1838">
        <v>0</v>
      </c>
      <c r="K1577" s="1838">
        <v>0</v>
      </c>
      <c r="L1577" s="1838">
        <v>0</v>
      </c>
      <c r="M1577" s="1838">
        <v>0</v>
      </c>
      <c r="N1577" s="1838" t="s">
        <v>3182</v>
      </c>
      <c r="O1577" s="1838" t="s">
        <v>3183</v>
      </c>
      <c r="P1577" s="1838"/>
    </row>
    <row r="1578" spans="2:16" s="1843" customFormat="1">
      <c r="B1578" s="1838">
        <f t="shared" si="76"/>
        <v>1575</v>
      </c>
      <c r="C1578" s="1838" t="s">
        <v>146</v>
      </c>
      <c r="D1578" s="1838" t="s">
        <v>4544</v>
      </c>
      <c r="E1578" s="1838" t="s">
        <v>3180</v>
      </c>
      <c r="F1578" s="1839">
        <v>45382</v>
      </c>
      <c r="G1578" s="1838">
        <v>-0.16</v>
      </c>
      <c r="H1578" s="1841">
        <f t="shared" si="75"/>
        <v>0</v>
      </c>
      <c r="I1578" s="1838">
        <f t="shared" si="78"/>
        <v>-0.16</v>
      </c>
      <c r="J1578" s="1838">
        <v>0</v>
      </c>
      <c r="K1578" s="1838">
        <v>0</v>
      </c>
      <c r="L1578" s="1838">
        <v>0</v>
      </c>
      <c r="M1578" s="1838">
        <v>0</v>
      </c>
      <c r="N1578" s="1838" t="s">
        <v>3182</v>
      </c>
      <c r="O1578" s="1838" t="s">
        <v>3183</v>
      </c>
      <c r="P1578" s="1838"/>
    </row>
    <row r="1579" spans="2:16">
      <c r="C1579" s="136" t="s">
        <v>824</v>
      </c>
      <c r="G1579" s="3">
        <f>SUM(G4:G1578)</f>
        <v>101738132.17999999</v>
      </c>
      <c r="I1579" s="3">
        <f>SUM(I4:I1578)</f>
        <v>101645218.17999999</v>
      </c>
      <c r="J1579" s="3">
        <f t="shared" ref="J1579:M1579" si="79">SUM(J4:J1578)</f>
        <v>220007</v>
      </c>
      <c r="K1579" s="3">
        <f t="shared" si="79"/>
        <v>-127093</v>
      </c>
      <c r="L1579" s="3">
        <f t="shared" si="79"/>
        <v>0</v>
      </c>
      <c r="M1579" s="3">
        <f t="shared" si="79"/>
        <v>0</v>
      </c>
    </row>
  </sheetData>
  <autoFilter ref="B3:P1579" xr:uid="{C2EFE204-01B3-41FE-A64F-23F06A42EC7D}"/>
  <customSheetViews>
    <customSheetView guid="{ADEA4918-0326-423A-8D00-FB47A486004B}" showAutoFilter="1">
      <selection activeCell="D4" sqref="D4"/>
      <pageMargins left="0.7" right="0.7" top="0.75" bottom="0.75" header="0.3" footer="0.3"/>
      <pageSetup paperSize="9" orientation="portrait" horizontalDpi="0" verticalDpi="0" r:id="rId1"/>
      <autoFilter ref="B3:P1579" xr:uid="{E0FCEF26-ACBF-4502-B97A-B39A8305A9C8}"/>
    </customSheetView>
    <customSheetView guid="{2A78E287-3113-4387-BB62-BE98FA5C13C2}" showAutoFilter="1">
      <selection activeCell="D4" sqref="D4"/>
      <pageMargins left="0.7" right="0.7" top="0.75" bottom="0.75" header="0.3" footer="0.3"/>
      <pageSetup paperSize="9" orientation="portrait" horizontalDpi="0" verticalDpi="0" r:id="rId2"/>
      <autoFilter ref="B3:P1579" xr:uid="{255ED457-EF79-43D5-8EAC-BA7107A70523}"/>
    </customSheetView>
    <customSheetView guid="{DC5DA12B-0FA6-4F41-A983-6E433AD4604D}" showAutoFilter="1">
      <selection activeCell="D4" sqref="D4"/>
      <pageMargins left="0.7" right="0.7" top="0.75" bottom="0.75" header="0.3" footer="0.3"/>
      <pageSetup paperSize="9" orientation="portrait" horizontalDpi="0" verticalDpi="0" r:id="rId3"/>
      <autoFilter ref="B3:P1579" xr:uid="{5C1E4969-F05D-45C2-9467-FE8F9261C866}"/>
    </customSheetView>
  </customSheetViews>
  <mergeCells count="1">
    <mergeCell ref="I2:M2"/>
  </mergeCells>
  <conditionalFormatting sqref="C3">
    <cfRule type="duplicateValues" dxfId="4" priority="1"/>
  </conditionalFormatting>
  <conditionalFormatting sqref="D3">
    <cfRule type="duplicateValues" dxfId="3" priority="2"/>
  </conditionalFormatting>
  <conditionalFormatting sqref="E3">
    <cfRule type="duplicateValues" dxfId="2" priority="3"/>
  </conditionalFormatting>
  <pageMargins left="0.7" right="0.7" top="0.75" bottom="0.75" header="0.3" footer="0.3"/>
  <pageSetup paperSize="9"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E4320-A3EC-48FF-899B-4853C010185E}">
  <dimension ref="B1:I81"/>
  <sheetViews>
    <sheetView workbookViewId="0">
      <selection activeCell="I1579" sqref="I1579"/>
    </sheetView>
  </sheetViews>
  <sheetFormatPr defaultRowHeight="14.4"/>
  <cols>
    <col min="2" max="2" width="46" bestFit="1" customWidth="1"/>
    <col min="3" max="3" width="11.33203125" bestFit="1" customWidth="1"/>
    <col min="4" max="5" width="14.88671875" bestFit="1" customWidth="1"/>
    <col min="7" max="7" width="46" bestFit="1" customWidth="1"/>
  </cols>
  <sheetData>
    <row r="1" spans="2:9">
      <c r="B1" t="s">
        <v>2635</v>
      </c>
      <c r="C1" t="s">
        <v>465</v>
      </c>
      <c r="D1" t="s">
        <v>466</v>
      </c>
      <c r="G1" t="s">
        <v>4701</v>
      </c>
      <c r="H1" t="s">
        <v>465</v>
      </c>
      <c r="I1" t="s">
        <v>466</v>
      </c>
    </row>
    <row r="2" spans="2:9">
      <c r="B2" t="s">
        <v>473</v>
      </c>
      <c r="C2" s="1">
        <v>0</v>
      </c>
      <c r="D2" s="1">
        <v>641767.5</v>
      </c>
      <c r="G2" t="s">
        <v>20</v>
      </c>
      <c r="H2">
        <f>+VLOOKUP(G2,B:D,2,0)</f>
        <v>0</v>
      </c>
      <c r="I2">
        <f>+VLOOKUP(G2,B:D,3,0)</f>
        <v>2485320</v>
      </c>
    </row>
    <row r="3" spans="2:9">
      <c r="B3" t="s">
        <v>60</v>
      </c>
      <c r="C3" s="1">
        <v>0</v>
      </c>
      <c r="D3" s="1">
        <v>233402</v>
      </c>
      <c r="G3" t="s">
        <v>473</v>
      </c>
      <c r="H3">
        <f t="shared" ref="H3:H66" si="0">+VLOOKUP(G3,B:D,2,0)</f>
        <v>0</v>
      </c>
      <c r="I3">
        <f t="shared" ref="I3:I66" si="1">+VLOOKUP(G3,B:D,3,0)</f>
        <v>641767.5</v>
      </c>
    </row>
    <row r="4" spans="2:9">
      <c r="B4" t="s">
        <v>69</v>
      </c>
      <c r="C4" s="1">
        <v>0</v>
      </c>
      <c r="D4" s="1">
        <v>757002</v>
      </c>
      <c r="G4" t="s">
        <v>2948</v>
      </c>
      <c r="H4">
        <f t="shared" si="0"/>
        <v>0</v>
      </c>
      <c r="I4">
        <f t="shared" si="1"/>
        <v>430509</v>
      </c>
    </row>
    <row r="5" spans="2:9">
      <c r="B5" t="s">
        <v>2949</v>
      </c>
      <c r="C5" s="1">
        <v>0</v>
      </c>
      <c r="D5" s="1">
        <v>1762334</v>
      </c>
      <c r="G5" t="s">
        <v>3185</v>
      </c>
      <c r="H5" t="e">
        <f t="shared" si="0"/>
        <v>#N/A</v>
      </c>
      <c r="I5" t="e">
        <f t="shared" si="1"/>
        <v>#N/A</v>
      </c>
    </row>
    <row r="6" spans="2:9">
      <c r="B6" t="s">
        <v>113</v>
      </c>
      <c r="C6" s="1">
        <v>0</v>
      </c>
      <c r="D6" s="1">
        <v>25061810.07</v>
      </c>
      <c r="G6" t="s">
        <v>60</v>
      </c>
      <c r="H6">
        <f t="shared" si="0"/>
        <v>0</v>
      </c>
      <c r="I6">
        <f t="shared" si="1"/>
        <v>233402</v>
      </c>
    </row>
    <row r="7" spans="2:9">
      <c r="B7" t="s">
        <v>150</v>
      </c>
      <c r="C7" s="1">
        <v>0</v>
      </c>
      <c r="D7" s="1">
        <v>66909</v>
      </c>
      <c r="G7" t="s">
        <v>2949</v>
      </c>
      <c r="H7">
        <f t="shared" si="0"/>
        <v>0</v>
      </c>
      <c r="I7">
        <f t="shared" si="1"/>
        <v>1762334</v>
      </c>
    </row>
    <row r="8" spans="2:9">
      <c r="B8" t="s">
        <v>151</v>
      </c>
      <c r="C8" s="1">
        <v>0</v>
      </c>
      <c r="D8" s="1">
        <v>1502067</v>
      </c>
      <c r="G8" t="s">
        <v>151</v>
      </c>
      <c r="H8">
        <f t="shared" si="0"/>
        <v>0</v>
      </c>
      <c r="I8">
        <f t="shared" si="1"/>
        <v>1502067</v>
      </c>
    </row>
    <row r="9" spans="2:9">
      <c r="B9" t="s">
        <v>177</v>
      </c>
      <c r="C9" s="1">
        <v>0</v>
      </c>
      <c r="D9" s="1">
        <v>156751</v>
      </c>
      <c r="G9" t="s">
        <v>113</v>
      </c>
      <c r="H9">
        <f t="shared" si="0"/>
        <v>0</v>
      </c>
      <c r="I9">
        <f t="shared" si="1"/>
        <v>25061810.07</v>
      </c>
    </row>
    <row r="10" spans="2:9">
      <c r="B10" t="s">
        <v>180</v>
      </c>
      <c r="C10" s="1">
        <v>0</v>
      </c>
      <c r="D10" s="1">
        <v>111510</v>
      </c>
      <c r="G10" t="s">
        <v>499</v>
      </c>
      <c r="H10">
        <f t="shared" si="0"/>
        <v>0</v>
      </c>
      <c r="I10">
        <f t="shared" si="1"/>
        <v>183581</v>
      </c>
    </row>
    <row r="11" spans="2:9">
      <c r="B11" t="s">
        <v>188</v>
      </c>
      <c r="C11" s="1">
        <v>0</v>
      </c>
      <c r="D11" s="1">
        <v>514599</v>
      </c>
      <c r="G11" t="s">
        <v>195</v>
      </c>
      <c r="H11">
        <f t="shared" si="0"/>
        <v>0</v>
      </c>
      <c r="I11">
        <f t="shared" si="1"/>
        <v>400020</v>
      </c>
    </row>
    <row r="12" spans="2:9">
      <c r="B12" t="s">
        <v>195</v>
      </c>
      <c r="C12" s="1">
        <v>0</v>
      </c>
      <c r="D12" s="1">
        <v>400020</v>
      </c>
      <c r="G12" t="s">
        <v>432</v>
      </c>
      <c r="H12">
        <f t="shared" si="0"/>
        <v>0</v>
      </c>
      <c r="I12">
        <f t="shared" si="1"/>
        <v>68027</v>
      </c>
    </row>
    <row r="13" spans="2:9">
      <c r="B13" t="s">
        <v>511</v>
      </c>
      <c r="C13" s="1">
        <v>0</v>
      </c>
      <c r="D13" s="1">
        <v>5453561</v>
      </c>
      <c r="G13" t="s">
        <v>511</v>
      </c>
      <c r="H13">
        <f t="shared" si="0"/>
        <v>0</v>
      </c>
      <c r="I13">
        <f t="shared" si="1"/>
        <v>5453561</v>
      </c>
    </row>
    <row r="14" spans="2:9">
      <c r="B14" t="s">
        <v>432</v>
      </c>
      <c r="C14" s="1">
        <v>0</v>
      </c>
      <c r="D14" s="1">
        <v>68027</v>
      </c>
      <c r="G14" t="s">
        <v>225</v>
      </c>
      <c r="H14" t="e">
        <f t="shared" si="0"/>
        <v>#N/A</v>
      </c>
      <c r="I14" t="e">
        <f t="shared" si="1"/>
        <v>#N/A</v>
      </c>
    </row>
    <row r="15" spans="2:9">
      <c r="B15" t="s">
        <v>392</v>
      </c>
      <c r="C15" s="1">
        <v>0</v>
      </c>
      <c r="D15" s="1">
        <v>10547882</v>
      </c>
      <c r="G15" t="s">
        <v>392</v>
      </c>
      <c r="H15">
        <f t="shared" si="0"/>
        <v>0</v>
      </c>
      <c r="I15">
        <f t="shared" si="1"/>
        <v>10547882</v>
      </c>
    </row>
    <row r="16" spans="2:9">
      <c r="B16" t="s">
        <v>19</v>
      </c>
      <c r="C16" s="1">
        <v>0</v>
      </c>
      <c r="D16" s="1">
        <v>5463715</v>
      </c>
      <c r="G16" t="s">
        <v>19</v>
      </c>
      <c r="H16">
        <f t="shared" si="0"/>
        <v>0</v>
      </c>
      <c r="I16">
        <f t="shared" si="1"/>
        <v>5463715</v>
      </c>
    </row>
    <row r="17" spans="2:9">
      <c r="B17" t="s">
        <v>394</v>
      </c>
      <c r="C17" s="1">
        <v>0</v>
      </c>
      <c r="D17" s="1">
        <v>313012</v>
      </c>
      <c r="G17" t="s">
        <v>394</v>
      </c>
      <c r="H17">
        <f t="shared" si="0"/>
        <v>0</v>
      </c>
      <c r="I17">
        <f t="shared" si="1"/>
        <v>313012</v>
      </c>
    </row>
    <row r="18" spans="2:9">
      <c r="B18" t="s">
        <v>263</v>
      </c>
      <c r="C18" s="1">
        <v>0</v>
      </c>
      <c r="D18" s="1">
        <v>16497</v>
      </c>
      <c r="G18" t="s">
        <v>301</v>
      </c>
      <c r="H18">
        <f t="shared" si="0"/>
        <v>0</v>
      </c>
      <c r="I18">
        <f t="shared" si="1"/>
        <v>3493498</v>
      </c>
    </row>
    <row r="19" spans="2:9">
      <c r="B19" t="s">
        <v>538</v>
      </c>
      <c r="C19" s="1">
        <v>0</v>
      </c>
      <c r="D19" s="1">
        <v>570460</v>
      </c>
      <c r="G19" t="s">
        <v>314</v>
      </c>
      <c r="H19">
        <f t="shared" si="0"/>
        <v>0</v>
      </c>
      <c r="I19">
        <f t="shared" si="1"/>
        <v>3110810</v>
      </c>
    </row>
    <row r="20" spans="2:9">
      <c r="B20" t="s">
        <v>2983</v>
      </c>
      <c r="C20" s="1">
        <v>0</v>
      </c>
      <c r="D20" s="1">
        <v>328373</v>
      </c>
      <c r="G20" t="s">
        <v>2983</v>
      </c>
      <c r="H20">
        <f t="shared" si="0"/>
        <v>0</v>
      </c>
      <c r="I20">
        <f t="shared" si="1"/>
        <v>328373</v>
      </c>
    </row>
    <row r="21" spans="2:9">
      <c r="B21" t="s">
        <v>301</v>
      </c>
      <c r="C21" s="1">
        <v>0</v>
      </c>
      <c r="D21" s="1">
        <v>3493498</v>
      </c>
      <c r="G21" t="s">
        <v>2987</v>
      </c>
      <c r="H21">
        <f t="shared" si="0"/>
        <v>0</v>
      </c>
      <c r="I21">
        <f t="shared" si="1"/>
        <v>1300144</v>
      </c>
    </row>
    <row r="22" spans="2:9">
      <c r="B22" t="s">
        <v>314</v>
      </c>
      <c r="C22" s="1">
        <v>0</v>
      </c>
      <c r="D22" s="1">
        <v>3110810</v>
      </c>
      <c r="G22" t="s">
        <v>411</v>
      </c>
      <c r="H22">
        <f t="shared" si="0"/>
        <v>0</v>
      </c>
      <c r="I22">
        <f t="shared" si="1"/>
        <v>1397710</v>
      </c>
    </row>
    <row r="23" spans="2:9">
      <c r="B23" t="s">
        <v>320</v>
      </c>
      <c r="C23" s="1">
        <v>0</v>
      </c>
      <c r="D23" s="1">
        <v>2400131</v>
      </c>
      <c r="G23" t="s">
        <v>217</v>
      </c>
      <c r="H23">
        <f t="shared" si="0"/>
        <v>0</v>
      </c>
      <c r="I23">
        <f t="shared" si="1"/>
        <v>474189</v>
      </c>
    </row>
    <row r="24" spans="2:9">
      <c r="B24" t="s">
        <v>411</v>
      </c>
      <c r="C24" s="1">
        <v>0</v>
      </c>
      <c r="D24" s="1">
        <v>1397710</v>
      </c>
      <c r="G24" t="s">
        <v>333</v>
      </c>
      <c r="H24">
        <f t="shared" si="0"/>
        <v>0</v>
      </c>
      <c r="I24">
        <f t="shared" si="1"/>
        <v>1449699.7</v>
      </c>
    </row>
    <row r="25" spans="2:9">
      <c r="B25" t="s">
        <v>16</v>
      </c>
      <c r="C25" s="1">
        <v>0</v>
      </c>
      <c r="D25" s="1">
        <v>210890</v>
      </c>
      <c r="G25" t="s">
        <v>2998</v>
      </c>
      <c r="H25">
        <f t="shared" si="0"/>
        <v>0</v>
      </c>
      <c r="I25">
        <f t="shared" si="1"/>
        <v>423547</v>
      </c>
    </row>
    <row r="26" spans="2:9">
      <c r="B26" t="s">
        <v>217</v>
      </c>
      <c r="C26" s="1">
        <v>0</v>
      </c>
      <c r="D26" s="1">
        <v>474189</v>
      </c>
      <c r="G26" t="s">
        <v>350</v>
      </c>
      <c r="H26">
        <f t="shared" si="0"/>
        <v>0</v>
      </c>
      <c r="I26">
        <f t="shared" si="1"/>
        <v>1046424</v>
      </c>
    </row>
    <row r="27" spans="2:9">
      <c r="B27" t="s">
        <v>333</v>
      </c>
      <c r="C27" s="1">
        <v>0</v>
      </c>
      <c r="D27" s="1">
        <v>1449699.7</v>
      </c>
      <c r="G27" t="s">
        <v>3002</v>
      </c>
      <c r="H27">
        <f t="shared" si="0"/>
        <v>0</v>
      </c>
      <c r="I27">
        <f t="shared" si="1"/>
        <v>197478</v>
      </c>
    </row>
    <row r="28" spans="2:9">
      <c r="B28" t="s">
        <v>564</v>
      </c>
      <c r="C28" s="1">
        <v>0</v>
      </c>
      <c r="D28" s="1">
        <v>548430</v>
      </c>
      <c r="G28" t="s">
        <v>2999</v>
      </c>
      <c r="H28">
        <f t="shared" si="0"/>
        <v>0</v>
      </c>
      <c r="I28">
        <f t="shared" si="1"/>
        <v>103673</v>
      </c>
    </row>
    <row r="29" spans="2:9">
      <c r="B29" t="s">
        <v>2997</v>
      </c>
      <c r="C29" s="1">
        <v>0</v>
      </c>
      <c r="D29" s="1">
        <v>122997</v>
      </c>
      <c r="G29" t="s">
        <v>16</v>
      </c>
      <c r="H29">
        <f t="shared" si="0"/>
        <v>0</v>
      </c>
      <c r="I29">
        <f t="shared" si="1"/>
        <v>210890</v>
      </c>
    </row>
    <row r="30" spans="2:9">
      <c r="B30" t="s">
        <v>2998</v>
      </c>
      <c r="C30" s="1">
        <v>0</v>
      </c>
      <c r="D30" s="1">
        <v>423547</v>
      </c>
      <c r="G30" t="s">
        <v>2997</v>
      </c>
      <c r="H30">
        <f t="shared" si="0"/>
        <v>0</v>
      </c>
      <c r="I30">
        <f t="shared" si="1"/>
        <v>122997</v>
      </c>
    </row>
    <row r="31" spans="2:9">
      <c r="B31" t="s">
        <v>350</v>
      </c>
      <c r="C31" s="1">
        <v>0</v>
      </c>
      <c r="D31" s="1">
        <v>1046424</v>
      </c>
      <c r="G31" t="s">
        <v>10</v>
      </c>
      <c r="H31">
        <f t="shared" si="0"/>
        <v>0</v>
      </c>
      <c r="I31">
        <f t="shared" si="1"/>
        <v>1018930</v>
      </c>
    </row>
    <row r="32" spans="2:9">
      <c r="B32" t="s">
        <v>2999</v>
      </c>
      <c r="C32" s="1">
        <v>0</v>
      </c>
      <c r="D32" s="1">
        <v>103673</v>
      </c>
      <c r="G32" t="s">
        <v>3003</v>
      </c>
      <c r="H32">
        <f t="shared" si="0"/>
        <v>0</v>
      </c>
      <c r="I32">
        <f t="shared" si="1"/>
        <v>18125083</v>
      </c>
    </row>
    <row r="33" spans="2:9">
      <c r="B33" t="s">
        <v>10</v>
      </c>
      <c r="C33" s="1">
        <v>0</v>
      </c>
      <c r="D33" s="1">
        <v>1018930</v>
      </c>
      <c r="G33" t="s">
        <v>441</v>
      </c>
      <c r="H33">
        <f t="shared" si="0"/>
        <v>0</v>
      </c>
      <c r="I33">
        <f t="shared" si="1"/>
        <v>9434468</v>
      </c>
    </row>
    <row r="34" spans="2:9">
      <c r="B34" t="s">
        <v>3003</v>
      </c>
      <c r="C34" s="1">
        <v>0</v>
      </c>
      <c r="D34" s="1">
        <v>18125083</v>
      </c>
      <c r="G34" t="s">
        <v>3063</v>
      </c>
      <c r="H34">
        <f t="shared" si="0"/>
        <v>0</v>
      </c>
      <c r="I34">
        <f t="shared" si="1"/>
        <v>19514</v>
      </c>
    </row>
    <row r="35" spans="2:9">
      <c r="B35" t="s">
        <v>441</v>
      </c>
      <c r="C35" s="1">
        <v>0</v>
      </c>
      <c r="D35" s="1">
        <v>9434468</v>
      </c>
      <c r="G35" t="s">
        <v>448</v>
      </c>
      <c r="H35" t="e">
        <f t="shared" si="0"/>
        <v>#N/A</v>
      </c>
      <c r="I35" t="e">
        <f t="shared" si="1"/>
        <v>#N/A</v>
      </c>
    </row>
    <row r="36" spans="2:9">
      <c r="B36" t="s">
        <v>442</v>
      </c>
      <c r="C36" s="1">
        <v>0</v>
      </c>
      <c r="D36" s="1">
        <v>560256</v>
      </c>
      <c r="G36" t="s">
        <v>239</v>
      </c>
      <c r="H36" t="e">
        <f t="shared" si="0"/>
        <v>#N/A</v>
      </c>
      <c r="I36" t="e">
        <f t="shared" si="1"/>
        <v>#N/A</v>
      </c>
    </row>
    <row r="37" spans="2:9">
      <c r="B37" t="s">
        <v>3063</v>
      </c>
      <c r="C37" s="1">
        <v>0</v>
      </c>
      <c r="D37" s="1">
        <v>19514</v>
      </c>
      <c r="G37" t="s">
        <v>320</v>
      </c>
      <c r="H37">
        <f t="shared" si="0"/>
        <v>0</v>
      </c>
      <c r="I37">
        <f t="shared" si="1"/>
        <v>2400131</v>
      </c>
    </row>
    <row r="38" spans="2:9">
      <c r="B38" t="s">
        <v>7</v>
      </c>
      <c r="C38" s="1">
        <v>0</v>
      </c>
      <c r="D38" s="1">
        <v>208440</v>
      </c>
      <c r="G38" t="s">
        <v>526</v>
      </c>
      <c r="H38">
        <f t="shared" si="0"/>
        <v>0</v>
      </c>
      <c r="I38">
        <f t="shared" si="1"/>
        <v>333000</v>
      </c>
    </row>
    <row r="39" spans="2:9">
      <c r="B39" t="s">
        <v>20</v>
      </c>
      <c r="C39" s="1">
        <v>0</v>
      </c>
      <c r="D39" s="1">
        <v>2485320</v>
      </c>
      <c r="G39" t="s">
        <v>2979</v>
      </c>
      <c r="H39">
        <f t="shared" si="0"/>
        <v>0</v>
      </c>
      <c r="I39">
        <f t="shared" si="1"/>
        <v>93400</v>
      </c>
    </row>
    <row r="40" spans="2:9">
      <c r="B40" t="s">
        <v>2942</v>
      </c>
      <c r="C40" s="1">
        <v>0</v>
      </c>
      <c r="D40" s="1">
        <v>115749</v>
      </c>
      <c r="G40" t="s">
        <v>3065</v>
      </c>
      <c r="H40">
        <f t="shared" si="0"/>
        <v>0</v>
      </c>
      <c r="I40">
        <f t="shared" si="1"/>
        <v>22492</v>
      </c>
    </row>
    <row r="41" spans="2:9">
      <c r="B41" t="s">
        <v>298</v>
      </c>
      <c r="C41" s="1">
        <v>0</v>
      </c>
      <c r="D41" s="1">
        <v>169429</v>
      </c>
      <c r="G41" t="s">
        <v>452</v>
      </c>
      <c r="H41" t="e">
        <f t="shared" si="0"/>
        <v>#N/A</v>
      </c>
      <c r="I41" t="e">
        <f t="shared" si="1"/>
        <v>#N/A</v>
      </c>
    </row>
    <row r="42" spans="2:9">
      <c r="B42" t="s">
        <v>58</v>
      </c>
      <c r="C42" s="1">
        <v>0</v>
      </c>
      <c r="D42" s="1">
        <v>247500</v>
      </c>
      <c r="G42" t="s">
        <v>21</v>
      </c>
      <c r="H42" t="e">
        <f t="shared" si="0"/>
        <v>#N/A</v>
      </c>
      <c r="I42" t="e">
        <f t="shared" si="1"/>
        <v>#N/A</v>
      </c>
    </row>
    <row r="43" spans="2:9">
      <c r="B43" t="s">
        <v>2948</v>
      </c>
      <c r="C43" s="1">
        <v>0</v>
      </c>
      <c r="D43" s="1">
        <v>430509</v>
      </c>
      <c r="G43" t="s">
        <v>549</v>
      </c>
      <c r="H43" t="e">
        <f t="shared" si="0"/>
        <v>#N/A</v>
      </c>
      <c r="I43" t="e">
        <f t="shared" si="1"/>
        <v>#N/A</v>
      </c>
    </row>
    <row r="44" spans="2:9">
      <c r="B44" t="s">
        <v>2950</v>
      </c>
      <c r="C44" s="1">
        <v>0</v>
      </c>
      <c r="D44" s="1">
        <v>38700</v>
      </c>
      <c r="G44" t="s">
        <v>105</v>
      </c>
      <c r="H44" t="e">
        <f t="shared" si="0"/>
        <v>#N/A</v>
      </c>
      <c r="I44" t="e">
        <f t="shared" si="1"/>
        <v>#N/A</v>
      </c>
    </row>
    <row r="45" spans="2:9">
      <c r="B45" t="s">
        <v>429</v>
      </c>
      <c r="C45" s="1">
        <v>0</v>
      </c>
      <c r="D45" s="1">
        <v>30858</v>
      </c>
      <c r="G45" t="s">
        <v>298</v>
      </c>
      <c r="H45">
        <f t="shared" si="0"/>
        <v>0</v>
      </c>
      <c r="I45">
        <f t="shared" si="1"/>
        <v>169429</v>
      </c>
    </row>
    <row r="46" spans="2:9">
      <c r="B46" t="s">
        <v>146</v>
      </c>
      <c r="C46" s="1">
        <v>168203.84</v>
      </c>
      <c r="D46" s="1">
        <v>0</v>
      </c>
      <c r="G46" t="s">
        <v>7</v>
      </c>
      <c r="H46">
        <f t="shared" si="0"/>
        <v>0</v>
      </c>
      <c r="I46">
        <f t="shared" si="1"/>
        <v>208440</v>
      </c>
    </row>
    <row r="47" spans="2:9">
      <c r="B47" t="s">
        <v>377</v>
      </c>
      <c r="C47" s="1">
        <v>0</v>
      </c>
      <c r="D47" s="1">
        <v>93574</v>
      </c>
      <c r="G47" t="s">
        <v>2942</v>
      </c>
      <c r="H47">
        <f t="shared" si="0"/>
        <v>0</v>
      </c>
      <c r="I47">
        <f t="shared" si="1"/>
        <v>115749</v>
      </c>
    </row>
    <row r="48" spans="2:9">
      <c r="B48" t="s">
        <v>494</v>
      </c>
      <c r="C48" s="1">
        <v>0</v>
      </c>
      <c r="D48" s="1">
        <v>387602</v>
      </c>
      <c r="G48" t="s">
        <v>69</v>
      </c>
      <c r="H48">
        <f t="shared" si="0"/>
        <v>0</v>
      </c>
      <c r="I48">
        <f t="shared" si="1"/>
        <v>757002</v>
      </c>
    </row>
    <row r="49" spans="2:9">
      <c r="B49" t="s">
        <v>2961</v>
      </c>
      <c r="C49" s="1">
        <v>0</v>
      </c>
      <c r="D49" s="1">
        <v>23600</v>
      </c>
      <c r="G49" t="s">
        <v>377</v>
      </c>
      <c r="H49">
        <f t="shared" si="0"/>
        <v>0</v>
      </c>
      <c r="I49">
        <f t="shared" si="1"/>
        <v>93574</v>
      </c>
    </row>
    <row r="50" spans="2:9">
      <c r="B50" t="s">
        <v>430</v>
      </c>
      <c r="C50" s="1">
        <v>0</v>
      </c>
      <c r="D50" s="1">
        <v>13500</v>
      </c>
      <c r="G50" t="s">
        <v>4576</v>
      </c>
      <c r="H50" t="e">
        <f t="shared" si="0"/>
        <v>#N/A</v>
      </c>
      <c r="I50" t="e">
        <f t="shared" si="1"/>
        <v>#N/A</v>
      </c>
    </row>
    <row r="51" spans="2:9">
      <c r="B51" t="s">
        <v>499</v>
      </c>
      <c r="C51" s="1">
        <v>0</v>
      </c>
      <c r="D51" s="1">
        <v>183581</v>
      </c>
      <c r="G51" t="s">
        <v>4577</v>
      </c>
      <c r="H51" t="e">
        <f t="shared" si="0"/>
        <v>#N/A</v>
      </c>
      <c r="I51" t="e">
        <f t="shared" si="1"/>
        <v>#N/A</v>
      </c>
    </row>
    <row r="52" spans="2:9">
      <c r="B52" t="s">
        <v>223</v>
      </c>
      <c r="C52" s="1">
        <v>0</v>
      </c>
      <c r="D52" s="1">
        <v>3154</v>
      </c>
      <c r="G52" t="s">
        <v>2961</v>
      </c>
      <c r="H52">
        <f t="shared" si="0"/>
        <v>0</v>
      </c>
      <c r="I52">
        <f t="shared" si="1"/>
        <v>23600</v>
      </c>
    </row>
    <row r="53" spans="2:9">
      <c r="B53" t="s">
        <v>2971</v>
      </c>
      <c r="C53" s="1">
        <v>0</v>
      </c>
      <c r="D53" s="1">
        <v>135000</v>
      </c>
      <c r="G53" t="s">
        <v>177</v>
      </c>
      <c r="H53">
        <f t="shared" si="0"/>
        <v>0</v>
      </c>
      <c r="I53">
        <f t="shared" si="1"/>
        <v>156751</v>
      </c>
    </row>
    <row r="54" spans="2:9">
      <c r="B54" t="s">
        <v>228</v>
      </c>
      <c r="C54" s="1">
        <v>0</v>
      </c>
      <c r="D54" s="1">
        <v>40147</v>
      </c>
      <c r="G54" t="s">
        <v>180</v>
      </c>
      <c r="H54">
        <f t="shared" si="0"/>
        <v>0</v>
      </c>
      <c r="I54">
        <f t="shared" si="1"/>
        <v>111510</v>
      </c>
    </row>
    <row r="55" spans="2:9">
      <c r="B55" t="s">
        <v>434</v>
      </c>
      <c r="C55" s="1">
        <v>0</v>
      </c>
      <c r="D55" s="1">
        <v>754370</v>
      </c>
      <c r="G55" t="s">
        <v>434</v>
      </c>
      <c r="H55">
        <f t="shared" si="0"/>
        <v>0</v>
      </c>
      <c r="I55">
        <f t="shared" si="1"/>
        <v>754370</v>
      </c>
    </row>
    <row r="56" spans="2:9">
      <c r="B56" t="s">
        <v>435</v>
      </c>
      <c r="C56" s="1">
        <v>0</v>
      </c>
      <c r="D56" s="1">
        <v>35044</v>
      </c>
      <c r="G56" t="s">
        <v>223</v>
      </c>
      <c r="H56">
        <f t="shared" si="0"/>
        <v>0</v>
      </c>
      <c r="I56">
        <f t="shared" si="1"/>
        <v>3154</v>
      </c>
    </row>
    <row r="57" spans="2:9">
      <c r="B57" t="s">
        <v>516</v>
      </c>
      <c r="C57" s="1">
        <v>0</v>
      </c>
      <c r="D57" s="1">
        <v>218551</v>
      </c>
      <c r="G57" t="s">
        <v>2971</v>
      </c>
      <c r="H57">
        <f t="shared" si="0"/>
        <v>0</v>
      </c>
      <c r="I57">
        <f t="shared" si="1"/>
        <v>135000</v>
      </c>
    </row>
    <row r="58" spans="2:9">
      <c r="B58" t="s">
        <v>2973</v>
      </c>
      <c r="C58" s="1">
        <v>0</v>
      </c>
      <c r="D58" s="1">
        <v>21830</v>
      </c>
      <c r="G58" t="s">
        <v>2981</v>
      </c>
      <c r="H58">
        <f t="shared" si="0"/>
        <v>0</v>
      </c>
      <c r="I58">
        <f t="shared" si="1"/>
        <v>39629</v>
      </c>
    </row>
    <row r="59" spans="2:9">
      <c r="B59" t="s">
        <v>526</v>
      </c>
      <c r="C59" s="1">
        <v>0</v>
      </c>
      <c r="D59" s="1">
        <v>333000</v>
      </c>
      <c r="G59" t="s">
        <v>2978</v>
      </c>
      <c r="H59">
        <f t="shared" si="0"/>
        <v>0</v>
      </c>
      <c r="I59">
        <f t="shared" si="1"/>
        <v>40020</v>
      </c>
    </row>
    <row r="60" spans="2:9">
      <c r="B60" t="s">
        <v>264</v>
      </c>
      <c r="C60" s="1">
        <v>0</v>
      </c>
      <c r="D60" s="1">
        <v>430942</v>
      </c>
      <c r="G60" t="s">
        <v>188</v>
      </c>
      <c r="H60">
        <f t="shared" si="0"/>
        <v>0</v>
      </c>
      <c r="I60">
        <f t="shared" si="1"/>
        <v>514599</v>
      </c>
    </row>
    <row r="61" spans="2:9">
      <c r="B61" t="s">
        <v>525</v>
      </c>
      <c r="C61" s="1">
        <v>0</v>
      </c>
      <c r="D61" s="1">
        <v>437513</v>
      </c>
      <c r="G61" t="s">
        <v>4613</v>
      </c>
      <c r="H61" t="e">
        <f t="shared" si="0"/>
        <v>#N/A</v>
      </c>
      <c r="I61" t="e">
        <f t="shared" si="1"/>
        <v>#N/A</v>
      </c>
    </row>
    <row r="62" spans="2:9">
      <c r="B62" t="s">
        <v>265</v>
      </c>
      <c r="C62" s="1">
        <v>0</v>
      </c>
      <c r="D62" s="1">
        <v>544625</v>
      </c>
      <c r="G62" t="s">
        <v>516</v>
      </c>
      <c r="H62">
        <f t="shared" si="0"/>
        <v>0</v>
      </c>
      <c r="I62">
        <f t="shared" si="1"/>
        <v>218551</v>
      </c>
    </row>
    <row r="63" spans="2:9">
      <c r="B63" t="s">
        <v>271</v>
      </c>
      <c r="C63" s="1">
        <v>0</v>
      </c>
      <c r="D63" s="1">
        <v>1103470</v>
      </c>
      <c r="G63" t="s">
        <v>263</v>
      </c>
      <c r="H63">
        <f t="shared" si="0"/>
        <v>0</v>
      </c>
      <c r="I63">
        <f t="shared" si="1"/>
        <v>16497</v>
      </c>
    </row>
    <row r="64" spans="2:9">
      <c r="B64" t="s">
        <v>2978</v>
      </c>
      <c r="C64" s="1">
        <v>0</v>
      </c>
      <c r="D64" s="1">
        <v>40020</v>
      </c>
      <c r="G64" t="s">
        <v>2973</v>
      </c>
      <c r="H64">
        <f t="shared" si="0"/>
        <v>0</v>
      </c>
      <c r="I64">
        <f t="shared" si="1"/>
        <v>21830</v>
      </c>
    </row>
    <row r="65" spans="2:9">
      <c r="B65" t="s">
        <v>2979</v>
      </c>
      <c r="C65" s="1">
        <v>0</v>
      </c>
      <c r="D65" s="1">
        <v>93400</v>
      </c>
      <c r="G65" t="s">
        <v>538</v>
      </c>
      <c r="H65">
        <f t="shared" si="0"/>
        <v>0</v>
      </c>
      <c r="I65">
        <f t="shared" si="1"/>
        <v>570460</v>
      </c>
    </row>
    <row r="66" spans="2:9">
      <c r="B66" t="s">
        <v>2981</v>
      </c>
      <c r="C66" s="1">
        <v>0</v>
      </c>
      <c r="D66" s="1">
        <v>39629</v>
      </c>
      <c r="G66" t="s">
        <v>2989</v>
      </c>
      <c r="H66">
        <f t="shared" si="0"/>
        <v>0</v>
      </c>
      <c r="I66">
        <f t="shared" si="1"/>
        <v>5290</v>
      </c>
    </row>
    <row r="67" spans="2:9">
      <c r="B67" t="s">
        <v>2984</v>
      </c>
      <c r="C67" s="1">
        <v>846</v>
      </c>
      <c r="D67" s="1">
        <v>0</v>
      </c>
      <c r="G67" t="s">
        <v>564</v>
      </c>
      <c r="H67">
        <f t="shared" ref="H67:H79" si="2">+VLOOKUP(G67,B:D,2,0)</f>
        <v>0</v>
      </c>
      <c r="I67">
        <f t="shared" ref="I67:I79" si="3">+VLOOKUP(G67,B:D,3,0)</f>
        <v>548430</v>
      </c>
    </row>
    <row r="68" spans="2:9">
      <c r="B68" t="s">
        <v>909</v>
      </c>
      <c r="C68" s="1">
        <v>0</v>
      </c>
      <c r="D68" s="1">
        <v>160600</v>
      </c>
      <c r="G68" t="s">
        <v>2995</v>
      </c>
      <c r="H68">
        <f t="shared" si="2"/>
        <v>0</v>
      </c>
      <c r="I68">
        <f t="shared" si="3"/>
        <v>258302</v>
      </c>
    </row>
    <row r="69" spans="2:9">
      <c r="B69" t="s">
        <v>2986</v>
      </c>
      <c r="C69" s="1">
        <v>58000</v>
      </c>
      <c r="D69" s="1">
        <v>0</v>
      </c>
      <c r="G69" t="s">
        <v>2996</v>
      </c>
      <c r="H69">
        <f t="shared" si="2"/>
        <v>0</v>
      </c>
      <c r="I69">
        <f t="shared" si="3"/>
        <v>114628</v>
      </c>
    </row>
    <row r="70" spans="2:9">
      <c r="B70" t="s">
        <v>2995</v>
      </c>
      <c r="C70" s="1">
        <v>0</v>
      </c>
      <c r="D70" s="1">
        <v>258302</v>
      </c>
      <c r="G70" t="s">
        <v>3004</v>
      </c>
      <c r="H70">
        <f t="shared" si="2"/>
        <v>0</v>
      </c>
      <c r="I70">
        <f t="shared" si="3"/>
        <v>162657.20000000001</v>
      </c>
    </row>
    <row r="71" spans="2:9">
      <c r="B71" t="s">
        <v>2987</v>
      </c>
      <c r="C71" s="1">
        <v>0</v>
      </c>
      <c r="D71" s="1">
        <v>1300144</v>
      </c>
      <c r="G71" t="s">
        <v>427</v>
      </c>
      <c r="H71">
        <f t="shared" si="2"/>
        <v>0</v>
      </c>
      <c r="I71">
        <f t="shared" si="3"/>
        <v>27540</v>
      </c>
    </row>
    <row r="72" spans="2:9">
      <c r="B72" t="s">
        <v>2989</v>
      </c>
      <c r="C72" s="1">
        <v>0</v>
      </c>
      <c r="D72" s="1">
        <v>5290</v>
      </c>
      <c r="G72" t="s">
        <v>442</v>
      </c>
      <c r="H72">
        <f t="shared" si="2"/>
        <v>0</v>
      </c>
      <c r="I72">
        <f t="shared" si="3"/>
        <v>560256</v>
      </c>
    </row>
    <row r="73" spans="2:9">
      <c r="B73" t="s">
        <v>2990</v>
      </c>
      <c r="C73" s="1">
        <v>1094</v>
      </c>
      <c r="D73" s="1">
        <v>0</v>
      </c>
      <c r="G73" t="s">
        <v>430</v>
      </c>
      <c r="H73">
        <f t="shared" si="2"/>
        <v>0</v>
      </c>
      <c r="I73">
        <f t="shared" si="3"/>
        <v>13500</v>
      </c>
    </row>
    <row r="74" spans="2:9">
      <c r="B74" t="s">
        <v>2996</v>
      </c>
      <c r="C74" s="1">
        <v>0</v>
      </c>
      <c r="D74" s="1">
        <v>114628</v>
      </c>
      <c r="G74" t="s">
        <v>3009</v>
      </c>
      <c r="H74">
        <f t="shared" si="2"/>
        <v>0</v>
      </c>
      <c r="I74">
        <f t="shared" si="3"/>
        <v>714051</v>
      </c>
    </row>
    <row r="75" spans="2:9">
      <c r="B75" t="s">
        <v>3002</v>
      </c>
      <c r="C75" s="1">
        <v>0</v>
      </c>
      <c r="D75" s="1">
        <v>197478</v>
      </c>
      <c r="G75" t="s">
        <v>3010</v>
      </c>
      <c r="H75">
        <f t="shared" si="2"/>
        <v>0</v>
      </c>
      <c r="I75">
        <f t="shared" si="3"/>
        <v>351471</v>
      </c>
    </row>
    <row r="76" spans="2:9">
      <c r="B76" t="s">
        <v>427</v>
      </c>
      <c r="C76" s="1">
        <v>0</v>
      </c>
      <c r="D76" s="1">
        <v>27540</v>
      </c>
      <c r="G76" t="s">
        <v>2990</v>
      </c>
      <c r="H76">
        <f t="shared" si="2"/>
        <v>1094</v>
      </c>
      <c r="I76">
        <f t="shared" si="3"/>
        <v>0</v>
      </c>
    </row>
    <row r="77" spans="2:9">
      <c r="B77" t="s">
        <v>3004</v>
      </c>
      <c r="C77" s="1">
        <v>0</v>
      </c>
      <c r="D77" s="1">
        <v>162657.20000000001</v>
      </c>
      <c r="G77" t="s">
        <v>2984</v>
      </c>
      <c r="H77">
        <f t="shared" si="2"/>
        <v>846</v>
      </c>
      <c r="I77">
        <f t="shared" si="3"/>
        <v>0</v>
      </c>
    </row>
    <row r="78" spans="2:9">
      <c r="B78" t="s">
        <v>3009</v>
      </c>
      <c r="C78" s="1">
        <v>0</v>
      </c>
      <c r="D78" s="1">
        <v>714051</v>
      </c>
      <c r="G78" t="s">
        <v>4699</v>
      </c>
      <c r="H78" t="e">
        <f t="shared" si="2"/>
        <v>#N/A</v>
      </c>
      <c r="I78" t="e">
        <f t="shared" si="3"/>
        <v>#N/A</v>
      </c>
    </row>
    <row r="79" spans="2:9">
      <c r="B79" t="s">
        <v>3010</v>
      </c>
      <c r="C79" s="1">
        <v>0</v>
      </c>
      <c r="D79" s="1">
        <v>351471</v>
      </c>
      <c r="G79" t="s">
        <v>146</v>
      </c>
      <c r="H79">
        <f t="shared" si="2"/>
        <v>168203.84</v>
      </c>
      <c r="I79">
        <f t="shared" si="3"/>
        <v>0</v>
      </c>
    </row>
    <row r="80" spans="2:9">
      <c r="B80" t="s">
        <v>3065</v>
      </c>
      <c r="C80" s="1">
        <v>0</v>
      </c>
      <c r="D80" s="1">
        <v>22492</v>
      </c>
    </row>
    <row r="81" spans="3:5">
      <c r="C81" s="1">
        <f>SUM(C2:C80)</f>
        <v>228143.84</v>
      </c>
      <c r="D81" s="1">
        <f>SUM(D2:D80)</f>
        <v>109883658.47000001</v>
      </c>
      <c r="E81" s="3">
        <f>+D81-C81</f>
        <v>109655514.63000001</v>
      </c>
    </row>
  </sheetData>
  <autoFilter ref="G1:I79" xr:uid="{BCBE4320-A3EC-48FF-899B-4853C010185E}"/>
  <customSheetViews>
    <customSheetView guid="{ADEA4918-0326-423A-8D00-FB47A486004B}" showAutoFilter="1">
      <selection activeCell="I1579" sqref="I1579"/>
      <pageMargins left="0.7" right="0.7" top="0.75" bottom="0.75" header="0.3" footer="0.3"/>
      <autoFilter ref="G1:I79" xr:uid="{92501C83-DD6C-4834-9D58-1D7C7E4D42DF}"/>
    </customSheetView>
    <customSheetView guid="{2A78E287-3113-4387-BB62-BE98FA5C13C2}" showAutoFilter="1">
      <selection activeCell="I1579" sqref="I1579"/>
      <pageMargins left="0.7" right="0.7" top="0.75" bottom="0.75" header="0.3" footer="0.3"/>
      <autoFilter ref="G1:I79" xr:uid="{D4031B03-AAB0-477B-8A48-80DE045ED9AE}"/>
    </customSheetView>
    <customSheetView guid="{DC5DA12B-0FA6-4F41-A983-6E433AD4604D}" showAutoFilter="1">
      <selection activeCell="I1579" sqref="I1579"/>
      <pageMargins left="0.7" right="0.7" top="0.75" bottom="0.75" header="0.3" footer="0.3"/>
      <autoFilter ref="G1:I79" xr:uid="{04B3F19C-A957-48A4-ADDE-958D3E66FC0A}"/>
    </customSheetView>
  </customSheetView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B39C7-3E22-42D7-84D7-EE3BF99CB013}">
  <sheetPr filterMode="1"/>
  <dimension ref="A1:K411"/>
  <sheetViews>
    <sheetView workbookViewId="0">
      <selection activeCell="C2" sqref="C2"/>
    </sheetView>
  </sheetViews>
  <sheetFormatPr defaultRowHeight="14.4"/>
  <cols>
    <col min="2" max="2" width="18.109375" bestFit="1" customWidth="1"/>
    <col min="3" max="3" width="41.6640625" bestFit="1" customWidth="1"/>
    <col min="4" max="4" width="10" bestFit="1" customWidth="1"/>
    <col min="6" max="6" width="10.33203125" bestFit="1" customWidth="1"/>
    <col min="7" max="7" width="10" bestFit="1" customWidth="1"/>
  </cols>
  <sheetData>
    <row r="1" spans="1:8">
      <c r="A1" t="s">
        <v>3122</v>
      </c>
    </row>
    <row r="2" spans="1:8" ht="33" customHeight="1">
      <c r="A2" s="367"/>
      <c r="B2" s="367" t="s">
        <v>3123</v>
      </c>
      <c r="C2" s="367" t="s">
        <v>3124</v>
      </c>
      <c r="D2" s="1802" t="s">
        <v>3125</v>
      </c>
      <c r="E2" s="1803" t="s">
        <v>3126</v>
      </c>
      <c r="F2" s="1802" t="s">
        <v>1971</v>
      </c>
      <c r="G2" s="1802" t="s">
        <v>3127</v>
      </c>
      <c r="H2" s="150" t="s">
        <v>3139</v>
      </c>
    </row>
    <row r="3" spans="1:8" hidden="1">
      <c r="A3" s="1804"/>
      <c r="B3" s="1804"/>
      <c r="C3" s="1804"/>
      <c r="D3" s="1805">
        <v>45016</v>
      </c>
      <c r="E3" s="1806"/>
      <c r="F3" s="1807"/>
      <c r="G3" s="1805">
        <v>45382</v>
      </c>
    </row>
    <row r="4" spans="1:8" hidden="1">
      <c r="B4" s="1808" t="s">
        <v>1186</v>
      </c>
      <c r="C4" t="s">
        <v>1187</v>
      </c>
      <c r="D4">
        <v>575</v>
      </c>
      <c r="E4">
        <f>D4-G4</f>
        <v>0</v>
      </c>
      <c r="F4">
        <f>G4-D4</f>
        <v>0</v>
      </c>
      <c r="G4">
        <v>575</v>
      </c>
      <c r="H4" s="434">
        <f>+G4/$G$409</f>
        <v>2.135748152577848E-4</v>
      </c>
    </row>
    <row r="5" spans="1:8" hidden="1">
      <c r="B5" s="1808" t="s">
        <v>1188</v>
      </c>
      <c r="C5" t="s">
        <v>1189</v>
      </c>
      <c r="D5">
        <v>575</v>
      </c>
      <c r="E5">
        <f t="shared" ref="E5:E68" si="0">D5-G5</f>
        <v>0</v>
      </c>
      <c r="F5">
        <f t="shared" ref="F5:F68" si="1">G5-D5</f>
        <v>0</v>
      </c>
      <c r="G5">
        <v>575</v>
      </c>
      <c r="H5" s="434">
        <f t="shared" ref="H5:H68" si="2">+G5/$G$409</f>
        <v>2.135748152577848E-4</v>
      </c>
    </row>
    <row r="6" spans="1:8" hidden="1">
      <c r="B6" s="1808" t="s">
        <v>1190</v>
      </c>
      <c r="C6" t="s">
        <v>1191</v>
      </c>
      <c r="D6">
        <v>705</v>
      </c>
      <c r="E6">
        <f t="shared" si="0"/>
        <v>0</v>
      </c>
      <c r="F6">
        <f t="shared" si="1"/>
        <v>0</v>
      </c>
      <c r="G6">
        <v>705</v>
      </c>
      <c r="H6" s="434">
        <f t="shared" si="2"/>
        <v>2.6186129522911004E-4</v>
      </c>
    </row>
    <row r="7" spans="1:8" hidden="1">
      <c r="B7" s="1808" t="s">
        <v>1194</v>
      </c>
      <c r="C7" t="s">
        <v>1195</v>
      </c>
      <c r="D7">
        <v>11150</v>
      </c>
      <c r="E7">
        <f t="shared" si="0"/>
        <v>0</v>
      </c>
      <c r="F7">
        <f t="shared" si="1"/>
        <v>0</v>
      </c>
      <c r="G7">
        <v>11150</v>
      </c>
      <c r="H7" s="434">
        <f t="shared" si="2"/>
        <v>4.1414942436944361E-3</v>
      </c>
    </row>
    <row r="8" spans="1:8" hidden="1">
      <c r="B8" s="1808" t="s">
        <v>1196</v>
      </c>
      <c r="C8" t="s">
        <v>1197</v>
      </c>
      <c r="D8">
        <v>9200</v>
      </c>
      <c r="E8">
        <f t="shared" si="0"/>
        <v>0</v>
      </c>
      <c r="F8">
        <f t="shared" si="1"/>
        <v>0</v>
      </c>
      <c r="G8">
        <v>9200</v>
      </c>
      <c r="H8" s="434">
        <f t="shared" si="2"/>
        <v>3.4171970441245567E-3</v>
      </c>
    </row>
    <row r="9" spans="1:8" hidden="1">
      <c r="B9" s="1808" t="s">
        <v>1198</v>
      </c>
      <c r="C9" t="s">
        <v>1199</v>
      </c>
      <c r="D9">
        <v>11855</v>
      </c>
      <c r="E9">
        <f t="shared" si="0"/>
        <v>0</v>
      </c>
      <c r="F9">
        <f t="shared" si="1"/>
        <v>0</v>
      </c>
      <c r="G9">
        <v>11855</v>
      </c>
      <c r="H9" s="434">
        <f t="shared" si="2"/>
        <v>4.4033555389235458E-3</v>
      </c>
    </row>
    <row r="10" spans="1:8" hidden="1">
      <c r="B10" s="1808" t="s">
        <v>1200</v>
      </c>
      <c r="C10" t="s">
        <v>1201</v>
      </c>
      <c r="D10">
        <v>13350</v>
      </c>
      <c r="E10">
        <f t="shared" si="0"/>
        <v>0</v>
      </c>
      <c r="F10">
        <f t="shared" si="1"/>
        <v>0</v>
      </c>
      <c r="G10">
        <v>13350</v>
      </c>
      <c r="H10" s="434">
        <f t="shared" si="2"/>
        <v>4.9586500585937863E-3</v>
      </c>
    </row>
    <row r="11" spans="1:8" hidden="1">
      <c r="B11" s="1808" t="s">
        <v>1202</v>
      </c>
      <c r="C11" t="s">
        <v>1203</v>
      </c>
      <c r="D11">
        <v>19735</v>
      </c>
      <c r="E11">
        <f t="shared" si="0"/>
        <v>0</v>
      </c>
      <c r="F11">
        <f t="shared" si="1"/>
        <v>0</v>
      </c>
      <c r="G11">
        <v>19735</v>
      </c>
      <c r="H11" s="434">
        <f t="shared" si="2"/>
        <v>7.3302590941084923E-3</v>
      </c>
    </row>
    <row r="12" spans="1:8" hidden="1">
      <c r="B12" s="1808" t="s">
        <v>1204</v>
      </c>
      <c r="C12" t="s">
        <v>1205</v>
      </c>
      <c r="D12">
        <v>4200</v>
      </c>
      <c r="E12">
        <f t="shared" si="0"/>
        <v>0</v>
      </c>
      <c r="F12">
        <f t="shared" si="1"/>
        <v>0</v>
      </c>
      <c r="G12">
        <v>4200</v>
      </c>
      <c r="H12" s="434">
        <f t="shared" si="2"/>
        <v>1.5600247375351238E-3</v>
      </c>
    </row>
    <row r="13" spans="1:8" hidden="1">
      <c r="B13" s="1808" t="s">
        <v>1206</v>
      </c>
      <c r="C13" t="s">
        <v>1207</v>
      </c>
      <c r="D13">
        <v>10700</v>
      </c>
      <c r="E13">
        <f t="shared" si="0"/>
        <v>0</v>
      </c>
      <c r="F13">
        <f t="shared" si="1"/>
        <v>0</v>
      </c>
      <c r="G13">
        <v>10700</v>
      </c>
      <c r="H13" s="434">
        <f t="shared" si="2"/>
        <v>3.9743487361013864E-3</v>
      </c>
    </row>
    <row r="14" spans="1:8" hidden="1">
      <c r="B14" s="1808" t="s">
        <v>1208</v>
      </c>
      <c r="C14" t="s">
        <v>1209</v>
      </c>
      <c r="D14">
        <v>1575</v>
      </c>
      <c r="E14">
        <f t="shared" si="0"/>
        <v>1575</v>
      </c>
      <c r="F14">
        <v>0</v>
      </c>
      <c r="G14">
        <v>0</v>
      </c>
      <c r="H14" s="434">
        <f t="shared" si="2"/>
        <v>0</v>
      </c>
    </row>
    <row r="15" spans="1:8" hidden="1">
      <c r="B15" s="1808" t="s">
        <v>1210</v>
      </c>
      <c r="C15" t="s">
        <v>1211</v>
      </c>
      <c r="D15">
        <v>13005</v>
      </c>
      <c r="E15">
        <f t="shared" si="0"/>
        <v>13005</v>
      </c>
      <c r="F15">
        <v>0</v>
      </c>
      <c r="G15">
        <v>0</v>
      </c>
      <c r="H15" s="434">
        <f t="shared" si="2"/>
        <v>0</v>
      </c>
    </row>
    <row r="16" spans="1:8" hidden="1">
      <c r="B16" s="1808" t="s">
        <v>1212</v>
      </c>
      <c r="C16" t="s">
        <v>1213</v>
      </c>
      <c r="D16">
        <v>2190</v>
      </c>
      <c r="E16">
        <f t="shared" si="0"/>
        <v>0</v>
      </c>
      <c r="F16">
        <f t="shared" si="1"/>
        <v>0</v>
      </c>
      <c r="G16">
        <v>2190</v>
      </c>
      <c r="H16" s="434">
        <f t="shared" si="2"/>
        <v>8.1344147028617169E-4</v>
      </c>
    </row>
    <row r="17" spans="2:8" hidden="1">
      <c r="B17" s="1808" t="s">
        <v>1214</v>
      </c>
      <c r="C17" t="s">
        <v>1215</v>
      </c>
      <c r="D17">
        <v>1125</v>
      </c>
      <c r="E17">
        <f t="shared" si="0"/>
        <v>0</v>
      </c>
      <c r="F17">
        <f t="shared" si="1"/>
        <v>0</v>
      </c>
      <c r="G17">
        <v>1125</v>
      </c>
      <c r="H17" s="434">
        <f t="shared" si="2"/>
        <v>4.1786376898262246E-4</v>
      </c>
    </row>
    <row r="18" spans="2:8" hidden="1">
      <c r="B18" s="1808" t="s">
        <v>1216</v>
      </c>
      <c r="C18" t="s">
        <v>1217</v>
      </c>
      <c r="D18">
        <v>150</v>
      </c>
      <c r="E18">
        <f t="shared" si="0"/>
        <v>0</v>
      </c>
      <c r="F18">
        <f t="shared" si="1"/>
        <v>0</v>
      </c>
      <c r="G18">
        <v>150</v>
      </c>
      <c r="H18" s="434">
        <f t="shared" si="2"/>
        <v>5.5715169197682989E-5</v>
      </c>
    </row>
    <row r="19" spans="2:8" hidden="1">
      <c r="B19" s="1808" t="s">
        <v>1218</v>
      </c>
      <c r="C19" t="s">
        <v>1219</v>
      </c>
      <c r="D19">
        <v>375</v>
      </c>
      <c r="E19">
        <f t="shared" si="0"/>
        <v>0</v>
      </c>
      <c r="F19">
        <f t="shared" si="1"/>
        <v>0</v>
      </c>
      <c r="G19">
        <v>375</v>
      </c>
      <c r="H19" s="434">
        <f t="shared" si="2"/>
        <v>1.3928792299420747E-4</v>
      </c>
    </row>
    <row r="20" spans="2:8" hidden="1">
      <c r="B20" s="1808" t="s">
        <v>1220</v>
      </c>
      <c r="C20" t="s">
        <v>1221</v>
      </c>
      <c r="D20">
        <v>240</v>
      </c>
      <c r="E20">
        <f t="shared" si="0"/>
        <v>0</v>
      </c>
      <c r="F20">
        <f t="shared" si="1"/>
        <v>0</v>
      </c>
      <c r="G20">
        <v>240</v>
      </c>
      <c r="H20" s="434">
        <f t="shared" si="2"/>
        <v>8.9144270716292793E-5</v>
      </c>
    </row>
    <row r="21" spans="2:8" hidden="1">
      <c r="B21" s="1808" t="s">
        <v>1222</v>
      </c>
      <c r="C21" t="s">
        <v>1223</v>
      </c>
      <c r="D21">
        <v>150</v>
      </c>
      <c r="E21">
        <f t="shared" si="0"/>
        <v>0</v>
      </c>
      <c r="F21">
        <f t="shared" si="1"/>
        <v>0</v>
      </c>
      <c r="G21">
        <v>150</v>
      </c>
      <c r="H21" s="434">
        <f t="shared" si="2"/>
        <v>5.5715169197682989E-5</v>
      </c>
    </row>
    <row r="22" spans="2:8" hidden="1">
      <c r="B22" s="1808" t="s">
        <v>1224</v>
      </c>
      <c r="C22" t="s">
        <v>1225</v>
      </c>
      <c r="D22">
        <v>75</v>
      </c>
      <c r="E22">
        <f t="shared" si="0"/>
        <v>0</v>
      </c>
      <c r="F22">
        <f t="shared" si="1"/>
        <v>0</v>
      </c>
      <c r="G22">
        <v>75</v>
      </c>
      <c r="H22" s="434">
        <f t="shared" si="2"/>
        <v>2.7857584598841494E-5</v>
      </c>
    </row>
    <row r="23" spans="2:8" hidden="1">
      <c r="B23" s="1808" t="s">
        <v>1226</v>
      </c>
      <c r="C23" t="s">
        <v>1227</v>
      </c>
      <c r="D23">
        <v>75</v>
      </c>
      <c r="E23">
        <f t="shared" si="0"/>
        <v>0</v>
      </c>
      <c r="F23">
        <f t="shared" si="1"/>
        <v>0</v>
      </c>
      <c r="G23">
        <v>75</v>
      </c>
      <c r="H23" s="434">
        <f t="shared" si="2"/>
        <v>2.7857584598841494E-5</v>
      </c>
    </row>
    <row r="24" spans="2:8" hidden="1">
      <c r="B24" s="1808" t="s">
        <v>1228</v>
      </c>
      <c r="C24" t="s">
        <v>1227</v>
      </c>
      <c r="D24">
        <v>75</v>
      </c>
      <c r="E24">
        <f t="shared" si="0"/>
        <v>0</v>
      </c>
      <c r="F24">
        <f t="shared" si="1"/>
        <v>0</v>
      </c>
      <c r="G24">
        <v>75</v>
      </c>
      <c r="H24" s="434">
        <f t="shared" si="2"/>
        <v>2.7857584598841494E-5</v>
      </c>
    </row>
    <row r="25" spans="2:8" hidden="1">
      <c r="B25" s="1808" t="s">
        <v>1229</v>
      </c>
      <c r="C25" t="s">
        <v>1230</v>
      </c>
      <c r="D25">
        <v>150</v>
      </c>
      <c r="E25">
        <f t="shared" si="0"/>
        <v>0</v>
      </c>
      <c r="F25">
        <f t="shared" si="1"/>
        <v>0</v>
      </c>
      <c r="G25">
        <v>150</v>
      </c>
      <c r="H25" s="434">
        <f t="shared" si="2"/>
        <v>5.5715169197682989E-5</v>
      </c>
    </row>
    <row r="26" spans="2:8" hidden="1">
      <c r="B26" s="1808" t="s">
        <v>1231</v>
      </c>
      <c r="C26" t="s">
        <v>1232</v>
      </c>
      <c r="D26">
        <v>3090</v>
      </c>
      <c r="E26">
        <f t="shared" si="0"/>
        <v>0</v>
      </c>
      <c r="F26">
        <f t="shared" si="1"/>
        <v>0</v>
      </c>
      <c r="G26">
        <v>3090</v>
      </c>
      <c r="H26" s="434">
        <f t="shared" si="2"/>
        <v>1.1477324854722696E-3</v>
      </c>
    </row>
    <row r="27" spans="2:8" hidden="1">
      <c r="B27" s="1808" t="s">
        <v>1233</v>
      </c>
      <c r="C27" t="s">
        <v>1234</v>
      </c>
      <c r="D27">
        <v>3300</v>
      </c>
      <c r="E27">
        <f t="shared" si="0"/>
        <v>0</v>
      </c>
      <c r="F27">
        <f t="shared" si="1"/>
        <v>0</v>
      </c>
      <c r="G27">
        <v>3300</v>
      </c>
      <c r="H27" s="434">
        <f t="shared" si="2"/>
        <v>1.2257337223490258E-3</v>
      </c>
    </row>
    <row r="28" spans="2:8" hidden="1">
      <c r="B28" s="1808" t="s">
        <v>1235</v>
      </c>
      <c r="C28" t="s">
        <v>3128</v>
      </c>
      <c r="D28">
        <v>75</v>
      </c>
      <c r="E28">
        <f t="shared" si="0"/>
        <v>0</v>
      </c>
      <c r="F28">
        <f t="shared" si="1"/>
        <v>0</v>
      </c>
      <c r="G28">
        <v>75</v>
      </c>
      <c r="H28" s="434">
        <f t="shared" si="2"/>
        <v>2.7857584598841494E-5</v>
      </c>
    </row>
    <row r="29" spans="2:8" hidden="1">
      <c r="B29" s="1808" t="s">
        <v>1236</v>
      </c>
      <c r="C29" t="s">
        <v>1237</v>
      </c>
      <c r="D29">
        <v>1000</v>
      </c>
      <c r="E29">
        <f t="shared" si="0"/>
        <v>0</v>
      </c>
      <c r="F29">
        <f t="shared" si="1"/>
        <v>0</v>
      </c>
      <c r="G29">
        <v>1000</v>
      </c>
      <c r="H29" s="434">
        <f t="shared" si="2"/>
        <v>3.7143446131788664E-4</v>
      </c>
    </row>
    <row r="30" spans="2:8" hidden="1">
      <c r="B30" s="1808" t="s">
        <v>1238</v>
      </c>
      <c r="C30" t="s">
        <v>1239</v>
      </c>
      <c r="D30">
        <v>3025</v>
      </c>
      <c r="E30">
        <f t="shared" si="0"/>
        <v>0</v>
      </c>
      <c r="F30">
        <f t="shared" si="1"/>
        <v>0</v>
      </c>
      <c r="G30">
        <v>3025</v>
      </c>
      <c r="H30" s="434">
        <f t="shared" si="2"/>
        <v>1.1235892454866071E-3</v>
      </c>
    </row>
    <row r="31" spans="2:8" hidden="1">
      <c r="B31" s="1808" t="s">
        <v>1240</v>
      </c>
      <c r="C31" t="s">
        <v>1219</v>
      </c>
      <c r="D31">
        <v>2500</v>
      </c>
      <c r="E31">
        <f t="shared" si="0"/>
        <v>0</v>
      </c>
      <c r="F31">
        <f t="shared" si="1"/>
        <v>0</v>
      </c>
      <c r="G31">
        <v>2500</v>
      </c>
      <c r="H31" s="434">
        <f t="shared" si="2"/>
        <v>9.2858615329471656E-4</v>
      </c>
    </row>
    <row r="32" spans="2:8" hidden="1">
      <c r="B32" s="1808" t="s">
        <v>1241</v>
      </c>
      <c r="C32" t="s">
        <v>1242</v>
      </c>
      <c r="D32">
        <v>500</v>
      </c>
      <c r="E32">
        <f t="shared" si="0"/>
        <v>0</v>
      </c>
      <c r="F32">
        <f t="shared" si="1"/>
        <v>0</v>
      </c>
      <c r="G32">
        <v>500</v>
      </c>
      <c r="H32" s="434">
        <f t="shared" si="2"/>
        <v>1.8571723065894332E-4</v>
      </c>
    </row>
    <row r="33" spans="1:10" hidden="1">
      <c r="B33" s="1808" t="s">
        <v>2144</v>
      </c>
      <c r="C33" t="s">
        <v>2145</v>
      </c>
      <c r="D33">
        <v>1200</v>
      </c>
      <c r="E33">
        <f t="shared" si="0"/>
        <v>0</v>
      </c>
      <c r="F33">
        <f t="shared" si="1"/>
        <v>0</v>
      </c>
      <c r="G33">
        <v>1200</v>
      </c>
      <c r="H33" s="434">
        <f t="shared" si="2"/>
        <v>4.4572135358146391E-4</v>
      </c>
    </row>
    <row r="34" spans="1:10" hidden="1">
      <c r="B34" s="1808" t="s">
        <v>1243</v>
      </c>
      <c r="C34" t="s">
        <v>1244</v>
      </c>
      <c r="D34">
        <v>47460</v>
      </c>
      <c r="E34">
        <f t="shared" si="0"/>
        <v>0</v>
      </c>
      <c r="F34">
        <f t="shared" si="1"/>
        <v>0</v>
      </c>
      <c r="G34">
        <v>47460</v>
      </c>
      <c r="H34" s="434">
        <f t="shared" si="2"/>
        <v>1.7628279534146897E-2</v>
      </c>
    </row>
    <row r="35" spans="1:10" hidden="1">
      <c r="B35" s="1808" t="s">
        <v>1245</v>
      </c>
      <c r="C35" t="s">
        <v>1246</v>
      </c>
      <c r="D35">
        <v>3300</v>
      </c>
      <c r="E35">
        <f t="shared" si="0"/>
        <v>0</v>
      </c>
      <c r="F35">
        <f t="shared" si="1"/>
        <v>0</v>
      </c>
      <c r="G35">
        <v>3300</v>
      </c>
      <c r="H35" s="434">
        <f t="shared" si="2"/>
        <v>1.2257337223490258E-3</v>
      </c>
    </row>
    <row r="36" spans="1:10" hidden="1">
      <c r="B36" s="1808" t="s">
        <v>1247</v>
      </c>
      <c r="C36" t="s">
        <v>1248</v>
      </c>
      <c r="D36">
        <v>3300</v>
      </c>
      <c r="E36">
        <f t="shared" si="0"/>
        <v>0</v>
      </c>
      <c r="F36">
        <f t="shared" si="1"/>
        <v>0</v>
      </c>
      <c r="G36">
        <v>3300</v>
      </c>
      <c r="H36" s="434">
        <f t="shared" si="2"/>
        <v>1.2257337223490258E-3</v>
      </c>
    </row>
    <row r="37" spans="1:10" hidden="1">
      <c r="B37" s="1808" t="s">
        <v>1249</v>
      </c>
      <c r="C37" t="s">
        <v>1250</v>
      </c>
      <c r="D37">
        <v>2500</v>
      </c>
      <c r="E37">
        <f t="shared" si="0"/>
        <v>0</v>
      </c>
      <c r="F37">
        <f t="shared" si="1"/>
        <v>0</v>
      </c>
      <c r="G37">
        <v>2500</v>
      </c>
      <c r="H37" s="434">
        <f t="shared" si="2"/>
        <v>9.2858615329471656E-4</v>
      </c>
    </row>
    <row r="38" spans="1:10" hidden="1">
      <c r="B38" s="1808" t="s">
        <v>1251</v>
      </c>
      <c r="C38" t="s">
        <v>1252</v>
      </c>
      <c r="D38">
        <v>4500</v>
      </c>
      <c r="E38">
        <f t="shared" si="0"/>
        <v>0</v>
      </c>
      <c r="F38">
        <f t="shared" si="1"/>
        <v>0</v>
      </c>
      <c r="G38">
        <v>4500</v>
      </c>
      <c r="H38" s="434">
        <f t="shared" si="2"/>
        <v>1.6714550759304898E-3</v>
      </c>
    </row>
    <row r="39" spans="1:10" hidden="1">
      <c r="A39">
        <v>1</v>
      </c>
      <c r="B39" s="1808" t="s">
        <v>1168</v>
      </c>
      <c r="C39" t="s">
        <v>1169</v>
      </c>
      <c r="D39">
        <v>38815</v>
      </c>
      <c r="E39">
        <f t="shared" si="0"/>
        <v>0</v>
      </c>
      <c r="F39">
        <f t="shared" si="1"/>
        <v>0</v>
      </c>
      <c r="G39">
        <v>38815</v>
      </c>
      <c r="H39" s="434">
        <f t="shared" si="2"/>
        <v>1.4417228616053769E-2</v>
      </c>
    </row>
    <row r="40" spans="1:10" hidden="1">
      <c r="B40" s="1808" t="s">
        <v>1253</v>
      </c>
      <c r="C40" t="s">
        <v>1254</v>
      </c>
      <c r="D40">
        <v>3300</v>
      </c>
      <c r="E40">
        <f t="shared" si="0"/>
        <v>0</v>
      </c>
      <c r="F40">
        <f t="shared" si="1"/>
        <v>0</v>
      </c>
      <c r="G40">
        <v>3300</v>
      </c>
      <c r="H40" s="434">
        <f t="shared" si="2"/>
        <v>1.2257337223490258E-3</v>
      </c>
    </row>
    <row r="41" spans="1:10" hidden="1">
      <c r="A41">
        <v>1</v>
      </c>
      <c r="B41" s="1808" t="s">
        <v>1170</v>
      </c>
      <c r="C41" t="s">
        <v>1171</v>
      </c>
      <c r="D41">
        <v>112805</v>
      </c>
      <c r="E41">
        <f t="shared" si="0"/>
        <v>0</v>
      </c>
      <c r="F41">
        <f t="shared" si="1"/>
        <v>0</v>
      </c>
      <c r="G41">
        <v>112805</v>
      </c>
      <c r="H41" s="434">
        <f t="shared" si="2"/>
        <v>4.1899664408964199E-2</v>
      </c>
      <c r="J41">
        <f>112805/113805</f>
        <v>0.99121303984886433</v>
      </c>
    </row>
    <row r="42" spans="1:10" hidden="1">
      <c r="A42">
        <v>1</v>
      </c>
      <c r="B42" s="1808" t="s">
        <v>1172</v>
      </c>
      <c r="C42" t="s">
        <v>1173</v>
      </c>
      <c r="D42">
        <v>3600</v>
      </c>
      <c r="E42">
        <f t="shared" si="0"/>
        <v>0</v>
      </c>
      <c r="F42">
        <f t="shared" si="1"/>
        <v>0</v>
      </c>
      <c r="G42">
        <v>3600</v>
      </c>
      <c r="H42" s="434">
        <f t="shared" si="2"/>
        <v>1.3371640607443918E-3</v>
      </c>
    </row>
    <row r="43" spans="1:10" hidden="1">
      <c r="A43">
        <v>1</v>
      </c>
      <c r="B43" s="1808" t="s">
        <v>1174</v>
      </c>
      <c r="C43" t="s">
        <v>1175</v>
      </c>
      <c r="D43">
        <v>241995</v>
      </c>
      <c r="E43">
        <f t="shared" si="0"/>
        <v>0</v>
      </c>
      <c r="F43">
        <f t="shared" si="1"/>
        <v>0</v>
      </c>
      <c r="G43">
        <v>241995</v>
      </c>
      <c r="H43" s="434">
        <f t="shared" si="2"/>
        <v>8.9885282466621974E-2</v>
      </c>
      <c r="I43" s="434">
        <f>+D43/$D$409</f>
        <v>8.9885282466621974E-2</v>
      </c>
      <c r="J43">
        <f>142000/241995</f>
        <v>0.58678898324345541</v>
      </c>
    </row>
    <row r="44" spans="1:10" hidden="1">
      <c r="B44" s="1808" t="s">
        <v>1255</v>
      </c>
      <c r="C44" t="s">
        <v>1256</v>
      </c>
      <c r="D44">
        <v>33235</v>
      </c>
      <c r="E44">
        <f t="shared" si="0"/>
        <v>0</v>
      </c>
      <c r="F44">
        <f t="shared" si="1"/>
        <v>0</v>
      </c>
      <c r="G44">
        <v>33235</v>
      </c>
      <c r="H44" s="434">
        <f t="shared" si="2"/>
        <v>1.2344624321899962E-2</v>
      </c>
    </row>
    <row r="45" spans="1:10" hidden="1">
      <c r="B45" s="1808" t="s">
        <v>1257</v>
      </c>
      <c r="C45" t="s">
        <v>1258</v>
      </c>
      <c r="D45">
        <v>62790</v>
      </c>
      <c r="E45">
        <f t="shared" si="0"/>
        <v>0</v>
      </c>
      <c r="F45">
        <f t="shared" si="1"/>
        <v>0</v>
      </c>
      <c r="G45">
        <v>62790</v>
      </c>
      <c r="H45" s="434">
        <f t="shared" si="2"/>
        <v>2.3322369826150099E-2</v>
      </c>
    </row>
    <row r="46" spans="1:10" s="1809" customFormat="1" hidden="1">
      <c r="B46" s="1810" t="s">
        <v>1259</v>
      </c>
      <c r="C46" s="1809" t="s">
        <v>1211</v>
      </c>
      <c r="D46" s="1809">
        <v>323978</v>
      </c>
      <c r="E46" s="1809">
        <v>0</v>
      </c>
      <c r="F46" s="1809">
        <f t="shared" si="1"/>
        <v>13005</v>
      </c>
      <c r="G46" s="1809">
        <v>336983</v>
      </c>
      <c r="H46" s="1811">
        <f t="shared" si="2"/>
        <v>0.12516709907828538</v>
      </c>
      <c r="I46" s="1811"/>
    </row>
    <row r="47" spans="1:10" hidden="1">
      <c r="B47" s="1808" t="s">
        <v>1260</v>
      </c>
      <c r="C47" t="s">
        <v>1209</v>
      </c>
      <c r="D47">
        <v>10500</v>
      </c>
      <c r="E47">
        <v>0</v>
      </c>
      <c r="F47">
        <f t="shared" si="1"/>
        <v>1575</v>
      </c>
      <c r="G47">
        <v>12075</v>
      </c>
      <c r="H47" s="434">
        <f t="shared" si="2"/>
        <v>4.4850711204134806E-3</v>
      </c>
    </row>
    <row r="48" spans="1:10" hidden="1">
      <c r="B48" s="1808" t="s">
        <v>2146</v>
      </c>
      <c r="C48" t="s">
        <v>2145</v>
      </c>
      <c r="D48">
        <v>10000</v>
      </c>
      <c r="E48">
        <f t="shared" si="0"/>
        <v>0</v>
      </c>
      <c r="F48">
        <f t="shared" si="1"/>
        <v>0</v>
      </c>
      <c r="G48">
        <v>10000</v>
      </c>
      <c r="H48" s="434">
        <f t="shared" si="2"/>
        <v>3.7143446131788663E-3</v>
      </c>
    </row>
    <row r="49" spans="1:11" hidden="1">
      <c r="B49" s="1808" t="s">
        <v>1261</v>
      </c>
      <c r="C49" t="s">
        <v>1262</v>
      </c>
      <c r="D49">
        <v>1400</v>
      </c>
      <c r="E49">
        <f t="shared" si="0"/>
        <v>0</v>
      </c>
      <c r="F49">
        <f t="shared" si="1"/>
        <v>0</v>
      </c>
      <c r="G49">
        <v>1400</v>
      </c>
      <c r="H49" s="434">
        <f t="shared" si="2"/>
        <v>5.2000824584504124E-4</v>
      </c>
    </row>
    <row r="50" spans="1:11" hidden="1">
      <c r="B50" s="1808" t="s">
        <v>2147</v>
      </c>
      <c r="C50" t="s">
        <v>2148</v>
      </c>
      <c r="D50">
        <v>4200</v>
      </c>
      <c r="E50">
        <f t="shared" si="0"/>
        <v>0</v>
      </c>
      <c r="F50">
        <f t="shared" si="1"/>
        <v>0</v>
      </c>
      <c r="G50">
        <v>4200</v>
      </c>
      <c r="H50" s="434">
        <f t="shared" si="2"/>
        <v>1.5600247375351238E-3</v>
      </c>
    </row>
    <row r="51" spans="1:11" hidden="1">
      <c r="B51" s="1808" t="s">
        <v>1263</v>
      </c>
      <c r="C51" t="s">
        <v>1264</v>
      </c>
      <c r="D51">
        <v>500</v>
      </c>
      <c r="E51">
        <f t="shared" si="0"/>
        <v>0</v>
      </c>
      <c r="F51">
        <f t="shared" si="1"/>
        <v>0</v>
      </c>
      <c r="G51">
        <v>500</v>
      </c>
      <c r="H51" s="434">
        <f t="shared" si="2"/>
        <v>1.8571723065894332E-4</v>
      </c>
    </row>
    <row r="52" spans="1:11" hidden="1">
      <c r="B52" s="1808" t="s">
        <v>1267</v>
      </c>
      <c r="C52" t="s">
        <v>1268</v>
      </c>
      <c r="D52">
        <v>77900</v>
      </c>
      <c r="E52">
        <f t="shared" si="0"/>
        <v>0</v>
      </c>
      <c r="F52">
        <f t="shared" si="1"/>
        <v>0</v>
      </c>
      <c r="G52">
        <v>77900</v>
      </c>
      <c r="H52" s="434">
        <f t="shared" si="2"/>
        <v>2.8934744536663368E-2</v>
      </c>
    </row>
    <row r="53" spans="1:11" hidden="1">
      <c r="A53">
        <v>1</v>
      </c>
      <c r="B53" s="1808" t="s">
        <v>1176</v>
      </c>
      <c r="C53" t="s">
        <v>1177</v>
      </c>
      <c r="D53">
        <v>186295</v>
      </c>
      <c r="E53">
        <f t="shared" si="0"/>
        <v>0</v>
      </c>
      <c r="F53">
        <f t="shared" si="1"/>
        <v>0</v>
      </c>
      <c r="G53">
        <v>186295</v>
      </c>
      <c r="H53" s="434">
        <f t="shared" si="2"/>
        <v>6.9196382971215692E-2</v>
      </c>
      <c r="I53" s="434">
        <f>+D53/$D$409</f>
        <v>6.9196382971215692E-2</v>
      </c>
      <c r="K53">
        <f>142000/186295</f>
        <v>0.76223194395984861</v>
      </c>
    </row>
    <row r="54" spans="1:11" hidden="1">
      <c r="B54" s="1808" t="s">
        <v>1271</v>
      </c>
      <c r="C54" t="s">
        <v>1272</v>
      </c>
      <c r="D54">
        <v>1700</v>
      </c>
      <c r="E54">
        <f t="shared" si="0"/>
        <v>0</v>
      </c>
      <c r="F54">
        <f t="shared" si="1"/>
        <v>0</v>
      </c>
      <c r="G54">
        <v>1700</v>
      </c>
      <c r="H54" s="434">
        <f t="shared" si="2"/>
        <v>6.3143858424040725E-4</v>
      </c>
    </row>
    <row r="55" spans="1:11" hidden="1">
      <c r="B55" s="1808" t="s">
        <v>1273</v>
      </c>
      <c r="C55" t="s">
        <v>1274</v>
      </c>
      <c r="D55">
        <v>500</v>
      </c>
      <c r="E55">
        <f t="shared" si="0"/>
        <v>0</v>
      </c>
      <c r="F55">
        <f t="shared" si="1"/>
        <v>0</v>
      </c>
      <c r="G55">
        <v>500</v>
      </c>
      <c r="H55" s="434">
        <f t="shared" si="2"/>
        <v>1.8571723065894332E-4</v>
      </c>
    </row>
    <row r="56" spans="1:11" hidden="1">
      <c r="B56" s="1808" t="s">
        <v>1275</v>
      </c>
      <c r="C56" t="s">
        <v>1276</v>
      </c>
      <c r="D56">
        <v>28462</v>
      </c>
      <c r="E56">
        <f t="shared" si="0"/>
        <v>0</v>
      </c>
      <c r="F56">
        <f t="shared" si="1"/>
        <v>0</v>
      </c>
      <c r="G56">
        <v>28462</v>
      </c>
      <c r="H56" s="434">
        <f t="shared" si="2"/>
        <v>1.0571767638029689E-2</v>
      </c>
    </row>
    <row r="57" spans="1:11" hidden="1">
      <c r="B57" s="1808" t="s">
        <v>1277</v>
      </c>
      <c r="C57" t="s">
        <v>1278</v>
      </c>
      <c r="D57">
        <v>25265</v>
      </c>
      <c r="E57">
        <f t="shared" si="0"/>
        <v>0</v>
      </c>
      <c r="F57">
        <f t="shared" si="1"/>
        <v>0</v>
      </c>
      <c r="G57">
        <v>25265</v>
      </c>
      <c r="H57" s="434">
        <f t="shared" si="2"/>
        <v>9.3842916651964061E-3</v>
      </c>
    </row>
    <row r="58" spans="1:11" hidden="1">
      <c r="B58" s="1808" t="s">
        <v>1279</v>
      </c>
      <c r="C58" t="s">
        <v>1280</v>
      </c>
      <c r="D58">
        <v>35770</v>
      </c>
      <c r="E58">
        <f t="shared" si="0"/>
        <v>0</v>
      </c>
      <c r="F58">
        <f t="shared" si="1"/>
        <v>0</v>
      </c>
      <c r="G58">
        <v>35770</v>
      </c>
      <c r="H58" s="434">
        <f t="shared" si="2"/>
        <v>1.3286210681340805E-2</v>
      </c>
      <c r="I58">
        <f>+G71+G89</f>
        <v>13000</v>
      </c>
      <c r="J58" t="e">
        <f>+I58/G454</f>
        <v>#DIV/0!</v>
      </c>
    </row>
    <row r="59" spans="1:11" hidden="1">
      <c r="B59" s="1808" t="s">
        <v>1281</v>
      </c>
      <c r="C59" t="s">
        <v>1282</v>
      </c>
      <c r="D59">
        <v>29095</v>
      </c>
      <c r="E59">
        <f t="shared" si="0"/>
        <v>0</v>
      </c>
      <c r="F59">
        <f t="shared" si="1"/>
        <v>0</v>
      </c>
      <c r="G59">
        <v>29095</v>
      </c>
      <c r="H59" s="434">
        <f t="shared" si="2"/>
        <v>1.0806885652043911E-2</v>
      </c>
    </row>
    <row r="60" spans="1:11" hidden="1">
      <c r="B60" s="1808" t="s">
        <v>1283</v>
      </c>
      <c r="C60" t="s">
        <v>1284</v>
      </c>
      <c r="D60">
        <v>3300</v>
      </c>
      <c r="E60">
        <f t="shared" si="0"/>
        <v>0</v>
      </c>
      <c r="F60">
        <f t="shared" si="1"/>
        <v>0</v>
      </c>
      <c r="G60">
        <v>3300</v>
      </c>
      <c r="H60" s="434">
        <f t="shared" si="2"/>
        <v>1.2257337223490258E-3</v>
      </c>
    </row>
    <row r="61" spans="1:11" hidden="1">
      <c r="B61" s="1808" t="s">
        <v>1285</v>
      </c>
      <c r="C61" t="s">
        <v>1286</v>
      </c>
      <c r="D61">
        <v>575</v>
      </c>
      <c r="E61">
        <f t="shared" si="0"/>
        <v>0</v>
      </c>
      <c r="F61">
        <f t="shared" si="1"/>
        <v>0</v>
      </c>
      <c r="G61">
        <v>575</v>
      </c>
      <c r="H61" s="434">
        <f t="shared" si="2"/>
        <v>2.135748152577848E-4</v>
      </c>
    </row>
    <row r="62" spans="1:11" hidden="1">
      <c r="B62" s="1808" t="s">
        <v>2149</v>
      </c>
      <c r="C62" t="s">
        <v>2150</v>
      </c>
      <c r="D62">
        <v>2000</v>
      </c>
      <c r="E62">
        <f t="shared" si="0"/>
        <v>0</v>
      </c>
      <c r="F62">
        <f t="shared" si="1"/>
        <v>0</v>
      </c>
      <c r="G62">
        <v>2000</v>
      </c>
      <c r="H62" s="434">
        <f t="shared" si="2"/>
        <v>7.4286892263577327E-4</v>
      </c>
    </row>
    <row r="63" spans="1:11" hidden="1">
      <c r="B63" s="1808" t="s">
        <v>2151</v>
      </c>
      <c r="C63" t="s">
        <v>2152</v>
      </c>
      <c r="D63">
        <v>4200</v>
      </c>
      <c r="E63">
        <f t="shared" si="0"/>
        <v>0</v>
      </c>
      <c r="F63">
        <f t="shared" si="1"/>
        <v>0</v>
      </c>
      <c r="G63">
        <v>4200</v>
      </c>
      <c r="H63" s="434">
        <f t="shared" si="2"/>
        <v>1.5600247375351238E-3</v>
      </c>
    </row>
    <row r="64" spans="1:11" hidden="1">
      <c r="B64" s="1808" t="s">
        <v>1287</v>
      </c>
      <c r="C64" t="s">
        <v>1288</v>
      </c>
      <c r="D64">
        <v>1800</v>
      </c>
      <c r="E64">
        <f t="shared" si="0"/>
        <v>0</v>
      </c>
      <c r="F64">
        <f t="shared" si="1"/>
        <v>0</v>
      </c>
      <c r="G64">
        <v>1800</v>
      </c>
      <c r="H64" s="434">
        <f t="shared" si="2"/>
        <v>6.6858203037219589E-4</v>
      </c>
    </row>
    <row r="65" spans="2:8" hidden="1">
      <c r="B65" s="1808" t="s">
        <v>1289</v>
      </c>
      <c r="C65" t="s">
        <v>1290</v>
      </c>
      <c r="D65">
        <v>1000</v>
      </c>
      <c r="E65">
        <f t="shared" si="0"/>
        <v>0</v>
      </c>
      <c r="F65">
        <f t="shared" si="1"/>
        <v>0</v>
      </c>
      <c r="G65">
        <v>1000</v>
      </c>
      <c r="H65" s="434">
        <f t="shared" si="2"/>
        <v>3.7143446131788664E-4</v>
      </c>
    </row>
    <row r="66" spans="2:8" hidden="1">
      <c r="B66" s="1808" t="s">
        <v>1291</v>
      </c>
      <c r="C66" t="s">
        <v>1292</v>
      </c>
      <c r="D66">
        <v>1000</v>
      </c>
      <c r="E66">
        <f t="shared" si="0"/>
        <v>0</v>
      </c>
      <c r="F66">
        <f t="shared" si="1"/>
        <v>0</v>
      </c>
      <c r="G66">
        <v>1000</v>
      </c>
      <c r="H66" s="434">
        <f t="shared" si="2"/>
        <v>3.7143446131788664E-4</v>
      </c>
    </row>
    <row r="67" spans="2:8" hidden="1">
      <c r="B67" s="1808" t="s">
        <v>1293</v>
      </c>
      <c r="C67" t="s">
        <v>1294</v>
      </c>
      <c r="D67">
        <v>800</v>
      </c>
      <c r="E67">
        <f t="shared" si="0"/>
        <v>0</v>
      </c>
      <c r="F67">
        <f t="shared" si="1"/>
        <v>0</v>
      </c>
      <c r="G67">
        <v>800</v>
      </c>
      <c r="H67" s="434">
        <f t="shared" si="2"/>
        <v>2.9714756905430931E-4</v>
      </c>
    </row>
    <row r="68" spans="2:8" hidden="1">
      <c r="B68" s="1808" t="s">
        <v>1295</v>
      </c>
      <c r="C68" t="s">
        <v>1296</v>
      </c>
      <c r="D68">
        <v>4200</v>
      </c>
      <c r="E68">
        <f t="shared" si="0"/>
        <v>0</v>
      </c>
      <c r="F68">
        <f t="shared" si="1"/>
        <v>0</v>
      </c>
      <c r="G68">
        <v>4200</v>
      </c>
      <c r="H68" s="434">
        <f t="shared" si="2"/>
        <v>1.5600247375351238E-3</v>
      </c>
    </row>
    <row r="69" spans="2:8" hidden="1">
      <c r="B69" s="1808" t="s">
        <v>2153</v>
      </c>
      <c r="C69" t="s">
        <v>1681</v>
      </c>
      <c r="D69">
        <v>500</v>
      </c>
      <c r="E69">
        <f t="shared" ref="E69:E132" si="3">D69-G69</f>
        <v>0</v>
      </c>
      <c r="F69">
        <f t="shared" ref="F69:F132" si="4">G69-D69</f>
        <v>0</v>
      </c>
      <c r="G69">
        <v>500</v>
      </c>
      <c r="H69" s="434">
        <f t="shared" ref="H69:H132" si="5">+G69/$G$409</f>
        <v>1.8571723065894332E-4</v>
      </c>
    </row>
    <row r="70" spans="2:8" hidden="1">
      <c r="B70" s="1808" t="s">
        <v>1297</v>
      </c>
      <c r="C70" t="s">
        <v>1298</v>
      </c>
      <c r="D70">
        <v>2000</v>
      </c>
      <c r="E70">
        <f t="shared" si="3"/>
        <v>0</v>
      </c>
      <c r="F70">
        <f t="shared" si="4"/>
        <v>0</v>
      </c>
      <c r="G70">
        <v>2000</v>
      </c>
      <c r="H70" s="434">
        <f t="shared" si="5"/>
        <v>7.4286892263577327E-4</v>
      </c>
    </row>
    <row r="71" spans="2:8" hidden="1">
      <c r="B71" s="1808" t="s">
        <v>1299</v>
      </c>
      <c r="C71" t="s">
        <v>1300</v>
      </c>
      <c r="D71">
        <v>400</v>
      </c>
      <c r="E71">
        <f t="shared" si="3"/>
        <v>0</v>
      </c>
      <c r="F71">
        <f t="shared" si="4"/>
        <v>0</v>
      </c>
      <c r="G71">
        <v>400</v>
      </c>
      <c r="H71" s="434">
        <f t="shared" si="5"/>
        <v>1.4857378452715465E-4</v>
      </c>
    </row>
    <row r="72" spans="2:8" hidden="1">
      <c r="B72" s="1808" t="s">
        <v>1301</v>
      </c>
      <c r="C72" t="s">
        <v>1302</v>
      </c>
      <c r="D72">
        <v>600</v>
      </c>
      <c r="E72">
        <f t="shared" si="3"/>
        <v>0</v>
      </c>
      <c r="F72">
        <f t="shared" si="4"/>
        <v>0</v>
      </c>
      <c r="G72">
        <v>600</v>
      </c>
      <c r="H72" s="434">
        <f t="shared" si="5"/>
        <v>2.2286067679073195E-4</v>
      </c>
    </row>
    <row r="73" spans="2:8" hidden="1">
      <c r="B73" s="1808" t="s">
        <v>2154</v>
      </c>
      <c r="C73" t="s">
        <v>2155</v>
      </c>
      <c r="D73">
        <v>500</v>
      </c>
      <c r="E73">
        <f t="shared" si="3"/>
        <v>0</v>
      </c>
      <c r="F73">
        <f t="shared" si="4"/>
        <v>0</v>
      </c>
      <c r="G73">
        <v>500</v>
      </c>
      <c r="H73" s="434">
        <f t="shared" si="5"/>
        <v>1.8571723065894332E-4</v>
      </c>
    </row>
    <row r="74" spans="2:8" hidden="1">
      <c r="B74" s="1808" t="s">
        <v>2156</v>
      </c>
      <c r="C74" t="s">
        <v>1304</v>
      </c>
      <c r="D74">
        <v>500</v>
      </c>
      <c r="E74">
        <f t="shared" si="3"/>
        <v>0</v>
      </c>
      <c r="F74">
        <f t="shared" si="4"/>
        <v>0</v>
      </c>
      <c r="G74">
        <v>500</v>
      </c>
      <c r="H74" s="434">
        <f t="shared" si="5"/>
        <v>1.8571723065894332E-4</v>
      </c>
    </row>
    <row r="75" spans="2:8" hidden="1">
      <c r="B75" s="1808" t="s">
        <v>1305</v>
      </c>
      <c r="C75" t="s">
        <v>1306</v>
      </c>
      <c r="D75">
        <v>500</v>
      </c>
      <c r="E75">
        <f t="shared" si="3"/>
        <v>0</v>
      </c>
      <c r="F75">
        <f t="shared" si="4"/>
        <v>0</v>
      </c>
      <c r="G75">
        <v>500</v>
      </c>
      <c r="H75" s="434">
        <f t="shared" si="5"/>
        <v>1.8571723065894332E-4</v>
      </c>
    </row>
    <row r="76" spans="2:8" hidden="1">
      <c r="B76" s="1808" t="s">
        <v>1307</v>
      </c>
      <c r="C76" t="s">
        <v>1308</v>
      </c>
      <c r="D76">
        <v>2500</v>
      </c>
      <c r="E76">
        <f t="shared" si="3"/>
        <v>0</v>
      </c>
      <c r="F76">
        <f t="shared" si="4"/>
        <v>0</v>
      </c>
      <c r="G76">
        <v>2500</v>
      </c>
      <c r="H76" s="434">
        <f t="shared" si="5"/>
        <v>9.2858615329471656E-4</v>
      </c>
    </row>
    <row r="77" spans="2:8" hidden="1">
      <c r="B77" s="1808" t="s">
        <v>1309</v>
      </c>
      <c r="C77" t="s">
        <v>1310</v>
      </c>
      <c r="D77">
        <v>2500</v>
      </c>
      <c r="E77">
        <f t="shared" si="3"/>
        <v>0</v>
      </c>
      <c r="F77">
        <f t="shared" si="4"/>
        <v>0</v>
      </c>
      <c r="G77">
        <v>2500</v>
      </c>
      <c r="H77" s="434">
        <f t="shared" si="5"/>
        <v>9.2858615329471656E-4</v>
      </c>
    </row>
    <row r="78" spans="2:8" hidden="1">
      <c r="B78" s="1808" t="s">
        <v>3129</v>
      </c>
      <c r="C78" t="s">
        <v>3130</v>
      </c>
      <c r="D78">
        <v>0</v>
      </c>
      <c r="E78">
        <v>0</v>
      </c>
      <c r="F78">
        <f t="shared" si="4"/>
        <v>1000</v>
      </c>
      <c r="G78">
        <v>1000</v>
      </c>
      <c r="H78" s="434">
        <f t="shared" si="5"/>
        <v>3.7143446131788664E-4</v>
      </c>
    </row>
    <row r="79" spans="2:8" hidden="1">
      <c r="B79" s="1808" t="s">
        <v>3131</v>
      </c>
      <c r="C79" t="s">
        <v>3132</v>
      </c>
      <c r="D79">
        <v>0</v>
      </c>
      <c r="E79">
        <v>0</v>
      </c>
      <c r="F79">
        <f t="shared" si="4"/>
        <v>1000</v>
      </c>
      <c r="G79">
        <v>1000</v>
      </c>
      <c r="H79" s="434">
        <f t="shared" si="5"/>
        <v>3.7143446131788664E-4</v>
      </c>
    </row>
    <row r="80" spans="2:8" hidden="1">
      <c r="B80" s="1808" t="s">
        <v>3133</v>
      </c>
      <c r="C80" t="s">
        <v>1509</v>
      </c>
      <c r="D80">
        <v>0</v>
      </c>
      <c r="E80">
        <v>0</v>
      </c>
      <c r="F80">
        <f t="shared" si="4"/>
        <v>117800</v>
      </c>
      <c r="G80">
        <v>117800</v>
      </c>
      <c r="H80" s="434">
        <f t="shared" si="5"/>
        <v>4.3754979543247044E-2</v>
      </c>
    </row>
    <row r="81" spans="2:8" hidden="1">
      <c r="B81" s="1808" t="s">
        <v>1311</v>
      </c>
      <c r="C81" t="s">
        <v>1312</v>
      </c>
      <c r="D81">
        <v>1000</v>
      </c>
      <c r="E81">
        <f t="shared" si="3"/>
        <v>0</v>
      </c>
      <c r="F81">
        <f t="shared" si="4"/>
        <v>0</v>
      </c>
      <c r="G81">
        <v>1000</v>
      </c>
      <c r="H81" s="434">
        <f t="shared" si="5"/>
        <v>3.7143446131788664E-4</v>
      </c>
    </row>
    <row r="82" spans="2:8" hidden="1">
      <c r="B82" s="1808" t="s">
        <v>2157</v>
      </c>
      <c r="C82" t="s">
        <v>2158</v>
      </c>
      <c r="D82">
        <v>4200</v>
      </c>
      <c r="E82">
        <f t="shared" si="3"/>
        <v>0</v>
      </c>
      <c r="F82">
        <f t="shared" si="4"/>
        <v>0</v>
      </c>
      <c r="G82">
        <v>4200</v>
      </c>
      <c r="H82" s="434">
        <f t="shared" si="5"/>
        <v>1.5600247375351238E-3</v>
      </c>
    </row>
    <row r="83" spans="2:8" hidden="1">
      <c r="B83" s="1808" t="s">
        <v>1315</v>
      </c>
      <c r="C83" t="s">
        <v>1316</v>
      </c>
      <c r="D83">
        <v>1000</v>
      </c>
      <c r="E83">
        <f t="shared" si="3"/>
        <v>0</v>
      </c>
      <c r="F83">
        <f t="shared" si="4"/>
        <v>0</v>
      </c>
      <c r="G83">
        <v>1000</v>
      </c>
      <c r="H83" s="434">
        <f t="shared" si="5"/>
        <v>3.7143446131788664E-4</v>
      </c>
    </row>
    <row r="84" spans="2:8" hidden="1">
      <c r="B84" s="1808" t="s">
        <v>1317</v>
      </c>
      <c r="C84" t="s">
        <v>1318</v>
      </c>
      <c r="D84">
        <v>1000</v>
      </c>
      <c r="E84">
        <f t="shared" si="3"/>
        <v>0</v>
      </c>
      <c r="F84">
        <f t="shared" si="4"/>
        <v>0</v>
      </c>
      <c r="G84">
        <v>1000</v>
      </c>
      <c r="H84" s="434">
        <f t="shared" si="5"/>
        <v>3.7143446131788664E-4</v>
      </c>
    </row>
    <row r="85" spans="2:8" hidden="1">
      <c r="B85" s="1808" t="s">
        <v>1319</v>
      </c>
      <c r="C85" t="s">
        <v>1320</v>
      </c>
      <c r="D85">
        <v>500</v>
      </c>
      <c r="E85">
        <f t="shared" si="3"/>
        <v>0</v>
      </c>
      <c r="F85">
        <f t="shared" si="4"/>
        <v>0</v>
      </c>
      <c r="G85">
        <v>500</v>
      </c>
      <c r="H85" s="434">
        <f t="shared" si="5"/>
        <v>1.8571723065894332E-4</v>
      </c>
    </row>
    <row r="86" spans="2:8" hidden="1">
      <c r="B86" s="1808" t="s">
        <v>1321</v>
      </c>
      <c r="C86" t="s">
        <v>1322</v>
      </c>
      <c r="D86">
        <v>1000</v>
      </c>
      <c r="E86">
        <f t="shared" si="3"/>
        <v>0</v>
      </c>
      <c r="F86">
        <f t="shared" si="4"/>
        <v>0</v>
      </c>
      <c r="G86">
        <v>1000</v>
      </c>
      <c r="H86" s="434">
        <f t="shared" si="5"/>
        <v>3.7143446131788664E-4</v>
      </c>
    </row>
    <row r="87" spans="2:8" hidden="1">
      <c r="B87" s="1808" t="s">
        <v>1323</v>
      </c>
      <c r="C87" t="s">
        <v>1324</v>
      </c>
      <c r="D87">
        <v>500</v>
      </c>
      <c r="E87">
        <f t="shared" si="3"/>
        <v>0</v>
      </c>
      <c r="F87">
        <f t="shared" si="4"/>
        <v>0</v>
      </c>
      <c r="G87">
        <v>500</v>
      </c>
      <c r="H87" s="434">
        <f t="shared" si="5"/>
        <v>1.8571723065894332E-4</v>
      </c>
    </row>
    <row r="88" spans="2:8" hidden="1">
      <c r="B88" s="1808" t="s">
        <v>1325</v>
      </c>
      <c r="C88" t="s">
        <v>1326</v>
      </c>
      <c r="D88">
        <v>3000</v>
      </c>
      <c r="E88">
        <f t="shared" si="3"/>
        <v>0</v>
      </c>
      <c r="F88">
        <f t="shared" si="4"/>
        <v>0</v>
      </c>
      <c r="G88">
        <v>3000</v>
      </c>
      <c r="H88" s="434">
        <f t="shared" si="5"/>
        <v>1.1143033839536597E-3</v>
      </c>
    </row>
    <row r="89" spans="2:8" hidden="1">
      <c r="B89" s="1808" t="s">
        <v>1327</v>
      </c>
      <c r="C89" t="s">
        <v>1326</v>
      </c>
      <c r="D89">
        <v>12600</v>
      </c>
      <c r="E89">
        <f t="shared" si="3"/>
        <v>0</v>
      </c>
      <c r="F89">
        <f t="shared" si="4"/>
        <v>0</v>
      </c>
      <c r="G89">
        <v>12600</v>
      </c>
      <c r="H89" s="434">
        <f t="shared" si="5"/>
        <v>4.680074212605371E-3</v>
      </c>
    </row>
    <row r="90" spans="2:8" hidden="1">
      <c r="B90" s="1808" t="s">
        <v>1328</v>
      </c>
      <c r="C90" t="s">
        <v>1329</v>
      </c>
      <c r="D90">
        <v>1000</v>
      </c>
      <c r="E90">
        <f t="shared" si="3"/>
        <v>0</v>
      </c>
      <c r="F90">
        <f t="shared" si="4"/>
        <v>0</v>
      </c>
      <c r="G90">
        <v>1000</v>
      </c>
      <c r="H90" s="434">
        <f t="shared" si="5"/>
        <v>3.7143446131788664E-4</v>
      </c>
    </row>
    <row r="91" spans="2:8" hidden="1">
      <c r="B91" s="1808" t="s">
        <v>1330</v>
      </c>
      <c r="C91" t="s">
        <v>1331</v>
      </c>
      <c r="D91">
        <v>1000</v>
      </c>
      <c r="E91">
        <f t="shared" si="3"/>
        <v>0</v>
      </c>
      <c r="F91">
        <f t="shared" si="4"/>
        <v>0</v>
      </c>
      <c r="G91">
        <v>1000</v>
      </c>
      <c r="H91" s="434">
        <f t="shared" si="5"/>
        <v>3.7143446131788664E-4</v>
      </c>
    </row>
    <row r="92" spans="2:8" hidden="1">
      <c r="B92" s="1808" t="s">
        <v>1332</v>
      </c>
      <c r="C92" t="s">
        <v>1333</v>
      </c>
      <c r="D92">
        <v>500</v>
      </c>
      <c r="E92">
        <f t="shared" si="3"/>
        <v>0</v>
      </c>
      <c r="F92">
        <f t="shared" si="4"/>
        <v>0</v>
      </c>
      <c r="G92">
        <v>500</v>
      </c>
      <c r="H92" s="434">
        <f t="shared" si="5"/>
        <v>1.8571723065894332E-4</v>
      </c>
    </row>
    <row r="93" spans="2:8" hidden="1">
      <c r="B93" s="1808" t="s">
        <v>1334</v>
      </c>
      <c r="C93" t="s">
        <v>1335</v>
      </c>
      <c r="D93">
        <v>1000</v>
      </c>
      <c r="E93">
        <f t="shared" si="3"/>
        <v>0</v>
      </c>
      <c r="F93">
        <f t="shared" si="4"/>
        <v>0</v>
      </c>
      <c r="G93">
        <v>1000</v>
      </c>
      <c r="H93" s="434">
        <f t="shared" si="5"/>
        <v>3.7143446131788664E-4</v>
      </c>
    </row>
    <row r="94" spans="2:8" hidden="1">
      <c r="B94" s="1808" t="s">
        <v>1336</v>
      </c>
      <c r="C94" t="s">
        <v>1337</v>
      </c>
      <c r="D94">
        <v>1000</v>
      </c>
      <c r="E94">
        <f t="shared" si="3"/>
        <v>0</v>
      </c>
      <c r="F94">
        <f t="shared" si="4"/>
        <v>0</v>
      </c>
      <c r="G94">
        <v>1000</v>
      </c>
      <c r="H94" s="434">
        <f t="shared" si="5"/>
        <v>3.7143446131788664E-4</v>
      </c>
    </row>
    <row r="95" spans="2:8" hidden="1">
      <c r="B95" s="1808" t="s">
        <v>1338</v>
      </c>
      <c r="C95" t="s">
        <v>1339</v>
      </c>
      <c r="D95">
        <v>1700</v>
      </c>
      <c r="E95">
        <f t="shared" si="3"/>
        <v>0</v>
      </c>
      <c r="F95">
        <f t="shared" si="4"/>
        <v>0</v>
      </c>
      <c r="G95">
        <v>1700</v>
      </c>
      <c r="H95" s="434">
        <f t="shared" si="5"/>
        <v>6.3143858424040725E-4</v>
      </c>
    </row>
    <row r="96" spans="2:8" hidden="1">
      <c r="B96" s="1808" t="s">
        <v>1340</v>
      </c>
      <c r="C96" t="s">
        <v>1341</v>
      </c>
      <c r="D96">
        <v>1700</v>
      </c>
      <c r="E96">
        <f t="shared" si="3"/>
        <v>0</v>
      </c>
      <c r="F96">
        <f t="shared" si="4"/>
        <v>0</v>
      </c>
      <c r="G96">
        <v>1700</v>
      </c>
      <c r="H96" s="434">
        <f t="shared" si="5"/>
        <v>6.3143858424040725E-4</v>
      </c>
    </row>
    <row r="97" spans="2:8" hidden="1">
      <c r="B97" s="1808" t="s">
        <v>1342</v>
      </c>
      <c r="C97" t="s">
        <v>1343</v>
      </c>
      <c r="D97">
        <v>1000</v>
      </c>
      <c r="E97">
        <f t="shared" si="3"/>
        <v>0</v>
      </c>
      <c r="F97">
        <f t="shared" si="4"/>
        <v>0</v>
      </c>
      <c r="G97">
        <v>1000</v>
      </c>
      <c r="H97" s="434">
        <f t="shared" si="5"/>
        <v>3.7143446131788664E-4</v>
      </c>
    </row>
    <row r="98" spans="2:8" hidden="1">
      <c r="B98" s="1808" t="s">
        <v>1344</v>
      </c>
      <c r="C98" t="s">
        <v>1345</v>
      </c>
      <c r="D98">
        <v>1000</v>
      </c>
      <c r="E98">
        <f t="shared" si="3"/>
        <v>0</v>
      </c>
      <c r="F98">
        <f t="shared" si="4"/>
        <v>0</v>
      </c>
      <c r="G98">
        <v>1000</v>
      </c>
      <c r="H98" s="434">
        <f t="shared" si="5"/>
        <v>3.7143446131788664E-4</v>
      </c>
    </row>
    <row r="99" spans="2:8" hidden="1">
      <c r="B99" s="1808" t="s">
        <v>1346</v>
      </c>
      <c r="C99" t="s">
        <v>1347</v>
      </c>
      <c r="D99">
        <v>500</v>
      </c>
      <c r="E99">
        <f t="shared" si="3"/>
        <v>0</v>
      </c>
      <c r="F99">
        <f t="shared" si="4"/>
        <v>0</v>
      </c>
      <c r="G99">
        <v>500</v>
      </c>
      <c r="H99" s="434">
        <f t="shared" si="5"/>
        <v>1.8571723065894332E-4</v>
      </c>
    </row>
    <row r="100" spans="2:8" hidden="1">
      <c r="B100" s="1808" t="s">
        <v>1348</v>
      </c>
      <c r="C100" t="s">
        <v>1349</v>
      </c>
      <c r="D100">
        <v>1000</v>
      </c>
      <c r="E100">
        <f t="shared" si="3"/>
        <v>0</v>
      </c>
      <c r="F100">
        <f t="shared" si="4"/>
        <v>0</v>
      </c>
      <c r="G100">
        <v>1000</v>
      </c>
      <c r="H100" s="434">
        <f t="shared" si="5"/>
        <v>3.7143446131788664E-4</v>
      </c>
    </row>
    <row r="101" spans="2:8" hidden="1">
      <c r="B101" s="1808" t="s">
        <v>1350</v>
      </c>
      <c r="C101" t="s">
        <v>1351</v>
      </c>
      <c r="D101">
        <v>1700</v>
      </c>
      <c r="E101">
        <f t="shared" si="3"/>
        <v>0</v>
      </c>
      <c r="F101">
        <f t="shared" si="4"/>
        <v>0</v>
      </c>
      <c r="G101">
        <v>1700</v>
      </c>
      <c r="H101" s="434">
        <f t="shared" si="5"/>
        <v>6.3143858424040725E-4</v>
      </c>
    </row>
    <row r="102" spans="2:8" hidden="1">
      <c r="B102" s="1808" t="s">
        <v>1352</v>
      </c>
      <c r="C102" t="s">
        <v>1353</v>
      </c>
      <c r="D102">
        <v>1000</v>
      </c>
      <c r="E102">
        <f t="shared" si="3"/>
        <v>0</v>
      </c>
      <c r="F102">
        <f t="shared" si="4"/>
        <v>0</v>
      </c>
      <c r="G102">
        <v>1000</v>
      </c>
      <c r="H102" s="434">
        <f t="shared" si="5"/>
        <v>3.7143446131788664E-4</v>
      </c>
    </row>
    <row r="103" spans="2:8" hidden="1">
      <c r="B103" s="1808" t="s">
        <v>1354</v>
      </c>
      <c r="C103" t="s">
        <v>1355</v>
      </c>
      <c r="D103">
        <v>500</v>
      </c>
      <c r="E103">
        <f t="shared" si="3"/>
        <v>0</v>
      </c>
      <c r="F103">
        <f t="shared" si="4"/>
        <v>0</v>
      </c>
      <c r="G103">
        <v>500</v>
      </c>
      <c r="H103" s="434">
        <f t="shared" si="5"/>
        <v>1.8571723065894332E-4</v>
      </c>
    </row>
    <row r="104" spans="2:8" hidden="1">
      <c r="B104" s="1808" t="s">
        <v>1356</v>
      </c>
      <c r="C104" t="s">
        <v>1357</v>
      </c>
      <c r="D104">
        <v>1000</v>
      </c>
      <c r="E104">
        <f t="shared" si="3"/>
        <v>0</v>
      </c>
      <c r="F104">
        <f t="shared" si="4"/>
        <v>0</v>
      </c>
      <c r="G104">
        <v>1000</v>
      </c>
      <c r="H104" s="434">
        <f t="shared" si="5"/>
        <v>3.7143446131788664E-4</v>
      </c>
    </row>
    <row r="105" spans="2:8" hidden="1">
      <c r="B105" s="1808" t="s">
        <v>1358</v>
      </c>
      <c r="C105" t="s">
        <v>1359</v>
      </c>
      <c r="D105">
        <v>1000</v>
      </c>
      <c r="E105">
        <f t="shared" si="3"/>
        <v>0</v>
      </c>
      <c r="F105">
        <f t="shared" si="4"/>
        <v>0</v>
      </c>
      <c r="G105">
        <v>1000</v>
      </c>
      <c r="H105" s="434">
        <f t="shared" si="5"/>
        <v>3.7143446131788664E-4</v>
      </c>
    </row>
    <row r="106" spans="2:8" hidden="1">
      <c r="B106" s="1808" t="s">
        <v>1360</v>
      </c>
      <c r="C106" t="s">
        <v>1361</v>
      </c>
      <c r="D106">
        <v>1000</v>
      </c>
      <c r="E106">
        <f t="shared" si="3"/>
        <v>0</v>
      </c>
      <c r="F106">
        <f t="shared" si="4"/>
        <v>0</v>
      </c>
      <c r="G106">
        <v>1000</v>
      </c>
      <c r="H106" s="434">
        <f t="shared" si="5"/>
        <v>3.7143446131788664E-4</v>
      </c>
    </row>
    <row r="107" spans="2:8" hidden="1">
      <c r="B107" s="1808" t="s">
        <v>1362</v>
      </c>
      <c r="C107" t="s">
        <v>1363</v>
      </c>
      <c r="D107">
        <v>1700</v>
      </c>
      <c r="E107">
        <f t="shared" si="3"/>
        <v>0</v>
      </c>
      <c r="F107">
        <f t="shared" si="4"/>
        <v>0</v>
      </c>
      <c r="G107">
        <v>1700</v>
      </c>
      <c r="H107" s="434">
        <f t="shared" si="5"/>
        <v>6.3143858424040725E-4</v>
      </c>
    </row>
    <row r="108" spans="2:8" hidden="1">
      <c r="B108" s="1808" t="s">
        <v>1364</v>
      </c>
      <c r="C108" t="s">
        <v>1365</v>
      </c>
      <c r="D108">
        <v>300</v>
      </c>
      <c r="E108">
        <f t="shared" si="3"/>
        <v>0</v>
      </c>
      <c r="F108">
        <f t="shared" si="4"/>
        <v>0</v>
      </c>
      <c r="G108">
        <v>300</v>
      </c>
      <c r="H108" s="434">
        <f t="shared" si="5"/>
        <v>1.1143033839536598E-4</v>
      </c>
    </row>
    <row r="109" spans="2:8" hidden="1">
      <c r="B109" s="1808" t="s">
        <v>1366</v>
      </c>
      <c r="C109" t="s">
        <v>1367</v>
      </c>
      <c r="D109">
        <v>5000</v>
      </c>
      <c r="E109">
        <f t="shared" si="3"/>
        <v>0</v>
      </c>
      <c r="F109">
        <f t="shared" si="4"/>
        <v>0</v>
      </c>
      <c r="G109">
        <v>5000</v>
      </c>
      <c r="H109" s="434">
        <f t="shared" si="5"/>
        <v>1.8571723065894331E-3</v>
      </c>
    </row>
    <row r="110" spans="2:8" hidden="1">
      <c r="B110" s="1808" t="s">
        <v>1368</v>
      </c>
      <c r="C110" t="s">
        <v>1369</v>
      </c>
      <c r="D110">
        <v>1000</v>
      </c>
      <c r="E110">
        <f t="shared" si="3"/>
        <v>0</v>
      </c>
      <c r="F110">
        <f t="shared" si="4"/>
        <v>0</v>
      </c>
      <c r="G110">
        <v>1000</v>
      </c>
      <c r="H110" s="434">
        <f t="shared" si="5"/>
        <v>3.7143446131788664E-4</v>
      </c>
    </row>
    <row r="111" spans="2:8" hidden="1">
      <c r="B111" s="1808" t="s">
        <v>1370</v>
      </c>
      <c r="C111" t="s">
        <v>1371</v>
      </c>
      <c r="D111">
        <v>500</v>
      </c>
      <c r="E111">
        <f t="shared" si="3"/>
        <v>0</v>
      </c>
      <c r="F111">
        <f t="shared" si="4"/>
        <v>0</v>
      </c>
      <c r="G111">
        <v>500</v>
      </c>
      <c r="H111" s="434">
        <f t="shared" si="5"/>
        <v>1.8571723065894332E-4</v>
      </c>
    </row>
    <row r="112" spans="2:8" hidden="1">
      <c r="B112" s="1808" t="s">
        <v>1372</v>
      </c>
      <c r="C112" t="s">
        <v>1373</v>
      </c>
      <c r="D112">
        <v>500</v>
      </c>
      <c r="E112">
        <f t="shared" si="3"/>
        <v>0</v>
      </c>
      <c r="F112">
        <f t="shared" si="4"/>
        <v>0</v>
      </c>
      <c r="G112">
        <v>500</v>
      </c>
      <c r="H112" s="434">
        <f t="shared" si="5"/>
        <v>1.8571723065894332E-4</v>
      </c>
    </row>
    <row r="113" spans="2:8" hidden="1">
      <c r="B113" s="1808" t="s">
        <v>1374</v>
      </c>
      <c r="C113" t="s">
        <v>1375</v>
      </c>
      <c r="D113">
        <v>1000</v>
      </c>
      <c r="E113">
        <f t="shared" si="3"/>
        <v>0</v>
      </c>
      <c r="F113">
        <f t="shared" si="4"/>
        <v>0</v>
      </c>
      <c r="G113">
        <v>1000</v>
      </c>
      <c r="H113" s="434">
        <f t="shared" si="5"/>
        <v>3.7143446131788664E-4</v>
      </c>
    </row>
    <row r="114" spans="2:8" hidden="1">
      <c r="B114" s="1808" t="s">
        <v>1376</v>
      </c>
      <c r="C114" t="s">
        <v>1377</v>
      </c>
      <c r="D114">
        <v>3000</v>
      </c>
      <c r="E114">
        <f t="shared" si="3"/>
        <v>0</v>
      </c>
      <c r="F114">
        <f t="shared" si="4"/>
        <v>0</v>
      </c>
      <c r="G114">
        <v>3000</v>
      </c>
      <c r="H114" s="434">
        <f t="shared" si="5"/>
        <v>1.1143033839536597E-3</v>
      </c>
    </row>
    <row r="115" spans="2:8" hidden="1">
      <c r="B115" s="1808" t="s">
        <v>1378</v>
      </c>
      <c r="C115" t="s">
        <v>1367</v>
      </c>
      <c r="D115">
        <v>1000</v>
      </c>
      <c r="E115">
        <f t="shared" si="3"/>
        <v>0</v>
      </c>
      <c r="F115">
        <f t="shared" si="4"/>
        <v>0</v>
      </c>
      <c r="G115">
        <v>1000</v>
      </c>
      <c r="H115" s="434">
        <f t="shared" si="5"/>
        <v>3.7143446131788664E-4</v>
      </c>
    </row>
    <row r="116" spans="2:8" hidden="1">
      <c r="B116" s="1808" t="s">
        <v>1379</v>
      </c>
      <c r="C116" t="s">
        <v>1380</v>
      </c>
      <c r="D116">
        <v>1000</v>
      </c>
      <c r="E116">
        <f t="shared" si="3"/>
        <v>0</v>
      </c>
      <c r="F116">
        <f t="shared" si="4"/>
        <v>0</v>
      </c>
      <c r="G116">
        <v>1000</v>
      </c>
      <c r="H116" s="434">
        <f t="shared" si="5"/>
        <v>3.7143446131788664E-4</v>
      </c>
    </row>
    <row r="117" spans="2:8" hidden="1">
      <c r="B117" s="1808" t="s">
        <v>1381</v>
      </c>
      <c r="C117" t="s">
        <v>1382</v>
      </c>
      <c r="D117">
        <v>1000</v>
      </c>
      <c r="E117">
        <f t="shared" si="3"/>
        <v>0</v>
      </c>
      <c r="F117">
        <f t="shared" si="4"/>
        <v>0</v>
      </c>
      <c r="G117">
        <v>1000</v>
      </c>
      <c r="H117" s="434">
        <f t="shared" si="5"/>
        <v>3.7143446131788664E-4</v>
      </c>
    </row>
    <row r="118" spans="2:8" hidden="1">
      <c r="B118" s="1808" t="s">
        <v>1383</v>
      </c>
      <c r="C118" t="s">
        <v>1384</v>
      </c>
      <c r="D118">
        <v>6900</v>
      </c>
      <c r="E118">
        <f t="shared" si="3"/>
        <v>0</v>
      </c>
      <c r="F118">
        <f t="shared" si="4"/>
        <v>0</v>
      </c>
      <c r="G118">
        <v>6900</v>
      </c>
      <c r="H118" s="434">
        <f t="shared" si="5"/>
        <v>2.5628977830934175E-3</v>
      </c>
    </row>
    <row r="119" spans="2:8" hidden="1">
      <c r="B119" s="1808" t="s">
        <v>1385</v>
      </c>
      <c r="C119" t="s">
        <v>1386</v>
      </c>
      <c r="D119">
        <v>600</v>
      </c>
      <c r="E119">
        <f t="shared" si="3"/>
        <v>0</v>
      </c>
      <c r="F119">
        <f t="shared" si="4"/>
        <v>0</v>
      </c>
      <c r="G119">
        <v>600</v>
      </c>
      <c r="H119" s="434">
        <f t="shared" si="5"/>
        <v>2.2286067679073195E-4</v>
      </c>
    </row>
    <row r="120" spans="2:8" hidden="1">
      <c r="B120" s="1808" t="s">
        <v>1387</v>
      </c>
      <c r="C120" t="s">
        <v>1388</v>
      </c>
      <c r="D120">
        <v>1700</v>
      </c>
      <c r="E120">
        <f t="shared" si="3"/>
        <v>0</v>
      </c>
      <c r="F120">
        <f t="shared" si="4"/>
        <v>0</v>
      </c>
      <c r="G120">
        <v>1700</v>
      </c>
      <c r="H120" s="434">
        <f t="shared" si="5"/>
        <v>6.3143858424040725E-4</v>
      </c>
    </row>
    <row r="121" spans="2:8" hidden="1">
      <c r="B121" s="1808" t="s">
        <v>1389</v>
      </c>
      <c r="C121" t="s">
        <v>1390</v>
      </c>
      <c r="D121">
        <v>500</v>
      </c>
      <c r="E121">
        <f t="shared" si="3"/>
        <v>0</v>
      </c>
      <c r="F121">
        <f t="shared" si="4"/>
        <v>0</v>
      </c>
      <c r="G121">
        <v>500</v>
      </c>
      <c r="H121" s="434">
        <f t="shared" si="5"/>
        <v>1.8571723065894332E-4</v>
      </c>
    </row>
    <row r="122" spans="2:8" hidden="1">
      <c r="B122" s="1808" t="s">
        <v>1391</v>
      </c>
      <c r="C122" t="s">
        <v>1392</v>
      </c>
      <c r="D122">
        <v>1000</v>
      </c>
      <c r="E122">
        <f t="shared" si="3"/>
        <v>0</v>
      </c>
      <c r="F122">
        <f t="shared" si="4"/>
        <v>0</v>
      </c>
      <c r="G122">
        <v>1000</v>
      </c>
      <c r="H122" s="434">
        <f t="shared" si="5"/>
        <v>3.7143446131788664E-4</v>
      </c>
    </row>
    <row r="123" spans="2:8" hidden="1">
      <c r="B123" s="1808" t="s">
        <v>1393</v>
      </c>
      <c r="C123" t="s">
        <v>1394</v>
      </c>
      <c r="D123">
        <v>1000</v>
      </c>
      <c r="E123">
        <f t="shared" si="3"/>
        <v>0</v>
      </c>
      <c r="F123">
        <f t="shared" si="4"/>
        <v>0</v>
      </c>
      <c r="G123">
        <v>1000</v>
      </c>
      <c r="H123" s="434">
        <f t="shared" si="5"/>
        <v>3.7143446131788664E-4</v>
      </c>
    </row>
    <row r="124" spans="2:8" hidden="1">
      <c r="B124" s="1808" t="s">
        <v>1395</v>
      </c>
      <c r="C124" t="s">
        <v>1396</v>
      </c>
      <c r="D124">
        <v>500</v>
      </c>
      <c r="E124">
        <f t="shared" si="3"/>
        <v>0</v>
      </c>
      <c r="F124">
        <f t="shared" si="4"/>
        <v>0</v>
      </c>
      <c r="G124">
        <v>500</v>
      </c>
      <c r="H124" s="434">
        <f t="shared" si="5"/>
        <v>1.8571723065894332E-4</v>
      </c>
    </row>
    <row r="125" spans="2:8" hidden="1">
      <c r="B125" s="1808" t="s">
        <v>1397</v>
      </c>
      <c r="C125" t="s">
        <v>1398</v>
      </c>
      <c r="D125">
        <v>1000</v>
      </c>
      <c r="E125">
        <f t="shared" si="3"/>
        <v>0</v>
      </c>
      <c r="F125">
        <f t="shared" si="4"/>
        <v>0</v>
      </c>
      <c r="G125">
        <v>1000</v>
      </c>
      <c r="H125" s="434">
        <f t="shared" si="5"/>
        <v>3.7143446131788664E-4</v>
      </c>
    </row>
    <row r="126" spans="2:8" hidden="1">
      <c r="B126" s="1808" t="s">
        <v>1399</v>
      </c>
      <c r="C126" t="s">
        <v>1400</v>
      </c>
      <c r="D126">
        <v>400</v>
      </c>
      <c r="E126">
        <f t="shared" si="3"/>
        <v>0</v>
      </c>
      <c r="F126">
        <f t="shared" si="4"/>
        <v>0</v>
      </c>
      <c r="G126">
        <v>400</v>
      </c>
      <c r="H126" s="434">
        <f t="shared" si="5"/>
        <v>1.4857378452715465E-4</v>
      </c>
    </row>
    <row r="127" spans="2:8" hidden="1">
      <c r="B127" s="1808" t="s">
        <v>1401</v>
      </c>
      <c r="C127" t="s">
        <v>1402</v>
      </c>
      <c r="D127">
        <v>2500</v>
      </c>
      <c r="E127">
        <f t="shared" si="3"/>
        <v>0</v>
      </c>
      <c r="F127">
        <f t="shared" si="4"/>
        <v>0</v>
      </c>
      <c r="G127">
        <v>2500</v>
      </c>
      <c r="H127" s="434">
        <f t="shared" si="5"/>
        <v>9.2858615329471656E-4</v>
      </c>
    </row>
    <row r="128" spans="2:8" hidden="1">
      <c r="B128" s="1808" t="s">
        <v>1403</v>
      </c>
      <c r="C128" t="s">
        <v>1404</v>
      </c>
      <c r="D128">
        <v>500</v>
      </c>
      <c r="E128">
        <f t="shared" si="3"/>
        <v>0</v>
      </c>
      <c r="F128">
        <f t="shared" si="4"/>
        <v>0</v>
      </c>
      <c r="G128">
        <v>500</v>
      </c>
      <c r="H128" s="434">
        <f t="shared" si="5"/>
        <v>1.8571723065894332E-4</v>
      </c>
    </row>
    <row r="129" spans="2:8" hidden="1">
      <c r="B129" s="1808" t="s">
        <v>1405</v>
      </c>
      <c r="C129" t="s">
        <v>1406</v>
      </c>
      <c r="D129">
        <v>1000</v>
      </c>
      <c r="E129">
        <f t="shared" si="3"/>
        <v>0</v>
      </c>
      <c r="F129">
        <f t="shared" si="4"/>
        <v>0</v>
      </c>
      <c r="G129">
        <v>1000</v>
      </c>
      <c r="H129" s="434">
        <f t="shared" si="5"/>
        <v>3.7143446131788664E-4</v>
      </c>
    </row>
    <row r="130" spans="2:8" hidden="1">
      <c r="B130" s="1808" t="s">
        <v>1407</v>
      </c>
      <c r="C130" t="s">
        <v>1408</v>
      </c>
      <c r="D130">
        <v>500</v>
      </c>
      <c r="E130">
        <f t="shared" si="3"/>
        <v>0</v>
      </c>
      <c r="F130">
        <f t="shared" si="4"/>
        <v>0</v>
      </c>
      <c r="G130">
        <v>500</v>
      </c>
      <c r="H130" s="434">
        <f t="shared" si="5"/>
        <v>1.8571723065894332E-4</v>
      </c>
    </row>
    <row r="131" spans="2:8" hidden="1">
      <c r="B131" s="1808" t="s">
        <v>1409</v>
      </c>
      <c r="C131" t="s">
        <v>1410</v>
      </c>
      <c r="D131">
        <v>1700</v>
      </c>
      <c r="E131">
        <f t="shared" si="3"/>
        <v>0</v>
      </c>
      <c r="F131">
        <f t="shared" si="4"/>
        <v>0</v>
      </c>
      <c r="G131">
        <v>1700</v>
      </c>
      <c r="H131" s="434">
        <f t="shared" si="5"/>
        <v>6.3143858424040725E-4</v>
      </c>
    </row>
    <row r="132" spans="2:8" hidden="1">
      <c r="B132" s="1808" t="s">
        <v>1411</v>
      </c>
      <c r="C132" t="s">
        <v>1412</v>
      </c>
      <c r="D132">
        <v>1000</v>
      </c>
      <c r="E132">
        <f t="shared" si="3"/>
        <v>0</v>
      </c>
      <c r="F132">
        <f t="shared" si="4"/>
        <v>0</v>
      </c>
      <c r="G132">
        <v>1000</v>
      </c>
      <c r="H132" s="434">
        <f t="shared" si="5"/>
        <v>3.7143446131788664E-4</v>
      </c>
    </row>
    <row r="133" spans="2:8" hidden="1">
      <c r="B133" s="1808" t="s">
        <v>1413</v>
      </c>
      <c r="C133" t="s">
        <v>1414</v>
      </c>
      <c r="D133">
        <v>1000</v>
      </c>
      <c r="E133">
        <f t="shared" ref="E133:E196" si="6">D133-G133</f>
        <v>0</v>
      </c>
      <c r="F133">
        <f t="shared" ref="F133:F196" si="7">G133-D133</f>
        <v>0</v>
      </c>
      <c r="G133">
        <v>1000</v>
      </c>
      <c r="H133" s="434">
        <f t="shared" ref="H133:H196" si="8">+G133/$G$409</f>
        <v>3.7143446131788664E-4</v>
      </c>
    </row>
    <row r="134" spans="2:8" hidden="1">
      <c r="B134" s="1808" t="s">
        <v>1417</v>
      </c>
      <c r="C134" t="s">
        <v>1418</v>
      </c>
      <c r="D134">
        <v>2500</v>
      </c>
      <c r="E134">
        <f t="shared" si="6"/>
        <v>0</v>
      </c>
      <c r="F134">
        <f t="shared" si="7"/>
        <v>0</v>
      </c>
      <c r="G134">
        <v>2500</v>
      </c>
      <c r="H134" s="434">
        <f t="shared" si="8"/>
        <v>9.2858615329471656E-4</v>
      </c>
    </row>
    <row r="135" spans="2:8" hidden="1">
      <c r="B135" s="1808" t="s">
        <v>1419</v>
      </c>
      <c r="C135" t="s">
        <v>1420</v>
      </c>
      <c r="D135">
        <v>500</v>
      </c>
      <c r="E135">
        <f t="shared" si="6"/>
        <v>0</v>
      </c>
      <c r="F135">
        <f t="shared" si="7"/>
        <v>0</v>
      </c>
      <c r="G135">
        <v>500</v>
      </c>
      <c r="H135" s="434">
        <f t="shared" si="8"/>
        <v>1.8571723065894332E-4</v>
      </c>
    </row>
    <row r="136" spans="2:8" hidden="1">
      <c r="B136" s="1808" t="s">
        <v>1421</v>
      </c>
      <c r="C136" t="s">
        <v>1422</v>
      </c>
      <c r="D136">
        <v>1150</v>
      </c>
      <c r="E136">
        <f t="shared" si="6"/>
        <v>0</v>
      </c>
      <c r="F136">
        <f t="shared" si="7"/>
        <v>0</v>
      </c>
      <c r="G136">
        <v>1150</v>
      </c>
      <c r="H136" s="434">
        <f t="shared" si="8"/>
        <v>4.2714963051556959E-4</v>
      </c>
    </row>
    <row r="137" spans="2:8" hidden="1">
      <c r="B137" s="1808" t="s">
        <v>1423</v>
      </c>
      <c r="C137" t="s">
        <v>1424</v>
      </c>
      <c r="D137">
        <v>1000</v>
      </c>
      <c r="E137">
        <f t="shared" si="6"/>
        <v>0</v>
      </c>
      <c r="F137">
        <f t="shared" si="7"/>
        <v>0</v>
      </c>
      <c r="G137">
        <v>1000</v>
      </c>
      <c r="H137" s="434">
        <f t="shared" si="8"/>
        <v>3.7143446131788664E-4</v>
      </c>
    </row>
    <row r="138" spans="2:8" hidden="1">
      <c r="B138" s="1808" t="s">
        <v>1425</v>
      </c>
      <c r="C138" t="s">
        <v>1426</v>
      </c>
      <c r="D138">
        <v>500</v>
      </c>
      <c r="E138">
        <f t="shared" si="6"/>
        <v>0</v>
      </c>
      <c r="F138">
        <f t="shared" si="7"/>
        <v>0</v>
      </c>
      <c r="G138">
        <v>500</v>
      </c>
      <c r="H138" s="434">
        <f t="shared" si="8"/>
        <v>1.8571723065894332E-4</v>
      </c>
    </row>
    <row r="139" spans="2:8" hidden="1">
      <c r="B139" s="1808" t="s">
        <v>1427</v>
      </c>
      <c r="C139" t="s">
        <v>1428</v>
      </c>
      <c r="D139">
        <v>1000</v>
      </c>
      <c r="E139">
        <f t="shared" si="6"/>
        <v>0</v>
      </c>
      <c r="F139">
        <f t="shared" si="7"/>
        <v>0</v>
      </c>
      <c r="G139">
        <v>1000</v>
      </c>
      <c r="H139" s="434">
        <f t="shared" si="8"/>
        <v>3.7143446131788664E-4</v>
      </c>
    </row>
    <row r="140" spans="2:8" hidden="1">
      <c r="B140" s="1808" t="s">
        <v>1429</v>
      </c>
      <c r="C140" t="s">
        <v>1430</v>
      </c>
      <c r="D140">
        <v>500</v>
      </c>
      <c r="E140">
        <f t="shared" si="6"/>
        <v>0</v>
      </c>
      <c r="F140">
        <f t="shared" si="7"/>
        <v>0</v>
      </c>
      <c r="G140">
        <v>500</v>
      </c>
      <c r="H140" s="434">
        <f t="shared" si="8"/>
        <v>1.8571723065894332E-4</v>
      </c>
    </row>
    <row r="141" spans="2:8" hidden="1">
      <c r="B141" s="1808" t="s">
        <v>1431</v>
      </c>
      <c r="C141" t="s">
        <v>1432</v>
      </c>
      <c r="D141">
        <v>500</v>
      </c>
      <c r="E141">
        <f t="shared" si="6"/>
        <v>0</v>
      </c>
      <c r="F141">
        <f t="shared" si="7"/>
        <v>0</v>
      </c>
      <c r="G141">
        <v>500</v>
      </c>
      <c r="H141" s="434">
        <f t="shared" si="8"/>
        <v>1.8571723065894332E-4</v>
      </c>
    </row>
    <row r="142" spans="2:8" hidden="1">
      <c r="B142" s="1808" t="s">
        <v>1433</v>
      </c>
      <c r="C142" t="s">
        <v>1434</v>
      </c>
      <c r="D142">
        <v>1000</v>
      </c>
      <c r="E142">
        <f t="shared" si="6"/>
        <v>0</v>
      </c>
      <c r="F142">
        <f t="shared" si="7"/>
        <v>0</v>
      </c>
      <c r="G142">
        <v>1000</v>
      </c>
      <c r="H142" s="434">
        <f t="shared" si="8"/>
        <v>3.7143446131788664E-4</v>
      </c>
    </row>
    <row r="143" spans="2:8" hidden="1">
      <c r="B143" s="1808" t="s">
        <v>1435</v>
      </c>
      <c r="C143" t="s">
        <v>1436</v>
      </c>
      <c r="D143">
        <v>500</v>
      </c>
      <c r="E143">
        <f t="shared" si="6"/>
        <v>0</v>
      </c>
      <c r="F143">
        <f t="shared" si="7"/>
        <v>0</v>
      </c>
      <c r="G143">
        <v>500</v>
      </c>
      <c r="H143" s="434">
        <f t="shared" si="8"/>
        <v>1.8571723065894332E-4</v>
      </c>
    </row>
    <row r="144" spans="2:8" hidden="1">
      <c r="B144" s="1808" t="s">
        <v>1437</v>
      </c>
      <c r="C144" t="s">
        <v>1438</v>
      </c>
      <c r="D144">
        <v>600</v>
      </c>
      <c r="E144">
        <f t="shared" si="6"/>
        <v>0</v>
      </c>
      <c r="F144">
        <f t="shared" si="7"/>
        <v>0</v>
      </c>
      <c r="G144">
        <v>600</v>
      </c>
      <c r="H144" s="434">
        <f t="shared" si="8"/>
        <v>2.2286067679073195E-4</v>
      </c>
    </row>
    <row r="145" spans="2:8" hidden="1">
      <c r="B145" s="1808" t="s">
        <v>1439</v>
      </c>
      <c r="C145" t="s">
        <v>1440</v>
      </c>
      <c r="D145">
        <v>1000</v>
      </c>
      <c r="E145">
        <f t="shared" si="6"/>
        <v>0</v>
      </c>
      <c r="F145">
        <f t="shared" si="7"/>
        <v>0</v>
      </c>
      <c r="G145">
        <v>1000</v>
      </c>
      <c r="H145" s="434">
        <f t="shared" si="8"/>
        <v>3.7143446131788664E-4</v>
      </c>
    </row>
    <row r="146" spans="2:8" hidden="1">
      <c r="B146" s="1808" t="s">
        <v>1441</v>
      </c>
      <c r="C146" t="s">
        <v>1442</v>
      </c>
      <c r="D146">
        <v>1000</v>
      </c>
      <c r="E146">
        <f t="shared" si="6"/>
        <v>0</v>
      </c>
      <c r="F146">
        <f t="shared" si="7"/>
        <v>0</v>
      </c>
      <c r="G146">
        <v>1000</v>
      </c>
      <c r="H146" s="434">
        <f t="shared" si="8"/>
        <v>3.7143446131788664E-4</v>
      </c>
    </row>
    <row r="147" spans="2:8" hidden="1">
      <c r="B147" s="1808" t="s">
        <v>1443</v>
      </c>
      <c r="C147" t="s">
        <v>1444</v>
      </c>
      <c r="D147">
        <v>1700</v>
      </c>
      <c r="E147">
        <f t="shared" si="6"/>
        <v>0</v>
      </c>
      <c r="F147">
        <f t="shared" si="7"/>
        <v>0</v>
      </c>
      <c r="G147">
        <v>1700</v>
      </c>
      <c r="H147" s="434">
        <f t="shared" si="8"/>
        <v>6.3143858424040725E-4</v>
      </c>
    </row>
    <row r="148" spans="2:8" hidden="1">
      <c r="B148" s="1808" t="s">
        <v>1445</v>
      </c>
      <c r="C148" t="s">
        <v>1446</v>
      </c>
      <c r="D148">
        <v>600</v>
      </c>
      <c r="E148">
        <f t="shared" si="6"/>
        <v>0</v>
      </c>
      <c r="F148">
        <f t="shared" si="7"/>
        <v>0</v>
      </c>
      <c r="G148">
        <v>600</v>
      </c>
      <c r="H148" s="434">
        <f t="shared" si="8"/>
        <v>2.2286067679073195E-4</v>
      </c>
    </row>
    <row r="149" spans="2:8" hidden="1">
      <c r="B149" s="1808" t="s">
        <v>1447</v>
      </c>
      <c r="C149" t="s">
        <v>1448</v>
      </c>
      <c r="D149">
        <v>500</v>
      </c>
      <c r="E149">
        <f t="shared" si="6"/>
        <v>0</v>
      </c>
      <c r="F149">
        <f t="shared" si="7"/>
        <v>0</v>
      </c>
      <c r="G149">
        <v>500</v>
      </c>
      <c r="H149" s="434">
        <f t="shared" si="8"/>
        <v>1.8571723065894332E-4</v>
      </c>
    </row>
    <row r="150" spans="2:8" hidden="1">
      <c r="B150" s="1808" t="s">
        <v>1449</v>
      </c>
      <c r="C150" t="s">
        <v>1450</v>
      </c>
      <c r="D150">
        <v>500</v>
      </c>
      <c r="E150">
        <f t="shared" si="6"/>
        <v>0</v>
      </c>
      <c r="F150">
        <f t="shared" si="7"/>
        <v>0</v>
      </c>
      <c r="G150">
        <v>500</v>
      </c>
      <c r="H150" s="434">
        <f t="shared" si="8"/>
        <v>1.8571723065894332E-4</v>
      </c>
    </row>
    <row r="151" spans="2:8" hidden="1">
      <c r="B151" s="1808" t="s">
        <v>1451</v>
      </c>
      <c r="C151" t="s">
        <v>1452</v>
      </c>
      <c r="D151">
        <v>1000</v>
      </c>
      <c r="E151">
        <f t="shared" si="6"/>
        <v>0</v>
      </c>
      <c r="F151">
        <f t="shared" si="7"/>
        <v>0</v>
      </c>
      <c r="G151">
        <v>1000</v>
      </c>
      <c r="H151" s="434">
        <f t="shared" si="8"/>
        <v>3.7143446131788664E-4</v>
      </c>
    </row>
    <row r="152" spans="2:8" hidden="1">
      <c r="B152" s="1808" t="s">
        <v>1453</v>
      </c>
      <c r="C152" t="s">
        <v>1454</v>
      </c>
      <c r="D152">
        <v>1000</v>
      </c>
      <c r="E152">
        <f t="shared" si="6"/>
        <v>0</v>
      </c>
      <c r="F152">
        <f t="shared" si="7"/>
        <v>0</v>
      </c>
      <c r="G152">
        <v>1000</v>
      </c>
      <c r="H152" s="434">
        <f t="shared" si="8"/>
        <v>3.7143446131788664E-4</v>
      </c>
    </row>
    <row r="153" spans="2:8" hidden="1">
      <c r="B153" s="1808" t="s">
        <v>1455</v>
      </c>
      <c r="C153" t="s">
        <v>1456</v>
      </c>
      <c r="D153">
        <v>1000</v>
      </c>
      <c r="E153">
        <f t="shared" si="6"/>
        <v>0</v>
      </c>
      <c r="F153">
        <f t="shared" si="7"/>
        <v>0</v>
      </c>
      <c r="G153">
        <v>1000</v>
      </c>
      <c r="H153" s="434">
        <f t="shared" si="8"/>
        <v>3.7143446131788664E-4</v>
      </c>
    </row>
    <row r="154" spans="2:8" hidden="1">
      <c r="B154" s="1808" t="s">
        <v>1457</v>
      </c>
      <c r="C154" t="s">
        <v>1458</v>
      </c>
      <c r="D154">
        <v>4200</v>
      </c>
      <c r="E154">
        <f t="shared" si="6"/>
        <v>0</v>
      </c>
      <c r="F154">
        <f t="shared" si="7"/>
        <v>0</v>
      </c>
      <c r="G154">
        <v>4200</v>
      </c>
      <c r="H154" s="434">
        <f t="shared" si="8"/>
        <v>1.5600247375351238E-3</v>
      </c>
    </row>
    <row r="155" spans="2:8" hidden="1">
      <c r="B155" s="1808" t="s">
        <v>1459</v>
      </c>
      <c r="C155" t="s">
        <v>1460</v>
      </c>
      <c r="D155">
        <v>1000</v>
      </c>
      <c r="E155">
        <f t="shared" si="6"/>
        <v>0</v>
      </c>
      <c r="F155">
        <f t="shared" si="7"/>
        <v>0</v>
      </c>
      <c r="G155">
        <v>1000</v>
      </c>
      <c r="H155" s="434">
        <f t="shared" si="8"/>
        <v>3.7143446131788664E-4</v>
      </c>
    </row>
    <row r="156" spans="2:8" hidden="1">
      <c r="B156" s="1808" t="s">
        <v>1461</v>
      </c>
      <c r="C156" t="s">
        <v>1462</v>
      </c>
      <c r="D156">
        <v>500</v>
      </c>
      <c r="E156">
        <f t="shared" si="6"/>
        <v>0</v>
      </c>
      <c r="F156">
        <f t="shared" si="7"/>
        <v>0</v>
      </c>
      <c r="G156">
        <v>500</v>
      </c>
      <c r="H156" s="434">
        <f t="shared" si="8"/>
        <v>1.8571723065894332E-4</v>
      </c>
    </row>
    <row r="157" spans="2:8" hidden="1">
      <c r="B157" s="1808" t="s">
        <v>1463</v>
      </c>
      <c r="C157" t="s">
        <v>1464</v>
      </c>
      <c r="D157">
        <v>1000</v>
      </c>
      <c r="E157">
        <f t="shared" si="6"/>
        <v>0</v>
      </c>
      <c r="F157">
        <f t="shared" si="7"/>
        <v>0</v>
      </c>
      <c r="G157">
        <v>1000</v>
      </c>
      <c r="H157" s="434">
        <f t="shared" si="8"/>
        <v>3.7143446131788664E-4</v>
      </c>
    </row>
    <row r="158" spans="2:8" hidden="1">
      <c r="B158" s="1808" t="s">
        <v>1465</v>
      </c>
      <c r="C158" t="s">
        <v>1466</v>
      </c>
      <c r="D158">
        <v>2500</v>
      </c>
      <c r="E158">
        <f t="shared" si="6"/>
        <v>0</v>
      </c>
      <c r="F158">
        <f t="shared" si="7"/>
        <v>0</v>
      </c>
      <c r="G158">
        <v>2500</v>
      </c>
      <c r="H158" s="434">
        <f t="shared" si="8"/>
        <v>9.2858615329471656E-4</v>
      </c>
    </row>
    <row r="159" spans="2:8" hidden="1">
      <c r="B159" s="1808" t="s">
        <v>1467</v>
      </c>
      <c r="C159" t="s">
        <v>1468</v>
      </c>
      <c r="D159">
        <v>3500</v>
      </c>
      <c r="E159">
        <f t="shared" si="6"/>
        <v>0</v>
      </c>
      <c r="F159">
        <f t="shared" si="7"/>
        <v>0</v>
      </c>
      <c r="G159">
        <v>3500</v>
      </c>
      <c r="H159" s="434">
        <f t="shared" si="8"/>
        <v>1.300020614612603E-3</v>
      </c>
    </row>
    <row r="160" spans="2:8" hidden="1">
      <c r="B160" s="1808" t="s">
        <v>1469</v>
      </c>
      <c r="C160" t="s">
        <v>1470</v>
      </c>
      <c r="D160">
        <v>1700</v>
      </c>
      <c r="E160">
        <f t="shared" si="6"/>
        <v>0</v>
      </c>
      <c r="F160">
        <f t="shared" si="7"/>
        <v>0</v>
      </c>
      <c r="G160">
        <v>1700</v>
      </c>
      <c r="H160" s="434">
        <f t="shared" si="8"/>
        <v>6.3143858424040725E-4</v>
      </c>
    </row>
    <row r="161" spans="1:8" hidden="1">
      <c r="B161" s="1808" t="s">
        <v>1471</v>
      </c>
      <c r="C161" t="s">
        <v>1472</v>
      </c>
      <c r="D161">
        <v>700</v>
      </c>
      <c r="E161">
        <f t="shared" si="6"/>
        <v>0</v>
      </c>
      <c r="F161">
        <f t="shared" si="7"/>
        <v>0</v>
      </c>
      <c r="G161">
        <v>700</v>
      </c>
      <c r="H161" s="434">
        <f t="shared" si="8"/>
        <v>2.6000412292252062E-4</v>
      </c>
    </row>
    <row r="162" spans="1:8">
      <c r="A162">
        <v>1</v>
      </c>
      <c r="B162" s="1808" t="s">
        <v>1178</v>
      </c>
      <c r="C162" t="s">
        <v>1179</v>
      </c>
      <c r="D162">
        <v>100</v>
      </c>
      <c r="E162">
        <f t="shared" si="6"/>
        <v>0</v>
      </c>
      <c r="F162">
        <f t="shared" si="7"/>
        <v>0</v>
      </c>
      <c r="G162">
        <v>100</v>
      </c>
      <c r="H162" s="434">
        <f t="shared" si="8"/>
        <v>3.7143446131788664E-5</v>
      </c>
    </row>
    <row r="163" spans="1:8" hidden="1">
      <c r="B163" s="1808" t="s">
        <v>2159</v>
      </c>
      <c r="C163" t="s">
        <v>2160</v>
      </c>
      <c r="D163">
        <v>1700</v>
      </c>
      <c r="E163">
        <f t="shared" si="6"/>
        <v>0</v>
      </c>
      <c r="F163">
        <f t="shared" si="7"/>
        <v>0</v>
      </c>
      <c r="G163">
        <v>1700</v>
      </c>
      <c r="H163" s="434">
        <f t="shared" si="8"/>
        <v>6.3143858424040725E-4</v>
      </c>
    </row>
    <row r="164" spans="1:8" hidden="1">
      <c r="B164" s="1808" t="s">
        <v>1473</v>
      </c>
      <c r="C164" t="s">
        <v>1474</v>
      </c>
      <c r="D164">
        <v>1000</v>
      </c>
      <c r="E164">
        <f t="shared" si="6"/>
        <v>0</v>
      </c>
      <c r="F164">
        <f t="shared" si="7"/>
        <v>0</v>
      </c>
      <c r="G164">
        <v>1000</v>
      </c>
      <c r="H164" s="434">
        <f t="shared" si="8"/>
        <v>3.7143446131788664E-4</v>
      </c>
    </row>
    <row r="165" spans="1:8" hidden="1">
      <c r="B165" s="1808" t="s">
        <v>1475</v>
      </c>
      <c r="C165" t="s">
        <v>1476</v>
      </c>
      <c r="D165">
        <v>1000</v>
      </c>
      <c r="E165">
        <f t="shared" si="6"/>
        <v>1000</v>
      </c>
      <c r="F165">
        <v>0</v>
      </c>
      <c r="G165">
        <v>0</v>
      </c>
      <c r="H165" s="434">
        <f t="shared" si="8"/>
        <v>0</v>
      </c>
    </row>
    <row r="166" spans="1:8" hidden="1">
      <c r="B166" s="1808" t="s">
        <v>3134</v>
      </c>
      <c r="C166" t="s">
        <v>3135</v>
      </c>
      <c r="D166">
        <v>0</v>
      </c>
      <c r="E166">
        <v>0</v>
      </c>
      <c r="F166">
        <f t="shared" si="7"/>
        <v>1000</v>
      </c>
      <c r="G166">
        <v>1000</v>
      </c>
      <c r="H166" s="434">
        <f t="shared" si="8"/>
        <v>3.7143446131788664E-4</v>
      </c>
    </row>
    <row r="167" spans="1:8" hidden="1">
      <c r="B167" s="1808" t="s">
        <v>1477</v>
      </c>
      <c r="C167" t="s">
        <v>1478</v>
      </c>
      <c r="D167">
        <v>1000</v>
      </c>
      <c r="E167">
        <f t="shared" si="6"/>
        <v>0</v>
      </c>
      <c r="F167">
        <f t="shared" si="7"/>
        <v>0</v>
      </c>
      <c r="G167">
        <v>1000</v>
      </c>
      <c r="H167" s="434">
        <f t="shared" si="8"/>
        <v>3.7143446131788664E-4</v>
      </c>
    </row>
    <row r="168" spans="1:8" hidden="1">
      <c r="B168" s="1808" t="s">
        <v>1479</v>
      </c>
      <c r="C168" t="s">
        <v>1480</v>
      </c>
      <c r="D168">
        <v>1000</v>
      </c>
      <c r="E168">
        <f t="shared" si="6"/>
        <v>0</v>
      </c>
      <c r="F168">
        <f t="shared" si="7"/>
        <v>0</v>
      </c>
      <c r="G168">
        <v>1000</v>
      </c>
      <c r="H168" s="434">
        <f t="shared" si="8"/>
        <v>3.7143446131788664E-4</v>
      </c>
    </row>
    <row r="169" spans="1:8" hidden="1">
      <c r="B169" s="1808" t="s">
        <v>1481</v>
      </c>
      <c r="C169" t="s">
        <v>1482</v>
      </c>
      <c r="D169">
        <v>500</v>
      </c>
      <c r="E169">
        <f t="shared" si="6"/>
        <v>0</v>
      </c>
      <c r="F169">
        <f t="shared" si="7"/>
        <v>0</v>
      </c>
      <c r="G169">
        <v>500</v>
      </c>
      <c r="H169" s="434">
        <f t="shared" si="8"/>
        <v>1.8571723065894332E-4</v>
      </c>
    </row>
    <row r="170" spans="1:8" hidden="1">
      <c r="B170" s="1808" t="s">
        <v>1485</v>
      </c>
      <c r="C170" t="s">
        <v>1486</v>
      </c>
      <c r="D170">
        <v>4200</v>
      </c>
      <c r="E170">
        <f t="shared" si="6"/>
        <v>0</v>
      </c>
      <c r="F170">
        <f t="shared" si="7"/>
        <v>0</v>
      </c>
      <c r="G170">
        <v>4200</v>
      </c>
      <c r="H170" s="434">
        <f t="shared" si="8"/>
        <v>1.5600247375351238E-3</v>
      </c>
    </row>
    <row r="171" spans="1:8" hidden="1">
      <c r="B171" s="1808" t="s">
        <v>1487</v>
      </c>
      <c r="C171" t="s">
        <v>1488</v>
      </c>
      <c r="D171">
        <v>1000</v>
      </c>
      <c r="E171">
        <f t="shared" si="6"/>
        <v>0</v>
      </c>
      <c r="F171">
        <f t="shared" si="7"/>
        <v>0</v>
      </c>
      <c r="G171">
        <v>1000</v>
      </c>
      <c r="H171" s="434">
        <f t="shared" si="8"/>
        <v>3.7143446131788664E-4</v>
      </c>
    </row>
    <row r="172" spans="1:8" hidden="1">
      <c r="B172" s="1808" t="s">
        <v>1489</v>
      </c>
      <c r="C172" t="s">
        <v>1490</v>
      </c>
      <c r="D172">
        <v>1600</v>
      </c>
      <c r="E172">
        <f t="shared" si="6"/>
        <v>0</v>
      </c>
      <c r="F172">
        <f t="shared" si="7"/>
        <v>0</v>
      </c>
      <c r="G172">
        <v>1600</v>
      </c>
      <c r="H172" s="434">
        <f t="shared" si="8"/>
        <v>5.9429513810861862E-4</v>
      </c>
    </row>
    <row r="173" spans="1:8" hidden="1">
      <c r="B173" s="1808" t="s">
        <v>1491</v>
      </c>
      <c r="C173" t="s">
        <v>1492</v>
      </c>
      <c r="D173">
        <v>200</v>
      </c>
      <c r="E173">
        <f t="shared" si="6"/>
        <v>0</v>
      </c>
      <c r="F173">
        <f t="shared" si="7"/>
        <v>0</v>
      </c>
      <c r="G173">
        <v>200</v>
      </c>
      <c r="H173" s="434">
        <f t="shared" si="8"/>
        <v>7.4286892263577327E-5</v>
      </c>
    </row>
    <row r="174" spans="1:8" hidden="1">
      <c r="B174" s="1808" t="s">
        <v>1493</v>
      </c>
      <c r="C174" t="s">
        <v>1494</v>
      </c>
      <c r="D174">
        <v>500</v>
      </c>
      <c r="E174">
        <f t="shared" si="6"/>
        <v>0</v>
      </c>
      <c r="F174">
        <f t="shared" si="7"/>
        <v>0</v>
      </c>
      <c r="G174">
        <v>500</v>
      </c>
      <c r="H174" s="434">
        <f t="shared" si="8"/>
        <v>1.8571723065894332E-4</v>
      </c>
    </row>
    <row r="175" spans="1:8" hidden="1">
      <c r="B175" s="1808" t="s">
        <v>1496</v>
      </c>
      <c r="C175" t="s">
        <v>1497</v>
      </c>
      <c r="D175">
        <v>500</v>
      </c>
      <c r="E175">
        <f t="shared" si="6"/>
        <v>0</v>
      </c>
      <c r="F175">
        <f t="shared" si="7"/>
        <v>0</v>
      </c>
      <c r="G175">
        <v>500</v>
      </c>
      <c r="H175" s="434">
        <f t="shared" si="8"/>
        <v>1.8571723065894332E-4</v>
      </c>
    </row>
    <row r="176" spans="1:8" hidden="1">
      <c r="B176" s="1808" t="s">
        <v>1498</v>
      </c>
      <c r="C176" t="s">
        <v>1499</v>
      </c>
      <c r="D176">
        <v>5000</v>
      </c>
      <c r="E176">
        <f t="shared" si="6"/>
        <v>0</v>
      </c>
      <c r="F176">
        <f t="shared" si="7"/>
        <v>0</v>
      </c>
      <c r="G176">
        <v>5000</v>
      </c>
      <c r="H176" s="434">
        <f t="shared" si="8"/>
        <v>1.8571723065894331E-3</v>
      </c>
    </row>
    <row r="177" spans="1:10" hidden="1">
      <c r="A177">
        <v>1</v>
      </c>
      <c r="B177" s="1808" t="s">
        <v>1180</v>
      </c>
      <c r="C177" t="s">
        <v>1181</v>
      </c>
      <c r="D177">
        <v>267360</v>
      </c>
      <c r="E177">
        <v>0</v>
      </c>
      <c r="F177">
        <f t="shared" si="7"/>
        <v>1500</v>
      </c>
      <c r="G177">
        <v>268860</v>
      </c>
      <c r="H177" s="434">
        <f t="shared" si="8"/>
        <v>9.9863869269926991E-2</v>
      </c>
      <c r="I177" s="434">
        <f t="shared" ref="I177:I179" si="9">+D177/$D$409</f>
        <v>9.9306717577950163E-2</v>
      </c>
      <c r="J177">
        <f>142000/267360</f>
        <v>0.53111909036505089</v>
      </c>
    </row>
    <row r="178" spans="1:10" hidden="1">
      <c r="B178" s="1808" t="s">
        <v>1500</v>
      </c>
      <c r="C178" t="s">
        <v>1501</v>
      </c>
      <c r="D178">
        <v>224905</v>
      </c>
      <c r="E178">
        <f t="shared" si="6"/>
        <v>0</v>
      </c>
      <c r="F178">
        <f t="shared" si="7"/>
        <v>0</v>
      </c>
      <c r="G178">
        <v>224905</v>
      </c>
      <c r="H178" s="434">
        <f t="shared" si="8"/>
        <v>8.3537467522699291E-2</v>
      </c>
      <c r="I178" s="434">
        <f t="shared" si="9"/>
        <v>8.3537467522699291E-2</v>
      </c>
    </row>
    <row r="179" spans="1:10" hidden="1">
      <c r="B179" s="1808" t="s">
        <v>1502</v>
      </c>
      <c r="C179" t="s">
        <v>1503</v>
      </c>
      <c r="D179">
        <v>150945</v>
      </c>
      <c r="E179">
        <f t="shared" si="6"/>
        <v>0</v>
      </c>
      <c r="F179">
        <f t="shared" si="7"/>
        <v>0</v>
      </c>
      <c r="G179">
        <v>150945</v>
      </c>
      <c r="H179" s="434">
        <f t="shared" si="8"/>
        <v>5.6066174763628393E-2</v>
      </c>
      <c r="I179" s="434">
        <f t="shared" si="9"/>
        <v>5.6066174763628393E-2</v>
      </c>
    </row>
    <row r="180" spans="1:10" hidden="1">
      <c r="B180" s="1808" t="s">
        <v>1504</v>
      </c>
      <c r="C180" t="s">
        <v>1505</v>
      </c>
      <c r="D180">
        <v>111800</v>
      </c>
      <c r="E180">
        <f t="shared" si="6"/>
        <v>111800</v>
      </c>
      <c r="F180">
        <v>0</v>
      </c>
      <c r="G180">
        <v>0</v>
      </c>
      <c r="H180" s="434">
        <f t="shared" si="8"/>
        <v>0</v>
      </c>
    </row>
    <row r="181" spans="1:10" hidden="1">
      <c r="B181" s="1808" t="s">
        <v>1506</v>
      </c>
      <c r="C181" t="s">
        <v>1507</v>
      </c>
      <c r="D181">
        <v>800</v>
      </c>
      <c r="E181">
        <f t="shared" si="6"/>
        <v>0</v>
      </c>
      <c r="F181">
        <f t="shared" si="7"/>
        <v>0</v>
      </c>
      <c r="G181">
        <v>800</v>
      </c>
      <c r="H181" s="434">
        <f t="shared" si="8"/>
        <v>2.9714756905430931E-4</v>
      </c>
    </row>
    <row r="182" spans="1:10" hidden="1">
      <c r="B182" s="1808" t="s">
        <v>1508</v>
      </c>
      <c r="C182" t="s">
        <v>1509</v>
      </c>
      <c r="D182">
        <v>6000</v>
      </c>
      <c r="E182">
        <f t="shared" si="6"/>
        <v>6000</v>
      </c>
      <c r="F182">
        <v>0</v>
      </c>
      <c r="G182">
        <v>0</v>
      </c>
      <c r="H182" s="434">
        <f t="shared" si="8"/>
        <v>0</v>
      </c>
    </row>
    <row r="183" spans="1:10" hidden="1">
      <c r="B183" s="1808" t="s">
        <v>2161</v>
      </c>
      <c r="C183" t="s">
        <v>2162</v>
      </c>
      <c r="D183">
        <v>1500</v>
      </c>
      <c r="E183">
        <f t="shared" si="6"/>
        <v>1500</v>
      </c>
      <c r="F183">
        <v>0</v>
      </c>
      <c r="G183">
        <v>0</v>
      </c>
      <c r="H183" s="434">
        <f t="shared" si="8"/>
        <v>0</v>
      </c>
    </row>
    <row r="184" spans="1:10" hidden="1">
      <c r="B184" s="1808" t="s">
        <v>2163</v>
      </c>
      <c r="C184" t="s">
        <v>1242</v>
      </c>
      <c r="D184">
        <v>500</v>
      </c>
      <c r="E184">
        <f t="shared" si="6"/>
        <v>0</v>
      </c>
      <c r="F184">
        <f t="shared" si="7"/>
        <v>0</v>
      </c>
      <c r="G184">
        <v>500</v>
      </c>
      <c r="H184" s="434">
        <f t="shared" si="8"/>
        <v>1.8571723065894332E-4</v>
      </c>
    </row>
    <row r="185" spans="1:10" hidden="1">
      <c r="B185" s="1808" t="s">
        <v>1510</v>
      </c>
      <c r="C185" t="s">
        <v>1511</v>
      </c>
      <c r="D185">
        <v>600</v>
      </c>
      <c r="E185">
        <f t="shared" si="6"/>
        <v>0</v>
      </c>
      <c r="F185">
        <f t="shared" si="7"/>
        <v>0</v>
      </c>
      <c r="G185">
        <v>600</v>
      </c>
      <c r="H185" s="434">
        <f t="shared" si="8"/>
        <v>2.2286067679073195E-4</v>
      </c>
    </row>
    <row r="186" spans="1:10" hidden="1">
      <c r="B186" s="1808" t="s">
        <v>1512</v>
      </c>
      <c r="C186" t="s">
        <v>1513</v>
      </c>
      <c r="D186">
        <v>500</v>
      </c>
      <c r="E186">
        <f t="shared" si="6"/>
        <v>0</v>
      </c>
      <c r="F186">
        <f t="shared" si="7"/>
        <v>0</v>
      </c>
      <c r="G186">
        <v>500</v>
      </c>
      <c r="H186" s="434">
        <f t="shared" si="8"/>
        <v>1.8571723065894332E-4</v>
      </c>
    </row>
    <row r="187" spans="1:10" hidden="1">
      <c r="B187" s="1808" t="s">
        <v>1514</v>
      </c>
      <c r="C187" t="s">
        <v>3136</v>
      </c>
      <c r="D187">
        <v>1000</v>
      </c>
      <c r="E187">
        <f t="shared" si="6"/>
        <v>0</v>
      </c>
      <c r="F187">
        <f t="shared" si="7"/>
        <v>0</v>
      </c>
      <c r="G187">
        <v>1000</v>
      </c>
      <c r="H187" s="434">
        <f t="shared" si="8"/>
        <v>3.7143446131788664E-4</v>
      </c>
    </row>
    <row r="188" spans="1:10" hidden="1">
      <c r="B188" s="1808" t="s">
        <v>1516</v>
      </c>
      <c r="C188" t="s">
        <v>1517</v>
      </c>
      <c r="D188">
        <v>14200</v>
      </c>
      <c r="E188">
        <f t="shared" si="6"/>
        <v>0</v>
      </c>
      <c r="F188">
        <f t="shared" si="7"/>
        <v>0</v>
      </c>
      <c r="G188">
        <v>14200</v>
      </c>
      <c r="H188" s="434">
        <f t="shared" si="8"/>
        <v>5.2743693507139901E-3</v>
      </c>
    </row>
    <row r="189" spans="1:10" hidden="1">
      <c r="B189" s="1808" t="s">
        <v>3137</v>
      </c>
      <c r="C189" t="s">
        <v>3138</v>
      </c>
      <c r="D189">
        <v>0</v>
      </c>
      <c r="E189">
        <v>0</v>
      </c>
      <c r="F189">
        <f t="shared" si="7"/>
        <v>1000</v>
      </c>
      <c r="G189">
        <v>1000</v>
      </c>
      <c r="H189" s="434">
        <f t="shared" si="8"/>
        <v>3.7143446131788664E-4</v>
      </c>
    </row>
    <row r="190" spans="1:10" hidden="1">
      <c r="B190" s="1808" t="s">
        <v>2164</v>
      </c>
      <c r="C190" t="s">
        <v>2165</v>
      </c>
      <c r="D190">
        <v>1000</v>
      </c>
      <c r="E190">
        <f t="shared" si="6"/>
        <v>0</v>
      </c>
      <c r="F190">
        <f t="shared" si="7"/>
        <v>0</v>
      </c>
      <c r="G190">
        <v>1000</v>
      </c>
      <c r="H190" s="434">
        <f t="shared" si="8"/>
        <v>3.7143446131788664E-4</v>
      </c>
    </row>
    <row r="191" spans="1:10" hidden="1">
      <c r="B191" s="1808" t="s">
        <v>2166</v>
      </c>
      <c r="C191" t="s">
        <v>2167</v>
      </c>
      <c r="D191">
        <v>2000</v>
      </c>
      <c r="E191">
        <f t="shared" si="6"/>
        <v>0</v>
      </c>
      <c r="F191">
        <f t="shared" si="7"/>
        <v>0</v>
      </c>
      <c r="G191">
        <v>2000</v>
      </c>
      <c r="H191" s="434">
        <f t="shared" si="8"/>
        <v>7.4286892263577327E-4</v>
      </c>
    </row>
    <row r="192" spans="1:10" hidden="1">
      <c r="B192" s="1808" t="s">
        <v>1520</v>
      </c>
      <c r="C192" t="s">
        <v>1521</v>
      </c>
      <c r="D192">
        <v>500</v>
      </c>
      <c r="E192">
        <f t="shared" si="6"/>
        <v>0</v>
      </c>
      <c r="F192">
        <f t="shared" si="7"/>
        <v>0</v>
      </c>
      <c r="G192">
        <v>500</v>
      </c>
      <c r="H192" s="434">
        <f t="shared" si="8"/>
        <v>1.8571723065894332E-4</v>
      </c>
    </row>
    <row r="193" spans="1:8" hidden="1">
      <c r="B193" s="1808" t="s">
        <v>1522</v>
      </c>
      <c r="C193" t="s">
        <v>1523</v>
      </c>
      <c r="D193">
        <v>10000</v>
      </c>
      <c r="E193">
        <f t="shared" si="6"/>
        <v>0</v>
      </c>
      <c r="F193">
        <f t="shared" si="7"/>
        <v>0</v>
      </c>
      <c r="G193">
        <v>10000</v>
      </c>
      <c r="H193" s="434">
        <f t="shared" si="8"/>
        <v>3.7143446131788663E-3</v>
      </c>
    </row>
    <row r="194" spans="1:8" hidden="1">
      <c r="B194" s="1808" t="s">
        <v>1524</v>
      </c>
      <c r="C194" t="s">
        <v>1525</v>
      </c>
      <c r="D194">
        <v>35000</v>
      </c>
      <c r="E194">
        <f t="shared" si="6"/>
        <v>0</v>
      </c>
      <c r="F194">
        <f t="shared" si="7"/>
        <v>0</v>
      </c>
      <c r="G194">
        <v>35000</v>
      </c>
      <c r="H194" s="434">
        <f t="shared" si="8"/>
        <v>1.3000206146126032E-2</v>
      </c>
    </row>
    <row r="195" spans="1:8" hidden="1">
      <c r="B195" s="1808" t="s">
        <v>1526</v>
      </c>
      <c r="C195" t="s">
        <v>1527</v>
      </c>
      <c r="D195">
        <v>5000</v>
      </c>
      <c r="E195">
        <f t="shared" si="6"/>
        <v>0</v>
      </c>
      <c r="F195">
        <f t="shared" si="7"/>
        <v>0</v>
      </c>
      <c r="G195">
        <v>5000</v>
      </c>
      <c r="H195" s="434">
        <f t="shared" si="8"/>
        <v>1.8571723065894331E-3</v>
      </c>
    </row>
    <row r="196" spans="1:8" hidden="1">
      <c r="B196" s="1808" t="s">
        <v>1528</v>
      </c>
      <c r="C196" t="s">
        <v>1523</v>
      </c>
      <c r="D196">
        <v>2500</v>
      </c>
      <c r="E196">
        <f t="shared" si="6"/>
        <v>0</v>
      </c>
      <c r="F196">
        <f t="shared" si="7"/>
        <v>0</v>
      </c>
      <c r="G196">
        <v>2500</v>
      </c>
      <c r="H196" s="434">
        <f t="shared" si="8"/>
        <v>9.2858615329471656E-4</v>
      </c>
    </row>
    <row r="197" spans="1:8" hidden="1">
      <c r="B197" s="1808" t="s">
        <v>1529</v>
      </c>
      <c r="C197" t="s">
        <v>1523</v>
      </c>
      <c r="D197">
        <v>2500</v>
      </c>
      <c r="E197">
        <f t="shared" ref="E197:E260" si="10">D197-G197</f>
        <v>0</v>
      </c>
      <c r="F197">
        <f t="shared" ref="F197:F260" si="11">G197-D197</f>
        <v>0</v>
      </c>
      <c r="G197">
        <v>2500</v>
      </c>
      <c r="H197" s="434">
        <f t="shared" ref="H197:H260" si="12">+G197/$G$409</f>
        <v>9.2858615329471656E-4</v>
      </c>
    </row>
    <row r="198" spans="1:8" hidden="1">
      <c r="B198" s="1808" t="s">
        <v>1530</v>
      </c>
      <c r="C198" t="s">
        <v>1525</v>
      </c>
      <c r="D198">
        <v>1000</v>
      </c>
      <c r="E198">
        <f t="shared" si="10"/>
        <v>0</v>
      </c>
      <c r="F198">
        <f t="shared" si="11"/>
        <v>0</v>
      </c>
      <c r="G198">
        <v>1000</v>
      </c>
      <c r="H198" s="434">
        <f t="shared" si="12"/>
        <v>3.7143446131788664E-4</v>
      </c>
    </row>
    <row r="199" spans="1:8" hidden="1">
      <c r="B199" s="1808" t="s">
        <v>1531</v>
      </c>
      <c r="C199" t="s">
        <v>1532</v>
      </c>
      <c r="D199">
        <v>3000</v>
      </c>
      <c r="E199">
        <f t="shared" si="10"/>
        <v>0</v>
      </c>
      <c r="F199">
        <f t="shared" si="11"/>
        <v>0</v>
      </c>
      <c r="G199">
        <v>3000</v>
      </c>
      <c r="H199" s="434">
        <f t="shared" si="12"/>
        <v>1.1143033839536597E-3</v>
      </c>
    </row>
    <row r="200" spans="1:8" hidden="1">
      <c r="B200" s="1808" t="s">
        <v>1533</v>
      </c>
      <c r="C200" t="s">
        <v>1534</v>
      </c>
      <c r="D200">
        <v>1000</v>
      </c>
      <c r="E200">
        <f t="shared" si="10"/>
        <v>0</v>
      </c>
      <c r="F200">
        <f t="shared" si="11"/>
        <v>0</v>
      </c>
      <c r="G200">
        <v>1000</v>
      </c>
      <c r="H200" s="434">
        <f t="shared" si="12"/>
        <v>3.7143446131788664E-4</v>
      </c>
    </row>
    <row r="201" spans="1:8" hidden="1">
      <c r="A201">
        <v>1</v>
      </c>
      <c r="B201" s="1808" t="s">
        <v>1182</v>
      </c>
      <c r="C201" t="s">
        <v>1183</v>
      </c>
      <c r="D201">
        <v>1000</v>
      </c>
      <c r="E201">
        <f t="shared" si="10"/>
        <v>0</v>
      </c>
      <c r="F201">
        <f t="shared" si="11"/>
        <v>0</v>
      </c>
      <c r="G201">
        <v>1000</v>
      </c>
      <c r="H201" s="434">
        <f t="shared" si="12"/>
        <v>3.7143446131788664E-4</v>
      </c>
    </row>
    <row r="202" spans="1:8" hidden="1">
      <c r="B202" s="1808" t="s">
        <v>1535</v>
      </c>
      <c r="C202" t="s">
        <v>1536</v>
      </c>
      <c r="D202">
        <v>3300</v>
      </c>
      <c r="E202">
        <f t="shared" si="10"/>
        <v>0</v>
      </c>
      <c r="F202">
        <f t="shared" si="11"/>
        <v>0</v>
      </c>
      <c r="G202">
        <v>3300</v>
      </c>
      <c r="H202" s="434">
        <f t="shared" si="12"/>
        <v>1.2257337223490258E-3</v>
      </c>
    </row>
    <row r="203" spans="1:8" hidden="1">
      <c r="B203" s="1808" t="s">
        <v>1537</v>
      </c>
      <c r="C203" t="s">
        <v>1538</v>
      </c>
      <c r="D203">
        <v>1000</v>
      </c>
      <c r="E203">
        <f t="shared" si="10"/>
        <v>0</v>
      </c>
      <c r="F203">
        <f t="shared" si="11"/>
        <v>0</v>
      </c>
      <c r="G203">
        <v>1000</v>
      </c>
      <c r="H203" s="434">
        <f t="shared" si="12"/>
        <v>3.7143446131788664E-4</v>
      </c>
    </row>
    <row r="204" spans="1:8" hidden="1">
      <c r="B204" s="1808" t="s">
        <v>1539</v>
      </c>
      <c r="C204" t="s">
        <v>1540</v>
      </c>
      <c r="D204">
        <v>1000</v>
      </c>
      <c r="E204">
        <f t="shared" si="10"/>
        <v>0</v>
      </c>
      <c r="F204">
        <f t="shared" si="11"/>
        <v>0</v>
      </c>
      <c r="G204">
        <v>1000</v>
      </c>
      <c r="H204" s="434">
        <f t="shared" si="12"/>
        <v>3.7143446131788664E-4</v>
      </c>
    </row>
    <row r="205" spans="1:8" hidden="1">
      <c r="B205" s="1808" t="s">
        <v>1541</v>
      </c>
      <c r="C205" t="s">
        <v>1542</v>
      </c>
      <c r="D205">
        <v>500</v>
      </c>
      <c r="E205">
        <f t="shared" si="10"/>
        <v>0</v>
      </c>
      <c r="F205">
        <f t="shared" si="11"/>
        <v>0</v>
      </c>
      <c r="G205">
        <v>500</v>
      </c>
      <c r="H205" s="434">
        <f t="shared" si="12"/>
        <v>1.8571723065894332E-4</v>
      </c>
    </row>
    <row r="206" spans="1:8" hidden="1">
      <c r="B206" s="1808" t="s">
        <v>1543</v>
      </c>
      <c r="C206" t="s">
        <v>1544</v>
      </c>
      <c r="D206">
        <v>1000</v>
      </c>
      <c r="E206">
        <f t="shared" si="10"/>
        <v>0</v>
      </c>
      <c r="F206">
        <f t="shared" si="11"/>
        <v>0</v>
      </c>
      <c r="G206">
        <v>1000</v>
      </c>
      <c r="H206" s="434">
        <f t="shared" si="12"/>
        <v>3.7143446131788664E-4</v>
      </c>
    </row>
    <row r="207" spans="1:8" hidden="1">
      <c r="B207" s="1808" t="s">
        <v>1545</v>
      </c>
      <c r="C207" t="s">
        <v>1546</v>
      </c>
      <c r="D207">
        <v>7705</v>
      </c>
      <c r="E207">
        <f t="shared" si="10"/>
        <v>0</v>
      </c>
      <c r="F207">
        <f t="shared" si="11"/>
        <v>0</v>
      </c>
      <c r="G207">
        <v>7705</v>
      </c>
      <c r="H207" s="434">
        <f t="shared" si="12"/>
        <v>2.8619025244543163E-3</v>
      </c>
    </row>
    <row r="208" spans="1:8" hidden="1">
      <c r="B208" s="1808" t="s">
        <v>1547</v>
      </c>
      <c r="C208" t="s">
        <v>1548</v>
      </c>
      <c r="D208">
        <v>1000</v>
      </c>
      <c r="E208">
        <f t="shared" si="10"/>
        <v>0</v>
      </c>
      <c r="F208">
        <f t="shared" si="11"/>
        <v>0</v>
      </c>
      <c r="G208">
        <v>1000</v>
      </c>
      <c r="H208" s="434">
        <f t="shared" si="12"/>
        <v>3.7143446131788664E-4</v>
      </c>
    </row>
    <row r="209" spans="2:8" hidden="1">
      <c r="B209" s="1808" t="s">
        <v>1549</v>
      </c>
      <c r="C209" t="s">
        <v>1550</v>
      </c>
      <c r="D209">
        <v>10000</v>
      </c>
      <c r="E209">
        <f t="shared" si="10"/>
        <v>0</v>
      </c>
      <c r="F209">
        <f t="shared" si="11"/>
        <v>0</v>
      </c>
      <c r="G209">
        <v>10000</v>
      </c>
      <c r="H209" s="434">
        <f t="shared" si="12"/>
        <v>3.7143446131788663E-3</v>
      </c>
    </row>
    <row r="210" spans="2:8" hidden="1">
      <c r="B210" s="1808" t="s">
        <v>1551</v>
      </c>
      <c r="C210" t="s">
        <v>1552</v>
      </c>
      <c r="D210">
        <v>500</v>
      </c>
      <c r="E210">
        <f t="shared" si="10"/>
        <v>0</v>
      </c>
      <c r="F210">
        <f t="shared" si="11"/>
        <v>0</v>
      </c>
      <c r="G210">
        <v>500</v>
      </c>
      <c r="H210" s="434">
        <f t="shared" si="12"/>
        <v>1.8571723065894332E-4</v>
      </c>
    </row>
    <row r="211" spans="2:8" hidden="1">
      <c r="B211" s="1808" t="s">
        <v>1553</v>
      </c>
      <c r="C211" t="s">
        <v>1554</v>
      </c>
      <c r="D211">
        <v>575</v>
      </c>
      <c r="E211">
        <f t="shared" si="10"/>
        <v>0</v>
      </c>
      <c r="F211">
        <f t="shared" si="11"/>
        <v>0</v>
      </c>
      <c r="G211">
        <v>575</v>
      </c>
      <c r="H211" s="434">
        <f t="shared" si="12"/>
        <v>2.135748152577848E-4</v>
      </c>
    </row>
    <row r="212" spans="2:8" hidden="1">
      <c r="B212" s="1808" t="s">
        <v>1555</v>
      </c>
      <c r="C212" t="s">
        <v>1556</v>
      </c>
      <c r="D212">
        <v>17700</v>
      </c>
      <c r="E212">
        <f t="shared" si="10"/>
        <v>0</v>
      </c>
      <c r="F212">
        <f t="shared" si="11"/>
        <v>0</v>
      </c>
      <c r="G212">
        <v>17700</v>
      </c>
      <c r="H212" s="434">
        <f t="shared" si="12"/>
        <v>6.5743899653265929E-3</v>
      </c>
    </row>
    <row r="213" spans="2:8" hidden="1">
      <c r="B213" s="1808" t="s">
        <v>1557</v>
      </c>
      <c r="C213" t="s">
        <v>1558</v>
      </c>
      <c r="D213">
        <v>1000</v>
      </c>
      <c r="E213">
        <f t="shared" si="10"/>
        <v>1000</v>
      </c>
      <c r="F213">
        <v>0</v>
      </c>
      <c r="G213">
        <v>0</v>
      </c>
      <c r="H213" s="434">
        <f t="shared" si="12"/>
        <v>0</v>
      </c>
    </row>
    <row r="214" spans="2:8" hidden="1">
      <c r="B214" s="1808" t="s">
        <v>1561</v>
      </c>
      <c r="C214" t="s">
        <v>1550</v>
      </c>
      <c r="D214">
        <v>3000</v>
      </c>
      <c r="E214">
        <f t="shared" si="10"/>
        <v>0</v>
      </c>
      <c r="F214">
        <f t="shared" si="11"/>
        <v>0</v>
      </c>
      <c r="G214">
        <v>3000</v>
      </c>
      <c r="H214" s="434">
        <f t="shared" si="12"/>
        <v>1.1143033839536597E-3</v>
      </c>
    </row>
    <row r="215" spans="2:8" hidden="1">
      <c r="B215" s="1808" t="s">
        <v>1562</v>
      </c>
      <c r="C215" t="s">
        <v>1563</v>
      </c>
      <c r="D215">
        <v>5750</v>
      </c>
      <c r="E215">
        <f t="shared" si="10"/>
        <v>0</v>
      </c>
      <c r="F215">
        <f t="shared" si="11"/>
        <v>0</v>
      </c>
      <c r="G215">
        <v>5750</v>
      </c>
      <c r="H215" s="434">
        <f t="shared" si="12"/>
        <v>2.1357481525778482E-3</v>
      </c>
    </row>
    <row r="216" spans="2:8" hidden="1">
      <c r="B216" s="1808" t="s">
        <v>1564</v>
      </c>
      <c r="C216" t="s">
        <v>1565</v>
      </c>
      <c r="D216">
        <v>6800</v>
      </c>
      <c r="E216">
        <f t="shared" si="10"/>
        <v>0</v>
      </c>
      <c r="F216">
        <f t="shared" si="11"/>
        <v>0</v>
      </c>
      <c r="G216">
        <v>6800</v>
      </c>
      <c r="H216" s="434">
        <f t="shared" si="12"/>
        <v>2.525754336961629E-3</v>
      </c>
    </row>
    <row r="217" spans="2:8" hidden="1">
      <c r="B217" s="1808" t="s">
        <v>1567</v>
      </c>
      <c r="C217" t="s">
        <v>1568</v>
      </c>
      <c r="D217">
        <v>1000</v>
      </c>
      <c r="E217">
        <f t="shared" si="10"/>
        <v>0</v>
      </c>
      <c r="F217">
        <f t="shared" si="11"/>
        <v>0</v>
      </c>
      <c r="G217">
        <v>1000</v>
      </c>
      <c r="H217" s="434">
        <f t="shared" si="12"/>
        <v>3.7143446131788664E-4</v>
      </c>
    </row>
    <row r="218" spans="2:8" hidden="1">
      <c r="B218" s="1808" t="s">
        <v>1569</v>
      </c>
      <c r="C218" t="s">
        <v>1570</v>
      </c>
      <c r="D218">
        <v>4200</v>
      </c>
      <c r="E218">
        <f t="shared" si="10"/>
        <v>0</v>
      </c>
      <c r="F218">
        <f t="shared" si="11"/>
        <v>0</v>
      </c>
      <c r="G218">
        <v>4200</v>
      </c>
      <c r="H218" s="434">
        <f t="shared" si="12"/>
        <v>1.5600247375351238E-3</v>
      </c>
    </row>
    <row r="219" spans="2:8" hidden="1">
      <c r="B219" s="1808" t="s">
        <v>1571</v>
      </c>
      <c r="C219" t="s">
        <v>1572</v>
      </c>
      <c r="D219">
        <v>500</v>
      </c>
      <c r="E219">
        <f t="shared" si="10"/>
        <v>0</v>
      </c>
      <c r="F219">
        <f t="shared" si="11"/>
        <v>0</v>
      </c>
      <c r="G219">
        <v>500</v>
      </c>
      <c r="H219" s="434">
        <f t="shared" si="12"/>
        <v>1.8571723065894332E-4</v>
      </c>
    </row>
    <row r="220" spans="2:8" hidden="1">
      <c r="B220" s="1808" t="s">
        <v>1573</v>
      </c>
      <c r="C220" t="s">
        <v>1574</v>
      </c>
      <c r="D220">
        <v>3300</v>
      </c>
      <c r="E220">
        <f t="shared" si="10"/>
        <v>0</v>
      </c>
      <c r="F220">
        <f t="shared" si="11"/>
        <v>0</v>
      </c>
      <c r="G220">
        <v>3300</v>
      </c>
      <c r="H220" s="434">
        <f t="shared" si="12"/>
        <v>1.2257337223490258E-3</v>
      </c>
    </row>
    <row r="221" spans="2:8" hidden="1">
      <c r="B221" s="1808" t="s">
        <v>1575</v>
      </c>
      <c r="C221" t="s">
        <v>1576</v>
      </c>
      <c r="D221">
        <v>1000</v>
      </c>
      <c r="E221">
        <f t="shared" si="10"/>
        <v>0</v>
      </c>
      <c r="F221">
        <f t="shared" si="11"/>
        <v>0</v>
      </c>
      <c r="G221">
        <v>1000</v>
      </c>
      <c r="H221" s="434">
        <f t="shared" si="12"/>
        <v>3.7143446131788664E-4</v>
      </c>
    </row>
    <row r="222" spans="2:8" hidden="1">
      <c r="B222" s="1808" t="s">
        <v>1577</v>
      </c>
      <c r="C222" t="s">
        <v>1578</v>
      </c>
      <c r="D222">
        <v>500</v>
      </c>
      <c r="E222">
        <f t="shared" si="10"/>
        <v>0</v>
      </c>
      <c r="F222">
        <f t="shared" si="11"/>
        <v>0</v>
      </c>
      <c r="G222">
        <v>500</v>
      </c>
      <c r="H222" s="434">
        <f t="shared" si="12"/>
        <v>1.8571723065894332E-4</v>
      </c>
    </row>
    <row r="223" spans="2:8" hidden="1">
      <c r="B223" s="1808" t="s">
        <v>1579</v>
      </c>
      <c r="C223" t="s">
        <v>1580</v>
      </c>
      <c r="D223">
        <v>1000</v>
      </c>
      <c r="E223">
        <f t="shared" si="10"/>
        <v>0</v>
      </c>
      <c r="F223">
        <f t="shared" si="11"/>
        <v>0</v>
      </c>
      <c r="G223">
        <v>1000</v>
      </c>
      <c r="H223" s="434">
        <f t="shared" si="12"/>
        <v>3.7143446131788664E-4</v>
      </c>
    </row>
    <row r="224" spans="2:8" hidden="1">
      <c r="B224" s="1808" t="s">
        <v>1581</v>
      </c>
      <c r="C224" t="s">
        <v>1582</v>
      </c>
      <c r="D224">
        <v>600</v>
      </c>
      <c r="E224">
        <f t="shared" si="10"/>
        <v>0</v>
      </c>
      <c r="F224">
        <f t="shared" si="11"/>
        <v>0</v>
      </c>
      <c r="G224">
        <v>600</v>
      </c>
      <c r="H224" s="434">
        <f t="shared" si="12"/>
        <v>2.2286067679073195E-4</v>
      </c>
    </row>
    <row r="225" spans="2:8" hidden="1">
      <c r="B225" s="1808" t="s">
        <v>1583</v>
      </c>
      <c r="C225" t="s">
        <v>1584</v>
      </c>
      <c r="D225">
        <v>600</v>
      </c>
      <c r="E225">
        <f t="shared" si="10"/>
        <v>0</v>
      </c>
      <c r="F225">
        <f t="shared" si="11"/>
        <v>0</v>
      </c>
      <c r="G225">
        <v>600</v>
      </c>
      <c r="H225" s="434">
        <f t="shared" si="12"/>
        <v>2.2286067679073195E-4</v>
      </c>
    </row>
    <row r="226" spans="2:8" hidden="1">
      <c r="B226" s="1808" t="s">
        <v>1585</v>
      </c>
      <c r="C226" t="s">
        <v>1586</v>
      </c>
      <c r="D226">
        <v>1700</v>
      </c>
      <c r="E226">
        <f t="shared" si="10"/>
        <v>0</v>
      </c>
      <c r="F226">
        <f t="shared" si="11"/>
        <v>0</v>
      </c>
      <c r="G226">
        <v>1700</v>
      </c>
      <c r="H226" s="434">
        <f t="shared" si="12"/>
        <v>6.3143858424040725E-4</v>
      </c>
    </row>
    <row r="227" spans="2:8" hidden="1">
      <c r="B227" s="1808" t="s">
        <v>1589</v>
      </c>
      <c r="C227" t="s">
        <v>1590</v>
      </c>
      <c r="D227">
        <v>1000</v>
      </c>
      <c r="E227">
        <f t="shared" si="10"/>
        <v>1000</v>
      </c>
      <c r="F227">
        <v>0</v>
      </c>
      <c r="G227">
        <v>0</v>
      </c>
      <c r="H227" s="434">
        <f t="shared" si="12"/>
        <v>0</v>
      </c>
    </row>
    <row r="228" spans="2:8" hidden="1">
      <c r="B228" s="1808" t="s">
        <v>1591</v>
      </c>
      <c r="C228" t="s">
        <v>1592</v>
      </c>
      <c r="D228">
        <v>500</v>
      </c>
      <c r="E228">
        <f t="shared" si="10"/>
        <v>0</v>
      </c>
      <c r="F228">
        <f t="shared" si="11"/>
        <v>0</v>
      </c>
      <c r="G228">
        <v>500</v>
      </c>
      <c r="H228" s="434">
        <f t="shared" si="12"/>
        <v>1.8571723065894332E-4</v>
      </c>
    </row>
    <row r="229" spans="2:8" hidden="1">
      <c r="B229" s="1808" t="s">
        <v>1593</v>
      </c>
      <c r="C229" t="s">
        <v>1594</v>
      </c>
      <c r="D229">
        <v>500</v>
      </c>
      <c r="E229">
        <f t="shared" si="10"/>
        <v>0</v>
      </c>
      <c r="F229">
        <f t="shared" si="11"/>
        <v>0</v>
      </c>
      <c r="G229">
        <v>500</v>
      </c>
      <c r="H229" s="434">
        <f t="shared" si="12"/>
        <v>1.8571723065894332E-4</v>
      </c>
    </row>
    <row r="230" spans="2:8" hidden="1">
      <c r="B230" s="1808" t="s">
        <v>1595</v>
      </c>
      <c r="C230" t="s">
        <v>1596</v>
      </c>
      <c r="D230">
        <v>500</v>
      </c>
      <c r="E230">
        <f t="shared" si="10"/>
        <v>0</v>
      </c>
      <c r="F230">
        <f t="shared" si="11"/>
        <v>0</v>
      </c>
      <c r="G230">
        <v>500</v>
      </c>
      <c r="H230" s="434">
        <f t="shared" si="12"/>
        <v>1.8571723065894332E-4</v>
      </c>
    </row>
    <row r="231" spans="2:8" hidden="1">
      <c r="B231" s="1808" t="s">
        <v>1597</v>
      </c>
      <c r="C231" t="s">
        <v>1598</v>
      </c>
      <c r="D231">
        <v>1000</v>
      </c>
      <c r="E231">
        <f t="shared" si="10"/>
        <v>0</v>
      </c>
      <c r="F231">
        <f t="shared" si="11"/>
        <v>0</v>
      </c>
      <c r="G231">
        <v>1000</v>
      </c>
      <c r="H231" s="434">
        <f t="shared" si="12"/>
        <v>3.7143446131788664E-4</v>
      </c>
    </row>
    <row r="232" spans="2:8" hidden="1">
      <c r="B232" s="1808" t="s">
        <v>1599</v>
      </c>
      <c r="C232" t="s">
        <v>1600</v>
      </c>
      <c r="D232">
        <v>500</v>
      </c>
      <c r="E232">
        <f t="shared" si="10"/>
        <v>0</v>
      </c>
      <c r="F232">
        <f t="shared" si="11"/>
        <v>0</v>
      </c>
      <c r="G232">
        <v>500</v>
      </c>
      <c r="H232" s="434">
        <f t="shared" si="12"/>
        <v>1.8571723065894332E-4</v>
      </c>
    </row>
    <row r="233" spans="2:8" hidden="1">
      <c r="B233" s="1808" t="s">
        <v>1601</v>
      </c>
      <c r="C233" t="s">
        <v>1602</v>
      </c>
      <c r="D233">
        <v>1700</v>
      </c>
      <c r="E233">
        <f t="shared" si="10"/>
        <v>0</v>
      </c>
      <c r="F233">
        <f t="shared" si="11"/>
        <v>0</v>
      </c>
      <c r="G233">
        <v>1700</v>
      </c>
      <c r="H233" s="434">
        <f t="shared" si="12"/>
        <v>6.3143858424040725E-4</v>
      </c>
    </row>
    <row r="234" spans="2:8" hidden="1">
      <c r="B234" s="1808" t="s">
        <v>1603</v>
      </c>
      <c r="C234" t="s">
        <v>1604</v>
      </c>
      <c r="D234">
        <v>1000</v>
      </c>
      <c r="E234">
        <f t="shared" si="10"/>
        <v>0</v>
      </c>
      <c r="F234">
        <f t="shared" si="11"/>
        <v>0</v>
      </c>
      <c r="G234">
        <v>1000</v>
      </c>
      <c r="H234" s="434">
        <f t="shared" si="12"/>
        <v>3.7143446131788664E-4</v>
      </c>
    </row>
    <row r="235" spans="2:8" hidden="1">
      <c r="B235" s="1808" t="s">
        <v>1605</v>
      </c>
      <c r="C235" t="s">
        <v>1606</v>
      </c>
      <c r="D235">
        <v>100</v>
      </c>
      <c r="E235">
        <f t="shared" si="10"/>
        <v>0</v>
      </c>
      <c r="F235">
        <f t="shared" si="11"/>
        <v>0</v>
      </c>
      <c r="G235">
        <v>100</v>
      </c>
      <c r="H235" s="434">
        <f t="shared" si="12"/>
        <v>3.7143446131788664E-5</v>
      </c>
    </row>
    <row r="236" spans="2:8" hidden="1">
      <c r="B236" s="1808" t="s">
        <v>1607</v>
      </c>
      <c r="C236" t="s">
        <v>1608</v>
      </c>
      <c r="D236">
        <v>1000</v>
      </c>
      <c r="E236">
        <f t="shared" si="10"/>
        <v>0</v>
      </c>
      <c r="F236">
        <f t="shared" si="11"/>
        <v>0</v>
      </c>
      <c r="G236">
        <v>1000</v>
      </c>
      <c r="H236" s="434">
        <f t="shared" si="12"/>
        <v>3.7143446131788664E-4</v>
      </c>
    </row>
    <row r="237" spans="2:8" hidden="1">
      <c r="B237" s="1808" t="s">
        <v>1609</v>
      </c>
      <c r="C237" t="s">
        <v>1610</v>
      </c>
      <c r="D237">
        <v>2500</v>
      </c>
      <c r="E237">
        <f t="shared" si="10"/>
        <v>0</v>
      </c>
      <c r="F237">
        <f t="shared" si="11"/>
        <v>0</v>
      </c>
      <c r="G237">
        <v>2500</v>
      </c>
      <c r="H237" s="434">
        <f t="shared" si="12"/>
        <v>9.2858615329471656E-4</v>
      </c>
    </row>
    <row r="238" spans="2:8" hidden="1">
      <c r="B238" s="1808" t="s">
        <v>1611</v>
      </c>
      <c r="C238" t="s">
        <v>1612</v>
      </c>
      <c r="D238">
        <v>1000</v>
      </c>
      <c r="E238">
        <f t="shared" si="10"/>
        <v>0</v>
      </c>
      <c r="F238">
        <f t="shared" si="11"/>
        <v>0</v>
      </c>
      <c r="G238">
        <v>1000</v>
      </c>
      <c r="H238" s="434">
        <f t="shared" si="12"/>
        <v>3.7143446131788664E-4</v>
      </c>
    </row>
    <row r="239" spans="2:8" hidden="1">
      <c r="B239" s="1808" t="s">
        <v>1613</v>
      </c>
      <c r="C239" t="s">
        <v>1614</v>
      </c>
      <c r="D239">
        <v>1000</v>
      </c>
      <c r="E239">
        <f t="shared" si="10"/>
        <v>0</v>
      </c>
      <c r="F239">
        <f t="shared" si="11"/>
        <v>0</v>
      </c>
      <c r="G239">
        <v>1000</v>
      </c>
      <c r="H239" s="434">
        <f t="shared" si="12"/>
        <v>3.7143446131788664E-4</v>
      </c>
    </row>
    <row r="240" spans="2:8" hidden="1">
      <c r="B240" s="1808" t="s">
        <v>1615</v>
      </c>
      <c r="C240" t="s">
        <v>1616</v>
      </c>
      <c r="D240">
        <v>500</v>
      </c>
      <c r="E240">
        <f t="shared" si="10"/>
        <v>0</v>
      </c>
      <c r="F240">
        <f t="shared" si="11"/>
        <v>0</v>
      </c>
      <c r="G240">
        <v>500</v>
      </c>
      <c r="H240" s="434">
        <f t="shared" si="12"/>
        <v>1.8571723065894332E-4</v>
      </c>
    </row>
    <row r="241" spans="2:8" hidden="1">
      <c r="B241" s="1808" t="s">
        <v>1617</v>
      </c>
      <c r="C241" t="s">
        <v>1618</v>
      </c>
      <c r="D241">
        <v>750</v>
      </c>
      <c r="E241">
        <f t="shared" si="10"/>
        <v>0</v>
      </c>
      <c r="F241">
        <f t="shared" si="11"/>
        <v>0</v>
      </c>
      <c r="G241">
        <v>750</v>
      </c>
      <c r="H241" s="434">
        <f t="shared" si="12"/>
        <v>2.7857584598841494E-4</v>
      </c>
    </row>
    <row r="242" spans="2:8" hidden="1">
      <c r="B242" s="1808" t="s">
        <v>1619</v>
      </c>
      <c r="C242" t="s">
        <v>1620</v>
      </c>
      <c r="D242">
        <v>2500</v>
      </c>
      <c r="E242">
        <f t="shared" si="10"/>
        <v>0</v>
      </c>
      <c r="F242">
        <f t="shared" si="11"/>
        <v>0</v>
      </c>
      <c r="G242">
        <v>2500</v>
      </c>
      <c r="H242" s="434">
        <f t="shared" si="12"/>
        <v>9.2858615329471656E-4</v>
      </c>
    </row>
    <row r="243" spans="2:8" hidden="1">
      <c r="B243" s="1808" t="s">
        <v>1621</v>
      </c>
      <c r="C243" t="s">
        <v>1622</v>
      </c>
      <c r="D243">
        <v>1000</v>
      </c>
      <c r="E243">
        <f t="shared" si="10"/>
        <v>0</v>
      </c>
      <c r="F243">
        <f t="shared" si="11"/>
        <v>0</v>
      </c>
      <c r="G243">
        <v>1000</v>
      </c>
      <c r="H243" s="434">
        <f t="shared" si="12"/>
        <v>3.7143446131788664E-4</v>
      </c>
    </row>
    <row r="244" spans="2:8" hidden="1">
      <c r="B244" s="1808" t="s">
        <v>1624</v>
      </c>
      <c r="C244" t="s">
        <v>1625</v>
      </c>
      <c r="D244">
        <v>500</v>
      </c>
      <c r="E244">
        <f t="shared" si="10"/>
        <v>0</v>
      </c>
      <c r="F244">
        <f t="shared" si="11"/>
        <v>0</v>
      </c>
      <c r="G244">
        <v>500</v>
      </c>
      <c r="H244" s="434">
        <f t="shared" si="12"/>
        <v>1.8571723065894332E-4</v>
      </c>
    </row>
    <row r="245" spans="2:8" hidden="1">
      <c r="B245" s="1808" t="s">
        <v>1626</v>
      </c>
      <c r="C245" t="s">
        <v>1627</v>
      </c>
      <c r="D245">
        <v>500</v>
      </c>
      <c r="E245">
        <f t="shared" si="10"/>
        <v>0</v>
      </c>
      <c r="F245">
        <f t="shared" si="11"/>
        <v>0</v>
      </c>
      <c r="G245">
        <v>500</v>
      </c>
      <c r="H245" s="434">
        <f t="shared" si="12"/>
        <v>1.8571723065894332E-4</v>
      </c>
    </row>
    <row r="246" spans="2:8" hidden="1">
      <c r="B246" s="1808" t="s">
        <v>1628</v>
      </c>
      <c r="C246" t="s">
        <v>1629</v>
      </c>
      <c r="D246">
        <v>1000</v>
      </c>
      <c r="E246">
        <f t="shared" si="10"/>
        <v>0</v>
      </c>
      <c r="F246">
        <f t="shared" si="11"/>
        <v>0</v>
      </c>
      <c r="G246">
        <v>1000</v>
      </c>
      <c r="H246" s="434">
        <f t="shared" si="12"/>
        <v>3.7143446131788664E-4</v>
      </c>
    </row>
    <row r="247" spans="2:8" hidden="1">
      <c r="B247" s="1808" t="s">
        <v>1630</v>
      </c>
      <c r="C247" t="s">
        <v>1631</v>
      </c>
      <c r="D247">
        <v>500</v>
      </c>
      <c r="E247">
        <f t="shared" si="10"/>
        <v>0</v>
      </c>
      <c r="F247">
        <f t="shared" si="11"/>
        <v>0</v>
      </c>
      <c r="G247">
        <v>500</v>
      </c>
      <c r="H247" s="434">
        <f t="shared" si="12"/>
        <v>1.8571723065894332E-4</v>
      </c>
    </row>
    <row r="248" spans="2:8" hidden="1">
      <c r="B248" s="1808" t="s">
        <v>1632</v>
      </c>
      <c r="C248" t="s">
        <v>1633</v>
      </c>
      <c r="D248">
        <v>300</v>
      </c>
      <c r="E248">
        <f t="shared" si="10"/>
        <v>0</v>
      </c>
      <c r="F248">
        <f t="shared" si="11"/>
        <v>0</v>
      </c>
      <c r="G248">
        <v>300</v>
      </c>
      <c r="H248" s="434">
        <f t="shared" si="12"/>
        <v>1.1143033839536598E-4</v>
      </c>
    </row>
    <row r="249" spans="2:8" hidden="1">
      <c r="B249" s="1808" t="s">
        <v>1634</v>
      </c>
      <c r="C249" t="s">
        <v>1635</v>
      </c>
      <c r="D249">
        <v>500</v>
      </c>
      <c r="E249">
        <f t="shared" si="10"/>
        <v>0</v>
      </c>
      <c r="F249">
        <f t="shared" si="11"/>
        <v>0</v>
      </c>
      <c r="G249">
        <v>500</v>
      </c>
      <c r="H249" s="434">
        <f t="shared" si="12"/>
        <v>1.8571723065894332E-4</v>
      </c>
    </row>
    <row r="250" spans="2:8" hidden="1">
      <c r="B250" s="1808" t="s">
        <v>1636</v>
      </c>
      <c r="C250" t="s">
        <v>1637</v>
      </c>
      <c r="D250">
        <v>6700</v>
      </c>
      <c r="E250">
        <f t="shared" si="10"/>
        <v>0</v>
      </c>
      <c r="F250">
        <f t="shared" si="11"/>
        <v>0</v>
      </c>
      <c r="G250">
        <v>6700</v>
      </c>
      <c r="H250" s="434">
        <f t="shared" si="12"/>
        <v>2.4886108908298405E-3</v>
      </c>
    </row>
    <row r="251" spans="2:8" hidden="1">
      <c r="B251" s="1808" t="s">
        <v>1638</v>
      </c>
      <c r="C251" t="s">
        <v>1639</v>
      </c>
      <c r="D251">
        <v>1000</v>
      </c>
      <c r="E251">
        <f t="shared" si="10"/>
        <v>0</v>
      </c>
      <c r="F251">
        <f t="shared" si="11"/>
        <v>0</v>
      </c>
      <c r="G251">
        <v>1000</v>
      </c>
      <c r="H251" s="434">
        <f t="shared" si="12"/>
        <v>3.7143446131788664E-4</v>
      </c>
    </row>
    <row r="252" spans="2:8" hidden="1">
      <c r="B252" s="1808" t="s">
        <v>1640</v>
      </c>
      <c r="C252" t="s">
        <v>1641</v>
      </c>
      <c r="D252">
        <v>1000</v>
      </c>
      <c r="E252">
        <f t="shared" si="10"/>
        <v>0</v>
      </c>
      <c r="F252">
        <f t="shared" si="11"/>
        <v>0</v>
      </c>
      <c r="G252">
        <v>1000</v>
      </c>
      <c r="H252" s="434">
        <f t="shared" si="12"/>
        <v>3.7143446131788664E-4</v>
      </c>
    </row>
    <row r="253" spans="2:8" hidden="1">
      <c r="B253" s="1808" t="s">
        <v>1642</v>
      </c>
      <c r="C253" t="s">
        <v>1643</v>
      </c>
      <c r="D253">
        <v>1000</v>
      </c>
      <c r="E253">
        <f t="shared" si="10"/>
        <v>0</v>
      </c>
      <c r="F253">
        <f t="shared" si="11"/>
        <v>0</v>
      </c>
      <c r="G253">
        <v>1000</v>
      </c>
      <c r="H253" s="434">
        <f t="shared" si="12"/>
        <v>3.7143446131788664E-4</v>
      </c>
    </row>
    <row r="254" spans="2:8" hidden="1">
      <c r="B254" s="1808" t="s">
        <v>1644</v>
      </c>
      <c r="C254" t="s">
        <v>1645</v>
      </c>
      <c r="D254">
        <v>500</v>
      </c>
      <c r="E254">
        <f t="shared" si="10"/>
        <v>0</v>
      </c>
      <c r="F254">
        <f t="shared" si="11"/>
        <v>0</v>
      </c>
      <c r="G254">
        <v>500</v>
      </c>
      <c r="H254" s="434">
        <f t="shared" si="12"/>
        <v>1.8571723065894332E-4</v>
      </c>
    </row>
    <row r="255" spans="2:8" hidden="1">
      <c r="B255" s="1808" t="s">
        <v>1646</v>
      </c>
      <c r="C255" t="s">
        <v>1647</v>
      </c>
      <c r="D255">
        <v>500</v>
      </c>
      <c r="E255">
        <f t="shared" si="10"/>
        <v>0</v>
      </c>
      <c r="F255">
        <f t="shared" si="11"/>
        <v>0</v>
      </c>
      <c r="G255">
        <v>500</v>
      </c>
      <c r="H255" s="434">
        <f t="shared" si="12"/>
        <v>1.8571723065894332E-4</v>
      </c>
    </row>
    <row r="256" spans="2:8" hidden="1">
      <c r="B256" s="1808" t="s">
        <v>1648</v>
      </c>
      <c r="C256" t="s">
        <v>1649</v>
      </c>
      <c r="D256">
        <v>4200</v>
      </c>
      <c r="E256">
        <f t="shared" si="10"/>
        <v>0</v>
      </c>
      <c r="F256">
        <f t="shared" si="11"/>
        <v>0</v>
      </c>
      <c r="G256">
        <v>4200</v>
      </c>
      <c r="H256" s="434">
        <f t="shared" si="12"/>
        <v>1.5600247375351238E-3</v>
      </c>
    </row>
    <row r="257" spans="2:8" hidden="1">
      <c r="B257" s="1808" t="s">
        <v>1650</v>
      </c>
      <c r="C257" t="s">
        <v>1651</v>
      </c>
      <c r="D257">
        <v>3795</v>
      </c>
      <c r="E257">
        <f t="shared" si="10"/>
        <v>0</v>
      </c>
      <c r="F257">
        <f t="shared" si="11"/>
        <v>0</v>
      </c>
      <c r="G257">
        <v>3795</v>
      </c>
      <c r="H257" s="434">
        <f t="shared" si="12"/>
        <v>1.4095937807013796E-3</v>
      </c>
    </row>
    <row r="258" spans="2:8" hidden="1">
      <c r="B258" s="1808" t="s">
        <v>1652</v>
      </c>
      <c r="C258" t="s">
        <v>1653</v>
      </c>
      <c r="D258">
        <v>1000</v>
      </c>
      <c r="E258">
        <f t="shared" si="10"/>
        <v>0</v>
      </c>
      <c r="F258">
        <f t="shared" si="11"/>
        <v>0</v>
      </c>
      <c r="G258">
        <v>1000</v>
      </c>
      <c r="H258" s="434">
        <f t="shared" si="12"/>
        <v>3.7143446131788664E-4</v>
      </c>
    </row>
    <row r="259" spans="2:8" hidden="1">
      <c r="B259" s="1808" t="s">
        <v>1654</v>
      </c>
      <c r="C259" t="s">
        <v>1655</v>
      </c>
      <c r="D259">
        <v>1700</v>
      </c>
      <c r="E259">
        <f t="shared" si="10"/>
        <v>0</v>
      </c>
      <c r="F259">
        <f t="shared" si="11"/>
        <v>0</v>
      </c>
      <c r="G259">
        <v>1700</v>
      </c>
      <c r="H259" s="434">
        <f t="shared" si="12"/>
        <v>6.3143858424040725E-4</v>
      </c>
    </row>
    <row r="260" spans="2:8" hidden="1">
      <c r="B260" s="1808" t="s">
        <v>1658</v>
      </c>
      <c r="C260" t="s">
        <v>1659</v>
      </c>
      <c r="D260">
        <v>1500</v>
      </c>
      <c r="E260">
        <f t="shared" si="10"/>
        <v>0</v>
      </c>
      <c r="F260">
        <f t="shared" si="11"/>
        <v>0</v>
      </c>
      <c r="G260">
        <v>1500</v>
      </c>
      <c r="H260" s="434">
        <f t="shared" si="12"/>
        <v>5.5715169197682987E-4</v>
      </c>
    </row>
    <row r="261" spans="2:8" hidden="1">
      <c r="B261" s="1808" t="s">
        <v>1660</v>
      </c>
      <c r="C261" t="s">
        <v>1661</v>
      </c>
      <c r="D261">
        <v>1000</v>
      </c>
      <c r="E261">
        <f t="shared" ref="E261:E324" si="13">D261-G261</f>
        <v>0</v>
      </c>
      <c r="F261">
        <f t="shared" ref="F261:F324" si="14">G261-D261</f>
        <v>0</v>
      </c>
      <c r="G261">
        <v>1000</v>
      </c>
      <c r="H261" s="434">
        <f t="shared" ref="H261:H324" si="15">+G261/$G$409</f>
        <v>3.7143446131788664E-4</v>
      </c>
    </row>
    <row r="262" spans="2:8" hidden="1">
      <c r="B262" s="1808" t="s">
        <v>1662</v>
      </c>
      <c r="C262" t="s">
        <v>1663</v>
      </c>
      <c r="D262">
        <v>500</v>
      </c>
      <c r="E262">
        <f t="shared" si="13"/>
        <v>0</v>
      </c>
      <c r="F262">
        <f t="shared" si="14"/>
        <v>0</v>
      </c>
      <c r="G262">
        <v>500</v>
      </c>
      <c r="H262" s="434">
        <f t="shared" si="15"/>
        <v>1.8571723065894332E-4</v>
      </c>
    </row>
    <row r="263" spans="2:8" hidden="1">
      <c r="B263" s="1808" t="s">
        <v>1664</v>
      </c>
      <c r="C263" t="s">
        <v>1665</v>
      </c>
      <c r="D263">
        <v>200</v>
      </c>
      <c r="E263">
        <f t="shared" si="13"/>
        <v>0</v>
      </c>
      <c r="F263">
        <f t="shared" si="14"/>
        <v>0</v>
      </c>
      <c r="G263">
        <v>200</v>
      </c>
      <c r="H263" s="434">
        <f t="shared" si="15"/>
        <v>7.4286892263577327E-5</v>
      </c>
    </row>
    <row r="264" spans="2:8" hidden="1">
      <c r="B264" s="1808" t="s">
        <v>1666</v>
      </c>
      <c r="C264" t="s">
        <v>1667</v>
      </c>
      <c r="D264">
        <v>500</v>
      </c>
      <c r="E264">
        <f t="shared" si="13"/>
        <v>0</v>
      </c>
      <c r="F264">
        <f t="shared" si="14"/>
        <v>0</v>
      </c>
      <c r="G264">
        <v>500</v>
      </c>
      <c r="H264" s="434">
        <f t="shared" si="15"/>
        <v>1.8571723065894332E-4</v>
      </c>
    </row>
    <row r="265" spans="2:8" hidden="1">
      <c r="B265" s="1808" t="s">
        <v>1668</v>
      </c>
      <c r="C265" t="s">
        <v>1669</v>
      </c>
      <c r="D265">
        <v>500</v>
      </c>
      <c r="E265">
        <f t="shared" si="13"/>
        <v>0</v>
      </c>
      <c r="F265">
        <f t="shared" si="14"/>
        <v>0</v>
      </c>
      <c r="G265">
        <v>500</v>
      </c>
      <c r="H265" s="434">
        <f t="shared" si="15"/>
        <v>1.8571723065894332E-4</v>
      </c>
    </row>
    <row r="266" spans="2:8" hidden="1">
      <c r="B266" s="1808" t="s">
        <v>1670</v>
      </c>
      <c r="C266" t="s">
        <v>1671</v>
      </c>
      <c r="D266">
        <v>1700</v>
      </c>
      <c r="E266">
        <f t="shared" si="13"/>
        <v>0</v>
      </c>
      <c r="F266">
        <f t="shared" si="14"/>
        <v>0</v>
      </c>
      <c r="G266">
        <v>1700</v>
      </c>
      <c r="H266" s="434">
        <f t="shared" si="15"/>
        <v>6.3143858424040725E-4</v>
      </c>
    </row>
    <row r="267" spans="2:8" hidden="1">
      <c r="B267" s="1808" t="s">
        <v>1672</v>
      </c>
      <c r="C267" t="s">
        <v>1673</v>
      </c>
      <c r="D267">
        <v>1000</v>
      </c>
      <c r="E267">
        <f t="shared" si="13"/>
        <v>0</v>
      </c>
      <c r="F267">
        <f t="shared" si="14"/>
        <v>0</v>
      </c>
      <c r="G267">
        <v>1000</v>
      </c>
      <c r="H267" s="434">
        <f t="shared" si="15"/>
        <v>3.7143446131788664E-4</v>
      </c>
    </row>
    <row r="268" spans="2:8" hidden="1">
      <c r="B268" s="1808" t="s">
        <v>1674</v>
      </c>
      <c r="C268" t="s">
        <v>1675</v>
      </c>
      <c r="D268">
        <v>1000</v>
      </c>
      <c r="E268">
        <f t="shared" si="13"/>
        <v>0</v>
      </c>
      <c r="F268">
        <f t="shared" si="14"/>
        <v>0</v>
      </c>
      <c r="G268">
        <v>1000</v>
      </c>
      <c r="H268" s="434">
        <f t="shared" si="15"/>
        <v>3.7143446131788664E-4</v>
      </c>
    </row>
    <row r="269" spans="2:8" hidden="1">
      <c r="B269" s="1808" t="s">
        <v>1676</v>
      </c>
      <c r="C269" t="s">
        <v>1677</v>
      </c>
      <c r="D269">
        <v>2500</v>
      </c>
      <c r="E269">
        <f t="shared" si="13"/>
        <v>0</v>
      </c>
      <c r="F269">
        <f t="shared" si="14"/>
        <v>0</v>
      </c>
      <c r="G269">
        <v>2500</v>
      </c>
      <c r="H269" s="434">
        <f t="shared" si="15"/>
        <v>9.2858615329471656E-4</v>
      </c>
    </row>
    <row r="270" spans="2:8" hidden="1">
      <c r="B270" s="1808" t="s">
        <v>1678</v>
      </c>
      <c r="C270" t="s">
        <v>1679</v>
      </c>
      <c r="D270">
        <v>500</v>
      </c>
      <c r="E270">
        <f t="shared" si="13"/>
        <v>0</v>
      </c>
      <c r="F270">
        <f t="shared" si="14"/>
        <v>0</v>
      </c>
      <c r="G270">
        <v>500</v>
      </c>
      <c r="H270" s="434">
        <f t="shared" si="15"/>
        <v>1.8571723065894332E-4</v>
      </c>
    </row>
    <row r="271" spans="2:8" hidden="1">
      <c r="B271" s="1808" t="s">
        <v>1682</v>
      </c>
      <c r="C271" t="s">
        <v>1683</v>
      </c>
      <c r="D271">
        <v>500</v>
      </c>
      <c r="E271">
        <f t="shared" si="13"/>
        <v>0</v>
      </c>
      <c r="F271">
        <f t="shared" si="14"/>
        <v>0</v>
      </c>
      <c r="G271">
        <v>500</v>
      </c>
      <c r="H271" s="434">
        <f t="shared" si="15"/>
        <v>1.8571723065894332E-4</v>
      </c>
    </row>
    <row r="272" spans="2:8" hidden="1">
      <c r="B272" s="1808" t="s">
        <v>1684</v>
      </c>
      <c r="C272" t="s">
        <v>1685</v>
      </c>
      <c r="D272">
        <v>500</v>
      </c>
      <c r="E272">
        <f t="shared" si="13"/>
        <v>0</v>
      </c>
      <c r="F272">
        <f t="shared" si="14"/>
        <v>0</v>
      </c>
      <c r="G272">
        <v>500</v>
      </c>
      <c r="H272" s="434">
        <f t="shared" si="15"/>
        <v>1.8571723065894332E-4</v>
      </c>
    </row>
    <row r="273" spans="2:8" hidden="1">
      <c r="B273" s="1808" t="s">
        <v>1686</v>
      </c>
      <c r="C273" t="s">
        <v>1687</v>
      </c>
      <c r="D273">
        <v>500</v>
      </c>
      <c r="E273">
        <f t="shared" si="13"/>
        <v>0</v>
      </c>
      <c r="F273">
        <f t="shared" si="14"/>
        <v>0</v>
      </c>
      <c r="G273">
        <v>500</v>
      </c>
      <c r="H273" s="434">
        <f t="shared" si="15"/>
        <v>1.8571723065894332E-4</v>
      </c>
    </row>
    <row r="274" spans="2:8" hidden="1">
      <c r="B274" s="1808" t="s">
        <v>1688</v>
      </c>
      <c r="C274" t="s">
        <v>1689</v>
      </c>
      <c r="D274">
        <v>1700</v>
      </c>
      <c r="E274">
        <f t="shared" si="13"/>
        <v>0</v>
      </c>
      <c r="F274">
        <f t="shared" si="14"/>
        <v>0</v>
      </c>
      <c r="G274">
        <v>1700</v>
      </c>
      <c r="H274" s="434">
        <f t="shared" si="15"/>
        <v>6.3143858424040725E-4</v>
      </c>
    </row>
    <row r="275" spans="2:8" hidden="1">
      <c r="B275" s="1808" t="s">
        <v>1690</v>
      </c>
      <c r="C275" t="s">
        <v>1691</v>
      </c>
      <c r="D275">
        <v>500</v>
      </c>
      <c r="E275">
        <f t="shared" si="13"/>
        <v>0</v>
      </c>
      <c r="F275">
        <f t="shared" si="14"/>
        <v>0</v>
      </c>
      <c r="G275">
        <v>500</v>
      </c>
      <c r="H275" s="434">
        <f t="shared" si="15"/>
        <v>1.8571723065894332E-4</v>
      </c>
    </row>
    <row r="276" spans="2:8" hidden="1">
      <c r="B276" s="1808" t="s">
        <v>1692</v>
      </c>
      <c r="C276" t="s">
        <v>1693</v>
      </c>
      <c r="D276">
        <v>1000</v>
      </c>
      <c r="E276">
        <f t="shared" si="13"/>
        <v>0</v>
      </c>
      <c r="F276">
        <f t="shared" si="14"/>
        <v>0</v>
      </c>
      <c r="G276">
        <v>1000</v>
      </c>
      <c r="H276" s="434">
        <f t="shared" si="15"/>
        <v>3.7143446131788664E-4</v>
      </c>
    </row>
    <row r="277" spans="2:8" hidden="1">
      <c r="B277" s="1808" t="s">
        <v>1694</v>
      </c>
      <c r="C277" t="s">
        <v>1695</v>
      </c>
      <c r="D277">
        <v>1000</v>
      </c>
      <c r="E277">
        <f t="shared" si="13"/>
        <v>0</v>
      </c>
      <c r="F277">
        <f t="shared" si="14"/>
        <v>0</v>
      </c>
      <c r="G277">
        <v>1000</v>
      </c>
      <c r="H277" s="434">
        <f t="shared" si="15"/>
        <v>3.7143446131788664E-4</v>
      </c>
    </row>
    <row r="278" spans="2:8" hidden="1">
      <c r="B278" s="1808" t="s">
        <v>1696</v>
      </c>
      <c r="C278" t="s">
        <v>1697</v>
      </c>
      <c r="D278">
        <v>1000</v>
      </c>
      <c r="E278">
        <f t="shared" si="13"/>
        <v>0</v>
      </c>
      <c r="F278">
        <f t="shared" si="14"/>
        <v>0</v>
      </c>
      <c r="G278">
        <v>1000</v>
      </c>
      <c r="H278" s="434">
        <f t="shared" si="15"/>
        <v>3.7143446131788664E-4</v>
      </c>
    </row>
    <row r="279" spans="2:8" hidden="1">
      <c r="B279" s="1808" t="s">
        <v>1698</v>
      </c>
      <c r="C279" t="s">
        <v>1699</v>
      </c>
      <c r="D279">
        <v>500</v>
      </c>
      <c r="E279">
        <f t="shared" si="13"/>
        <v>0</v>
      </c>
      <c r="F279">
        <f t="shared" si="14"/>
        <v>0</v>
      </c>
      <c r="G279">
        <v>500</v>
      </c>
      <c r="H279" s="434">
        <f t="shared" si="15"/>
        <v>1.8571723065894332E-4</v>
      </c>
    </row>
    <row r="280" spans="2:8" hidden="1">
      <c r="B280" s="1808" t="s">
        <v>1700</v>
      </c>
      <c r="C280" t="s">
        <v>1701</v>
      </c>
      <c r="D280">
        <v>500</v>
      </c>
      <c r="E280">
        <f t="shared" si="13"/>
        <v>0</v>
      </c>
      <c r="F280">
        <f t="shared" si="14"/>
        <v>0</v>
      </c>
      <c r="G280">
        <v>500</v>
      </c>
      <c r="H280" s="434">
        <f t="shared" si="15"/>
        <v>1.8571723065894332E-4</v>
      </c>
    </row>
    <row r="281" spans="2:8" hidden="1">
      <c r="B281" s="1808" t="s">
        <v>1702</v>
      </c>
      <c r="C281" t="s">
        <v>1703</v>
      </c>
      <c r="D281">
        <v>600</v>
      </c>
      <c r="E281">
        <f t="shared" si="13"/>
        <v>0</v>
      </c>
      <c r="F281">
        <f t="shared" si="14"/>
        <v>0</v>
      </c>
      <c r="G281">
        <v>600</v>
      </c>
      <c r="H281" s="434">
        <f t="shared" si="15"/>
        <v>2.2286067679073195E-4</v>
      </c>
    </row>
    <row r="282" spans="2:8" hidden="1">
      <c r="B282" s="1808" t="s">
        <v>1704</v>
      </c>
      <c r="C282" t="s">
        <v>1705</v>
      </c>
      <c r="D282">
        <v>1000</v>
      </c>
      <c r="E282">
        <f t="shared" si="13"/>
        <v>0</v>
      </c>
      <c r="F282">
        <f t="shared" si="14"/>
        <v>0</v>
      </c>
      <c r="G282">
        <v>1000</v>
      </c>
      <c r="H282" s="434">
        <f t="shared" si="15"/>
        <v>3.7143446131788664E-4</v>
      </c>
    </row>
    <row r="283" spans="2:8" hidden="1">
      <c r="B283" s="1808" t="s">
        <v>1706</v>
      </c>
      <c r="C283" t="s">
        <v>1707</v>
      </c>
      <c r="D283">
        <v>600</v>
      </c>
      <c r="E283">
        <f t="shared" si="13"/>
        <v>0</v>
      </c>
      <c r="F283">
        <f t="shared" si="14"/>
        <v>0</v>
      </c>
      <c r="G283">
        <v>600</v>
      </c>
      <c r="H283" s="434">
        <f t="shared" si="15"/>
        <v>2.2286067679073195E-4</v>
      </c>
    </row>
    <row r="284" spans="2:8" hidden="1">
      <c r="B284" s="1808" t="s">
        <v>1708</v>
      </c>
      <c r="C284" t="s">
        <v>1709</v>
      </c>
      <c r="D284">
        <v>1000</v>
      </c>
      <c r="E284">
        <f t="shared" si="13"/>
        <v>0</v>
      </c>
      <c r="F284">
        <f t="shared" si="14"/>
        <v>0</v>
      </c>
      <c r="G284">
        <v>1000</v>
      </c>
      <c r="H284" s="434">
        <f t="shared" si="15"/>
        <v>3.7143446131788664E-4</v>
      </c>
    </row>
    <row r="285" spans="2:8" hidden="1">
      <c r="B285" s="1808" t="s">
        <v>1710</v>
      </c>
      <c r="C285" t="s">
        <v>1711</v>
      </c>
      <c r="D285">
        <v>500</v>
      </c>
      <c r="E285">
        <f t="shared" si="13"/>
        <v>0</v>
      </c>
      <c r="F285">
        <f t="shared" si="14"/>
        <v>0</v>
      </c>
      <c r="G285">
        <v>500</v>
      </c>
      <c r="H285" s="434">
        <f t="shared" si="15"/>
        <v>1.8571723065894332E-4</v>
      </c>
    </row>
    <row r="286" spans="2:8" hidden="1">
      <c r="B286" s="1808" t="s">
        <v>1712</v>
      </c>
      <c r="C286" t="s">
        <v>1713</v>
      </c>
      <c r="D286">
        <v>100</v>
      </c>
      <c r="E286">
        <f t="shared" si="13"/>
        <v>0</v>
      </c>
      <c r="F286">
        <f t="shared" si="14"/>
        <v>0</v>
      </c>
      <c r="G286">
        <v>100</v>
      </c>
      <c r="H286" s="434">
        <f t="shared" si="15"/>
        <v>3.7143446131788664E-5</v>
      </c>
    </row>
    <row r="287" spans="2:8" hidden="1">
      <c r="B287" s="1808" t="s">
        <v>1714</v>
      </c>
      <c r="C287" t="s">
        <v>1715</v>
      </c>
      <c r="D287">
        <v>1000</v>
      </c>
      <c r="E287">
        <f t="shared" si="13"/>
        <v>0</v>
      </c>
      <c r="F287">
        <f t="shared" si="14"/>
        <v>0</v>
      </c>
      <c r="G287">
        <v>1000</v>
      </c>
      <c r="H287" s="434">
        <f t="shared" si="15"/>
        <v>3.7143446131788664E-4</v>
      </c>
    </row>
    <row r="288" spans="2:8" hidden="1">
      <c r="B288" s="1808" t="s">
        <v>1716</v>
      </c>
      <c r="C288" t="s">
        <v>1717</v>
      </c>
      <c r="D288">
        <v>1000</v>
      </c>
      <c r="E288">
        <f t="shared" si="13"/>
        <v>0</v>
      </c>
      <c r="F288">
        <f t="shared" si="14"/>
        <v>0</v>
      </c>
      <c r="G288">
        <v>1000</v>
      </c>
      <c r="H288" s="434">
        <f t="shared" si="15"/>
        <v>3.7143446131788664E-4</v>
      </c>
    </row>
    <row r="289" spans="2:8" hidden="1">
      <c r="B289" s="1808" t="s">
        <v>1718</v>
      </c>
      <c r="C289" t="s">
        <v>1719</v>
      </c>
      <c r="D289">
        <v>1000</v>
      </c>
      <c r="E289">
        <f t="shared" si="13"/>
        <v>0</v>
      </c>
      <c r="F289">
        <f t="shared" si="14"/>
        <v>0</v>
      </c>
      <c r="G289">
        <v>1000</v>
      </c>
      <c r="H289" s="434">
        <f t="shared" si="15"/>
        <v>3.7143446131788664E-4</v>
      </c>
    </row>
    <row r="290" spans="2:8" hidden="1">
      <c r="B290" s="1808" t="s">
        <v>1720</v>
      </c>
      <c r="C290" t="s">
        <v>1721</v>
      </c>
      <c r="D290">
        <v>1500</v>
      </c>
      <c r="E290">
        <f t="shared" si="13"/>
        <v>0</v>
      </c>
      <c r="F290">
        <f t="shared" si="14"/>
        <v>0</v>
      </c>
      <c r="G290">
        <v>1500</v>
      </c>
      <c r="H290" s="434">
        <f t="shared" si="15"/>
        <v>5.5715169197682987E-4</v>
      </c>
    </row>
    <row r="291" spans="2:8" hidden="1">
      <c r="B291" s="1808" t="s">
        <v>1722</v>
      </c>
      <c r="C291" t="s">
        <v>1723</v>
      </c>
      <c r="D291">
        <v>1000</v>
      </c>
      <c r="E291">
        <f t="shared" si="13"/>
        <v>0</v>
      </c>
      <c r="F291">
        <f t="shared" si="14"/>
        <v>0</v>
      </c>
      <c r="G291">
        <v>1000</v>
      </c>
      <c r="H291" s="434">
        <f t="shared" si="15"/>
        <v>3.7143446131788664E-4</v>
      </c>
    </row>
    <row r="292" spans="2:8" hidden="1">
      <c r="B292" s="1808" t="s">
        <v>1724</v>
      </c>
      <c r="C292" t="s">
        <v>1725</v>
      </c>
      <c r="D292">
        <v>500</v>
      </c>
      <c r="E292">
        <f t="shared" si="13"/>
        <v>0</v>
      </c>
      <c r="F292">
        <f t="shared" si="14"/>
        <v>0</v>
      </c>
      <c r="G292">
        <v>500</v>
      </c>
      <c r="H292" s="434">
        <f t="shared" si="15"/>
        <v>1.8571723065894332E-4</v>
      </c>
    </row>
    <row r="293" spans="2:8" hidden="1">
      <c r="B293" s="1808" t="s">
        <v>1726</v>
      </c>
      <c r="C293" t="s">
        <v>1727</v>
      </c>
      <c r="D293">
        <v>1600</v>
      </c>
      <c r="E293">
        <f t="shared" si="13"/>
        <v>0</v>
      </c>
      <c r="F293">
        <f t="shared" si="14"/>
        <v>0</v>
      </c>
      <c r="G293">
        <v>1600</v>
      </c>
      <c r="H293" s="434">
        <f t="shared" si="15"/>
        <v>5.9429513810861862E-4</v>
      </c>
    </row>
    <row r="294" spans="2:8" hidden="1">
      <c r="B294" s="1808" t="s">
        <v>1728</v>
      </c>
      <c r="C294" t="s">
        <v>1729</v>
      </c>
      <c r="D294">
        <v>500</v>
      </c>
      <c r="E294">
        <f t="shared" si="13"/>
        <v>0</v>
      </c>
      <c r="F294">
        <f t="shared" si="14"/>
        <v>0</v>
      </c>
      <c r="G294">
        <v>500</v>
      </c>
      <c r="H294" s="434">
        <f t="shared" si="15"/>
        <v>1.8571723065894332E-4</v>
      </c>
    </row>
    <row r="295" spans="2:8" hidden="1">
      <c r="B295" s="1808" t="s">
        <v>1730</v>
      </c>
      <c r="C295" t="s">
        <v>1731</v>
      </c>
      <c r="D295">
        <v>2100</v>
      </c>
      <c r="E295">
        <f t="shared" si="13"/>
        <v>0</v>
      </c>
      <c r="F295">
        <f t="shared" si="14"/>
        <v>0</v>
      </c>
      <c r="G295">
        <v>2100</v>
      </c>
      <c r="H295" s="434">
        <f t="shared" si="15"/>
        <v>7.8001236876756191E-4</v>
      </c>
    </row>
    <row r="296" spans="2:8" hidden="1">
      <c r="B296" s="1808" t="s">
        <v>1732</v>
      </c>
      <c r="C296" t="s">
        <v>1733</v>
      </c>
      <c r="D296">
        <v>500</v>
      </c>
      <c r="E296">
        <f t="shared" si="13"/>
        <v>0</v>
      </c>
      <c r="F296">
        <f t="shared" si="14"/>
        <v>0</v>
      </c>
      <c r="G296">
        <v>500</v>
      </c>
      <c r="H296" s="434">
        <f t="shared" si="15"/>
        <v>1.8571723065894332E-4</v>
      </c>
    </row>
    <row r="297" spans="2:8" hidden="1">
      <c r="B297" s="1808" t="s">
        <v>1734</v>
      </c>
      <c r="C297" t="s">
        <v>1735</v>
      </c>
      <c r="D297">
        <v>1000</v>
      </c>
      <c r="E297">
        <f t="shared" si="13"/>
        <v>0</v>
      </c>
      <c r="F297">
        <f t="shared" si="14"/>
        <v>0</v>
      </c>
      <c r="G297">
        <v>1000</v>
      </c>
      <c r="H297" s="434">
        <f t="shared" si="15"/>
        <v>3.7143446131788664E-4</v>
      </c>
    </row>
    <row r="298" spans="2:8" hidden="1">
      <c r="B298" s="1808" t="s">
        <v>1736</v>
      </c>
      <c r="C298" t="s">
        <v>1737</v>
      </c>
      <c r="D298">
        <v>500</v>
      </c>
      <c r="E298">
        <f t="shared" si="13"/>
        <v>0</v>
      </c>
      <c r="F298">
        <f t="shared" si="14"/>
        <v>0</v>
      </c>
      <c r="G298">
        <v>500</v>
      </c>
      <c r="H298" s="434">
        <f t="shared" si="15"/>
        <v>1.8571723065894332E-4</v>
      </c>
    </row>
    <row r="299" spans="2:8" hidden="1">
      <c r="B299" s="1808" t="s">
        <v>1738</v>
      </c>
      <c r="C299" t="s">
        <v>1739</v>
      </c>
      <c r="D299">
        <v>1000</v>
      </c>
      <c r="E299">
        <f t="shared" si="13"/>
        <v>0</v>
      </c>
      <c r="F299">
        <f t="shared" si="14"/>
        <v>0</v>
      </c>
      <c r="G299">
        <v>1000</v>
      </c>
      <c r="H299" s="434">
        <f t="shared" si="15"/>
        <v>3.7143446131788664E-4</v>
      </c>
    </row>
    <row r="300" spans="2:8" hidden="1">
      <c r="B300" s="1808" t="s">
        <v>1740</v>
      </c>
      <c r="C300" t="s">
        <v>1741</v>
      </c>
      <c r="D300">
        <v>1000</v>
      </c>
      <c r="E300">
        <f t="shared" si="13"/>
        <v>0</v>
      </c>
      <c r="F300">
        <f t="shared" si="14"/>
        <v>0</v>
      </c>
      <c r="G300">
        <v>1000</v>
      </c>
      <c r="H300" s="434">
        <f t="shared" si="15"/>
        <v>3.7143446131788664E-4</v>
      </c>
    </row>
    <row r="301" spans="2:8" hidden="1">
      <c r="B301" s="1808" t="s">
        <v>1742</v>
      </c>
      <c r="C301" t="s">
        <v>1743</v>
      </c>
      <c r="D301">
        <v>500</v>
      </c>
      <c r="E301">
        <f t="shared" si="13"/>
        <v>0</v>
      </c>
      <c r="F301">
        <f t="shared" si="14"/>
        <v>0</v>
      </c>
      <c r="G301">
        <v>500</v>
      </c>
      <c r="H301" s="434">
        <f t="shared" si="15"/>
        <v>1.8571723065894332E-4</v>
      </c>
    </row>
    <row r="302" spans="2:8" hidden="1">
      <c r="B302" s="1808" t="s">
        <v>1744</v>
      </c>
      <c r="C302" t="s">
        <v>1745</v>
      </c>
      <c r="D302">
        <v>1000</v>
      </c>
      <c r="E302">
        <f t="shared" si="13"/>
        <v>0</v>
      </c>
      <c r="F302">
        <f t="shared" si="14"/>
        <v>0</v>
      </c>
      <c r="G302">
        <v>1000</v>
      </c>
      <c r="H302" s="434">
        <f t="shared" si="15"/>
        <v>3.7143446131788664E-4</v>
      </c>
    </row>
    <row r="303" spans="2:8" hidden="1">
      <c r="B303" s="1808" t="s">
        <v>1746</v>
      </c>
      <c r="C303" t="s">
        <v>1747</v>
      </c>
      <c r="D303">
        <v>1000</v>
      </c>
      <c r="E303">
        <f t="shared" si="13"/>
        <v>0</v>
      </c>
      <c r="F303">
        <f t="shared" si="14"/>
        <v>0</v>
      </c>
      <c r="G303">
        <v>1000</v>
      </c>
      <c r="H303" s="434">
        <f t="shared" si="15"/>
        <v>3.7143446131788664E-4</v>
      </c>
    </row>
    <row r="304" spans="2:8" hidden="1">
      <c r="B304" s="1808" t="s">
        <v>1748</v>
      </c>
      <c r="C304" t="s">
        <v>1749</v>
      </c>
      <c r="D304">
        <v>1000</v>
      </c>
      <c r="E304">
        <f t="shared" si="13"/>
        <v>0</v>
      </c>
      <c r="F304">
        <f t="shared" si="14"/>
        <v>0</v>
      </c>
      <c r="G304">
        <v>1000</v>
      </c>
      <c r="H304" s="434">
        <f t="shared" si="15"/>
        <v>3.7143446131788664E-4</v>
      </c>
    </row>
    <row r="305" spans="2:8" hidden="1">
      <c r="B305" s="1808" t="s">
        <v>1750</v>
      </c>
      <c r="C305" t="s">
        <v>1751</v>
      </c>
      <c r="D305">
        <v>1000</v>
      </c>
      <c r="E305">
        <f t="shared" si="13"/>
        <v>0</v>
      </c>
      <c r="F305">
        <f t="shared" si="14"/>
        <v>0</v>
      </c>
      <c r="G305">
        <v>1000</v>
      </c>
      <c r="H305" s="434">
        <f t="shared" si="15"/>
        <v>3.7143446131788664E-4</v>
      </c>
    </row>
    <row r="306" spans="2:8" hidden="1">
      <c r="B306" s="1808" t="s">
        <v>1752</v>
      </c>
      <c r="C306" t="s">
        <v>1753</v>
      </c>
      <c r="D306">
        <v>575</v>
      </c>
      <c r="E306">
        <f t="shared" si="13"/>
        <v>0</v>
      </c>
      <c r="F306">
        <f t="shared" si="14"/>
        <v>0</v>
      </c>
      <c r="G306">
        <v>575</v>
      </c>
      <c r="H306" s="434">
        <f t="shared" si="15"/>
        <v>2.135748152577848E-4</v>
      </c>
    </row>
    <row r="307" spans="2:8" hidden="1">
      <c r="B307" s="1808" t="s">
        <v>1754</v>
      </c>
      <c r="C307" t="s">
        <v>1755</v>
      </c>
      <c r="D307">
        <v>500</v>
      </c>
      <c r="E307">
        <f t="shared" si="13"/>
        <v>0</v>
      </c>
      <c r="F307">
        <f t="shared" si="14"/>
        <v>0</v>
      </c>
      <c r="G307">
        <v>500</v>
      </c>
      <c r="H307" s="434">
        <f t="shared" si="15"/>
        <v>1.8571723065894332E-4</v>
      </c>
    </row>
    <row r="308" spans="2:8" hidden="1">
      <c r="B308" s="1808" t="s">
        <v>1756</v>
      </c>
      <c r="C308" t="s">
        <v>1757</v>
      </c>
      <c r="D308">
        <v>600</v>
      </c>
      <c r="E308">
        <f t="shared" si="13"/>
        <v>0</v>
      </c>
      <c r="F308">
        <f t="shared" si="14"/>
        <v>0</v>
      </c>
      <c r="G308">
        <v>600</v>
      </c>
      <c r="H308" s="434">
        <f t="shared" si="15"/>
        <v>2.2286067679073195E-4</v>
      </c>
    </row>
    <row r="309" spans="2:8" hidden="1">
      <c r="B309" s="1808" t="s">
        <v>1758</v>
      </c>
      <c r="C309" t="s">
        <v>1759</v>
      </c>
      <c r="D309">
        <v>500</v>
      </c>
      <c r="E309">
        <f t="shared" si="13"/>
        <v>0</v>
      </c>
      <c r="F309">
        <f t="shared" si="14"/>
        <v>0</v>
      </c>
      <c r="G309">
        <v>500</v>
      </c>
      <c r="H309" s="434">
        <f t="shared" si="15"/>
        <v>1.8571723065894332E-4</v>
      </c>
    </row>
    <row r="310" spans="2:8" hidden="1">
      <c r="B310" s="1808" t="s">
        <v>1760</v>
      </c>
      <c r="C310" t="s">
        <v>1761</v>
      </c>
      <c r="D310">
        <v>500</v>
      </c>
      <c r="E310">
        <f t="shared" si="13"/>
        <v>0</v>
      </c>
      <c r="F310">
        <f t="shared" si="14"/>
        <v>0</v>
      </c>
      <c r="G310">
        <v>500</v>
      </c>
      <c r="H310" s="434">
        <f t="shared" si="15"/>
        <v>1.8571723065894332E-4</v>
      </c>
    </row>
    <row r="311" spans="2:8" hidden="1">
      <c r="B311" s="1808" t="s">
        <v>1762</v>
      </c>
      <c r="C311" t="s">
        <v>1763</v>
      </c>
      <c r="D311">
        <v>500</v>
      </c>
      <c r="E311">
        <f t="shared" si="13"/>
        <v>0</v>
      </c>
      <c r="F311">
        <f t="shared" si="14"/>
        <v>0</v>
      </c>
      <c r="G311">
        <v>500</v>
      </c>
      <c r="H311" s="434">
        <f t="shared" si="15"/>
        <v>1.8571723065894332E-4</v>
      </c>
    </row>
    <row r="312" spans="2:8" hidden="1">
      <c r="B312" s="1808" t="s">
        <v>1764</v>
      </c>
      <c r="C312" t="s">
        <v>1765</v>
      </c>
      <c r="D312">
        <v>1000</v>
      </c>
      <c r="E312">
        <f t="shared" si="13"/>
        <v>0</v>
      </c>
      <c r="F312">
        <f t="shared" si="14"/>
        <v>0</v>
      </c>
      <c r="G312">
        <v>1000</v>
      </c>
      <c r="H312" s="434">
        <f t="shared" si="15"/>
        <v>3.7143446131788664E-4</v>
      </c>
    </row>
    <row r="313" spans="2:8" hidden="1">
      <c r="B313" s="1808" t="s">
        <v>1766</v>
      </c>
      <c r="C313" t="s">
        <v>1767</v>
      </c>
      <c r="D313">
        <v>1000</v>
      </c>
      <c r="E313">
        <f t="shared" si="13"/>
        <v>0</v>
      </c>
      <c r="F313">
        <f t="shared" si="14"/>
        <v>0</v>
      </c>
      <c r="G313">
        <v>1000</v>
      </c>
      <c r="H313" s="434">
        <f t="shared" si="15"/>
        <v>3.7143446131788664E-4</v>
      </c>
    </row>
    <row r="314" spans="2:8" hidden="1">
      <c r="B314" s="1808" t="s">
        <v>1768</v>
      </c>
      <c r="C314" t="s">
        <v>1769</v>
      </c>
      <c r="D314">
        <v>800</v>
      </c>
      <c r="E314">
        <f t="shared" si="13"/>
        <v>0</v>
      </c>
      <c r="F314">
        <f t="shared" si="14"/>
        <v>0</v>
      </c>
      <c r="G314">
        <v>800</v>
      </c>
      <c r="H314" s="434">
        <f t="shared" si="15"/>
        <v>2.9714756905430931E-4</v>
      </c>
    </row>
    <row r="315" spans="2:8" hidden="1">
      <c r="B315" s="1808" t="s">
        <v>1770</v>
      </c>
      <c r="C315" t="s">
        <v>1771</v>
      </c>
      <c r="D315">
        <v>500</v>
      </c>
      <c r="E315">
        <f t="shared" si="13"/>
        <v>0</v>
      </c>
      <c r="F315">
        <f t="shared" si="14"/>
        <v>0</v>
      </c>
      <c r="G315">
        <v>500</v>
      </c>
      <c r="H315" s="434">
        <f t="shared" si="15"/>
        <v>1.8571723065894332E-4</v>
      </c>
    </row>
    <row r="316" spans="2:8" hidden="1">
      <c r="B316" s="1808" t="s">
        <v>1772</v>
      </c>
      <c r="C316" t="s">
        <v>1773</v>
      </c>
      <c r="D316">
        <v>1000</v>
      </c>
      <c r="E316">
        <f t="shared" si="13"/>
        <v>0</v>
      </c>
      <c r="F316">
        <f t="shared" si="14"/>
        <v>0</v>
      </c>
      <c r="G316">
        <v>1000</v>
      </c>
      <c r="H316" s="434">
        <f t="shared" si="15"/>
        <v>3.7143446131788664E-4</v>
      </c>
    </row>
    <row r="317" spans="2:8" hidden="1">
      <c r="B317" s="1808" t="s">
        <v>1774</v>
      </c>
      <c r="C317" t="s">
        <v>1775</v>
      </c>
      <c r="D317">
        <v>1700</v>
      </c>
      <c r="E317">
        <f t="shared" si="13"/>
        <v>0</v>
      </c>
      <c r="F317">
        <f t="shared" si="14"/>
        <v>0</v>
      </c>
      <c r="G317">
        <v>1700</v>
      </c>
      <c r="H317" s="434">
        <f t="shared" si="15"/>
        <v>6.3143858424040725E-4</v>
      </c>
    </row>
    <row r="318" spans="2:8" hidden="1">
      <c r="B318" s="1808" t="s">
        <v>1776</v>
      </c>
      <c r="C318" t="s">
        <v>1777</v>
      </c>
      <c r="D318">
        <v>1700</v>
      </c>
      <c r="E318">
        <f t="shared" si="13"/>
        <v>0</v>
      </c>
      <c r="F318">
        <f t="shared" si="14"/>
        <v>0</v>
      </c>
      <c r="G318">
        <v>1700</v>
      </c>
      <c r="H318" s="434">
        <f t="shared" si="15"/>
        <v>6.3143858424040725E-4</v>
      </c>
    </row>
    <row r="319" spans="2:8" hidden="1">
      <c r="B319" s="1808" t="s">
        <v>1778</v>
      </c>
      <c r="C319" t="s">
        <v>1779</v>
      </c>
      <c r="D319">
        <v>1150</v>
      </c>
      <c r="E319">
        <f t="shared" si="13"/>
        <v>0</v>
      </c>
      <c r="F319">
        <f t="shared" si="14"/>
        <v>0</v>
      </c>
      <c r="G319">
        <v>1150</v>
      </c>
      <c r="H319" s="434">
        <f t="shared" si="15"/>
        <v>4.2714963051556959E-4</v>
      </c>
    </row>
    <row r="320" spans="2:8" hidden="1">
      <c r="B320" s="1808" t="s">
        <v>1780</v>
      </c>
      <c r="C320" t="s">
        <v>1781</v>
      </c>
      <c r="D320">
        <v>1000</v>
      </c>
      <c r="E320">
        <f t="shared" si="13"/>
        <v>0</v>
      </c>
      <c r="F320">
        <f t="shared" si="14"/>
        <v>0</v>
      </c>
      <c r="G320">
        <v>1000</v>
      </c>
      <c r="H320" s="434">
        <f t="shared" si="15"/>
        <v>3.7143446131788664E-4</v>
      </c>
    </row>
    <row r="321" spans="2:8" hidden="1">
      <c r="B321" s="1808" t="s">
        <v>1782</v>
      </c>
      <c r="C321" t="s">
        <v>1783</v>
      </c>
      <c r="D321">
        <v>2500</v>
      </c>
      <c r="E321">
        <f t="shared" si="13"/>
        <v>0</v>
      </c>
      <c r="F321">
        <f t="shared" si="14"/>
        <v>0</v>
      </c>
      <c r="G321">
        <v>2500</v>
      </c>
      <c r="H321" s="434">
        <f t="shared" si="15"/>
        <v>9.2858615329471656E-4</v>
      </c>
    </row>
    <row r="322" spans="2:8" hidden="1">
      <c r="B322" s="1808" t="s">
        <v>1784</v>
      </c>
      <c r="C322" t="s">
        <v>1785</v>
      </c>
      <c r="D322">
        <v>500</v>
      </c>
      <c r="E322">
        <f t="shared" si="13"/>
        <v>0</v>
      </c>
      <c r="F322">
        <f t="shared" si="14"/>
        <v>0</v>
      </c>
      <c r="G322">
        <v>500</v>
      </c>
      <c r="H322" s="434">
        <f t="shared" si="15"/>
        <v>1.8571723065894332E-4</v>
      </c>
    </row>
    <row r="323" spans="2:8" hidden="1">
      <c r="B323" s="1808" t="s">
        <v>1786</v>
      </c>
      <c r="C323" t="s">
        <v>1787</v>
      </c>
      <c r="D323">
        <v>1000</v>
      </c>
      <c r="E323">
        <f t="shared" si="13"/>
        <v>0</v>
      </c>
      <c r="F323">
        <f t="shared" si="14"/>
        <v>0</v>
      </c>
      <c r="G323">
        <v>1000</v>
      </c>
      <c r="H323" s="434">
        <f t="shared" si="15"/>
        <v>3.7143446131788664E-4</v>
      </c>
    </row>
    <row r="324" spans="2:8" hidden="1">
      <c r="B324" s="1808" t="s">
        <v>1788</v>
      </c>
      <c r="C324" t="s">
        <v>1789</v>
      </c>
      <c r="D324">
        <v>1500</v>
      </c>
      <c r="E324">
        <f t="shared" si="13"/>
        <v>0</v>
      </c>
      <c r="F324">
        <f t="shared" si="14"/>
        <v>0</v>
      </c>
      <c r="G324">
        <v>1500</v>
      </c>
      <c r="H324" s="434">
        <f t="shared" si="15"/>
        <v>5.5715169197682987E-4</v>
      </c>
    </row>
    <row r="325" spans="2:8" hidden="1">
      <c r="B325" s="1808" t="s">
        <v>1790</v>
      </c>
      <c r="C325" t="s">
        <v>1791</v>
      </c>
      <c r="D325">
        <v>1000</v>
      </c>
      <c r="E325">
        <f t="shared" ref="E325:E388" si="16">D325-G325</f>
        <v>0</v>
      </c>
      <c r="F325">
        <f t="shared" ref="F325:F388" si="17">G325-D325</f>
        <v>0</v>
      </c>
      <c r="G325">
        <v>1000</v>
      </c>
      <c r="H325" s="434">
        <f t="shared" ref="H325:H388" si="18">+G325/$G$409</f>
        <v>3.7143446131788664E-4</v>
      </c>
    </row>
    <row r="326" spans="2:8" hidden="1">
      <c r="B326" s="1808" t="s">
        <v>1792</v>
      </c>
      <c r="C326" t="s">
        <v>1793</v>
      </c>
      <c r="D326">
        <v>7500</v>
      </c>
      <c r="E326">
        <f t="shared" si="16"/>
        <v>0</v>
      </c>
      <c r="F326">
        <f t="shared" si="17"/>
        <v>0</v>
      </c>
      <c r="G326">
        <v>7500</v>
      </c>
      <c r="H326" s="434">
        <f t="shared" si="18"/>
        <v>2.7857584598841496E-3</v>
      </c>
    </row>
    <row r="327" spans="2:8" hidden="1">
      <c r="B327" s="1808" t="s">
        <v>1794</v>
      </c>
      <c r="C327" t="s">
        <v>1795</v>
      </c>
      <c r="D327">
        <v>500</v>
      </c>
      <c r="E327">
        <f t="shared" si="16"/>
        <v>0</v>
      </c>
      <c r="F327">
        <f t="shared" si="17"/>
        <v>0</v>
      </c>
      <c r="G327">
        <v>500</v>
      </c>
      <c r="H327" s="434">
        <f t="shared" si="18"/>
        <v>1.8571723065894332E-4</v>
      </c>
    </row>
    <row r="328" spans="2:8" hidden="1">
      <c r="B328" s="1808" t="s">
        <v>1798</v>
      </c>
      <c r="C328" t="s">
        <v>1799</v>
      </c>
      <c r="D328">
        <v>2500</v>
      </c>
      <c r="E328">
        <f t="shared" si="16"/>
        <v>0</v>
      </c>
      <c r="F328">
        <f t="shared" si="17"/>
        <v>0</v>
      </c>
      <c r="G328">
        <v>2500</v>
      </c>
      <c r="H328" s="434">
        <f t="shared" si="18"/>
        <v>9.2858615329471656E-4</v>
      </c>
    </row>
    <row r="329" spans="2:8" hidden="1">
      <c r="B329" s="1808" t="s">
        <v>1800</v>
      </c>
      <c r="C329" t="s">
        <v>1801</v>
      </c>
      <c r="D329">
        <v>1500</v>
      </c>
      <c r="E329">
        <f t="shared" si="16"/>
        <v>0</v>
      </c>
      <c r="F329">
        <f t="shared" si="17"/>
        <v>0</v>
      </c>
      <c r="G329">
        <v>1500</v>
      </c>
      <c r="H329" s="434">
        <f t="shared" si="18"/>
        <v>5.5715169197682987E-4</v>
      </c>
    </row>
    <row r="330" spans="2:8" hidden="1">
      <c r="B330" s="1808" t="s">
        <v>1804</v>
      </c>
      <c r="C330" t="s">
        <v>1805</v>
      </c>
      <c r="D330">
        <v>500</v>
      </c>
      <c r="E330">
        <f t="shared" si="16"/>
        <v>0</v>
      </c>
      <c r="F330">
        <f t="shared" si="17"/>
        <v>0</v>
      </c>
      <c r="G330">
        <v>500</v>
      </c>
      <c r="H330" s="434">
        <f t="shared" si="18"/>
        <v>1.8571723065894332E-4</v>
      </c>
    </row>
    <row r="331" spans="2:8" hidden="1">
      <c r="B331" s="1808" t="s">
        <v>1806</v>
      </c>
      <c r="C331" t="s">
        <v>1807</v>
      </c>
      <c r="D331">
        <v>1000</v>
      </c>
      <c r="E331">
        <f t="shared" si="16"/>
        <v>0</v>
      </c>
      <c r="F331">
        <f t="shared" si="17"/>
        <v>0</v>
      </c>
      <c r="G331">
        <v>1000</v>
      </c>
      <c r="H331" s="434">
        <f t="shared" si="18"/>
        <v>3.7143446131788664E-4</v>
      </c>
    </row>
    <row r="332" spans="2:8" hidden="1">
      <c r="B332" s="1808" t="s">
        <v>1808</v>
      </c>
      <c r="C332" t="s">
        <v>1809</v>
      </c>
      <c r="D332">
        <v>2875</v>
      </c>
      <c r="E332">
        <f t="shared" si="16"/>
        <v>0</v>
      </c>
      <c r="F332">
        <f t="shared" si="17"/>
        <v>0</v>
      </c>
      <c r="G332">
        <v>2875</v>
      </c>
      <c r="H332" s="434">
        <f t="shared" si="18"/>
        <v>1.0678740762889241E-3</v>
      </c>
    </row>
    <row r="333" spans="2:8" hidden="1">
      <c r="B333" s="1808" t="s">
        <v>1812</v>
      </c>
      <c r="C333" t="s">
        <v>1813</v>
      </c>
      <c r="D333">
        <v>1000</v>
      </c>
      <c r="E333">
        <f t="shared" si="16"/>
        <v>0</v>
      </c>
      <c r="F333">
        <f t="shared" si="17"/>
        <v>0</v>
      </c>
      <c r="G333">
        <v>1000</v>
      </c>
      <c r="H333" s="434">
        <f t="shared" si="18"/>
        <v>3.7143446131788664E-4</v>
      </c>
    </row>
    <row r="334" spans="2:8" hidden="1">
      <c r="B334" s="1808" t="s">
        <v>1814</v>
      </c>
      <c r="C334" t="s">
        <v>1815</v>
      </c>
      <c r="D334">
        <v>500</v>
      </c>
      <c r="E334">
        <f t="shared" si="16"/>
        <v>0</v>
      </c>
      <c r="F334">
        <f t="shared" si="17"/>
        <v>0</v>
      </c>
      <c r="G334">
        <v>500</v>
      </c>
      <c r="H334" s="434">
        <f t="shared" si="18"/>
        <v>1.8571723065894332E-4</v>
      </c>
    </row>
    <row r="335" spans="2:8" hidden="1">
      <c r="B335" s="1808" t="s">
        <v>1816</v>
      </c>
      <c r="C335" t="s">
        <v>1817</v>
      </c>
      <c r="D335">
        <v>1000</v>
      </c>
      <c r="E335">
        <f t="shared" si="16"/>
        <v>0</v>
      </c>
      <c r="F335">
        <f t="shared" si="17"/>
        <v>0</v>
      </c>
      <c r="G335">
        <v>1000</v>
      </c>
      <c r="H335" s="434">
        <f t="shared" si="18"/>
        <v>3.7143446131788664E-4</v>
      </c>
    </row>
    <row r="336" spans="2:8" hidden="1">
      <c r="B336" s="1808" t="s">
        <v>1818</v>
      </c>
      <c r="C336" t="s">
        <v>1819</v>
      </c>
      <c r="D336">
        <v>1000</v>
      </c>
      <c r="E336">
        <f t="shared" si="16"/>
        <v>0</v>
      </c>
      <c r="F336">
        <f t="shared" si="17"/>
        <v>0</v>
      </c>
      <c r="G336">
        <v>1000</v>
      </c>
      <c r="H336" s="434">
        <f t="shared" si="18"/>
        <v>3.7143446131788664E-4</v>
      </c>
    </row>
    <row r="337" spans="2:8" hidden="1">
      <c r="B337" s="1808" t="s">
        <v>1820</v>
      </c>
      <c r="C337" t="s">
        <v>1821</v>
      </c>
      <c r="D337">
        <v>500</v>
      </c>
      <c r="E337">
        <f t="shared" si="16"/>
        <v>0</v>
      </c>
      <c r="F337">
        <f t="shared" si="17"/>
        <v>0</v>
      </c>
      <c r="G337">
        <v>500</v>
      </c>
      <c r="H337" s="434">
        <f t="shared" si="18"/>
        <v>1.8571723065894332E-4</v>
      </c>
    </row>
    <row r="338" spans="2:8" hidden="1">
      <c r="B338" s="1808" t="s">
        <v>1824</v>
      </c>
      <c r="C338" t="s">
        <v>1825</v>
      </c>
      <c r="D338">
        <v>2500</v>
      </c>
      <c r="E338">
        <f t="shared" si="16"/>
        <v>0</v>
      </c>
      <c r="F338">
        <f t="shared" si="17"/>
        <v>0</v>
      </c>
      <c r="G338">
        <v>2500</v>
      </c>
      <c r="H338" s="434">
        <f t="shared" si="18"/>
        <v>9.2858615329471656E-4</v>
      </c>
    </row>
    <row r="339" spans="2:8" hidden="1">
      <c r="B339" s="1808" t="s">
        <v>1826</v>
      </c>
      <c r="C339" t="s">
        <v>1827</v>
      </c>
      <c r="D339">
        <v>2500</v>
      </c>
      <c r="E339">
        <f t="shared" si="16"/>
        <v>0</v>
      </c>
      <c r="F339">
        <f t="shared" si="17"/>
        <v>0</v>
      </c>
      <c r="G339">
        <v>2500</v>
      </c>
      <c r="H339" s="434">
        <f t="shared" si="18"/>
        <v>9.2858615329471656E-4</v>
      </c>
    </row>
    <row r="340" spans="2:8" hidden="1">
      <c r="B340" s="1808" t="s">
        <v>1828</v>
      </c>
      <c r="C340" t="s">
        <v>1829</v>
      </c>
      <c r="D340">
        <v>100</v>
      </c>
      <c r="E340">
        <f t="shared" si="16"/>
        <v>0</v>
      </c>
      <c r="F340">
        <f t="shared" si="17"/>
        <v>0</v>
      </c>
      <c r="G340">
        <v>100</v>
      </c>
      <c r="H340" s="434">
        <f t="shared" si="18"/>
        <v>3.7143446131788664E-5</v>
      </c>
    </row>
    <row r="341" spans="2:8" hidden="1">
      <c r="B341" s="1808" t="s">
        <v>1831</v>
      </c>
      <c r="C341" t="s">
        <v>1832</v>
      </c>
      <c r="D341">
        <v>800</v>
      </c>
      <c r="E341">
        <f t="shared" si="16"/>
        <v>0</v>
      </c>
      <c r="F341">
        <f t="shared" si="17"/>
        <v>0</v>
      </c>
      <c r="G341">
        <v>800</v>
      </c>
      <c r="H341" s="434">
        <f t="shared" si="18"/>
        <v>2.9714756905430931E-4</v>
      </c>
    </row>
    <row r="342" spans="2:8" hidden="1">
      <c r="B342" s="1808" t="s">
        <v>1833</v>
      </c>
      <c r="C342" t="s">
        <v>1834</v>
      </c>
      <c r="D342">
        <v>500</v>
      </c>
      <c r="E342">
        <f t="shared" si="16"/>
        <v>0</v>
      </c>
      <c r="F342">
        <f t="shared" si="17"/>
        <v>0</v>
      </c>
      <c r="G342">
        <v>500</v>
      </c>
      <c r="H342" s="434">
        <f t="shared" si="18"/>
        <v>1.8571723065894332E-4</v>
      </c>
    </row>
    <row r="343" spans="2:8" hidden="1">
      <c r="B343" s="1808" t="s">
        <v>1835</v>
      </c>
      <c r="C343" t="s">
        <v>1836</v>
      </c>
      <c r="D343">
        <v>1000</v>
      </c>
      <c r="E343">
        <f t="shared" si="16"/>
        <v>0</v>
      </c>
      <c r="F343">
        <f t="shared" si="17"/>
        <v>0</v>
      </c>
      <c r="G343">
        <v>1000</v>
      </c>
      <c r="H343" s="434">
        <f t="shared" si="18"/>
        <v>3.7143446131788664E-4</v>
      </c>
    </row>
    <row r="344" spans="2:8" hidden="1">
      <c r="B344" s="1808" t="s">
        <v>1837</v>
      </c>
      <c r="C344" t="s">
        <v>1838</v>
      </c>
      <c r="D344">
        <v>2100</v>
      </c>
      <c r="E344">
        <f t="shared" si="16"/>
        <v>0</v>
      </c>
      <c r="F344">
        <f t="shared" si="17"/>
        <v>0</v>
      </c>
      <c r="G344">
        <v>2100</v>
      </c>
      <c r="H344" s="434">
        <f t="shared" si="18"/>
        <v>7.8001236876756191E-4</v>
      </c>
    </row>
    <row r="345" spans="2:8" hidden="1">
      <c r="B345" s="1808" t="s">
        <v>1839</v>
      </c>
      <c r="C345" t="s">
        <v>1840</v>
      </c>
      <c r="D345">
        <v>500</v>
      </c>
      <c r="E345">
        <f t="shared" si="16"/>
        <v>0</v>
      </c>
      <c r="F345">
        <f t="shared" si="17"/>
        <v>0</v>
      </c>
      <c r="G345">
        <v>500</v>
      </c>
      <c r="H345" s="434">
        <f t="shared" si="18"/>
        <v>1.8571723065894332E-4</v>
      </c>
    </row>
    <row r="346" spans="2:8" hidden="1">
      <c r="B346" s="1808" t="s">
        <v>1841</v>
      </c>
      <c r="C346" t="s">
        <v>1842</v>
      </c>
      <c r="D346">
        <v>500</v>
      </c>
      <c r="E346">
        <f t="shared" si="16"/>
        <v>0</v>
      </c>
      <c r="F346">
        <f t="shared" si="17"/>
        <v>0</v>
      </c>
      <c r="G346">
        <v>500</v>
      </c>
      <c r="H346" s="434">
        <f t="shared" si="18"/>
        <v>1.8571723065894332E-4</v>
      </c>
    </row>
    <row r="347" spans="2:8" hidden="1">
      <c r="B347" s="1808" t="s">
        <v>1843</v>
      </c>
      <c r="C347" t="s">
        <v>1844</v>
      </c>
      <c r="D347">
        <v>500</v>
      </c>
      <c r="E347">
        <f t="shared" si="16"/>
        <v>0</v>
      </c>
      <c r="F347">
        <f t="shared" si="17"/>
        <v>0</v>
      </c>
      <c r="G347">
        <v>500</v>
      </c>
      <c r="H347" s="434">
        <f t="shared" si="18"/>
        <v>1.8571723065894332E-4</v>
      </c>
    </row>
    <row r="348" spans="2:8" hidden="1">
      <c r="B348" s="1808" t="s">
        <v>1845</v>
      </c>
      <c r="C348" t="s">
        <v>1846</v>
      </c>
      <c r="D348">
        <v>1000</v>
      </c>
      <c r="E348">
        <f t="shared" si="16"/>
        <v>0</v>
      </c>
      <c r="F348">
        <f t="shared" si="17"/>
        <v>0</v>
      </c>
      <c r="G348">
        <v>1000</v>
      </c>
      <c r="H348" s="434">
        <f t="shared" si="18"/>
        <v>3.7143446131788664E-4</v>
      </c>
    </row>
    <row r="349" spans="2:8" hidden="1">
      <c r="B349" s="1808" t="s">
        <v>1847</v>
      </c>
      <c r="C349" t="s">
        <v>1848</v>
      </c>
      <c r="D349">
        <v>1000</v>
      </c>
      <c r="E349">
        <f t="shared" si="16"/>
        <v>0</v>
      </c>
      <c r="F349">
        <f t="shared" si="17"/>
        <v>0</v>
      </c>
      <c r="G349">
        <v>1000</v>
      </c>
      <c r="H349" s="434">
        <f t="shared" si="18"/>
        <v>3.7143446131788664E-4</v>
      </c>
    </row>
    <row r="350" spans="2:8" hidden="1">
      <c r="B350" s="1808" t="s">
        <v>1851</v>
      </c>
      <c r="C350" t="s">
        <v>1852</v>
      </c>
      <c r="D350">
        <v>1000</v>
      </c>
      <c r="E350">
        <f t="shared" si="16"/>
        <v>0</v>
      </c>
      <c r="F350">
        <f t="shared" si="17"/>
        <v>0</v>
      </c>
      <c r="G350">
        <v>1000</v>
      </c>
      <c r="H350" s="434">
        <f t="shared" si="18"/>
        <v>3.7143446131788664E-4</v>
      </c>
    </row>
    <row r="351" spans="2:8" hidden="1">
      <c r="B351" s="1808" t="s">
        <v>1853</v>
      </c>
      <c r="C351" t="s">
        <v>1854</v>
      </c>
      <c r="D351">
        <v>800</v>
      </c>
      <c r="E351">
        <f t="shared" si="16"/>
        <v>0</v>
      </c>
      <c r="F351">
        <f t="shared" si="17"/>
        <v>0</v>
      </c>
      <c r="G351">
        <v>800</v>
      </c>
      <c r="H351" s="434">
        <f t="shared" si="18"/>
        <v>2.9714756905430931E-4</v>
      </c>
    </row>
    <row r="352" spans="2:8" hidden="1">
      <c r="B352" s="1808" t="s">
        <v>1855</v>
      </c>
      <c r="C352" t="s">
        <v>1856</v>
      </c>
      <c r="D352">
        <v>800</v>
      </c>
      <c r="E352">
        <f t="shared" si="16"/>
        <v>0</v>
      </c>
      <c r="F352">
        <f t="shared" si="17"/>
        <v>0</v>
      </c>
      <c r="G352">
        <v>800</v>
      </c>
      <c r="H352" s="434">
        <f t="shared" si="18"/>
        <v>2.9714756905430931E-4</v>
      </c>
    </row>
    <row r="353" spans="2:8" hidden="1">
      <c r="B353" s="1808" t="s">
        <v>1857</v>
      </c>
      <c r="C353" t="s">
        <v>1858</v>
      </c>
      <c r="D353">
        <v>575</v>
      </c>
      <c r="E353">
        <f t="shared" si="16"/>
        <v>0</v>
      </c>
      <c r="F353">
        <f t="shared" si="17"/>
        <v>0</v>
      </c>
      <c r="G353">
        <v>575</v>
      </c>
      <c r="H353" s="434">
        <f t="shared" si="18"/>
        <v>2.135748152577848E-4</v>
      </c>
    </row>
    <row r="354" spans="2:8" hidden="1">
      <c r="B354" s="1808" t="s">
        <v>1859</v>
      </c>
      <c r="C354" t="s">
        <v>1860</v>
      </c>
      <c r="D354">
        <v>1000</v>
      </c>
      <c r="E354">
        <f t="shared" si="16"/>
        <v>0</v>
      </c>
      <c r="F354">
        <f t="shared" si="17"/>
        <v>0</v>
      </c>
      <c r="G354">
        <v>1000</v>
      </c>
      <c r="H354" s="434">
        <f t="shared" si="18"/>
        <v>3.7143446131788664E-4</v>
      </c>
    </row>
    <row r="355" spans="2:8" hidden="1">
      <c r="B355" s="1808" t="s">
        <v>1861</v>
      </c>
      <c r="C355" t="s">
        <v>1862</v>
      </c>
      <c r="D355">
        <v>600</v>
      </c>
      <c r="E355">
        <f t="shared" si="16"/>
        <v>0</v>
      </c>
      <c r="F355">
        <f t="shared" si="17"/>
        <v>0</v>
      </c>
      <c r="G355">
        <v>600</v>
      </c>
      <c r="H355" s="434">
        <f t="shared" si="18"/>
        <v>2.2286067679073195E-4</v>
      </c>
    </row>
    <row r="356" spans="2:8" hidden="1">
      <c r="B356" s="1808" t="s">
        <v>1863</v>
      </c>
      <c r="C356" t="s">
        <v>1864</v>
      </c>
      <c r="D356">
        <v>575</v>
      </c>
      <c r="E356">
        <f t="shared" si="16"/>
        <v>0</v>
      </c>
      <c r="F356">
        <f t="shared" si="17"/>
        <v>0</v>
      </c>
      <c r="G356">
        <v>575</v>
      </c>
      <c r="H356" s="434">
        <f t="shared" si="18"/>
        <v>2.135748152577848E-4</v>
      </c>
    </row>
    <row r="357" spans="2:8" hidden="1">
      <c r="B357" s="1808" t="s">
        <v>1865</v>
      </c>
      <c r="C357" t="s">
        <v>1866</v>
      </c>
      <c r="D357">
        <v>1700</v>
      </c>
      <c r="E357">
        <f t="shared" si="16"/>
        <v>0</v>
      </c>
      <c r="F357">
        <f t="shared" si="17"/>
        <v>0</v>
      </c>
      <c r="G357">
        <v>1700</v>
      </c>
      <c r="H357" s="434">
        <f t="shared" si="18"/>
        <v>6.3143858424040725E-4</v>
      </c>
    </row>
    <row r="358" spans="2:8" hidden="1">
      <c r="B358" s="1808" t="s">
        <v>1867</v>
      </c>
      <c r="C358" t="s">
        <v>1868</v>
      </c>
      <c r="D358">
        <v>500</v>
      </c>
      <c r="E358">
        <f t="shared" si="16"/>
        <v>0</v>
      </c>
      <c r="F358">
        <f t="shared" si="17"/>
        <v>0</v>
      </c>
      <c r="G358">
        <v>500</v>
      </c>
      <c r="H358" s="434">
        <f t="shared" si="18"/>
        <v>1.8571723065894332E-4</v>
      </c>
    </row>
    <row r="359" spans="2:8" hidden="1">
      <c r="B359" s="1808" t="s">
        <v>1869</v>
      </c>
      <c r="C359" t="s">
        <v>1870</v>
      </c>
      <c r="D359">
        <v>500</v>
      </c>
      <c r="E359">
        <f t="shared" si="16"/>
        <v>0</v>
      </c>
      <c r="F359">
        <f t="shared" si="17"/>
        <v>0</v>
      </c>
      <c r="G359">
        <v>500</v>
      </c>
      <c r="H359" s="434">
        <f t="shared" si="18"/>
        <v>1.8571723065894332E-4</v>
      </c>
    </row>
    <row r="360" spans="2:8" hidden="1">
      <c r="B360" s="1808" t="s">
        <v>1871</v>
      </c>
      <c r="C360" t="s">
        <v>1872</v>
      </c>
      <c r="D360">
        <v>1000</v>
      </c>
      <c r="E360">
        <f t="shared" si="16"/>
        <v>0</v>
      </c>
      <c r="F360">
        <f t="shared" si="17"/>
        <v>0</v>
      </c>
      <c r="G360">
        <v>1000</v>
      </c>
      <c r="H360" s="434">
        <f t="shared" si="18"/>
        <v>3.7143446131788664E-4</v>
      </c>
    </row>
    <row r="361" spans="2:8" hidden="1">
      <c r="B361" s="1808" t="s">
        <v>1873</v>
      </c>
      <c r="C361" t="s">
        <v>1874</v>
      </c>
      <c r="D361">
        <v>1000</v>
      </c>
      <c r="E361">
        <f t="shared" si="16"/>
        <v>0</v>
      </c>
      <c r="F361">
        <f t="shared" si="17"/>
        <v>0</v>
      </c>
      <c r="G361">
        <v>1000</v>
      </c>
      <c r="H361" s="434">
        <f t="shared" si="18"/>
        <v>3.7143446131788664E-4</v>
      </c>
    </row>
    <row r="362" spans="2:8" hidden="1">
      <c r="B362" s="1808" t="s">
        <v>1875</v>
      </c>
      <c r="C362" t="s">
        <v>1876</v>
      </c>
      <c r="D362">
        <v>1000</v>
      </c>
      <c r="E362">
        <f t="shared" si="16"/>
        <v>0</v>
      </c>
      <c r="F362">
        <f t="shared" si="17"/>
        <v>0</v>
      </c>
      <c r="G362">
        <v>1000</v>
      </c>
      <c r="H362" s="434">
        <f t="shared" si="18"/>
        <v>3.7143446131788664E-4</v>
      </c>
    </row>
    <row r="363" spans="2:8" hidden="1">
      <c r="B363" s="1808" t="s">
        <v>1879</v>
      </c>
      <c r="C363" t="s">
        <v>1880</v>
      </c>
      <c r="D363">
        <v>500</v>
      </c>
      <c r="E363">
        <f t="shared" si="16"/>
        <v>0</v>
      </c>
      <c r="F363">
        <f t="shared" si="17"/>
        <v>0</v>
      </c>
      <c r="G363">
        <v>500</v>
      </c>
      <c r="H363" s="434">
        <f t="shared" si="18"/>
        <v>1.8571723065894332E-4</v>
      </c>
    </row>
    <row r="364" spans="2:8" hidden="1">
      <c r="B364" s="1808" t="s">
        <v>1881</v>
      </c>
      <c r="C364" t="s">
        <v>1882</v>
      </c>
      <c r="D364">
        <v>1000</v>
      </c>
      <c r="E364">
        <f t="shared" si="16"/>
        <v>0</v>
      </c>
      <c r="F364">
        <f t="shared" si="17"/>
        <v>0</v>
      </c>
      <c r="G364">
        <v>1000</v>
      </c>
      <c r="H364" s="434">
        <f t="shared" si="18"/>
        <v>3.7143446131788664E-4</v>
      </c>
    </row>
    <row r="365" spans="2:8" hidden="1">
      <c r="B365" s="1808" t="s">
        <v>1883</v>
      </c>
      <c r="C365" t="s">
        <v>1884</v>
      </c>
      <c r="D365">
        <v>1700</v>
      </c>
      <c r="E365">
        <f t="shared" si="16"/>
        <v>0</v>
      </c>
      <c r="F365">
        <f t="shared" si="17"/>
        <v>0</v>
      </c>
      <c r="G365">
        <v>1700</v>
      </c>
      <c r="H365" s="434">
        <f t="shared" si="18"/>
        <v>6.3143858424040725E-4</v>
      </c>
    </row>
    <row r="366" spans="2:8" hidden="1">
      <c r="B366" s="1808" t="s">
        <v>1885</v>
      </c>
      <c r="C366" t="s">
        <v>1886</v>
      </c>
      <c r="D366">
        <v>1000</v>
      </c>
      <c r="E366">
        <f t="shared" si="16"/>
        <v>0</v>
      </c>
      <c r="F366">
        <f t="shared" si="17"/>
        <v>0</v>
      </c>
      <c r="G366">
        <v>1000</v>
      </c>
      <c r="H366" s="434">
        <f t="shared" si="18"/>
        <v>3.7143446131788664E-4</v>
      </c>
    </row>
    <row r="367" spans="2:8" hidden="1">
      <c r="B367" s="1808" t="s">
        <v>1887</v>
      </c>
      <c r="C367" t="s">
        <v>1888</v>
      </c>
      <c r="D367">
        <v>600</v>
      </c>
      <c r="E367">
        <f t="shared" si="16"/>
        <v>0</v>
      </c>
      <c r="F367">
        <f t="shared" si="17"/>
        <v>0</v>
      </c>
      <c r="G367">
        <v>600</v>
      </c>
      <c r="H367" s="434">
        <f t="shared" si="18"/>
        <v>2.2286067679073195E-4</v>
      </c>
    </row>
    <row r="368" spans="2:8" hidden="1">
      <c r="B368" s="1808" t="s">
        <v>1889</v>
      </c>
      <c r="C368" t="s">
        <v>1890</v>
      </c>
      <c r="D368">
        <v>1700</v>
      </c>
      <c r="E368">
        <f t="shared" si="16"/>
        <v>0</v>
      </c>
      <c r="F368">
        <f t="shared" si="17"/>
        <v>0</v>
      </c>
      <c r="G368">
        <v>1700</v>
      </c>
      <c r="H368" s="434">
        <f t="shared" si="18"/>
        <v>6.3143858424040725E-4</v>
      </c>
    </row>
    <row r="369" spans="2:8" hidden="1">
      <c r="B369" s="1808" t="s">
        <v>1891</v>
      </c>
      <c r="C369" t="s">
        <v>1892</v>
      </c>
      <c r="D369">
        <v>1000</v>
      </c>
      <c r="E369">
        <f t="shared" si="16"/>
        <v>0</v>
      </c>
      <c r="F369">
        <f t="shared" si="17"/>
        <v>0</v>
      </c>
      <c r="G369">
        <v>1000</v>
      </c>
      <c r="H369" s="434">
        <f t="shared" si="18"/>
        <v>3.7143446131788664E-4</v>
      </c>
    </row>
    <row r="370" spans="2:8" hidden="1">
      <c r="B370" s="1808" t="s">
        <v>1893</v>
      </c>
      <c r="C370" t="s">
        <v>1894</v>
      </c>
      <c r="D370">
        <v>1000</v>
      </c>
      <c r="E370">
        <f t="shared" si="16"/>
        <v>0</v>
      </c>
      <c r="F370">
        <f t="shared" si="17"/>
        <v>0</v>
      </c>
      <c r="G370">
        <v>1000</v>
      </c>
      <c r="H370" s="434">
        <f t="shared" si="18"/>
        <v>3.7143446131788664E-4</v>
      </c>
    </row>
    <row r="371" spans="2:8" hidden="1">
      <c r="B371" s="1808" t="s">
        <v>1895</v>
      </c>
      <c r="C371" t="s">
        <v>1896</v>
      </c>
      <c r="D371">
        <v>1700</v>
      </c>
      <c r="E371">
        <f t="shared" si="16"/>
        <v>0</v>
      </c>
      <c r="F371">
        <f t="shared" si="17"/>
        <v>0</v>
      </c>
      <c r="G371">
        <v>1700</v>
      </c>
      <c r="H371" s="434">
        <f t="shared" si="18"/>
        <v>6.3143858424040725E-4</v>
      </c>
    </row>
    <row r="372" spans="2:8" hidden="1">
      <c r="B372" s="1808" t="s">
        <v>1897</v>
      </c>
      <c r="C372" t="s">
        <v>1898</v>
      </c>
      <c r="D372">
        <v>500</v>
      </c>
      <c r="E372">
        <f t="shared" si="16"/>
        <v>0</v>
      </c>
      <c r="F372">
        <f t="shared" si="17"/>
        <v>0</v>
      </c>
      <c r="G372">
        <v>500</v>
      </c>
      <c r="H372" s="434">
        <f t="shared" si="18"/>
        <v>1.8571723065894332E-4</v>
      </c>
    </row>
    <row r="373" spans="2:8" hidden="1">
      <c r="B373" s="1808" t="s">
        <v>1899</v>
      </c>
      <c r="C373" t="s">
        <v>1900</v>
      </c>
      <c r="D373">
        <v>1000</v>
      </c>
      <c r="E373">
        <f t="shared" si="16"/>
        <v>0</v>
      </c>
      <c r="F373">
        <f t="shared" si="17"/>
        <v>0</v>
      </c>
      <c r="G373">
        <v>1000</v>
      </c>
      <c r="H373" s="434">
        <f t="shared" si="18"/>
        <v>3.7143446131788664E-4</v>
      </c>
    </row>
    <row r="374" spans="2:8" hidden="1">
      <c r="B374" s="1808" t="s">
        <v>1901</v>
      </c>
      <c r="C374" t="s">
        <v>1902</v>
      </c>
      <c r="D374">
        <v>4200</v>
      </c>
      <c r="E374">
        <f t="shared" si="16"/>
        <v>0</v>
      </c>
      <c r="F374">
        <f t="shared" si="17"/>
        <v>0</v>
      </c>
      <c r="G374">
        <v>4200</v>
      </c>
      <c r="H374" s="434">
        <f t="shared" si="18"/>
        <v>1.5600247375351238E-3</v>
      </c>
    </row>
    <row r="375" spans="2:8" hidden="1">
      <c r="B375" s="1808" t="s">
        <v>1903</v>
      </c>
      <c r="C375" t="s">
        <v>1904</v>
      </c>
      <c r="D375">
        <v>500</v>
      </c>
      <c r="E375">
        <f t="shared" si="16"/>
        <v>0</v>
      </c>
      <c r="F375">
        <f t="shared" si="17"/>
        <v>0</v>
      </c>
      <c r="G375">
        <v>500</v>
      </c>
      <c r="H375" s="434">
        <f t="shared" si="18"/>
        <v>1.8571723065894332E-4</v>
      </c>
    </row>
    <row r="376" spans="2:8" hidden="1">
      <c r="B376" s="1808" t="s">
        <v>1905</v>
      </c>
      <c r="C376" t="s">
        <v>1906</v>
      </c>
      <c r="D376">
        <v>500</v>
      </c>
      <c r="E376">
        <f t="shared" si="16"/>
        <v>0</v>
      </c>
      <c r="F376">
        <f t="shared" si="17"/>
        <v>0</v>
      </c>
      <c r="G376">
        <v>500</v>
      </c>
      <c r="H376" s="434">
        <f t="shared" si="18"/>
        <v>1.8571723065894332E-4</v>
      </c>
    </row>
    <row r="377" spans="2:8" hidden="1">
      <c r="B377" s="1808" t="s">
        <v>1907</v>
      </c>
      <c r="C377" t="s">
        <v>1908</v>
      </c>
      <c r="D377">
        <v>2500</v>
      </c>
      <c r="E377">
        <f t="shared" si="16"/>
        <v>0</v>
      </c>
      <c r="F377">
        <f t="shared" si="17"/>
        <v>0</v>
      </c>
      <c r="G377">
        <v>2500</v>
      </c>
      <c r="H377" s="434">
        <f t="shared" si="18"/>
        <v>9.2858615329471656E-4</v>
      </c>
    </row>
    <row r="378" spans="2:8" hidden="1">
      <c r="B378" s="1808" t="s">
        <v>1909</v>
      </c>
      <c r="C378" t="s">
        <v>1910</v>
      </c>
      <c r="D378">
        <v>1000</v>
      </c>
      <c r="E378">
        <f t="shared" si="16"/>
        <v>0</v>
      </c>
      <c r="F378">
        <f t="shared" si="17"/>
        <v>0</v>
      </c>
      <c r="G378">
        <v>1000</v>
      </c>
      <c r="H378" s="434">
        <f t="shared" si="18"/>
        <v>3.7143446131788664E-4</v>
      </c>
    </row>
    <row r="379" spans="2:8" hidden="1">
      <c r="B379" s="1808" t="s">
        <v>1911</v>
      </c>
      <c r="C379" t="s">
        <v>1912</v>
      </c>
      <c r="D379">
        <v>1000</v>
      </c>
      <c r="E379">
        <f t="shared" si="16"/>
        <v>0</v>
      </c>
      <c r="F379">
        <f t="shared" si="17"/>
        <v>0</v>
      </c>
      <c r="G379">
        <v>1000</v>
      </c>
      <c r="H379" s="434">
        <f t="shared" si="18"/>
        <v>3.7143446131788664E-4</v>
      </c>
    </row>
    <row r="380" spans="2:8" hidden="1">
      <c r="B380" s="1808" t="s">
        <v>1913</v>
      </c>
      <c r="C380" t="s">
        <v>1914</v>
      </c>
      <c r="D380">
        <v>1000</v>
      </c>
      <c r="E380">
        <f t="shared" si="16"/>
        <v>0</v>
      </c>
      <c r="F380">
        <f t="shared" si="17"/>
        <v>0</v>
      </c>
      <c r="G380">
        <v>1000</v>
      </c>
      <c r="H380" s="434">
        <f t="shared" si="18"/>
        <v>3.7143446131788664E-4</v>
      </c>
    </row>
    <row r="381" spans="2:8" hidden="1">
      <c r="B381" s="1808" t="s">
        <v>1915</v>
      </c>
      <c r="C381" t="s">
        <v>1916</v>
      </c>
      <c r="D381">
        <v>1000</v>
      </c>
      <c r="E381">
        <f t="shared" si="16"/>
        <v>0</v>
      </c>
      <c r="F381">
        <f t="shared" si="17"/>
        <v>0</v>
      </c>
      <c r="G381">
        <v>1000</v>
      </c>
      <c r="H381" s="434">
        <f t="shared" si="18"/>
        <v>3.7143446131788664E-4</v>
      </c>
    </row>
    <row r="382" spans="2:8" hidden="1">
      <c r="B382" s="1808" t="s">
        <v>1917</v>
      </c>
      <c r="C382" t="s">
        <v>1918</v>
      </c>
      <c r="D382">
        <v>500</v>
      </c>
      <c r="E382">
        <f t="shared" si="16"/>
        <v>0</v>
      </c>
      <c r="F382">
        <f t="shared" si="17"/>
        <v>0</v>
      </c>
      <c r="G382">
        <v>500</v>
      </c>
      <c r="H382" s="434">
        <f t="shared" si="18"/>
        <v>1.8571723065894332E-4</v>
      </c>
    </row>
    <row r="383" spans="2:8" hidden="1">
      <c r="B383" s="1808" t="s">
        <v>1919</v>
      </c>
      <c r="C383" t="s">
        <v>1920</v>
      </c>
      <c r="D383">
        <v>1000</v>
      </c>
      <c r="E383">
        <f t="shared" si="16"/>
        <v>0</v>
      </c>
      <c r="F383">
        <f t="shared" si="17"/>
        <v>0</v>
      </c>
      <c r="G383">
        <v>1000</v>
      </c>
      <c r="H383" s="434">
        <f t="shared" si="18"/>
        <v>3.7143446131788664E-4</v>
      </c>
    </row>
    <row r="384" spans="2:8" hidden="1">
      <c r="B384" s="1808" t="s">
        <v>1921</v>
      </c>
      <c r="C384" t="s">
        <v>1922</v>
      </c>
      <c r="D384">
        <v>1000</v>
      </c>
      <c r="E384">
        <f t="shared" si="16"/>
        <v>0</v>
      </c>
      <c r="F384">
        <f t="shared" si="17"/>
        <v>0</v>
      </c>
      <c r="G384">
        <v>1000</v>
      </c>
      <c r="H384" s="434">
        <f t="shared" si="18"/>
        <v>3.7143446131788664E-4</v>
      </c>
    </row>
    <row r="385" spans="2:8" hidden="1">
      <c r="B385" s="1808" t="s">
        <v>1923</v>
      </c>
      <c r="C385" t="s">
        <v>1924</v>
      </c>
      <c r="D385">
        <v>500</v>
      </c>
      <c r="E385">
        <f t="shared" si="16"/>
        <v>0</v>
      </c>
      <c r="F385">
        <f t="shared" si="17"/>
        <v>0</v>
      </c>
      <c r="G385">
        <v>500</v>
      </c>
      <c r="H385" s="434">
        <f t="shared" si="18"/>
        <v>1.8571723065894332E-4</v>
      </c>
    </row>
    <row r="386" spans="2:8" hidden="1">
      <c r="B386" s="1808" t="s">
        <v>1925</v>
      </c>
      <c r="C386" t="s">
        <v>1926</v>
      </c>
      <c r="D386">
        <v>1000</v>
      </c>
      <c r="E386">
        <f t="shared" si="16"/>
        <v>0</v>
      </c>
      <c r="F386">
        <f t="shared" si="17"/>
        <v>0</v>
      </c>
      <c r="G386">
        <v>1000</v>
      </c>
      <c r="H386" s="434">
        <f t="shared" si="18"/>
        <v>3.7143446131788664E-4</v>
      </c>
    </row>
    <row r="387" spans="2:8" hidden="1">
      <c r="B387" s="1808" t="s">
        <v>1927</v>
      </c>
      <c r="C387" t="s">
        <v>1928</v>
      </c>
      <c r="D387">
        <v>1000</v>
      </c>
      <c r="E387">
        <f t="shared" si="16"/>
        <v>0</v>
      </c>
      <c r="F387">
        <f t="shared" si="17"/>
        <v>0</v>
      </c>
      <c r="G387">
        <v>1000</v>
      </c>
      <c r="H387" s="434">
        <f t="shared" si="18"/>
        <v>3.7143446131788664E-4</v>
      </c>
    </row>
    <row r="388" spans="2:8" hidden="1">
      <c r="B388" s="1808" t="s">
        <v>1929</v>
      </c>
      <c r="C388" t="s">
        <v>1930</v>
      </c>
      <c r="D388">
        <v>1000</v>
      </c>
      <c r="E388">
        <f t="shared" si="16"/>
        <v>0</v>
      </c>
      <c r="F388">
        <f t="shared" si="17"/>
        <v>0</v>
      </c>
      <c r="G388">
        <v>1000</v>
      </c>
      <c r="H388" s="434">
        <f t="shared" si="18"/>
        <v>3.7143446131788664E-4</v>
      </c>
    </row>
    <row r="389" spans="2:8" hidden="1">
      <c r="B389" s="1808" t="s">
        <v>1931</v>
      </c>
      <c r="C389" t="s">
        <v>1932</v>
      </c>
      <c r="D389">
        <v>500</v>
      </c>
      <c r="E389">
        <f t="shared" ref="E389:E407" si="19">D389-G389</f>
        <v>0</v>
      </c>
      <c r="F389">
        <f t="shared" ref="F389:F406" si="20">G389-D389</f>
        <v>0</v>
      </c>
      <c r="G389">
        <v>500</v>
      </c>
      <c r="H389" s="434">
        <f t="shared" ref="H389:H407" si="21">+G389/$G$409</f>
        <v>1.8571723065894332E-4</v>
      </c>
    </row>
    <row r="390" spans="2:8" hidden="1">
      <c r="B390" s="1808" t="s">
        <v>1933</v>
      </c>
      <c r="C390" t="s">
        <v>1934</v>
      </c>
      <c r="D390">
        <v>500</v>
      </c>
      <c r="E390">
        <f t="shared" si="19"/>
        <v>0</v>
      </c>
      <c r="F390">
        <f t="shared" si="20"/>
        <v>0</v>
      </c>
      <c r="G390">
        <v>500</v>
      </c>
      <c r="H390" s="434">
        <f t="shared" si="21"/>
        <v>1.8571723065894332E-4</v>
      </c>
    </row>
    <row r="391" spans="2:8" hidden="1">
      <c r="B391" s="1808" t="s">
        <v>1935</v>
      </c>
      <c r="C391" t="s">
        <v>1936</v>
      </c>
      <c r="D391">
        <v>900</v>
      </c>
      <c r="E391">
        <f t="shared" si="19"/>
        <v>0</v>
      </c>
      <c r="F391">
        <f t="shared" si="20"/>
        <v>0</v>
      </c>
      <c r="G391">
        <v>900</v>
      </c>
      <c r="H391" s="434">
        <f t="shared" si="21"/>
        <v>3.3429101518609795E-4</v>
      </c>
    </row>
    <row r="392" spans="2:8" hidden="1">
      <c r="B392" s="1808" t="s">
        <v>1937</v>
      </c>
      <c r="C392" t="s">
        <v>1938</v>
      </c>
      <c r="D392">
        <v>1000</v>
      </c>
      <c r="E392">
        <f t="shared" si="19"/>
        <v>0</v>
      </c>
      <c r="F392">
        <f t="shared" si="20"/>
        <v>0</v>
      </c>
      <c r="G392">
        <v>1000</v>
      </c>
      <c r="H392" s="434">
        <f t="shared" si="21"/>
        <v>3.7143446131788664E-4</v>
      </c>
    </row>
    <row r="393" spans="2:8" hidden="1">
      <c r="B393" s="1808" t="s">
        <v>1939</v>
      </c>
      <c r="C393" t="s">
        <v>1940</v>
      </c>
      <c r="D393">
        <v>800</v>
      </c>
      <c r="E393">
        <f t="shared" si="19"/>
        <v>0</v>
      </c>
      <c r="F393">
        <f t="shared" si="20"/>
        <v>0</v>
      </c>
      <c r="G393">
        <v>800</v>
      </c>
      <c r="H393" s="434">
        <f t="shared" si="21"/>
        <v>2.9714756905430931E-4</v>
      </c>
    </row>
    <row r="394" spans="2:8" hidden="1">
      <c r="B394" s="1808" t="s">
        <v>1941</v>
      </c>
      <c r="C394" t="s">
        <v>1942</v>
      </c>
      <c r="D394">
        <v>3300</v>
      </c>
      <c r="E394">
        <f t="shared" si="19"/>
        <v>0</v>
      </c>
      <c r="F394">
        <f t="shared" si="20"/>
        <v>0</v>
      </c>
      <c r="G394">
        <v>3300</v>
      </c>
      <c r="H394" s="434">
        <f t="shared" si="21"/>
        <v>1.2257337223490258E-3</v>
      </c>
    </row>
    <row r="395" spans="2:8" hidden="1">
      <c r="B395" s="1808" t="s">
        <v>1943</v>
      </c>
      <c r="C395" t="s">
        <v>1944</v>
      </c>
      <c r="D395">
        <v>500</v>
      </c>
      <c r="E395">
        <f t="shared" si="19"/>
        <v>0</v>
      </c>
      <c r="F395">
        <f t="shared" si="20"/>
        <v>0</v>
      </c>
      <c r="G395">
        <v>500</v>
      </c>
      <c r="H395" s="434">
        <f t="shared" si="21"/>
        <v>1.8571723065894332E-4</v>
      </c>
    </row>
    <row r="396" spans="2:8" hidden="1">
      <c r="B396" s="1808" t="s">
        <v>1945</v>
      </c>
      <c r="C396" t="s">
        <v>1946</v>
      </c>
      <c r="D396">
        <v>600</v>
      </c>
      <c r="E396">
        <f t="shared" si="19"/>
        <v>0</v>
      </c>
      <c r="F396">
        <f t="shared" si="20"/>
        <v>0</v>
      </c>
      <c r="G396">
        <v>600</v>
      </c>
      <c r="H396" s="434">
        <f t="shared" si="21"/>
        <v>2.2286067679073195E-4</v>
      </c>
    </row>
    <row r="397" spans="2:8" hidden="1">
      <c r="B397" s="1808" t="s">
        <v>1947</v>
      </c>
      <c r="C397" t="s">
        <v>1948</v>
      </c>
      <c r="D397">
        <v>115</v>
      </c>
      <c r="E397">
        <f t="shared" si="19"/>
        <v>0</v>
      </c>
      <c r="F397">
        <f t="shared" si="20"/>
        <v>0</v>
      </c>
      <c r="G397">
        <v>115</v>
      </c>
      <c r="H397" s="434">
        <f t="shared" si="21"/>
        <v>4.2714963051556963E-5</v>
      </c>
    </row>
    <row r="398" spans="2:8" hidden="1">
      <c r="B398" s="1808" t="s">
        <v>1949</v>
      </c>
      <c r="C398" t="s">
        <v>1950</v>
      </c>
      <c r="D398">
        <v>500</v>
      </c>
      <c r="E398">
        <f t="shared" si="19"/>
        <v>0</v>
      </c>
      <c r="F398">
        <f t="shared" si="20"/>
        <v>0</v>
      </c>
      <c r="G398">
        <v>500</v>
      </c>
      <c r="H398" s="434">
        <f t="shared" si="21"/>
        <v>1.8571723065894332E-4</v>
      </c>
    </row>
    <row r="399" spans="2:8" hidden="1">
      <c r="B399" s="1808" t="s">
        <v>1951</v>
      </c>
      <c r="C399" t="s">
        <v>1952</v>
      </c>
      <c r="D399">
        <v>1000</v>
      </c>
      <c r="E399">
        <f t="shared" si="19"/>
        <v>0</v>
      </c>
      <c r="F399">
        <f t="shared" si="20"/>
        <v>0</v>
      </c>
      <c r="G399">
        <v>1000</v>
      </c>
      <c r="H399" s="434">
        <f t="shared" si="21"/>
        <v>3.7143446131788664E-4</v>
      </c>
    </row>
    <row r="400" spans="2:8" hidden="1">
      <c r="B400" s="1808" t="s">
        <v>1953</v>
      </c>
      <c r="C400" t="s">
        <v>1954</v>
      </c>
      <c r="D400">
        <v>7705</v>
      </c>
      <c r="E400">
        <f t="shared" si="19"/>
        <v>0</v>
      </c>
      <c r="F400">
        <f t="shared" si="20"/>
        <v>0</v>
      </c>
      <c r="G400">
        <v>7705</v>
      </c>
      <c r="H400" s="434">
        <f t="shared" si="21"/>
        <v>2.8619025244543163E-3</v>
      </c>
    </row>
    <row r="401" spans="1:8" hidden="1">
      <c r="B401" s="1808" t="s">
        <v>1955</v>
      </c>
      <c r="C401" t="s">
        <v>1956</v>
      </c>
      <c r="D401">
        <v>1700</v>
      </c>
      <c r="E401">
        <f t="shared" si="19"/>
        <v>0</v>
      </c>
      <c r="F401">
        <f t="shared" si="20"/>
        <v>0</v>
      </c>
      <c r="G401">
        <v>1700</v>
      </c>
      <c r="H401" s="434">
        <f t="shared" si="21"/>
        <v>6.3143858424040725E-4</v>
      </c>
    </row>
    <row r="402" spans="1:8" hidden="1">
      <c r="B402" s="1808" t="s">
        <v>1957</v>
      </c>
      <c r="C402" t="s">
        <v>1958</v>
      </c>
      <c r="D402">
        <v>2500</v>
      </c>
      <c r="E402">
        <f t="shared" si="19"/>
        <v>0</v>
      </c>
      <c r="F402">
        <f t="shared" si="20"/>
        <v>0</v>
      </c>
      <c r="G402">
        <v>2500</v>
      </c>
      <c r="H402" s="434">
        <f t="shared" si="21"/>
        <v>9.2858615329471656E-4</v>
      </c>
    </row>
    <row r="403" spans="1:8" hidden="1">
      <c r="B403" s="1808" t="s">
        <v>1959</v>
      </c>
      <c r="C403" t="s">
        <v>1960</v>
      </c>
      <c r="D403">
        <v>500</v>
      </c>
      <c r="E403">
        <f t="shared" si="19"/>
        <v>0</v>
      </c>
      <c r="F403">
        <f t="shared" si="20"/>
        <v>0</v>
      </c>
      <c r="G403">
        <v>500</v>
      </c>
      <c r="H403" s="434">
        <f t="shared" si="21"/>
        <v>1.8571723065894332E-4</v>
      </c>
    </row>
    <row r="404" spans="1:8" hidden="1">
      <c r="B404" s="1808" t="s">
        <v>1961</v>
      </c>
      <c r="C404" t="s">
        <v>1962</v>
      </c>
      <c r="D404">
        <v>1000</v>
      </c>
      <c r="E404">
        <f t="shared" si="19"/>
        <v>0</v>
      </c>
      <c r="F404">
        <f t="shared" si="20"/>
        <v>0</v>
      </c>
      <c r="G404">
        <v>1000</v>
      </c>
      <c r="H404" s="434">
        <f t="shared" si="21"/>
        <v>3.7143446131788664E-4</v>
      </c>
    </row>
    <row r="405" spans="1:8" hidden="1">
      <c r="B405" s="1808" t="s">
        <v>1963</v>
      </c>
      <c r="C405" t="s">
        <v>1964</v>
      </c>
      <c r="D405">
        <v>500</v>
      </c>
      <c r="E405">
        <f t="shared" si="19"/>
        <v>0</v>
      </c>
      <c r="F405">
        <f t="shared" si="20"/>
        <v>0</v>
      </c>
      <c r="G405">
        <v>500</v>
      </c>
      <c r="H405" s="434">
        <f t="shared" si="21"/>
        <v>1.8571723065894332E-4</v>
      </c>
    </row>
    <row r="406" spans="1:8" hidden="1">
      <c r="B406" s="1808" t="s">
        <v>1965</v>
      </c>
      <c r="C406" t="s">
        <v>1966</v>
      </c>
      <c r="D406">
        <v>1000</v>
      </c>
      <c r="E406">
        <f t="shared" si="19"/>
        <v>0</v>
      </c>
      <c r="F406">
        <f t="shared" si="20"/>
        <v>0</v>
      </c>
      <c r="G406">
        <v>1000</v>
      </c>
      <c r="H406" s="434">
        <f t="shared" si="21"/>
        <v>3.7143446131788664E-4</v>
      </c>
    </row>
    <row r="407" spans="1:8" hidden="1">
      <c r="B407" s="1808" t="s">
        <v>1967</v>
      </c>
      <c r="C407" t="s">
        <v>1968</v>
      </c>
      <c r="D407">
        <v>1000</v>
      </c>
      <c r="E407">
        <f t="shared" si="19"/>
        <v>1000</v>
      </c>
      <c r="F407">
        <v>0</v>
      </c>
      <c r="G407">
        <v>0</v>
      </c>
      <c r="H407" s="434">
        <f t="shared" si="21"/>
        <v>0</v>
      </c>
    </row>
    <row r="408" spans="1:8">
      <c r="A408" s="366"/>
      <c r="B408" s="366"/>
      <c r="C408" s="366"/>
      <c r="D408" s="366"/>
      <c r="E408" s="366"/>
      <c r="F408" s="366"/>
      <c r="G408" s="366"/>
    </row>
    <row r="409" spans="1:8">
      <c r="A409" s="367"/>
      <c r="B409" s="367"/>
      <c r="C409" s="367" t="s">
        <v>2107</v>
      </c>
      <c r="D409" s="367">
        <f>SUM(D4:D407)</f>
        <v>2692265</v>
      </c>
      <c r="E409" s="367">
        <f>SUM(E4:E407)</f>
        <v>137880</v>
      </c>
      <c r="F409" s="367">
        <f>SUM(F4:F407)</f>
        <v>137880</v>
      </c>
      <c r="G409" s="367">
        <f>SUM(G4:G407)</f>
        <v>2692265</v>
      </c>
    </row>
    <row r="411" spans="1:8">
      <c r="C411" t="s">
        <v>2107</v>
      </c>
      <c r="D411">
        <v>2692265</v>
      </c>
      <c r="E411">
        <v>137880</v>
      </c>
      <c r="F411">
        <v>137880</v>
      </c>
      <c r="G411">
        <v>2692265</v>
      </c>
    </row>
  </sheetData>
  <autoFilter ref="B2:H407" xr:uid="{200B39C7-3E22-42D7-84D7-EE3BF99CB013}">
    <filterColumn colId="1">
      <filters>
        <filter val="RAJIV  BEHAL"/>
      </filters>
    </filterColumn>
  </autoFilter>
  <customSheetViews>
    <customSheetView guid="{ADEA4918-0326-423A-8D00-FB47A486004B}" filter="1" showAutoFilter="1">
      <selection activeCell="C2" sqref="C2"/>
      <pageMargins left="0.7" right="0.7" top="0.75" bottom="0.75" header="0.3" footer="0.3"/>
      <pageSetup orientation="portrait" r:id="rId1"/>
      <autoFilter ref="B2:H407" xr:uid="{07793F2C-7331-468F-8695-958018D68B13}">
        <filterColumn colId="1">
          <filters>
            <filter val="RAJIV  BEHAL"/>
          </filters>
        </filterColumn>
      </autoFilter>
    </customSheetView>
    <customSheetView guid="{2A78E287-3113-4387-BB62-BE98FA5C13C2}" filter="1" showAutoFilter="1">
      <selection activeCell="D4" sqref="D4"/>
      <pageMargins left="0.7" right="0.7" top="0.75" bottom="0.75" header="0.3" footer="0.3"/>
      <pageSetup orientation="portrait" r:id="rId2"/>
      <autoFilter ref="B2:H407" xr:uid="{056E09D3-7CB9-4C9E-BF68-C3AB4CEF7227}">
        <filterColumn colId="1">
          <filters>
            <filter val="OMPRAKASH RATHI"/>
          </filters>
        </filterColumn>
      </autoFilter>
    </customSheetView>
    <customSheetView guid="{DC5DA12B-0FA6-4F41-A983-6E433AD4604D}" filter="1" showAutoFilter="1">
      <selection activeCell="D4" sqref="D4"/>
      <pageMargins left="0.7" right="0.7" top="0.75" bottom="0.75" header="0.3" footer="0.3"/>
      <pageSetup orientation="portrait" r:id="rId3"/>
      <autoFilter ref="B2:H407" xr:uid="{3F58C436-85E9-4488-8661-207CD58BBA74}">
        <filterColumn colId="1">
          <filters>
            <filter val="OMPRAKASH RATHI"/>
          </filters>
        </filterColumn>
      </autoFilter>
    </customSheetView>
  </customSheetViews>
  <pageMargins left="0.7" right="0.7" top="0.75" bottom="0.75" header="0.3" footer="0.3"/>
  <pageSetup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44"/>
  <sheetViews>
    <sheetView topLeftCell="A25" workbookViewId="0">
      <selection activeCell="E25" sqref="E25"/>
    </sheetView>
  </sheetViews>
  <sheetFormatPr defaultColWidth="9.109375" defaultRowHeight="14.4"/>
  <cols>
    <col min="1" max="1" width="9.33203125" bestFit="1" customWidth="1"/>
    <col min="2" max="2" width="50.6640625" bestFit="1" customWidth="1"/>
    <col min="3" max="3" width="15.6640625" customWidth="1"/>
    <col min="4" max="4" width="15.109375" customWidth="1"/>
    <col min="5" max="5" width="22.5546875" bestFit="1" customWidth="1"/>
    <col min="6" max="7" width="22.44140625" customWidth="1"/>
    <col min="8" max="8" width="22.5546875" bestFit="1" customWidth="1"/>
    <col min="9" max="10" width="22.44140625" hidden="1" customWidth="1"/>
    <col min="11" max="11" width="22.5546875" hidden="1" customWidth="1"/>
    <col min="12" max="12" width="11" bestFit="1" customWidth="1"/>
    <col min="13" max="13" width="9.6640625" bestFit="1" customWidth="1"/>
  </cols>
  <sheetData>
    <row r="1" spans="1:14">
      <c r="A1">
        <v>1</v>
      </c>
    </row>
    <row r="3" spans="1:14" ht="18">
      <c r="B3" s="2538" t="s">
        <v>702</v>
      </c>
      <c r="C3" s="2539"/>
      <c r="D3" s="2539"/>
      <c r="E3" s="2539"/>
      <c r="F3" s="2539"/>
      <c r="G3" s="2539"/>
      <c r="H3" s="2539"/>
      <c r="I3" s="2539"/>
      <c r="J3" s="2539"/>
      <c r="K3" s="2539"/>
    </row>
    <row r="4" spans="1:14" ht="18">
      <c r="B4" s="2540" t="s">
        <v>3096</v>
      </c>
      <c r="C4" s="2373"/>
      <c r="D4" s="2373"/>
      <c r="E4" s="2373"/>
      <c r="F4" s="2373"/>
      <c r="G4" s="2373"/>
      <c r="H4" s="2373"/>
      <c r="I4" s="2373"/>
      <c r="J4" s="2373"/>
      <c r="K4" s="2373"/>
    </row>
    <row r="5" spans="1:14" ht="18">
      <c r="B5" s="2541" t="s">
        <v>463</v>
      </c>
      <c r="C5" s="2542" t="s">
        <v>3095</v>
      </c>
      <c r="D5" s="2542"/>
      <c r="E5" s="2542"/>
      <c r="F5" s="2542" t="s">
        <v>2139</v>
      </c>
      <c r="G5" s="2542"/>
      <c r="H5" s="2542"/>
      <c r="I5" s="2542" t="s">
        <v>2129</v>
      </c>
      <c r="J5" s="2542"/>
      <c r="K5" s="2542"/>
    </row>
    <row r="6" spans="1:14" ht="18">
      <c r="B6" s="2541"/>
      <c r="C6" s="380" t="s">
        <v>1973</v>
      </c>
      <c r="D6" s="380" t="s">
        <v>2130</v>
      </c>
      <c r="E6" s="88" t="s">
        <v>2036</v>
      </c>
      <c r="F6" s="380" t="s">
        <v>1973</v>
      </c>
      <c r="G6" s="380" t="s">
        <v>2130</v>
      </c>
      <c r="H6" s="88" t="s">
        <v>2036</v>
      </c>
      <c r="I6" s="380" t="s">
        <v>1973</v>
      </c>
      <c r="J6" s="380" t="s">
        <v>2130</v>
      </c>
      <c r="K6" s="88" t="s">
        <v>2036</v>
      </c>
    </row>
    <row r="7" spans="1:14" ht="18">
      <c r="B7" s="381" t="s">
        <v>758</v>
      </c>
      <c r="C7" s="382">
        <v>23554.78</v>
      </c>
      <c r="D7" s="383">
        <f>+E7/C7</f>
        <v>24612.337979807071</v>
      </c>
      <c r="E7" s="31">
        <f>+BSPL!G483</f>
        <v>579738206.39999998</v>
      </c>
      <c r="F7" s="384">
        <v>33749.792999999998</v>
      </c>
      <c r="G7" s="385">
        <f>+H7/F7</f>
        <v>30900.165889017459</v>
      </c>
      <c r="H7" s="31">
        <f>+BSPL!H483</f>
        <v>1042874202.4200001</v>
      </c>
      <c r="I7" s="384">
        <v>32969.936000000009</v>
      </c>
      <c r="J7" s="385">
        <v>24291.904637000196</v>
      </c>
      <c r="K7" s="31">
        <v>800902541.19999993</v>
      </c>
    </row>
    <row r="8" spans="1:14" ht="18">
      <c r="B8" s="315" t="s">
        <v>759</v>
      </c>
      <c r="C8" s="9"/>
      <c r="D8" s="9"/>
      <c r="E8" s="11">
        <f>+BSPL!G493-BSPL!G492</f>
        <v>729285</v>
      </c>
      <c r="F8" s="11"/>
      <c r="G8" s="11"/>
      <c r="H8" s="11">
        <f>+BSPL!H493-BSPL!H492</f>
        <v>889167.66984900099</v>
      </c>
      <c r="I8" s="11"/>
      <c r="J8" s="11"/>
      <c r="K8" s="11">
        <v>1189801</v>
      </c>
    </row>
    <row r="9" spans="1:14" ht="18">
      <c r="B9" s="386" t="s">
        <v>760</v>
      </c>
      <c r="C9" s="387">
        <f>+C7</f>
        <v>23554.78</v>
      </c>
      <c r="D9" s="388">
        <f>+D7</f>
        <v>24612.337979807071</v>
      </c>
      <c r="E9" s="32">
        <f>+E7+E8</f>
        <v>580467491.39999998</v>
      </c>
      <c r="F9" s="387">
        <f>+F7</f>
        <v>33749.792999999998</v>
      </c>
      <c r="G9" s="388">
        <f>+G7</f>
        <v>30900.165889017459</v>
      </c>
      <c r="H9" s="32">
        <f>SUM(H7:H8)</f>
        <v>1043763370.0898491</v>
      </c>
      <c r="I9" s="408">
        <f t="shared" ref="I9" si="0">SUM(I7:I8)</f>
        <v>32969.936000000009</v>
      </c>
      <c r="J9" s="408">
        <v>24327.99</v>
      </c>
      <c r="K9" s="32">
        <f>SUM(K7:K8)</f>
        <v>802092342.19999993</v>
      </c>
      <c r="L9" s="124">
        <f>+E9-E10</f>
        <v>11495361.553155065</v>
      </c>
      <c r="M9" s="124">
        <f>+K9-K10</f>
        <v>1226836.3130828142</v>
      </c>
    </row>
    <row r="10" spans="1:14" ht="18">
      <c r="B10" s="389" t="s">
        <v>2131</v>
      </c>
      <c r="C10" s="390">
        <v>23117.353999999999</v>
      </c>
      <c r="D10" s="391">
        <f>+D9</f>
        <v>24612.337979807071</v>
      </c>
      <c r="E10" s="392">
        <f>+D10*C10</f>
        <v>568972129.84684491</v>
      </c>
      <c r="F10" s="390">
        <v>33880.254000000001</v>
      </c>
      <c r="G10" s="391">
        <f>+G9</f>
        <v>30900.165889017459</v>
      </c>
      <c r="H10" s="392">
        <f>+F10*G10</f>
        <v>1046905468.9620473</v>
      </c>
      <c r="I10" s="390">
        <v>32919.506999999998</v>
      </c>
      <c r="J10" s="390">
        <f>+J9</f>
        <v>24327.99</v>
      </c>
      <c r="K10" s="392">
        <v>800865505.88691711</v>
      </c>
      <c r="L10" s="393">
        <f>+C9-C10</f>
        <v>437.42599999999948</v>
      </c>
      <c r="M10" s="3">
        <f>+I9-I10</f>
        <v>50.429000000011001</v>
      </c>
      <c r="N10" s="124"/>
    </row>
    <row r="11" spans="1:14" ht="18">
      <c r="B11" s="389"/>
      <c r="C11" s="390"/>
      <c r="D11" s="391"/>
      <c r="E11" s="392"/>
      <c r="F11" s="390"/>
      <c r="G11" s="391"/>
      <c r="H11" s="392"/>
      <c r="I11" s="390"/>
      <c r="J11" s="391"/>
      <c r="K11" s="392"/>
      <c r="L11" s="3"/>
    </row>
    <row r="12" spans="1:14" ht="18">
      <c r="B12" s="394" t="s">
        <v>761</v>
      </c>
      <c r="C12" s="315"/>
      <c r="D12" s="315"/>
      <c r="E12" s="7"/>
      <c r="F12" s="7"/>
      <c r="G12" s="7"/>
      <c r="H12" s="7"/>
      <c r="I12" s="7"/>
      <c r="J12" s="7"/>
      <c r="K12" s="7"/>
    </row>
    <row r="13" spans="1:14" ht="18">
      <c r="B13" s="315" t="s">
        <v>762</v>
      </c>
      <c r="C13" s="395">
        <f>+C10</f>
        <v>23117.353999999999</v>
      </c>
      <c r="D13" s="396">
        <f>+E13/C13</f>
        <v>17905.586750542472</v>
      </c>
      <c r="E13" s="11">
        <f>+BSPL!G83</f>
        <v>413929787.49000001</v>
      </c>
      <c r="F13" s="397">
        <f>+F10</f>
        <v>33880.254000000001</v>
      </c>
      <c r="G13" s="396">
        <f>+H13/F13</f>
        <v>24058.960877329904</v>
      </c>
      <c r="H13" s="11">
        <f>+BSPL!H83</f>
        <v>815123705.5</v>
      </c>
      <c r="I13" s="397">
        <v>32919.506999999998</v>
      </c>
      <c r="J13" s="396">
        <v>16796.111098808375</v>
      </c>
      <c r="K13" s="11">
        <v>552919696.88999999</v>
      </c>
    </row>
    <row r="14" spans="1:14" ht="18">
      <c r="B14" s="315" t="s">
        <v>763</v>
      </c>
      <c r="C14" s="9"/>
      <c r="D14" s="9"/>
      <c r="E14" s="11">
        <v>0</v>
      </c>
      <c r="F14" s="11"/>
      <c r="G14" s="11"/>
      <c r="H14" s="11">
        <v>0</v>
      </c>
      <c r="I14" s="11"/>
      <c r="J14" s="11"/>
      <c r="K14" s="11">
        <v>0</v>
      </c>
    </row>
    <row r="15" spans="1:14" ht="18">
      <c r="B15" s="409" t="s">
        <v>2132</v>
      </c>
      <c r="C15" s="395"/>
      <c r="D15" s="396"/>
      <c r="E15" s="11">
        <f>+BSPL!G85</f>
        <v>12356119.266733212</v>
      </c>
      <c r="F15" s="395"/>
      <c r="G15" s="396"/>
      <c r="H15" s="11">
        <f>+BSPL!H85</f>
        <v>623065</v>
      </c>
      <c r="I15" s="395"/>
      <c r="J15" s="396"/>
      <c r="K15" s="11">
        <v>-8248259.7178893462</v>
      </c>
    </row>
    <row r="16" spans="1:14" ht="18">
      <c r="B16" s="315" t="s">
        <v>765</v>
      </c>
      <c r="C16" s="395"/>
      <c r="D16" s="396"/>
      <c r="E16" s="11">
        <f>+BSPL!G86</f>
        <v>20598065</v>
      </c>
      <c r="F16" s="395"/>
      <c r="G16" s="396"/>
      <c r="H16" s="11">
        <f>+BSPL!H86</f>
        <v>18473732</v>
      </c>
      <c r="I16" s="395"/>
      <c r="J16" s="396"/>
      <c r="K16" s="11">
        <v>21641049</v>
      </c>
    </row>
    <row r="17" spans="2:11" ht="18">
      <c r="B17" s="398" t="s">
        <v>767</v>
      </c>
      <c r="C17" s="395"/>
      <c r="D17" s="396"/>
      <c r="E17" s="11">
        <f>+BSPL!G88</f>
        <v>19583896</v>
      </c>
      <c r="F17" s="395"/>
      <c r="G17" s="396"/>
      <c r="H17" s="11">
        <f>+BSPL!H88</f>
        <v>18081667.364197128</v>
      </c>
      <c r="I17" s="395"/>
      <c r="J17" s="396"/>
      <c r="K17" s="11">
        <v>17727982</v>
      </c>
    </row>
    <row r="18" spans="2:11" ht="18">
      <c r="B18" s="315" t="s">
        <v>2133</v>
      </c>
      <c r="C18" s="395"/>
      <c r="D18" s="396"/>
      <c r="E18" s="11">
        <f>+BSPL!G529</f>
        <v>168002348.38</v>
      </c>
      <c r="F18" s="395"/>
      <c r="G18" s="396"/>
      <c r="H18" s="11">
        <f>+BSPL!H529</f>
        <v>232179744.67999998</v>
      </c>
      <c r="I18" s="395"/>
      <c r="J18" s="396"/>
      <c r="K18" s="11">
        <v>168170836.64999998</v>
      </c>
    </row>
    <row r="19" spans="2:11" ht="18">
      <c r="B19" s="386" t="s">
        <v>2134</v>
      </c>
      <c r="C19" s="399">
        <f>+C13</f>
        <v>23117.353999999999</v>
      </c>
      <c r="D19" s="400">
        <f>+E19/C19</f>
        <v>27445.624448919774</v>
      </c>
      <c r="E19" s="12">
        <f>+SUM(E13:E18)</f>
        <v>634470216.13673329</v>
      </c>
      <c r="F19" s="399">
        <f>+F13</f>
        <v>33880.254000000001</v>
      </c>
      <c r="G19" s="400">
        <f>+H19/F19</f>
        <v>32009.261634939248</v>
      </c>
      <c r="H19" s="12">
        <f>SUM(H13:H18)</f>
        <v>1084481914.5441971</v>
      </c>
      <c r="I19" s="399">
        <v>32919.506999999998</v>
      </c>
      <c r="J19" s="400">
        <f>+K19/I19</f>
        <v>22850.017311076703</v>
      </c>
      <c r="K19" s="12">
        <f>SUM(K13:K18)</f>
        <v>752211304.82211065</v>
      </c>
    </row>
    <row r="20" spans="2:11" ht="18">
      <c r="B20" s="386" t="s">
        <v>2135</v>
      </c>
      <c r="C20" s="399">
        <f>+C19</f>
        <v>23117.353999999999</v>
      </c>
      <c r="D20" s="400">
        <f>+E20/C20</f>
        <v>-2833.2864691127015</v>
      </c>
      <c r="E20" s="401">
        <f>+E10-E19</f>
        <v>-65498086.289888382</v>
      </c>
      <c r="F20" s="399">
        <f>+F19</f>
        <v>33880.254000000001</v>
      </c>
      <c r="G20" s="400">
        <f>+H20/F20</f>
        <v>-1109.0957459217909</v>
      </c>
      <c r="H20" s="401">
        <f>+H10-H19</f>
        <v>-37576445.582149744</v>
      </c>
      <c r="I20" s="399">
        <f>+I19</f>
        <v>32919.506999999998</v>
      </c>
      <c r="J20" s="400">
        <f>+K20/I20</f>
        <v>1477.9747784438712</v>
      </c>
      <c r="K20" s="401">
        <f>+K10-K19</f>
        <v>48654201.064806461</v>
      </c>
    </row>
    <row r="21" spans="2:11" ht="18">
      <c r="B21" s="315" t="s">
        <v>766</v>
      </c>
      <c r="C21" s="395"/>
      <c r="D21" s="396"/>
      <c r="E21" s="11">
        <f>+BSPL!G512</f>
        <v>15644945</v>
      </c>
      <c r="F21" s="395"/>
      <c r="G21" s="396"/>
      <c r="H21" s="11">
        <f>+BSPL!H512</f>
        <v>8587641</v>
      </c>
      <c r="I21" s="395"/>
      <c r="J21" s="396"/>
      <c r="K21" s="11">
        <v>6372184.9500000002</v>
      </c>
    </row>
    <row r="22" spans="2:11" ht="18">
      <c r="B22" s="315" t="s">
        <v>768</v>
      </c>
      <c r="C22" s="395"/>
      <c r="D22" s="396"/>
      <c r="E22" s="11">
        <f>+BSPL!G561+BSPL!G567-BSPL!G543</f>
        <v>8689070.9900000002</v>
      </c>
      <c r="F22" s="11"/>
      <c r="G22" s="396"/>
      <c r="H22" s="11">
        <f>+BSPL!H561+BSPL!H567-BSPL!H543</f>
        <v>10114508.08</v>
      </c>
      <c r="I22" s="11"/>
      <c r="J22" s="396"/>
      <c r="K22" s="11">
        <v>13190939.350000001</v>
      </c>
    </row>
    <row r="23" spans="2:11" ht="18">
      <c r="B23" s="386" t="s">
        <v>769</v>
      </c>
      <c r="C23" s="402">
        <f>+C13</f>
        <v>23117.353999999999</v>
      </c>
      <c r="D23" s="403">
        <f>+E23/C23</f>
        <v>28498.254260705326</v>
      </c>
      <c r="E23" s="32">
        <f>+SUM(E21:E22)+E19</f>
        <v>658804232.1267333</v>
      </c>
      <c r="F23" s="402">
        <f>+F20</f>
        <v>33880.254000000001</v>
      </c>
      <c r="G23" s="403">
        <f t="shared" ref="G23:G24" si="1">+H23/F23</f>
        <v>32561.268980574849</v>
      </c>
      <c r="H23" s="32">
        <f>SUM(H21:H22)+H19</f>
        <v>1103184063.624197</v>
      </c>
      <c r="I23" s="402">
        <v>32919.506999999998</v>
      </c>
      <c r="J23" s="403">
        <v>23444.288795762059</v>
      </c>
      <c r="K23" s="32">
        <f>SUM(K21:K22)+K19</f>
        <v>771774429.12211061</v>
      </c>
    </row>
    <row r="24" spans="2:11" ht="18">
      <c r="B24" s="404" t="s">
        <v>2136</v>
      </c>
      <c r="C24" s="402">
        <f>+C23</f>
        <v>23117.353999999999</v>
      </c>
      <c r="D24" s="403">
        <f>+E24/C24</f>
        <v>-3885.9162808982546</v>
      </c>
      <c r="E24" s="32">
        <f>+E10-E23</f>
        <v>-89832102.279888391</v>
      </c>
      <c r="F24" s="402">
        <f>+F23</f>
        <v>33880.254000000001</v>
      </c>
      <c r="G24" s="403">
        <f t="shared" si="1"/>
        <v>-1661.1030915573911</v>
      </c>
      <c r="H24" s="32">
        <f>+H10-H23</f>
        <v>-56278594.662149668</v>
      </c>
      <c r="I24" s="402">
        <v>32919.506999999998</v>
      </c>
      <c r="J24" s="403">
        <v>883.70329375851566</v>
      </c>
      <c r="K24" s="32">
        <f>+K10-K23</f>
        <v>29091076.764806509</v>
      </c>
    </row>
    <row r="25" spans="2:11" ht="18">
      <c r="B25" s="398" t="s">
        <v>771</v>
      </c>
      <c r="C25" s="315"/>
      <c r="D25" s="315"/>
      <c r="E25" s="7"/>
      <c r="F25" s="7"/>
      <c r="G25" s="7"/>
      <c r="H25" s="7"/>
      <c r="I25" s="7"/>
      <c r="J25" s="7"/>
      <c r="K25" s="7">
        <v>0</v>
      </c>
    </row>
    <row r="26" spans="2:11" ht="18">
      <c r="B26" s="398"/>
      <c r="C26" s="315"/>
      <c r="D26" s="315"/>
      <c r="E26" s="7"/>
      <c r="F26" s="7"/>
      <c r="G26" s="7"/>
      <c r="H26" s="7"/>
      <c r="I26" s="7"/>
      <c r="J26" s="7"/>
      <c r="K26" s="7"/>
    </row>
    <row r="27" spans="2:11" ht="18">
      <c r="B27" s="386" t="s">
        <v>772</v>
      </c>
      <c r="C27" s="405"/>
      <c r="D27" s="405"/>
      <c r="E27" s="32">
        <f>+E24-E25</f>
        <v>-89832102.279888391</v>
      </c>
      <c r="F27" s="32"/>
      <c r="G27" s="32"/>
      <c r="H27" s="32">
        <f>+H24-H25</f>
        <v>-56278594.662149668</v>
      </c>
      <c r="I27" s="32"/>
      <c r="J27" s="32"/>
      <c r="K27" s="32">
        <f>+K24-K25</f>
        <v>29091076.764806509</v>
      </c>
    </row>
    <row r="28" spans="2:11" ht="18">
      <c r="B28" s="315" t="s">
        <v>773</v>
      </c>
      <c r="C28" s="406"/>
      <c r="D28" s="406"/>
      <c r="E28" s="7"/>
      <c r="F28" s="7"/>
      <c r="G28" s="7"/>
      <c r="H28" s="7"/>
      <c r="I28" s="7"/>
      <c r="J28" s="7"/>
      <c r="K28" s="7"/>
    </row>
    <row r="29" spans="2:11" ht="18">
      <c r="B29" s="315" t="s">
        <v>774</v>
      </c>
      <c r="C29" s="9"/>
      <c r="D29" s="9"/>
      <c r="E29" s="10">
        <v>0</v>
      </c>
      <c r="F29" s="10"/>
      <c r="G29" s="10"/>
      <c r="H29" s="10">
        <v>0</v>
      </c>
      <c r="I29" s="10"/>
      <c r="J29" s="10"/>
      <c r="K29" s="10">
        <f>+K27*0.22</f>
        <v>6400036.8882574318</v>
      </c>
    </row>
    <row r="30" spans="2:11" ht="18">
      <c r="B30" s="315" t="s">
        <v>2137</v>
      </c>
      <c r="C30" s="9"/>
      <c r="D30" s="9"/>
      <c r="E30" s="13"/>
      <c r="F30" s="13"/>
      <c r="G30" s="13"/>
      <c r="H30" s="11"/>
      <c r="I30" s="13"/>
      <c r="J30" s="13"/>
      <c r="K30" s="11"/>
    </row>
    <row r="31" spans="2:11" ht="18">
      <c r="B31" s="315" t="s">
        <v>2138</v>
      </c>
      <c r="C31" s="9"/>
      <c r="D31" s="9"/>
      <c r="E31" s="13"/>
      <c r="F31" s="13"/>
      <c r="G31" s="13"/>
      <c r="H31" s="11"/>
      <c r="I31" s="13"/>
      <c r="J31" s="13"/>
      <c r="K31" s="11"/>
    </row>
    <row r="32" spans="2:11" ht="18">
      <c r="B32" s="315"/>
      <c r="C32" s="9"/>
      <c r="D32" s="9"/>
      <c r="E32" s="13">
        <f>+SUM(E29:E31)</f>
        <v>0</v>
      </c>
      <c r="F32" s="13"/>
      <c r="G32" s="13"/>
      <c r="H32" s="13">
        <f>SUM(H29:H31)</f>
        <v>0</v>
      </c>
      <c r="I32" s="13"/>
      <c r="J32" s="13"/>
      <c r="K32" s="13">
        <f>SUM(K29:K31)</f>
        <v>6400036.8882574318</v>
      </c>
    </row>
    <row r="33" spans="2:11" ht="18">
      <c r="B33" s="386" t="s">
        <v>777</v>
      </c>
      <c r="C33" s="407"/>
      <c r="D33" s="407"/>
      <c r="E33" s="32">
        <f>+E27-E32</f>
        <v>-89832102.279888391</v>
      </c>
      <c r="F33" s="32"/>
      <c r="G33" s="32"/>
      <c r="H33" s="32">
        <f>+H27-H32</f>
        <v>-56278594.662149668</v>
      </c>
      <c r="I33" s="32"/>
      <c r="J33" s="32"/>
      <c r="K33" s="32">
        <f>+K27-K32</f>
        <v>22691039.876549076</v>
      </c>
    </row>
    <row r="34" spans="2:11" ht="18">
      <c r="B34" s="1756"/>
      <c r="C34" s="1510"/>
      <c r="D34" s="1510"/>
      <c r="E34" s="1757"/>
      <c r="F34" s="1757"/>
      <c r="G34" s="1757"/>
      <c r="H34" s="1757"/>
      <c r="I34" s="1757"/>
      <c r="J34" s="1757"/>
      <c r="K34" s="1757"/>
    </row>
    <row r="35" spans="2:11" ht="18">
      <c r="B35" s="1756"/>
      <c r="C35" s="1510"/>
      <c r="D35" s="1510"/>
      <c r="E35" s="1757"/>
      <c r="F35" s="1757"/>
      <c r="G35" s="1757"/>
      <c r="H35" s="1757"/>
      <c r="I35" s="1757"/>
      <c r="J35" s="1757"/>
      <c r="K35" s="1757"/>
    </row>
    <row r="38" spans="2:11">
      <c r="B38" s="134" t="s">
        <v>2140</v>
      </c>
      <c r="E38" s="1755"/>
      <c r="H38" s="1755">
        <f>+F7</f>
        <v>33749.792999999998</v>
      </c>
    </row>
    <row r="39" spans="2:11">
      <c r="B39" t="s">
        <v>2141</v>
      </c>
      <c r="C39" s="410">
        <f>+BSPL!G101</f>
        <v>-51111376.259682491</v>
      </c>
      <c r="E39" s="3"/>
      <c r="H39" s="3">
        <f>+H33/H38</f>
        <v>-1667.5241433969586</v>
      </c>
    </row>
    <row r="40" spans="2:11">
      <c r="B40" t="s">
        <v>2143</v>
      </c>
      <c r="C40">
        <f>-BSPL!G492</f>
        <v>-172494</v>
      </c>
    </row>
    <row r="41" spans="2:11">
      <c r="B41" t="s">
        <v>280</v>
      </c>
      <c r="C41">
        <f>-BSPL!G486</f>
        <v>-9444000</v>
      </c>
      <c r="D41" s="124">
        <f>SUM(C39:C41)</f>
        <v>-60727870.259682491</v>
      </c>
    </row>
    <row r="42" spans="2:11">
      <c r="D42" s="124">
        <f>+D41-C44</f>
        <v>29104232.0202059</v>
      </c>
    </row>
    <row r="44" spans="2:11">
      <c r="B44" t="s">
        <v>2142</v>
      </c>
      <c r="C44" s="124">
        <f>+E33</f>
        <v>-89832102.279888391</v>
      </c>
    </row>
  </sheetData>
  <customSheetViews>
    <customSheetView guid="{ADEA4918-0326-423A-8D00-FB47A486004B}" fitToPage="1" hiddenColumns="1" topLeftCell="A25">
      <selection activeCell="E25" sqref="E25"/>
      <pageMargins left="0.70866141732283472" right="0.70866141732283472" top="0.74803149606299213" bottom="0.74803149606299213" header="0.31496062992125984" footer="0.31496062992125984"/>
      <pageSetup paperSize="9" scale="64" orientation="landscape" horizontalDpi="4294967293" r:id="rId1"/>
    </customSheetView>
    <customSheetView guid="{2A78E287-3113-4387-BB62-BE98FA5C13C2}" fitToPage="1" hiddenColumns="1" topLeftCell="A4">
      <selection activeCell="E25" sqref="E25"/>
      <pageMargins left="0.70866141732283472" right="0.70866141732283472" top="0.74803149606299213" bottom="0.74803149606299213" header="0.31496062992125984" footer="0.31496062992125984"/>
      <pageSetup paperSize="9" scale="64" orientation="landscape" horizontalDpi="4294967293" r:id="rId2"/>
    </customSheetView>
    <customSheetView guid="{DC5DA12B-0FA6-4F41-A983-6E433AD4604D}" fitToPage="1" hiddenColumns="1" topLeftCell="A4">
      <selection activeCell="E25" sqref="E25"/>
      <pageMargins left="0.70866141732283472" right="0.70866141732283472" top="0.74803149606299213" bottom="0.74803149606299213" header="0.31496062992125984" footer="0.31496062992125984"/>
      <pageSetup paperSize="9" scale="64" orientation="landscape" horizontalDpi="4294967293" r:id="rId3"/>
    </customSheetView>
  </customSheetViews>
  <mergeCells count="6">
    <mergeCell ref="B3:K3"/>
    <mergeCell ref="B4:K4"/>
    <mergeCell ref="B5:B6"/>
    <mergeCell ref="C5:E5"/>
    <mergeCell ref="F5:H5"/>
    <mergeCell ref="I5:K5"/>
  </mergeCells>
  <pageMargins left="0.70866141732283472" right="0.70866141732283472" top="0.74803149606299213" bottom="0.74803149606299213" header="0.31496062992125984" footer="0.31496062992125984"/>
  <pageSetup paperSize="9" scale="64" orientation="landscape" horizontalDpi="4294967293"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F4EC-1331-445D-A98A-7680D5AC2264}">
  <dimension ref="C1:P18"/>
  <sheetViews>
    <sheetView workbookViewId="0">
      <selection activeCell="Q28" sqref="Q28"/>
    </sheetView>
  </sheetViews>
  <sheetFormatPr defaultRowHeight="14.4"/>
  <cols>
    <col min="3" max="3" width="30.109375" bestFit="1" customWidth="1"/>
    <col min="4" max="5" width="12.5546875" bestFit="1" customWidth="1"/>
    <col min="7" max="7" width="11.5546875" bestFit="1" customWidth="1"/>
    <col min="9" max="9" width="15.33203125" bestFit="1" customWidth="1"/>
    <col min="10" max="10" width="14.33203125" bestFit="1" customWidth="1"/>
    <col min="11" max="11" width="11.5546875" bestFit="1" customWidth="1"/>
    <col min="12" max="12" width="14.33203125" bestFit="1" customWidth="1"/>
    <col min="13" max="13" width="12.33203125" bestFit="1" customWidth="1"/>
    <col min="15" max="15" width="15.33203125" bestFit="1" customWidth="1"/>
    <col min="16" max="16" width="14.33203125" bestFit="1" customWidth="1"/>
  </cols>
  <sheetData>
    <row r="1" spans="3:16">
      <c r="D1" s="346">
        <v>45017</v>
      </c>
      <c r="E1" s="346">
        <v>45017</v>
      </c>
    </row>
    <row r="2" spans="3:16">
      <c r="D2" t="s">
        <v>3077</v>
      </c>
      <c r="E2" t="s">
        <v>3086</v>
      </c>
    </row>
    <row r="3" spans="3:16">
      <c r="C3" t="s">
        <v>3076</v>
      </c>
      <c r="D3" s="346">
        <v>45043</v>
      </c>
      <c r="E3" s="346">
        <v>45307</v>
      </c>
    </row>
    <row r="4" spans="3:16">
      <c r="C4" t="s">
        <v>3078</v>
      </c>
      <c r="D4" s="1">
        <v>400000</v>
      </c>
      <c r="E4" s="1">
        <v>134000</v>
      </c>
    </row>
    <row r="5" spans="3:16">
      <c r="C5" t="s">
        <v>3079</v>
      </c>
      <c r="D5" s="1">
        <v>1671650</v>
      </c>
      <c r="E5" s="1">
        <f>671429+237332.48</f>
        <v>908761.48</v>
      </c>
      <c r="F5">
        <f>+E5*0.05</f>
        <v>45438.074000000001</v>
      </c>
      <c r="G5" s="3">
        <f>+E5-F5</f>
        <v>863323.40599999996</v>
      </c>
      <c r="H5">
        <f>+G5/15</f>
        <v>57554.893733333331</v>
      </c>
    </row>
    <row r="6" spans="3:16">
      <c r="C6" t="s">
        <v>3085</v>
      </c>
      <c r="D6" s="1">
        <v>396388.61</v>
      </c>
      <c r="E6" s="1">
        <f>207225.48+73306.29</f>
        <v>280531.77</v>
      </c>
      <c r="H6">
        <f>+H5/366*291</f>
        <v>45760.858132240435</v>
      </c>
    </row>
    <row r="7" spans="3:16">
      <c r="C7" t="s">
        <v>1153</v>
      </c>
      <c r="D7" s="1">
        <v>1275261.3899999999</v>
      </c>
      <c r="E7" s="1">
        <f>464203+164026.19</f>
        <v>628229.18999999994</v>
      </c>
    </row>
    <row r="8" spans="3:16">
      <c r="C8" t="s">
        <v>3080</v>
      </c>
      <c r="D8" s="1">
        <f>+D3-D1+1</f>
        <v>27</v>
      </c>
      <c r="E8" s="1">
        <f>+E3-E1+1</f>
        <v>291</v>
      </c>
    </row>
    <row r="9" spans="3:16">
      <c r="C9" t="s">
        <v>3081</v>
      </c>
      <c r="D9" s="1">
        <v>158806.75</v>
      </c>
      <c r="E9" s="1">
        <v>57554.86</v>
      </c>
    </row>
    <row r="10" spans="3:16">
      <c r="C10" t="s">
        <v>3082</v>
      </c>
      <c r="D10" s="1">
        <f>+ROUND(D9*D8/366,0)</f>
        <v>11715</v>
      </c>
      <c r="E10" s="1">
        <f>+ROUND(E9*E8/366,0)</f>
        <v>45761</v>
      </c>
    </row>
    <row r="11" spans="3:16">
      <c r="C11" t="s">
        <v>3083</v>
      </c>
      <c r="D11" s="1">
        <f>+D5-D7-D10</f>
        <v>384673.6100000001</v>
      </c>
      <c r="E11" s="1">
        <f>+E5-E7-E10</f>
        <v>234771.29000000004</v>
      </c>
    </row>
    <row r="12" spans="3:16">
      <c r="C12" t="s">
        <v>3084</v>
      </c>
      <c r="D12" s="1">
        <f>+D4-D11</f>
        <v>15326.389999999898</v>
      </c>
      <c r="E12" s="1">
        <f>+E4-E11</f>
        <v>-100771.29000000004</v>
      </c>
      <c r="I12" s="1">
        <v>9429330</v>
      </c>
      <c r="J12" s="1">
        <v>2104855</v>
      </c>
      <c r="K12" s="1">
        <v>0</v>
      </c>
      <c r="L12" s="1">
        <v>0</v>
      </c>
      <c r="M12" s="1">
        <v>0</v>
      </c>
      <c r="O12" s="3">
        <f>+I12+J12+K12-L12</f>
        <v>11534185</v>
      </c>
      <c r="P12" s="3">
        <v>11534185</v>
      </c>
    </row>
    <row r="13" spans="3:16">
      <c r="D13" s="3"/>
      <c r="E13" s="3">
        <v>99529</v>
      </c>
      <c r="I13" s="1">
        <v>1118928</v>
      </c>
      <c r="J13" s="1">
        <v>103879</v>
      </c>
      <c r="K13" s="1">
        <v>0</v>
      </c>
      <c r="L13" s="1">
        <v>0</v>
      </c>
      <c r="M13" s="1">
        <v>0</v>
      </c>
      <c r="O13" s="3">
        <f t="shared" ref="O13:O18" si="0">+I13+J13+K13-L13</f>
        <v>1222807</v>
      </c>
      <c r="P13" s="3">
        <v>1222807</v>
      </c>
    </row>
    <row r="14" spans="3:16">
      <c r="E14">
        <v>237332.48000000001</v>
      </c>
      <c r="F14" t="s">
        <v>4719</v>
      </c>
      <c r="I14" s="1">
        <v>20052882</v>
      </c>
      <c r="J14" s="1">
        <v>2642560</v>
      </c>
      <c r="K14" s="1">
        <v>148582</v>
      </c>
      <c r="L14" s="1">
        <v>5419323</v>
      </c>
      <c r="M14" s="1">
        <v>-13082</v>
      </c>
      <c r="O14" s="3">
        <f t="shared" si="0"/>
        <v>17424701</v>
      </c>
    </row>
    <row r="15" spans="3:16">
      <c r="E15">
        <v>671429</v>
      </c>
      <c r="F15" t="s">
        <v>4720</v>
      </c>
      <c r="I15" s="1">
        <v>826596</v>
      </c>
      <c r="J15" s="1">
        <v>94971</v>
      </c>
      <c r="K15" s="1">
        <v>14418</v>
      </c>
      <c r="L15" s="1">
        <v>0</v>
      </c>
      <c r="M15" s="1">
        <v>0</v>
      </c>
      <c r="O15" s="3">
        <f t="shared" si="0"/>
        <v>935985</v>
      </c>
    </row>
    <row r="16" spans="3:16">
      <c r="E16">
        <f>+E14+E15</f>
        <v>908761.48</v>
      </c>
      <c r="F16" t="s">
        <v>824</v>
      </c>
      <c r="I16" s="1">
        <v>775627</v>
      </c>
      <c r="J16" s="1">
        <v>73596</v>
      </c>
      <c r="K16" s="1">
        <v>23556</v>
      </c>
      <c r="L16" s="1">
        <v>0</v>
      </c>
      <c r="M16" s="1">
        <v>0</v>
      </c>
      <c r="O16" s="3">
        <f t="shared" si="0"/>
        <v>872779</v>
      </c>
    </row>
    <row r="17" spans="5:15">
      <c r="E17" s="1">
        <f>+$E$4/$E$16*E14</f>
        <v>34995.48893731719</v>
      </c>
      <c r="F17" t="s">
        <v>4721</v>
      </c>
      <c r="I17" s="1">
        <v>126775827</v>
      </c>
      <c r="J17" s="1">
        <v>14032176</v>
      </c>
      <c r="K17" s="1">
        <v>0</v>
      </c>
      <c r="L17" s="1">
        <v>11022866</v>
      </c>
      <c r="M17" s="1">
        <v>-394507</v>
      </c>
      <c r="O17" s="3">
        <f t="shared" si="0"/>
        <v>129785137</v>
      </c>
    </row>
    <row r="18" spans="5:15">
      <c r="E18" s="1">
        <f>+$E$4/$E$16*E15</f>
        <v>99004.511062682795</v>
      </c>
      <c r="F18" t="s">
        <v>4722</v>
      </c>
      <c r="I18" s="1">
        <v>1297018</v>
      </c>
      <c r="J18" s="1">
        <v>345303</v>
      </c>
      <c r="K18" s="1">
        <v>0</v>
      </c>
      <c r="L18" s="1">
        <v>0</v>
      </c>
      <c r="M18" s="1">
        <v>0</v>
      </c>
      <c r="O18" s="3">
        <f t="shared" si="0"/>
        <v>1642321</v>
      </c>
    </row>
  </sheetData>
  <customSheetViews>
    <customSheetView guid="{ADEA4918-0326-423A-8D00-FB47A486004B}">
      <selection activeCell="Q28" sqref="Q28"/>
      <pageMargins left="0.7" right="0.7" top="0.75" bottom="0.75" header="0.3" footer="0.3"/>
    </customSheetView>
    <customSheetView guid="{2A78E287-3113-4387-BB62-BE98FA5C13C2}">
      <selection activeCell="K22" sqref="K22"/>
      <pageMargins left="0.7" right="0.7" top="0.75" bottom="0.75" header="0.3" footer="0.3"/>
    </customSheetView>
    <customSheetView guid="{DC5DA12B-0FA6-4F41-A983-6E433AD4604D}">
      <selection activeCell="K22" sqref="K22"/>
      <pageMargins left="0.7" right="0.7" top="0.75" bottom="0.75" header="0.3" footer="0.3"/>
    </customSheetView>
  </customSheetView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F8B94-556F-4055-912E-67052B11517E}">
  <sheetPr>
    <pageSetUpPr fitToPage="1"/>
  </sheetPr>
  <dimension ref="A1:X155"/>
  <sheetViews>
    <sheetView view="pageBreakPreview" zoomScale="80" zoomScaleNormal="85" zoomScaleSheetLayoutView="80" workbookViewId="0">
      <selection activeCell="H1" sqref="H1"/>
    </sheetView>
  </sheetViews>
  <sheetFormatPr defaultColWidth="9.109375" defaultRowHeight="14.4"/>
  <cols>
    <col min="1" max="1" width="30.44140625" customWidth="1"/>
    <col min="2" max="2" width="22.109375" customWidth="1"/>
    <col min="3" max="4" width="19.5546875" customWidth="1"/>
    <col min="5" max="5" width="22.109375" customWidth="1"/>
    <col min="6" max="6" width="21.6640625" customWidth="1"/>
    <col min="7" max="9" width="19.5546875" customWidth="1"/>
    <col min="10" max="10" width="20.6640625" customWidth="1"/>
    <col min="11" max="11" width="35" customWidth="1"/>
    <col min="12" max="12" width="16.44140625" bestFit="1" customWidth="1"/>
    <col min="13" max="13" width="15.33203125" bestFit="1" customWidth="1"/>
    <col min="14" max="14" width="14.88671875" bestFit="1" customWidth="1"/>
    <col min="15" max="15" width="13.88671875" bestFit="1" customWidth="1"/>
    <col min="16" max="16" width="15" bestFit="1" customWidth="1"/>
    <col min="18" max="18" width="12.44140625" bestFit="1" customWidth="1"/>
  </cols>
  <sheetData>
    <row r="1" spans="1:12">
      <c r="A1" s="134" t="s">
        <v>1125</v>
      </c>
      <c r="K1">
        <v>100000</v>
      </c>
    </row>
    <row r="2" spans="1:12">
      <c r="A2" s="134"/>
    </row>
    <row r="4" spans="1:12" ht="31.95" customHeight="1">
      <c r="A4" s="413" t="s">
        <v>1126</v>
      </c>
      <c r="B4" s="502" t="s">
        <v>175</v>
      </c>
      <c r="C4" s="502" t="s">
        <v>1127</v>
      </c>
      <c r="D4" s="502" t="s">
        <v>270</v>
      </c>
      <c r="E4" s="502" t="s">
        <v>1128</v>
      </c>
      <c r="F4" s="502" t="s">
        <v>1129</v>
      </c>
      <c r="G4" s="502" t="s">
        <v>1130</v>
      </c>
      <c r="H4" s="502" t="s">
        <v>1131</v>
      </c>
      <c r="I4" s="502" t="s">
        <v>1132</v>
      </c>
      <c r="J4" s="413" t="s">
        <v>399</v>
      </c>
    </row>
    <row r="5" spans="1:12">
      <c r="A5" s="794" t="s">
        <v>1133</v>
      </c>
      <c r="B5" s="136"/>
      <c r="C5" s="136"/>
      <c r="D5" s="136"/>
      <c r="E5" s="136"/>
      <c r="F5" s="136"/>
      <c r="G5" s="136"/>
      <c r="H5" s="136"/>
      <c r="I5" s="136"/>
      <c r="J5" s="137"/>
    </row>
    <row r="6" spans="1:12">
      <c r="A6" s="794" t="s">
        <v>3068</v>
      </c>
      <c r="B6" s="1305">
        <f>+B95/K1</f>
        <v>339.64999899999998</v>
      </c>
      <c r="C6" s="1305">
        <f>+B96/K1</f>
        <v>612.86378519999994</v>
      </c>
      <c r="D6" s="1305">
        <f>+B97/K1</f>
        <v>2221.04413368</v>
      </c>
      <c r="E6" s="1306">
        <f>+B98/K1</f>
        <v>29.911110000000001</v>
      </c>
      <c r="F6" s="1305">
        <f>+B99/K1</f>
        <v>8.6863545771975996</v>
      </c>
      <c r="G6" s="1305">
        <f>+B100/K1</f>
        <v>11.237431299999999</v>
      </c>
      <c r="H6" s="1305">
        <f>+B101/K1</f>
        <v>13.441970299999999</v>
      </c>
      <c r="I6" s="1305">
        <f>+B102/K1</f>
        <v>264.58588080000004</v>
      </c>
      <c r="J6" s="294">
        <f>+B108/K1</f>
        <v>403.80749359999993</v>
      </c>
    </row>
    <row r="7" spans="1:12">
      <c r="A7" s="136" t="s">
        <v>1134</v>
      </c>
      <c r="B7" s="1307">
        <f>+C95/K1</f>
        <v>0</v>
      </c>
      <c r="C7" s="1307">
        <f>+C96/K1</f>
        <v>28.303319999999999</v>
      </c>
      <c r="D7" s="1307">
        <f>+C97/K1</f>
        <v>0.63178000000000001</v>
      </c>
      <c r="E7" s="1308">
        <f>+C98/K1</f>
        <v>0</v>
      </c>
      <c r="F7" s="1307">
        <f>+C99/K1</f>
        <v>0.29799999999999999</v>
      </c>
      <c r="G7" s="1307">
        <f>+C100/K1</f>
        <v>0</v>
      </c>
      <c r="H7" s="1307">
        <f>+C101/K1</f>
        <v>5.40632</v>
      </c>
      <c r="I7" s="1307">
        <f>+C102/K1</f>
        <v>0.98460000000000003</v>
      </c>
      <c r="J7" s="294">
        <f>+C108/K1</f>
        <v>1088.9681439000001</v>
      </c>
    </row>
    <row r="8" spans="1:12">
      <c r="A8" s="136" t="s">
        <v>1135</v>
      </c>
      <c r="B8" s="1307">
        <f>+D95/K1</f>
        <v>0</v>
      </c>
      <c r="C8" s="1307">
        <f>+D96/K1</f>
        <v>0</v>
      </c>
      <c r="D8" s="1307">
        <f>+D97/K1</f>
        <v>0</v>
      </c>
      <c r="E8" s="1308">
        <f>+D98/K1</f>
        <v>0</v>
      </c>
      <c r="F8" s="1307">
        <f>+D99/K1</f>
        <v>0</v>
      </c>
      <c r="G8" s="1307">
        <f>+D100/K1</f>
        <v>0</v>
      </c>
      <c r="H8" s="1307">
        <f>+D101/K1</f>
        <v>0</v>
      </c>
      <c r="I8" s="1307">
        <f>+D102/K1</f>
        <v>0</v>
      </c>
      <c r="J8" s="294">
        <f>+D108/K1</f>
        <v>28.303319999999999</v>
      </c>
    </row>
    <row r="9" spans="1:12">
      <c r="A9" s="794" t="s">
        <v>1167</v>
      </c>
      <c r="B9" s="1305">
        <f>+B6+B7-B8</f>
        <v>339.64999899999998</v>
      </c>
      <c r="C9" s="1305">
        <f t="shared" ref="C9:J9" si="0">+C6+C7-C8</f>
        <v>641.16710519999992</v>
      </c>
      <c r="D9" s="1305">
        <f t="shared" si="0"/>
        <v>2221.6759136800001</v>
      </c>
      <c r="E9" s="1305">
        <f t="shared" si="0"/>
        <v>29.911110000000001</v>
      </c>
      <c r="F9" s="1305">
        <f t="shared" si="0"/>
        <v>8.9843545771975997</v>
      </c>
      <c r="G9" s="1305">
        <f t="shared" si="0"/>
        <v>11.237431299999999</v>
      </c>
      <c r="H9" s="1305">
        <f t="shared" si="0"/>
        <v>18.848290299999999</v>
      </c>
      <c r="I9" s="1305">
        <f t="shared" si="0"/>
        <v>265.57048080000004</v>
      </c>
      <c r="J9" s="1305">
        <f t="shared" si="0"/>
        <v>1464.4723174999999</v>
      </c>
    </row>
    <row r="10" spans="1:12">
      <c r="A10" s="136" t="s">
        <v>1134</v>
      </c>
      <c r="B10" s="1307">
        <f>+C74/K1</f>
        <v>0</v>
      </c>
      <c r="C10" s="1307">
        <f>+C75/K1</f>
        <v>102.06973000000001</v>
      </c>
      <c r="D10" s="1307">
        <f>+C76/K1</f>
        <v>1380.0793000000001</v>
      </c>
      <c r="E10" s="1308">
        <f>+C77/K1</f>
        <v>0</v>
      </c>
      <c r="F10" s="1307">
        <f>+C78/K1</f>
        <v>1.58186</v>
      </c>
      <c r="G10" s="1307">
        <f>+C79/K1</f>
        <v>0.84623000000000004</v>
      </c>
      <c r="H10" s="1307">
        <f>+C80/K1</f>
        <v>0.98019999999999996</v>
      </c>
      <c r="I10" s="1307">
        <f>+C81/K1</f>
        <v>487.20609000000002</v>
      </c>
      <c r="J10" s="294">
        <f>+C87/K1</f>
        <v>1642.2037084999999</v>
      </c>
    </row>
    <row r="11" spans="1:12">
      <c r="A11" s="136" t="s">
        <v>1135</v>
      </c>
      <c r="B11" s="1307">
        <f>+D95/K1</f>
        <v>0</v>
      </c>
      <c r="C11" s="1307">
        <f>+D96/K1</f>
        <v>0</v>
      </c>
      <c r="D11" s="1307">
        <f>+D76/K1</f>
        <v>115.51373</v>
      </c>
      <c r="E11" s="1308">
        <f>+D98/K1</f>
        <v>0</v>
      </c>
      <c r="F11" s="1307">
        <f>+D99/K1</f>
        <v>0</v>
      </c>
      <c r="G11" s="1307">
        <f>+D100/K1</f>
        <v>0</v>
      </c>
      <c r="H11" s="1307">
        <f>+D101/K1</f>
        <v>0</v>
      </c>
      <c r="I11" s="1307">
        <f>+D81/K1</f>
        <v>58.324023600000004</v>
      </c>
      <c r="J11" s="294">
        <f>+D87/K1</f>
        <v>3106.6760259999996</v>
      </c>
    </row>
    <row r="12" spans="1:12">
      <c r="A12" s="135" t="s">
        <v>3069</v>
      </c>
      <c r="B12" s="1845">
        <f>+B9+B10-B11</f>
        <v>339.64999899999998</v>
      </c>
      <c r="C12" s="1845">
        <f t="shared" ref="C12:J12" si="1">+C9+C10-C11</f>
        <v>743.23683519999997</v>
      </c>
      <c r="D12" s="1845">
        <f t="shared" si="1"/>
        <v>3486.2414836800003</v>
      </c>
      <c r="E12" s="1846">
        <f t="shared" si="1"/>
        <v>29.911110000000001</v>
      </c>
      <c r="F12" s="1845">
        <f t="shared" si="1"/>
        <v>10.5662145771976</v>
      </c>
      <c r="G12" s="1845">
        <f t="shared" si="1"/>
        <v>12.083661299999999</v>
      </c>
      <c r="H12" s="1845">
        <f t="shared" si="1"/>
        <v>19.828490299999999</v>
      </c>
      <c r="I12" s="1845">
        <f t="shared" si="1"/>
        <v>694.45254720000003</v>
      </c>
      <c r="J12" s="1845">
        <f t="shared" si="1"/>
        <v>0</v>
      </c>
      <c r="K12">
        <v>146320240.61000001</v>
      </c>
      <c r="L12" s="501">
        <f>+J12-K12</f>
        <v>-146320240.61000001</v>
      </c>
    </row>
    <row r="13" spans="1:12">
      <c r="A13" s="136"/>
      <c r="B13" s="136"/>
      <c r="C13" s="136"/>
      <c r="D13" s="136"/>
      <c r="E13" s="799"/>
      <c r="F13" s="136"/>
      <c r="G13" s="136"/>
      <c r="H13" s="136"/>
      <c r="I13" s="136"/>
      <c r="J13" s="137"/>
    </row>
    <row r="14" spans="1:12">
      <c r="A14" s="794" t="s">
        <v>132</v>
      </c>
      <c r="B14" s="136"/>
      <c r="C14" s="136"/>
      <c r="D14" s="136"/>
      <c r="E14" s="799"/>
      <c r="F14" s="136"/>
      <c r="G14" s="136"/>
      <c r="H14" s="136"/>
      <c r="I14" s="136"/>
      <c r="J14" s="137"/>
    </row>
    <row r="15" spans="1:12">
      <c r="A15" s="794" t="s">
        <v>3068</v>
      </c>
      <c r="B15" s="1305">
        <f>+F95/K1</f>
        <v>0</v>
      </c>
      <c r="C15" s="1305">
        <f>+F96/K1</f>
        <v>74.402208707179469</v>
      </c>
      <c r="D15" s="1305">
        <f>+F97/K1</f>
        <v>1131.2494286722933</v>
      </c>
      <c r="E15" s="1306">
        <f>+F98/K1</f>
        <v>9.2786920226313541</v>
      </c>
      <c r="F15" s="1305">
        <f>+F99/K1</f>
        <v>7.3045664351598187</v>
      </c>
      <c r="G15" s="1305">
        <f>+F100/K1</f>
        <v>7.1252314323580919</v>
      </c>
      <c r="H15" s="1305">
        <f>+F101/K1</f>
        <v>10.627339912144693</v>
      </c>
      <c r="I15" s="1305">
        <f>+F102/K1</f>
        <v>181.9579390260445</v>
      </c>
      <c r="J15" s="1305">
        <v>0</v>
      </c>
    </row>
    <row r="16" spans="1:12">
      <c r="A16" s="136" t="s">
        <v>1134</v>
      </c>
      <c r="B16" s="1307">
        <f>+G95/K1</f>
        <v>0</v>
      </c>
      <c r="C16" s="1307">
        <f>+G96/K1</f>
        <v>19.891092</v>
      </c>
      <c r="D16" s="1307">
        <f>+G97/K1</f>
        <v>136.50885199999999</v>
      </c>
      <c r="E16" s="1308">
        <f>+G122/K1</f>
        <v>3.6914896419712795</v>
      </c>
      <c r="F16" s="1307">
        <f>+G99/K1</f>
        <v>0.45169999999999999</v>
      </c>
      <c r="G16" s="1307">
        <f>+G100/K1</f>
        <v>1.14072</v>
      </c>
      <c r="H16" s="1307">
        <f>+G101/K1</f>
        <v>0.56194</v>
      </c>
      <c r="I16" s="1307">
        <f>+G102/K1</f>
        <v>18.570879999999999</v>
      </c>
      <c r="J16" s="1307">
        <f>+H143/K1</f>
        <v>0</v>
      </c>
    </row>
    <row r="17" spans="1:24">
      <c r="A17" s="136" t="s">
        <v>1135</v>
      </c>
      <c r="B17" s="1307">
        <f>+H119/K1</f>
        <v>0</v>
      </c>
      <c r="C17" s="1307">
        <f>+H120/K1</f>
        <v>0</v>
      </c>
      <c r="D17" s="1307">
        <f>+H121/K1</f>
        <v>0</v>
      </c>
      <c r="E17" s="1308">
        <f>+H122/K1</f>
        <v>0</v>
      </c>
      <c r="F17" s="1307">
        <f>+H123/K1</f>
        <v>0</v>
      </c>
      <c r="G17" s="1307">
        <f>+H124/K1</f>
        <v>0</v>
      </c>
      <c r="H17" s="1307">
        <f>+H125/K1</f>
        <v>0</v>
      </c>
      <c r="I17" s="1307">
        <f>+H126/K1</f>
        <v>0</v>
      </c>
      <c r="J17" s="1307">
        <v>0</v>
      </c>
    </row>
    <row r="18" spans="1:24">
      <c r="A18" s="794" t="s">
        <v>1167</v>
      </c>
      <c r="B18" s="1305">
        <f>+B15+B16-B17</f>
        <v>0</v>
      </c>
      <c r="C18" s="1305">
        <f t="shared" ref="C18:J18" si="2">+C15+C16-C17</f>
        <v>94.293300707179469</v>
      </c>
      <c r="D18" s="1305">
        <f t="shared" si="2"/>
        <v>1267.7582806722933</v>
      </c>
      <c r="E18" s="1306">
        <f t="shared" si="2"/>
        <v>12.970181664602634</v>
      </c>
      <c r="F18" s="1305">
        <f t="shared" si="2"/>
        <v>7.7562664351598185</v>
      </c>
      <c r="G18" s="1305">
        <f t="shared" si="2"/>
        <v>8.2659514323580918</v>
      </c>
      <c r="H18" s="1305">
        <f t="shared" si="2"/>
        <v>11.189279912144693</v>
      </c>
      <c r="I18" s="1305">
        <f t="shared" si="2"/>
        <v>200.52881902604449</v>
      </c>
      <c r="J18" s="1305">
        <f t="shared" si="2"/>
        <v>0</v>
      </c>
    </row>
    <row r="19" spans="1:24">
      <c r="A19" s="136" t="s">
        <v>1134</v>
      </c>
      <c r="B19" s="1307">
        <f>+G74</f>
        <v>0</v>
      </c>
      <c r="C19" s="1307">
        <f>+G75/K1</f>
        <v>21.048549999999999</v>
      </c>
      <c r="D19" s="1307">
        <f>+G76/K1</f>
        <v>140.32176000000001</v>
      </c>
      <c r="E19" s="1308">
        <f>+G77/K1</f>
        <v>3.45303</v>
      </c>
      <c r="F19" s="1307">
        <f>+G78/K1</f>
        <v>0.97152000000000005</v>
      </c>
      <c r="G19" s="1307">
        <f>+G79/K1</f>
        <v>1.09389</v>
      </c>
      <c r="H19" s="1307">
        <f>+G80/K1</f>
        <v>1.0387900000000001</v>
      </c>
      <c r="I19" s="1307">
        <f>+G81/K1</f>
        <v>27.91142</v>
      </c>
      <c r="J19" s="1307">
        <v>0</v>
      </c>
    </row>
    <row r="20" spans="1:24">
      <c r="A20" s="136" t="s">
        <v>1135</v>
      </c>
      <c r="B20" s="1307">
        <f>+H119/K1</f>
        <v>0</v>
      </c>
      <c r="C20" s="1307">
        <f>+H120/K1</f>
        <v>0</v>
      </c>
      <c r="D20" s="1307">
        <f>+H76/K1</f>
        <v>110.22866</v>
      </c>
      <c r="E20" s="1308">
        <f>+H122/K1</f>
        <v>0</v>
      </c>
      <c r="F20" s="1307">
        <f>+H123/K1</f>
        <v>0</v>
      </c>
      <c r="G20" s="1307">
        <f>+H124/K1</f>
        <v>0</v>
      </c>
      <c r="H20" s="1307">
        <f>+H125/K1</f>
        <v>0</v>
      </c>
      <c r="I20" s="1307">
        <f>+H81/K1</f>
        <v>54.19323</v>
      </c>
      <c r="J20" s="1307">
        <v>0</v>
      </c>
    </row>
    <row r="21" spans="1:24">
      <c r="A21" s="135" t="s">
        <v>3069</v>
      </c>
      <c r="B21" s="1845">
        <f>+B18+B19-B20</f>
        <v>0</v>
      </c>
      <c r="C21" s="1845">
        <f t="shared" ref="C21:J21" si="3">+C18+C19-C20</f>
        <v>115.34185070717947</v>
      </c>
      <c r="D21" s="1845">
        <f t="shared" si="3"/>
        <v>1297.8513806722933</v>
      </c>
      <c r="E21" s="1845">
        <f t="shared" si="3"/>
        <v>16.423211664602633</v>
      </c>
      <c r="F21" s="1845">
        <f t="shared" si="3"/>
        <v>8.7277864351598193</v>
      </c>
      <c r="G21" s="1845">
        <f t="shared" si="3"/>
        <v>9.3598414323580919</v>
      </c>
      <c r="H21" s="1845">
        <f t="shared" si="3"/>
        <v>12.228069912144694</v>
      </c>
      <c r="I21" s="1845">
        <f t="shared" si="3"/>
        <v>174.24700902604448</v>
      </c>
      <c r="J21" s="1845">
        <f t="shared" si="3"/>
        <v>0</v>
      </c>
    </row>
    <row r="22" spans="1:24">
      <c r="A22" s="136"/>
      <c r="B22" s="1307"/>
      <c r="C22" s="1307"/>
      <c r="D22" s="1307"/>
      <c r="E22" s="1307"/>
      <c r="F22" s="1307"/>
      <c r="G22" s="1307"/>
      <c r="H22" s="1307"/>
      <c r="I22" s="1307"/>
      <c r="J22" s="294"/>
    </row>
    <row r="23" spans="1:24">
      <c r="A23" s="135" t="s">
        <v>3068</v>
      </c>
      <c r="B23" s="1845">
        <f>+B6-B15</f>
        <v>339.64999899999998</v>
      </c>
      <c r="C23" s="1845">
        <f t="shared" ref="C23:J23" si="4">+C6-C15</f>
        <v>538.46157649282043</v>
      </c>
      <c r="D23" s="1845">
        <f t="shared" si="4"/>
        <v>1089.7947050077066</v>
      </c>
      <c r="E23" s="1845">
        <f t="shared" si="4"/>
        <v>20.632417977368647</v>
      </c>
      <c r="F23" s="1845">
        <f t="shared" si="4"/>
        <v>1.3817881420377809</v>
      </c>
      <c r="G23" s="1845">
        <f t="shared" si="4"/>
        <v>4.1121998676419071</v>
      </c>
      <c r="H23" s="1845">
        <f t="shared" si="4"/>
        <v>2.8146303878553063</v>
      </c>
      <c r="I23" s="1845">
        <f t="shared" si="4"/>
        <v>82.627941773955541</v>
      </c>
      <c r="J23" s="1845">
        <f t="shared" si="4"/>
        <v>403.80749359999993</v>
      </c>
    </row>
    <row r="24" spans="1:24">
      <c r="A24" s="802" t="s">
        <v>1167</v>
      </c>
      <c r="B24" s="1847">
        <f>+B9-B18</f>
        <v>339.64999899999998</v>
      </c>
      <c r="C24" s="1847">
        <f t="shared" ref="C24:I24" si="5">+C9-C18</f>
        <v>546.87380449282045</v>
      </c>
      <c r="D24" s="1847">
        <f t="shared" si="5"/>
        <v>953.91763300770685</v>
      </c>
      <c r="E24" s="1847">
        <f t="shared" si="5"/>
        <v>16.940928335397366</v>
      </c>
      <c r="F24" s="1847">
        <f t="shared" si="5"/>
        <v>1.2280881420377812</v>
      </c>
      <c r="G24" s="1847">
        <f t="shared" si="5"/>
        <v>2.9714798676419072</v>
      </c>
      <c r="H24" s="1847">
        <f t="shared" si="5"/>
        <v>7.6590103878553055</v>
      </c>
      <c r="I24" s="1847">
        <f t="shared" si="5"/>
        <v>65.041661773955553</v>
      </c>
      <c r="J24" s="1847">
        <f>+J9-J18</f>
        <v>1464.4723174999999</v>
      </c>
      <c r="W24" t="s">
        <v>1140</v>
      </c>
      <c r="X24" t="s">
        <v>2617</v>
      </c>
    </row>
    <row r="25" spans="1:24">
      <c r="A25" s="804" t="s">
        <v>3069</v>
      </c>
      <c r="B25" s="1309">
        <f>+B12-B21</f>
        <v>339.64999899999998</v>
      </c>
      <c r="C25" s="1309">
        <f t="shared" ref="C25:J25" si="6">+C12-C21</f>
        <v>627.89498449282053</v>
      </c>
      <c r="D25" s="1309">
        <f t="shared" si="6"/>
        <v>2188.3901030077068</v>
      </c>
      <c r="E25" s="1309">
        <f t="shared" si="6"/>
        <v>13.487898335397368</v>
      </c>
      <c r="F25" s="1309">
        <f t="shared" si="6"/>
        <v>1.838428142037781</v>
      </c>
      <c r="G25" s="1309">
        <f t="shared" si="6"/>
        <v>2.7238198676419074</v>
      </c>
      <c r="H25" s="1309">
        <f t="shared" si="6"/>
        <v>7.6004203878553049</v>
      </c>
      <c r="I25" s="1309">
        <f t="shared" si="6"/>
        <v>520.20553817395557</v>
      </c>
      <c r="J25" s="1309">
        <f t="shared" si="6"/>
        <v>0</v>
      </c>
      <c r="V25" t="s">
        <v>398</v>
      </c>
      <c r="W25" s="376">
        <f>1374004-X25</f>
        <v>663004</v>
      </c>
      <c r="X25" s="376">
        <v>711000</v>
      </c>
    </row>
    <row r="26" spans="1:24">
      <c r="V26" t="s">
        <v>400</v>
      </c>
      <c r="W26" s="376">
        <f>198800-X26</f>
        <v>45750</v>
      </c>
      <c r="X26" s="376">
        <v>153050</v>
      </c>
    </row>
    <row r="27" spans="1:24">
      <c r="A27" s="139" t="s">
        <v>1136</v>
      </c>
      <c r="M27" t="s">
        <v>790</v>
      </c>
      <c r="N27" t="s">
        <v>2228</v>
      </c>
      <c r="O27" t="s">
        <v>1152</v>
      </c>
      <c r="P27" t="s">
        <v>464</v>
      </c>
      <c r="V27" t="s">
        <v>401</v>
      </c>
      <c r="W27" s="376">
        <f>9930454-X27</f>
        <v>7860196</v>
      </c>
      <c r="X27" s="376">
        <v>2070258</v>
      </c>
    </row>
    <row r="28" spans="1:24">
      <c r="A28" t="s">
        <v>2898</v>
      </c>
      <c r="K28" t="s">
        <v>2246</v>
      </c>
      <c r="L28" t="s">
        <v>900</v>
      </c>
      <c r="M28" s="807" t="e">
        <f t="shared" ref="M28:M29" si="7">+P29</f>
        <v>#REF!</v>
      </c>
      <c r="N28" s="807">
        <v>106354564.16</v>
      </c>
      <c r="O28" s="807">
        <v>10244145</v>
      </c>
      <c r="P28" s="807" t="e">
        <f>+M28+N28-O28</f>
        <v>#REF!</v>
      </c>
      <c r="R28" s="124">
        <f>+N28-O28</f>
        <v>96110419.159999996</v>
      </c>
      <c r="V28" t="s">
        <v>402</v>
      </c>
      <c r="W28" s="376">
        <f>491595-X28</f>
        <v>464592</v>
      </c>
      <c r="X28" s="376">
        <v>27003</v>
      </c>
    </row>
    <row r="29" spans="1:24">
      <c r="K29" s="498" t="s">
        <v>2247</v>
      </c>
      <c r="L29" t="s">
        <v>901</v>
      </c>
      <c r="M29" s="807" t="e">
        <f t="shared" si="7"/>
        <v>#REF!</v>
      </c>
      <c r="N29" s="807">
        <v>44022621.640000001</v>
      </c>
      <c r="O29" s="807">
        <v>3954879.42</v>
      </c>
      <c r="P29" s="807" t="e">
        <f>+M29+N29-O29</f>
        <v>#REF!</v>
      </c>
      <c r="R29" s="124">
        <f>+N29-O29</f>
        <v>40067742.219999999</v>
      </c>
      <c r="V29" t="s">
        <v>449</v>
      </c>
      <c r="W29" s="376">
        <v>6416446.9100000001</v>
      </c>
      <c r="X29" s="376">
        <v>0</v>
      </c>
    </row>
    <row r="30" spans="1:24">
      <c r="A30" t="s">
        <v>1137</v>
      </c>
      <c r="K30" s="498" t="s">
        <v>2247</v>
      </c>
      <c r="L30" t="s">
        <v>2244</v>
      </c>
      <c r="M30" s="807" t="e">
        <f>+#REF!</f>
        <v>#REF!</v>
      </c>
      <c r="N30" s="807">
        <v>6025711.6200000001</v>
      </c>
      <c r="O30" s="807">
        <v>6115182.8200000003</v>
      </c>
      <c r="P30" s="807" t="e">
        <f>+M30+N30-O30</f>
        <v>#REF!</v>
      </c>
      <c r="V30" t="s">
        <v>425</v>
      </c>
      <c r="W30" s="3">
        <f>26642149.92-X30</f>
        <v>22526626.920000002</v>
      </c>
      <c r="X30" s="376">
        <v>4115523</v>
      </c>
    </row>
    <row r="31" spans="1:24">
      <c r="K31" s="498"/>
      <c r="M31" s="807"/>
      <c r="N31" s="807"/>
      <c r="O31" s="807"/>
      <c r="P31" s="807"/>
      <c r="W31" s="3"/>
      <c r="X31" s="376"/>
    </row>
    <row r="32" spans="1:24">
      <c r="A32" s="134" t="s">
        <v>4714</v>
      </c>
      <c r="K32" s="498"/>
      <c r="M32" s="807"/>
      <c r="N32" s="807"/>
      <c r="O32" s="807"/>
      <c r="P32" s="807"/>
      <c r="W32" s="3"/>
      <c r="X32" s="376"/>
    </row>
    <row r="33" spans="1:24">
      <c r="K33" s="498"/>
      <c r="M33" s="807"/>
      <c r="N33" s="807"/>
      <c r="O33" s="807"/>
      <c r="P33" s="807"/>
      <c r="W33" s="3"/>
      <c r="X33" s="376"/>
    </row>
    <row r="34" spans="1:24">
      <c r="A34" s="2517" t="s">
        <v>1138</v>
      </c>
      <c r="B34" s="2228" t="s">
        <v>1139</v>
      </c>
      <c r="C34" s="2228"/>
      <c r="D34" s="2228"/>
      <c r="E34" s="2228"/>
      <c r="F34" s="2228"/>
      <c r="K34" s="498"/>
      <c r="M34" s="807"/>
      <c r="N34" s="807"/>
      <c r="O34" s="807"/>
      <c r="P34" s="807"/>
      <c r="W34" s="3"/>
      <c r="X34" s="376"/>
    </row>
    <row r="35" spans="1:24">
      <c r="A35" s="2517"/>
      <c r="B35" s="135" t="s">
        <v>1140</v>
      </c>
      <c r="C35" s="135" t="s">
        <v>1141</v>
      </c>
      <c r="D35" s="135" t="s">
        <v>1142</v>
      </c>
      <c r="E35" s="135" t="s">
        <v>1143</v>
      </c>
      <c r="F35" s="135" t="s">
        <v>824</v>
      </c>
      <c r="K35" s="498"/>
      <c r="M35" s="807"/>
      <c r="N35" s="807"/>
      <c r="O35" s="807"/>
      <c r="P35" s="807"/>
      <c r="W35" s="3"/>
      <c r="X35" s="376"/>
    </row>
    <row r="36" spans="1:24">
      <c r="A36" s="806" t="s">
        <v>1144</v>
      </c>
      <c r="B36" s="140"/>
      <c r="C36" s="140"/>
      <c r="D36" s="140"/>
      <c r="E36" s="140"/>
      <c r="F36" s="140"/>
      <c r="K36" s="498"/>
      <c r="M36" s="807"/>
      <c r="N36" s="807"/>
      <c r="O36" s="807"/>
      <c r="P36" s="807"/>
      <c r="W36" s="3"/>
      <c r="X36" s="376"/>
    </row>
    <row r="37" spans="1:24">
      <c r="A37" s="806"/>
      <c r="B37" s="140"/>
      <c r="C37" s="140"/>
      <c r="D37" s="140"/>
      <c r="E37" s="140"/>
      <c r="F37" s="140"/>
      <c r="K37" s="498"/>
      <c r="M37" s="807"/>
      <c r="N37" s="807"/>
      <c r="O37" s="807"/>
      <c r="P37" s="807"/>
      <c r="W37" s="3"/>
      <c r="X37" s="376"/>
    </row>
    <row r="38" spans="1:24">
      <c r="A38" s="140" t="s">
        <v>2899</v>
      </c>
      <c r="B38" s="1310">
        <v>0</v>
      </c>
      <c r="C38" s="1310">
        <v>0</v>
      </c>
      <c r="D38" s="1310">
        <v>0</v>
      </c>
      <c r="E38" s="1310">
        <v>0</v>
      </c>
      <c r="F38" s="808">
        <f>+SUM(B38:E38)</f>
        <v>0</v>
      </c>
      <c r="K38" s="498"/>
      <c r="M38" s="807"/>
      <c r="N38" s="807"/>
      <c r="O38" s="807"/>
      <c r="P38" s="807"/>
      <c r="W38" s="3"/>
      <c r="X38" s="376"/>
    </row>
    <row r="39" spans="1:24">
      <c r="A39" s="856"/>
      <c r="B39" s="1310"/>
      <c r="C39" s="1310"/>
      <c r="D39" s="1310"/>
      <c r="E39" s="1310"/>
      <c r="F39" s="1310"/>
      <c r="K39" s="498"/>
      <c r="M39" s="807"/>
      <c r="N39" s="807"/>
      <c r="O39" s="807"/>
      <c r="P39" s="807"/>
      <c r="W39" s="3"/>
      <c r="X39" s="376"/>
    </row>
    <row r="40" spans="1:24">
      <c r="A40" s="140" t="s">
        <v>1145</v>
      </c>
      <c r="B40" s="808">
        <v>0</v>
      </c>
      <c r="C40" s="808">
        <v>0</v>
      </c>
      <c r="D40" s="808">
        <v>0</v>
      </c>
      <c r="E40" s="808">
        <v>0</v>
      </c>
      <c r="F40" s="808">
        <f>+SUM(B40:E40)</f>
        <v>0</v>
      </c>
      <c r="K40" s="498"/>
      <c r="M40" s="807"/>
      <c r="N40" s="807"/>
      <c r="O40" s="807"/>
      <c r="P40" s="807"/>
      <c r="W40" s="3"/>
      <c r="X40" s="376"/>
    </row>
    <row r="41" spans="1:24">
      <c r="A41" s="140"/>
      <c r="B41" s="808"/>
      <c r="C41" s="808"/>
      <c r="D41" s="808"/>
      <c r="E41" s="808"/>
      <c r="F41" s="808"/>
      <c r="K41" s="498"/>
      <c r="M41" s="807"/>
      <c r="N41" s="807"/>
      <c r="O41" s="807"/>
      <c r="P41" s="807"/>
      <c r="W41" s="3"/>
      <c r="X41" s="376"/>
    </row>
    <row r="42" spans="1:24">
      <c r="A42" s="140" t="s">
        <v>824</v>
      </c>
      <c r="B42" s="808">
        <f>+SUM(B37:B41)</f>
        <v>0</v>
      </c>
      <c r="C42" s="808">
        <f>+SUM(C37:C41)</f>
        <v>0</v>
      </c>
      <c r="D42" s="808">
        <f>+SUM(D37:D41)</f>
        <v>0</v>
      </c>
      <c r="E42" s="808">
        <f>+SUM(E37:E41)</f>
        <v>0</v>
      </c>
      <c r="F42" s="808">
        <f>+SUM(F37:F41)</f>
        <v>0</v>
      </c>
      <c r="K42" s="498"/>
      <c r="M42" s="807"/>
      <c r="N42" s="807"/>
      <c r="O42" s="807"/>
      <c r="P42" s="807"/>
      <c r="W42" s="3"/>
      <c r="X42" s="376"/>
    </row>
    <row r="43" spans="1:24">
      <c r="K43" s="498"/>
      <c r="M43" s="807"/>
      <c r="N43" s="807"/>
      <c r="O43" s="807"/>
      <c r="P43" s="807"/>
      <c r="W43" s="3"/>
      <c r="X43" s="376"/>
    </row>
    <row r="44" spans="1:24">
      <c r="A44" s="134" t="s">
        <v>4716</v>
      </c>
      <c r="V44" t="s">
        <v>450</v>
      </c>
      <c r="W44" s="3">
        <f>83604790.78-X44</f>
        <v>68162084.870000005</v>
      </c>
      <c r="X44" s="376">
        <v>15442705.91</v>
      </c>
    </row>
    <row r="45" spans="1:24">
      <c r="V45" t="s">
        <v>2618</v>
      </c>
      <c r="W45" s="3">
        <f>17362000-X45</f>
        <v>639287</v>
      </c>
      <c r="X45" s="376">
        <v>16722713</v>
      </c>
    </row>
    <row r="46" spans="1:24">
      <c r="A46" s="2517" t="s">
        <v>1138</v>
      </c>
      <c r="B46" s="2228" t="s">
        <v>1139</v>
      </c>
      <c r="C46" s="2228"/>
      <c r="D46" s="2228"/>
      <c r="E46" s="2228"/>
      <c r="F46" s="2228"/>
      <c r="W46" s="539">
        <f>+SUM(W25:W45)</f>
        <v>106777987.7</v>
      </c>
      <c r="X46" s="539">
        <f>+SUM(X25:X45)</f>
        <v>39242252.909999996</v>
      </c>
    </row>
    <row r="47" spans="1:24">
      <c r="A47" s="2517"/>
      <c r="B47" s="135" t="s">
        <v>1140</v>
      </c>
      <c r="C47" s="135" t="s">
        <v>1141</v>
      </c>
      <c r="D47" s="135" t="s">
        <v>1142</v>
      </c>
      <c r="E47" s="135" t="s">
        <v>1143</v>
      </c>
      <c r="F47" s="135" t="s">
        <v>824</v>
      </c>
    </row>
    <row r="48" spans="1:24">
      <c r="A48" s="806" t="s">
        <v>1144</v>
      </c>
      <c r="B48" s="140"/>
      <c r="C48" s="140"/>
      <c r="D48" s="140"/>
      <c r="E48" s="140"/>
      <c r="F48" s="140"/>
    </row>
    <row r="49" spans="1:16">
      <c r="A49" s="806"/>
      <c r="B49" s="140"/>
      <c r="C49" s="140"/>
      <c r="D49" s="140"/>
      <c r="E49" s="140"/>
      <c r="F49" s="140"/>
    </row>
    <row r="50" spans="1:16">
      <c r="A50" s="140" t="s">
        <v>2899</v>
      </c>
      <c r="B50" s="1310">
        <f>7700000+99504980</f>
        <v>107204980</v>
      </c>
      <c r="C50" s="1310">
        <f>+F63</f>
        <v>39242251.689999998</v>
      </c>
      <c r="D50" s="1310"/>
      <c r="E50" s="1310"/>
      <c r="F50" s="808">
        <f>+SUM(B50:E50)</f>
        <v>146447231.69</v>
      </c>
      <c r="H50" s="124"/>
      <c r="K50" s="498"/>
      <c r="M50" s="807"/>
      <c r="N50" s="807"/>
      <c r="O50" s="807"/>
      <c r="P50" s="807"/>
    </row>
    <row r="51" spans="1:16">
      <c r="A51" s="856"/>
      <c r="B51" s="1310"/>
      <c r="C51" s="1310"/>
      <c r="D51" s="1310"/>
      <c r="E51" s="1310"/>
      <c r="F51" s="1310"/>
      <c r="K51" s="498"/>
      <c r="M51" s="807"/>
      <c r="N51" s="807"/>
      <c r="O51" s="807"/>
      <c r="P51" s="807"/>
    </row>
    <row r="52" spans="1:16">
      <c r="A52" s="140" t="s">
        <v>1145</v>
      </c>
      <c r="B52" s="808">
        <v>0</v>
      </c>
      <c r="C52" s="808">
        <v>0</v>
      </c>
      <c r="D52" s="808">
        <v>0</v>
      </c>
      <c r="E52" s="808">
        <v>0</v>
      </c>
      <c r="F52" s="808">
        <f>+SUM(B52:E52)</f>
        <v>0</v>
      </c>
      <c r="H52" s="124"/>
    </row>
    <row r="53" spans="1:16">
      <c r="A53" s="140"/>
      <c r="B53" s="808"/>
      <c r="C53" s="808"/>
      <c r="D53" s="808"/>
      <c r="E53" s="808"/>
      <c r="F53" s="808"/>
    </row>
    <row r="54" spans="1:16">
      <c r="A54" s="140" t="s">
        <v>824</v>
      </c>
      <c r="B54" s="808">
        <f>+SUM(B49:B53)</f>
        <v>107204980</v>
      </c>
      <c r="C54" s="808">
        <f>+SUM(C49:C53)</f>
        <v>39242251.689999998</v>
      </c>
      <c r="D54" s="808">
        <f>+SUM(D49:D53)</f>
        <v>0</v>
      </c>
      <c r="E54" s="808">
        <f>+SUM(E49:E53)</f>
        <v>0</v>
      </c>
      <c r="F54" s="808">
        <f>+SUM(F49:F53)</f>
        <v>146447231.69</v>
      </c>
    </row>
    <row r="55" spans="1:16">
      <c r="B55" s="124"/>
      <c r="C55" s="124"/>
      <c r="D55" s="124"/>
      <c r="E55" s="124"/>
      <c r="F55" s="124"/>
    </row>
    <row r="56" spans="1:16">
      <c r="B56" s="124"/>
      <c r="C56" s="124"/>
      <c r="D56" s="124"/>
      <c r="E56" s="124"/>
      <c r="F56" s="124"/>
    </row>
    <row r="57" spans="1:16">
      <c r="A57" s="134" t="s">
        <v>2243</v>
      </c>
      <c r="B57" s="124"/>
      <c r="C57" s="124"/>
      <c r="D57" s="124"/>
      <c r="E57" s="124"/>
      <c r="F57" s="124"/>
    </row>
    <row r="58" spans="1:16">
      <c r="B58" s="124"/>
      <c r="C58" s="124"/>
      <c r="D58" s="124"/>
      <c r="E58" s="124"/>
      <c r="F58" s="124"/>
    </row>
    <row r="59" spans="1:16">
      <c r="A59" s="2517" t="s">
        <v>1138</v>
      </c>
      <c r="B59" s="2506" t="s">
        <v>1139</v>
      </c>
      <c r="C59" s="2506"/>
      <c r="D59" s="2506"/>
      <c r="E59" s="2506"/>
      <c r="F59" s="2506"/>
    </row>
    <row r="60" spans="1:16">
      <c r="A60" s="2517"/>
      <c r="B60" s="725" t="s">
        <v>1140</v>
      </c>
      <c r="C60" s="725" t="s">
        <v>1141</v>
      </c>
      <c r="D60" s="725" t="s">
        <v>1142</v>
      </c>
      <c r="E60" s="725" t="s">
        <v>1143</v>
      </c>
      <c r="F60" s="725" t="s">
        <v>824</v>
      </c>
    </row>
    <row r="61" spans="1:16">
      <c r="A61" s="806" t="s">
        <v>1144</v>
      </c>
      <c r="B61" s="503"/>
      <c r="C61" s="503"/>
      <c r="D61" s="503"/>
      <c r="E61" s="503"/>
      <c r="F61" s="503"/>
    </row>
    <row r="62" spans="1:16">
      <c r="A62" s="806"/>
      <c r="B62" s="503"/>
      <c r="C62" s="503"/>
      <c r="D62" s="503"/>
      <c r="E62" s="503"/>
      <c r="F62" s="503"/>
    </row>
    <row r="63" spans="1:16">
      <c r="A63" s="140" t="s">
        <v>2899</v>
      </c>
      <c r="B63" s="1310">
        <f>40380749-B65</f>
        <v>39242251.689999998</v>
      </c>
      <c r="C63" s="1310">
        <v>0</v>
      </c>
      <c r="D63" s="1310">
        <v>0</v>
      </c>
      <c r="E63" s="1310">
        <v>0</v>
      </c>
      <c r="F63" s="808">
        <f>+SUM(B63:E63)</f>
        <v>39242251.689999998</v>
      </c>
    </row>
    <row r="64" spans="1:16">
      <c r="A64" s="856"/>
      <c r="B64" s="808"/>
      <c r="C64" s="808"/>
      <c r="D64" s="808"/>
      <c r="E64" s="808"/>
      <c r="F64" s="808"/>
    </row>
    <row r="65" spans="1:11">
      <c r="A65" s="140" t="s">
        <v>1145</v>
      </c>
      <c r="B65" s="808">
        <v>1138497.31</v>
      </c>
      <c r="C65" s="808">
        <v>0</v>
      </c>
      <c r="D65" s="808">
        <v>0</v>
      </c>
      <c r="E65" s="808">
        <v>0</v>
      </c>
      <c r="F65" s="808">
        <f>+SUM(B65:E65)</f>
        <v>1138497.31</v>
      </c>
    </row>
    <row r="66" spans="1:11">
      <c r="A66" s="140"/>
      <c r="B66" s="808"/>
      <c r="C66" s="808"/>
      <c r="D66" s="808"/>
      <c r="E66" s="808"/>
      <c r="F66" s="808"/>
    </row>
    <row r="67" spans="1:11">
      <c r="A67" s="140" t="s">
        <v>824</v>
      </c>
      <c r="B67" s="808">
        <f>+SUM(B62:B66)</f>
        <v>40380749</v>
      </c>
      <c r="C67" s="808">
        <f>+SUM(C62:C66)</f>
        <v>0</v>
      </c>
      <c r="D67" s="808">
        <f>+SUM(D62:D66)</f>
        <v>0</v>
      </c>
      <c r="E67" s="808">
        <f>+SUM(E62:E66)</f>
        <v>0</v>
      </c>
      <c r="F67" s="808">
        <f>+SUM(F62:F66)</f>
        <v>40380749</v>
      </c>
    </row>
    <row r="69" spans="1:11">
      <c r="J69" s="501">
        <f>+J103-BSPL!G9</f>
        <v>-162231592.04580298</v>
      </c>
    </row>
    <row r="70" spans="1:11" ht="15" thickBot="1">
      <c r="J70" s="501"/>
    </row>
    <row r="71" spans="1:11" ht="16.2" thickBot="1">
      <c r="A71" s="809"/>
      <c r="B71" s="2507" t="s">
        <v>2488</v>
      </c>
      <c r="C71" s="2507"/>
      <c r="D71" s="2507"/>
      <c r="E71" s="2507"/>
      <c r="F71" s="2507"/>
      <c r="G71" s="2507"/>
      <c r="H71" s="2507"/>
      <c r="I71" s="2507"/>
      <c r="J71" s="2507"/>
      <c r="K71" s="2508"/>
    </row>
    <row r="72" spans="1:11" ht="15.6">
      <c r="A72" s="2509"/>
      <c r="B72" s="2511" t="s">
        <v>1147</v>
      </c>
      <c r="C72" s="2512"/>
      <c r="D72" s="2512"/>
      <c r="E72" s="2513"/>
      <c r="F72" s="2514" t="s">
        <v>132</v>
      </c>
      <c r="G72" s="2515"/>
      <c r="H72" s="2516"/>
      <c r="I72" s="2515"/>
      <c r="J72" s="810">
        <v>45017</v>
      </c>
      <c r="K72" s="811">
        <v>45382</v>
      </c>
    </row>
    <row r="73" spans="1:11" ht="47.4" thickBot="1">
      <c r="A73" s="2510"/>
      <c r="B73" s="812">
        <v>45017</v>
      </c>
      <c r="C73" s="813" t="s">
        <v>3070</v>
      </c>
      <c r="D73" s="814" t="s">
        <v>3071</v>
      </c>
      <c r="E73" s="812">
        <v>45382</v>
      </c>
      <c r="F73" s="815" t="s">
        <v>3072</v>
      </c>
      <c r="G73" s="814" t="s">
        <v>1151</v>
      </c>
      <c r="H73" s="816" t="s">
        <v>1152</v>
      </c>
      <c r="I73" s="815" t="s">
        <v>1153</v>
      </c>
      <c r="J73" s="817" t="s">
        <v>1154</v>
      </c>
      <c r="K73" s="818" t="s">
        <v>1154</v>
      </c>
    </row>
    <row r="74" spans="1:11">
      <c r="A74" s="819" t="s">
        <v>1155</v>
      </c>
      <c r="B74" s="141">
        <f t="shared" ref="B74:B81" si="8">+E95</f>
        <v>33964999.899999999</v>
      </c>
      <c r="C74" s="142">
        <v>0</v>
      </c>
      <c r="D74" s="142"/>
      <c r="E74" s="142">
        <f>+B74+C74-D74</f>
        <v>33964999.899999999</v>
      </c>
      <c r="F74" s="142">
        <f t="shared" ref="F74:F81" si="9">+I95</f>
        <v>0</v>
      </c>
      <c r="G74" s="142">
        <v>0</v>
      </c>
      <c r="H74" s="142"/>
      <c r="I74" s="142">
        <f>+F74+G74-H74</f>
        <v>0</v>
      </c>
      <c r="J74" s="142">
        <f>+B74-F74</f>
        <v>33964999.899999999</v>
      </c>
      <c r="K74" s="143">
        <f>+E74-I74</f>
        <v>33964999.899999999</v>
      </c>
    </row>
    <row r="75" spans="1:11">
      <c r="A75" s="820" t="s">
        <v>1127</v>
      </c>
      <c r="B75" s="141">
        <f t="shared" si="8"/>
        <v>64116710.519999996</v>
      </c>
      <c r="C75" s="142">
        <v>10206973</v>
      </c>
      <c r="D75" s="142"/>
      <c r="E75" s="142">
        <f t="shared" ref="E75:E81" si="10">+B75+C75-D75</f>
        <v>74323683.519999996</v>
      </c>
      <c r="F75" s="142">
        <f t="shared" si="9"/>
        <v>9429330.0707179457</v>
      </c>
      <c r="G75" s="142">
        <f>+GETPIVOTDATA("Sum of Dr. Final 23-24",Pivot!$A$1,"PARTICULARS","Depreciation on Building","Note",,"BS Main Head","Depreciation &amp; Amortisation","BS Sub Head","Depreciation")</f>
        <v>2104855</v>
      </c>
      <c r="H75" s="142"/>
      <c r="I75" s="142">
        <f t="shared" ref="I75:I81" si="11">+F75+G75-H75</f>
        <v>11534185.070717946</v>
      </c>
      <c r="J75" s="142">
        <f t="shared" ref="J75:J81" si="12">+B75-F75</f>
        <v>54687380.44928205</v>
      </c>
      <c r="K75" s="143">
        <f t="shared" ref="K75:K81" si="13">+E75-I75</f>
        <v>62789498.44928205</v>
      </c>
    </row>
    <row r="76" spans="1:11">
      <c r="A76" s="820" t="s">
        <v>270</v>
      </c>
      <c r="B76" s="141">
        <f t="shared" si="8"/>
        <v>222167591.368</v>
      </c>
      <c r="C76" s="142">
        <v>138007930</v>
      </c>
      <c r="D76" s="142">
        <v>11551373</v>
      </c>
      <c r="E76" s="142">
        <f t="shared" si="10"/>
        <v>348624148.36800003</v>
      </c>
      <c r="F76" s="142">
        <f t="shared" si="9"/>
        <v>126775828.06722933</v>
      </c>
      <c r="G76" s="142">
        <f>+GETPIVOTDATA("Sum of Dr. Final 23-24",Pivot!$A$1,"PARTICULARS","Depreciation on Plant &amp; Machinery","Note",,"BS Main Head","Depreciation &amp; Amortisation","BS Sub Head","Depreciation")</f>
        <v>14032176</v>
      </c>
      <c r="H76" s="142">
        <v>11022866</v>
      </c>
      <c r="I76" s="142">
        <f t="shared" si="11"/>
        <v>129785138.06722933</v>
      </c>
      <c r="J76" s="142">
        <f t="shared" si="12"/>
        <v>95391763.30077067</v>
      </c>
      <c r="K76" s="143">
        <f t="shared" si="13"/>
        <v>218839010.3007707</v>
      </c>
    </row>
    <row r="77" spans="1:11">
      <c r="A77" s="820" t="s">
        <v>1128</v>
      </c>
      <c r="B77" s="141">
        <f t="shared" si="8"/>
        <v>2991111</v>
      </c>
      <c r="C77" s="142">
        <v>0</v>
      </c>
      <c r="D77" s="142"/>
      <c r="E77" s="142">
        <f t="shared" si="10"/>
        <v>2991111</v>
      </c>
      <c r="F77" s="142">
        <f t="shared" si="9"/>
        <v>1297018.2022631355</v>
      </c>
      <c r="G77" s="142">
        <f>+GETPIVOTDATA("Sum of Dr. Final 23-24",Pivot!$A$1,"PARTICULARS","Depreciation on Vehicle","Note",,"BS Main Head","Depreciation &amp; Amortisation","BS Sub Head","Depreciation")</f>
        <v>345303</v>
      </c>
      <c r="H77" s="142"/>
      <c r="I77" s="142">
        <f t="shared" si="11"/>
        <v>1642321.2022631355</v>
      </c>
      <c r="J77" s="142">
        <f t="shared" si="12"/>
        <v>1694092.7977368645</v>
      </c>
      <c r="K77" s="143">
        <f t="shared" si="13"/>
        <v>1348789.7977368645</v>
      </c>
    </row>
    <row r="78" spans="1:11">
      <c r="A78" s="820" t="s">
        <v>1129</v>
      </c>
      <c r="B78" s="141">
        <f t="shared" si="8"/>
        <v>898435.45771976002</v>
      </c>
      <c r="C78" s="142">
        <v>158186</v>
      </c>
      <c r="D78" s="142"/>
      <c r="E78" s="142">
        <f t="shared" si="10"/>
        <v>1056621.45771976</v>
      </c>
      <c r="F78" s="142">
        <f t="shared" si="9"/>
        <v>775626.64351598185</v>
      </c>
      <c r="G78" s="142">
        <f>+GETPIVOTDATA("Sum of Dr. Final 23-24",Pivot!$A$1,"PARTICULARS","Depreciation on Computer","Note",,"BS Main Head","Depreciation &amp; Amortisation","BS Sub Head","Depreciation")</f>
        <v>97152</v>
      </c>
      <c r="H78" s="142"/>
      <c r="I78" s="142">
        <f t="shared" si="11"/>
        <v>872778.64351598185</v>
      </c>
      <c r="J78" s="142">
        <f t="shared" si="12"/>
        <v>122808.81420377817</v>
      </c>
      <c r="K78" s="143">
        <f t="shared" si="13"/>
        <v>183842.81420377817</v>
      </c>
    </row>
    <row r="79" spans="1:11">
      <c r="A79" s="820" t="s">
        <v>1130</v>
      </c>
      <c r="B79" s="141">
        <f t="shared" si="8"/>
        <v>1123743.1299999999</v>
      </c>
      <c r="C79" s="142">
        <v>84623</v>
      </c>
      <c r="D79" s="142"/>
      <c r="E79" s="142">
        <f t="shared" si="10"/>
        <v>1208366.1299999999</v>
      </c>
      <c r="F79" s="142">
        <f t="shared" si="9"/>
        <v>826595.14323580917</v>
      </c>
      <c r="G79" s="142">
        <f>+GETPIVOTDATA("Sum of Dr. Final 23-24",Pivot!$A$1,"PARTICULARS","Depreciation on Office Equipment","Note",,"BS Main Head","Depreciation &amp; Amortisation","BS Sub Head","Depreciation")</f>
        <v>109389</v>
      </c>
      <c r="H79" s="142"/>
      <c r="I79" s="142">
        <f t="shared" si="11"/>
        <v>935984.14323580917</v>
      </c>
      <c r="J79" s="142">
        <f t="shared" si="12"/>
        <v>297147.98676419072</v>
      </c>
      <c r="K79" s="143">
        <f t="shared" si="13"/>
        <v>272381.98676419072</v>
      </c>
    </row>
    <row r="80" spans="1:11">
      <c r="A80" s="820" t="s">
        <v>1131</v>
      </c>
      <c r="B80" s="141">
        <f t="shared" si="8"/>
        <v>1884829.03</v>
      </c>
      <c r="C80" s="142">
        <v>98020</v>
      </c>
      <c r="D80" s="142"/>
      <c r="E80" s="142">
        <f t="shared" si="10"/>
        <v>1982849.03</v>
      </c>
      <c r="F80" s="142">
        <f t="shared" si="9"/>
        <v>1118927.9912144693</v>
      </c>
      <c r="G80" s="142">
        <f>+GETPIVOTDATA("Sum of Dr. Final 23-24",Pivot!$A$1,"PARTICULARS","Depreciation on Furniture &amp; Fixture","Note",,"BS Main Head","Depreciation &amp; Amortisation","BS Sub Head","Depreciation")</f>
        <v>103879</v>
      </c>
      <c r="H80" s="142"/>
      <c r="I80" s="142">
        <f t="shared" si="11"/>
        <v>1222806.9912144693</v>
      </c>
      <c r="J80" s="142">
        <f t="shared" si="12"/>
        <v>765901.03878553072</v>
      </c>
      <c r="K80" s="143">
        <f t="shared" si="13"/>
        <v>760042.03878553072</v>
      </c>
    </row>
    <row r="81" spans="1:13" ht="15" thickBot="1">
      <c r="A81" s="821" t="s">
        <v>1132</v>
      </c>
      <c r="B81" s="141">
        <f t="shared" si="8"/>
        <v>26557048.080000002</v>
      </c>
      <c r="C81" s="142">
        <v>48720609</v>
      </c>
      <c r="D81" s="142">
        <v>5832402.3600000003</v>
      </c>
      <c r="E81" s="142">
        <f t="shared" si="10"/>
        <v>69445254.719999999</v>
      </c>
      <c r="F81" s="142">
        <f t="shared" si="9"/>
        <v>20052881.90260445</v>
      </c>
      <c r="G81" s="142">
        <f>+GETPIVOTDATA("Sum of Dr. Final 23-24",Pivot!$A$1,"PARTICULARS","Depreciation Electrical Installation","Note",,"BS Main Head","Depreciation &amp; Amortisation","BS Sub Head","Depreciation")</f>
        <v>2791142</v>
      </c>
      <c r="H81" s="142">
        <v>5419323</v>
      </c>
      <c r="I81" s="142">
        <f t="shared" si="11"/>
        <v>17424700.90260445</v>
      </c>
      <c r="J81" s="142">
        <f t="shared" si="12"/>
        <v>6504166.1773955524</v>
      </c>
      <c r="K81" s="143">
        <f t="shared" si="13"/>
        <v>52020553.817395553</v>
      </c>
    </row>
    <row r="82" spans="1:13" ht="16.2" thickBot="1">
      <c r="A82" s="822" t="s">
        <v>1156</v>
      </c>
      <c r="B82" s="823">
        <f t="shared" ref="B82:K82" si="14">SUM(B74:B81)</f>
        <v>353704468.48571968</v>
      </c>
      <c r="C82" s="823">
        <f t="shared" si="14"/>
        <v>197276341</v>
      </c>
      <c r="D82" s="823">
        <f t="shared" si="14"/>
        <v>17383775.359999999</v>
      </c>
      <c r="E82" s="823">
        <f t="shared" si="14"/>
        <v>533597034.12571967</v>
      </c>
      <c r="F82" s="823">
        <f t="shared" si="14"/>
        <v>160276208.02078113</v>
      </c>
      <c r="G82" s="823">
        <f t="shared" si="14"/>
        <v>19583896</v>
      </c>
      <c r="H82" s="823">
        <f t="shared" si="14"/>
        <v>16442189</v>
      </c>
      <c r="I82" s="823">
        <f t="shared" si="14"/>
        <v>163417915.02078113</v>
      </c>
      <c r="J82" s="823">
        <f t="shared" si="14"/>
        <v>193428260.46493861</v>
      </c>
      <c r="K82" s="823">
        <f t="shared" si="14"/>
        <v>370179119.10493875</v>
      </c>
    </row>
    <row r="83" spans="1:13" ht="15" thickBot="1">
      <c r="J83" s="501"/>
    </row>
    <row r="84" spans="1:13" ht="15" thickBot="1">
      <c r="A84" s="826" t="s">
        <v>399</v>
      </c>
      <c r="B84" s="827"/>
      <c r="C84" s="827"/>
      <c r="D84" s="827"/>
      <c r="E84" s="827"/>
      <c r="F84" s="827"/>
      <c r="G84" s="827"/>
      <c r="H84" s="827"/>
      <c r="I84" s="827"/>
      <c r="J84" s="827"/>
      <c r="K84" s="828"/>
    </row>
    <row r="85" spans="1:13">
      <c r="A85" s="829" t="s">
        <v>1157</v>
      </c>
      <c r="B85" s="830">
        <f>+K106</f>
        <v>6416446.5099999998</v>
      </c>
      <c r="C85" s="912">
        <v>3850638.38</v>
      </c>
      <c r="D85" s="913">
        <v>10267084.890000001</v>
      </c>
      <c r="E85" s="912">
        <f>B85+C85-D85</f>
        <v>0</v>
      </c>
      <c r="F85" s="142">
        <v>0</v>
      </c>
      <c r="G85" s="142">
        <v>0</v>
      </c>
      <c r="H85" s="142">
        <v>0</v>
      </c>
      <c r="I85" s="142">
        <v>0</v>
      </c>
      <c r="J85" s="831">
        <f>+B85</f>
        <v>6416446.5099999998</v>
      </c>
      <c r="K85" s="831">
        <f>E85</f>
        <v>0</v>
      </c>
    </row>
    <row r="86" spans="1:13" ht="15" thickBot="1">
      <c r="A86" s="832" t="s">
        <v>1158</v>
      </c>
      <c r="B86" s="830">
        <f>+K107</f>
        <v>140030785.24000001</v>
      </c>
      <c r="C86" s="912">
        <v>160369732.47</v>
      </c>
      <c r="D86" s="913">
        <v>300400517.70999998</v>
      </c>
      <c r="E86" s="912">
        <f>B86+C86-D86</f>
        <v>0</v>
      </c>
      <c r="F86" s="142">
        <v>0</v>
      </c>
      <c r="G86" s="142">
        <v>0</v>
      </c>
      <c r="H86" s="142">
        <v>0</v>
      </c>
      <c r="I86" s="142">
        <v>0</v>
      </c>
      <c r="J86" s="833">
        <f>B86</f>
        <v>140030785.24000001</v>
      </c>
      <c r="K86" s="831">
        <f>E86</f>
        <v>0</v>
      </c>
    </row>
    <row r="87" spans="1:13" ht="16.2" thickBot="1">
      <c r="A87" s="834" t="s">
        <v>1156</v>
      </c>
      <c r="B87" s="835">
        <f>SUM(B85:B86)</f>
        <v>146447231.75</v>
      </c>
      <c r="C87" s="823">
        <f t="shared" ref="C87:D87" si="15">SUM(C85:C86)</f>
        <v>164220370.84999999</v>
      </c>
      <c r="D87" s="823">
        <f t="shared" si="15"/>
        <v>310667602.59999996</v>
      </c>
      <c r="E87" s="823">
        <f>SUM(E85:E86)</f>
        <v>0</v>
      </c>
      <c r="F87" s="823">
        <f t="shared" ref="F87:K87" si="16">SUM(F85:F86)</f>
        <v>0</v>
      </c>
      <c r="G87" s="823">
        <f t="shared" si="16"/>
        <v>0</v>
      </c>
      <c r="H87" s="823">
        <f t="shared" si="16"/>
        <v>0</v>
      </c>
      <c r="I87" s="823">
        <f t="shared" si="16"/>
        <v>0</v>
      </c>
      <c r="J87" s="823">
        <f t="shared" si="16"/>
        <v>146447231.75</v>
      </c>
      <c r="K87" s="836">
        <f t="shared" si="16"/>
        <v>0</v>
      </c>
    </row>
    <row r="88" spans="1:13" ht="15" thickBot="1">
      <c r="A88" s="837"/>
      <c r="K88" s="825"/>
    </row>
    <row r="89" spans="1:13" ht="16.2" thickBot="1">
      <c r="A89" s="834" t="s">
        <v>824</v>
      </c>
      <c r="B89" s="835">
        <f>B82+B87</f>
        <v>500151700.23571968</v>
      </c>
      <c r="C89" s="823">
        <f t="shared" ref="C89:D89" si="17">C82+C87</f>
        <v>361496711.85000002</v>
      </c>
      <c r="D89" s="823">
        <f t="shared" si="17"/>
        <v>328051377.95999998</v>
      </c>
      <c r="E89" s="823">
        <f>E82+E87</f>
        <v>533597034.12571967</v>
      </c>
      <c r="F89" s="823">
        <f t="shared" ref="F89:K89" si="18">F82+F87</f>
        <v>160276208.02078113</v>
      </c>
      <c r="G89" s="823">
        <f t="shared" si="18"/>
        <v>19583896</v>
      </c>
      <c r="H89" s="823">
        <f t="shared" si="18"/>
        <v>16442189</v>
      </c>
      <c r="I89" s="823">
        <f t="shared" si="18"/>
        <v>163417915.02078113</v>
      </c>
      <c r="J89" s="823">
        <f t="shared" si="18"/>
        <v>339875492.21493864</v>
      </c>
      <c r="K89" s="836">
        <f t="shared" si="18"/>
        <v>370179119.10493875</v>
      </c>
    </row>
    <row r="90" spans="1:13">
      <c r="J90" s="501"/>
    </row>
    <row r="91" spans="1:13" ht="15" thickBot="1"/>
    <row r="92" spans="1:13" ht="16.2" thickBot="1">
      <c r="A92" s="809"/>
      <c r="B92" s="2507" t="s">
        <v>1163</v>
      </c>
      <c r="C92" s="2507"/>
      <c r="D92" s="2507"/>
      <c r="E92" s="2507"/>
      <c r="F92" s="2507"/>
      <c r="G92" s="2507"/>
      <c r="H92" s="2507"/>
      <c r="I92" s="2507"/>
      <c r="J92" s="2507"/>
      <c r="K92" s="2508"/>
    </row>
    <row r="93" spans="1:13" ht="15.6">
      <c r="A93" s="2509"/>
      <c r="B93" s="2511" t="s">
        <v>1147</v>
      </c>
      <c r="C93" s="2512"/>
      <c r="D93" s="2512"/>
      <c r="E93" s="2513"/>
      <c r="F93" s="2514" t="s">
        <v>132</v>
      </c>
      <c r="G93" s="2515"/>
      <c r="H93" s="2516"/>
      <c r="I93" s="2515"/>
      <c r="J93" s="810">
        <v>44652</v>
      </c>
      <c r="K93" s="811">
        <v>45016</v>
      </c>
    </row>
    <row r="94" spans="1:13" ht="47.4" thickBot="1">
      <c r="A94" s="2510"/>
      <c r="B94" s="812">
        <v>44652</v>
      </c>
      <c r="C94" s="813" t="s">
        <v>1164</v>
      </c>
      <c r="D94" s="814" t="s">
        <v>1165</v>
      </c>
      <c r="E94" s="812">
        <v>45016</v>
      </c>
      <c r="F94" s="815" t="s">
        <v>1166</v>
      </c>
      <c r="G94" s="814" t="s">
        <v>1151</v>
      </c>
      <c r="H94" s="816" t="s">
        <v>1152</v>
      </c>
      <c r="I94" s="815" t="s">
        <v>1153</v>
      </c>
      <c r="J94" s="817" t="s">
        <v>1154</v>
      </c>
      <c r="K94" s="818" t="s">
        <v>1154</v>
      </c>
    </row>
    <row r="95" spans="1:13">
      <c r="A95" s="819" t="s">
        <v>1155</v>
      </c>
      <c r="B95" s="141">
        <f>+E119</f>
        <v>33964999.899999999</v>
      </c>
      <c r="C95" s="142">
        <f>+'[79]Summary 2022-23'!C4</f>
        <v>0</v>
      </c>
      <c r="D95" s="142">
        <v>0</v>
      </c>
      <c r="E95" s="142">
        <f>+B95+C95-D95</f>
        <v>33964999.899999999</v>
      </c>
      <c r="F95" s="142">
        <f>+I119</f>
        <v>0</v>
      </c>
      <c r="G95" s="142">
        <f>+'[79]Summary 2022-23'!G4</f>
        <v>0</v>
      </c>
      <c r="H95" s="142">
        <v>0</v>
      </c>
      <c r="I95" s="142">
        <f>+F95+G95-H95</f>
        <v>0</v>
      </c>
      <c r="J95" s="142">
        <f>+B95-F95</f>
        <v>33964999.899999999</v>
      </c>
      <c r="K95" s="143">
        <f>+E95-I95</f>
        <v>33964999.899999999</v>
      </c>
      <c r="M95">
        <f>899004-236000</f>
        <v>663004</v>
      </c>
    </row>
    <row r="96" spans="1:13">
      <c r="A96" s="820" t="s">
        <v>1127</v>
      </c>
      <c r="B96" s="141">
        <f t="shared" ref="B96:B102" si="19">+E120</f>
        <v>61286378.519999996</v>
      </c>
      <c r="C96" s="142">
        <f>+'[79]Summary 2022-23'!C5</f>
        <v>2830332</v>
      </c>
      <c r="D96" s="142">
        <v>0</v>
      </c>
      <c r="E96" s="142">
        <f t="shared" ref="E96:E102" si="20">+B96+C96-D96</f>
        <v>64116710.519999996</v>
      </c>
      <c r="F96" s="142">
        <f t="shared" ref="F96:F102" si="21">+I120+0.4</f>
        <v>7440220.8707179464</v>
      </c>
      <c r="G96" s="142">
        <f>1989109+0.2</f>
        <v>1989109.2</v>
      </c>
      <c r="H96" s="142">
        <v>0</v>
      </c>
      <c r="I96" s="142">
        <f t="shared" ref="I96:I102" si="22">+F96+G96-H96</f>
        <v>9429330.0707179457</v>
      </c>
      <c r="J96" s="142">
        <f t="shared" ref="J96:J102" si="23">+B96-F96</f>
        <v>53846157.649282053</v>
      </c>
      <c r="K96" s="143">
        <f t="shared" ref="K96:K102" si="24">+E96-I96</f>
        <v>54687380.44928205</v>
      </c>
      <c r="M96">
        <v>45750</v>
      </c>
    </row>
    <row r="97" spans="1:14">
      <c r="A97" s="820" t="s">
        <v>270</v>
      </c>
      <c r="B97" s="141">
        <f t="shared" si="19"/>
        <v>222104413.368</v>
      </c>
      <c r="C97" s="142">
        <f>+'[79]Summary 2022-23'!C6</f>
        <v>63178</v>
      </c>
      <c r="D97" s="142">
        <v>0</v>
      </c>
      <c r="E97" s="142">
        <f t="shared" si="20"/>
        <v>222167591.368</v>
      </c>
      <c r="F97" s="142">
        <f t="shared" si="21"/>
        <v>113124942.86722933</v>
      </c>
      <c r="G97" s="142">
        <f>13650885+0.2</f>
        <v>13650885.199999999</v>
      </c>
      <c r="H97" s="142">
        <v>0</v>
      </c>
      <c r="I97" s="142">
        <f t="shared" si="22"/>
        <v>126775828.06722933</v>
      </c>
      <c r="J97" s="142">
        <f t="shared" si="23"/>
        <v>108979470.50077067</v>
      </c>
      <c r="K97" s="143">
        <f t="shared" si="24"/>
        <v>95391763.30077067</v>
      </c>
      <c r="M97">
        <v>7860196</v>
      </c>
    </row>
    <row r="98" spans="1:14">
      <c r="A98" s="820" t="s">
        <v>1128</v>
      </c>
      <c r="B98" s="141">
        <f t="shared" si="19"/>
        <v>2991111</v>
      </c>
      <c r="C98" s="142">
        <f>+'[79]Summary 2022-23'!C7</f>
        <v>0</v>
      </c>
      <c r="D98" s="142">
        <v>0</v>
      </c>
      <c r="E98" s="142">
        <f t="shared" si="20"/>
        <v>2991111</v>
      </c>
      <c r="F98" s="142">
        <f t="shared" si="21"/>
        <v>927869.20226313535</v>
      </c>
      <c r="G98" s="142">
        <f>369149</f>
        <v>369149</v>
      </c>
      <c r="H98" s="142">
        <v>0</v>
      </c>
      <c r="I98" s="142">
        <f t="shared" si="22"/>
        <v>1297018.2022631355</v>
      </c>
      <c r="J98" s="142">
        <f t="shared" si="23"/>
        <v>2063241.7977368645</v>
      </c>
      <c r="K98" s="143">
        <f t="shared" si="24"/>
        <v>1694092.7977368645</v>
      </c>
      <c r="M98">
        <v>464592</v>
      </c>
    </row>
    <row r="99" spans="1:14">
      <c r="A99" s="820" t="s">
        <v>1129</v>
      </c>
      <c r="B99" s="141">
        <f t="shared" si="19"/>
        <v>868635.45771976002</v>
      </c>
      <c r="C99" s="142">
        <f>+'[79]Summary 2022-23'!C8</f>
        <v>29800</v>
      </c>
      <c r="D99" s="142">
        <v>0</v>
      </c>
      <c r="E99" s="142">
        <f t="shared" si="20"/>
        <v>898435.45771976002</v>
      </c>
      <c r="F99" s="142">
        <f t="shared" si="21"/>
        <v>730456.64351598185</v>
      </c>
      <c r="G99" s="142">
        <v>45170</v>
      </c>
      <c r="H99" s="142">
        <v>0</v>
      </c>
      <c r="I99" s="142">
        <f t="shared" si="22"/>
        <v>775626.64351598185</v>
      </c>
      <c r="J99" s="142">
        <f t="shared" si="23"/>
        <v>138178.81420377817</v>
      </c>
      <c r="K99" s="143">
        <f t="shared" si="24"/>
        <v>122808.81420377817</v>
      </c>
      <c r="M99">
        <v>8108281.5999999996</v>
      </c>
      <c r="N99">
        <v>-2830332</v>
      </c>
    </row>
    <row r="100" spans="1:14">
      <c r="A100" s="820" t="s">
        <v>1130</v>
      </c>
      <c r="B100" s="141">
        <f t="shared" si="19"/>
        <v>1123743.1299999999</v>
      </c>
      <c r="C100" s="142">
        <f>+'[79]Summary 2022-23'!C9</f>
        <v>0</v>
      </c>
      <c r="D100" s="142">
        <v>0</v>
      </c>
      <c r="E100" s="142">
        <f t="shared" si="20"/>
        <v>1123743.1299999999</v>
      </c>
      <c r="F100" s="142">
        <f t="shared" si="21"/>
        <v>712523.14323580917</v>
      </c>
      <c r="G100" s="142">
        <v>114072</v>
      </c>
      <c r="H100" s="142">
        <v>0</v>
      </c>
      <c r="I100" s="142">
        <f t="shared" si="22"/>
        <v>826595.14323580917</v>
      </c>
      <c r="J100" s="142">
        <f t="shared" si="23"/>
        <v>411219.98676419072</v>
      </c>
      <c r="K100" s="143">
        <f t="shared" si="24"/>
        <v>297147.98676419072</v>
      </c>
      <c r="M100">
        <v>22526626.920000002</v>
      </c>
    </row>
    <row r="101" spans="1:14">
      <c r="A101" s="820" t="s">
        <v>1131</v>
      </c>
      <c r="B101" s="141">
        <f t="shared" si="19"/>
        <v>1344197.03</v>
      </c>
      <c r="C101" s="142">
        <f>+'[79]Summary 2022-23'!C10</f>
        <v>540632</v>
      </c>
      <c r="D101" s="142">
        <v>0</v>
      </c>
      <c r="E101" s="142">
        <f t="shared" si="20"/>
        <v>1884829.03</v>
      </c>
      <c r="F101" s="142">
        <f t="shared" si="21"/>
        <v>1062733.9912144693</v>
      </c>
      <c r="G101" s="142">
        <v>56194</v>
      </c>
      <c r="H101" s="142">
        <v>0</v>
      </c>
      <c r="I101" s="142">
        <f t="shared" si="22"/>
        <v>1118927.9912144693</v>
      </c>
      <c r="J101" s="142">
        <f t="shared" si="23"/>
        <v>281463.03878553072</v>
      </c>
      <c r="K101" s="143">
        <f t="shared" si="24"/>
        <v>765901.03878553072</v>
      </c>
      <c r="M101">
        <v>300000</v>
      </c>
    </row>
    <row r="102" spans="1:14" ht="15" thickBot="1">
      <c r="A102" s="821" t="s">
        <v>1132</v>
      </c>
      <c r="B102" s="141">
        <f t="shared" si="19"/>
        <v>26458588.080000002</v>
      </c>
      <c r="C102" s="142">
        <f>+'[79]Summary 2022-23'!C11</f>
        <v>98460</v>
      </c>
      <c r="D102" s="142">
        <v>0</v>
      </c>
      <c r="E102" s="142">
        <f t="shared" si="20"/>
        <v>26557048.080000002</v>
      </c>
      <c r="F102" s="142">
        <f t="shared" si="21"/>
        <v>18195793.90260445</v>
      </c>
      <c r="G102" s="142">
        <v>1857088</v>
      </c>
      <c r="H102" s="142">
        <v>0</v>
      </c>
      <c r="I102" s="142">
        <f t="shared" si="22"/>
        <v>20052881.90260445</v>
      </c>
      <c r="J102" s="142">
        <f t="shared" si="23"/>
        <v>8262794.1773955524</v>
      </c>
      <c r="K102" s="143">
        <f t="shared" si="24"/>
        <v>6504166.1773955524</v>
      </c>
      <c r="M102">
        <f>68406176.87-117100</f>
        <v>68289076.870000005</v>
      </c>
    </row>
    <row r="103" spans="1:14" ht="16.2" thickBot="1">
      <c r="A103" s="822" t="s">
        <v>1156</v>
      </c>
      <c r="B103" s="823">
        <f>SUM(B95:B102)</f>
        <v>350142066.48571968</v>
      </c>
      <c r="C103" s="823">
        <f>SUM(C95:C102)</f>
        <v>3562402</v>
      </c>
      <c r="D103" s="823">
        <v>0</v>
      </c>
      <c r="E103" s="823">
        <f>SUM(E95:E102)</f>
        <v>353704468.48571968</v>
      </c>
      <c r="F103" s="823">
        <f>SUM(F95:F102)</f>
        <v>142194540.62078112</v>
      </c>
      <c r="G103" s="823">
        <f>SUM(G95:G102)</f>
        <v>18081667.399999999</v>
      </c>
      <c r="H103" s="823">
        <v>0</v>
      </c>
      <c r="I103" s="823">
        <f>SUM(I95:I102)</f>
        <v>160276208.02078113</v>
      </c>
      <c r="J103" s="823">
        <f>SUM(J95:J102)</f>
        <v>207947525.86493859</v>
      </c>
      <c r="K103" s="823">
        <f>SUM(K95:K102)</f>
        <v>193428260.46493861</v>
      </c>
      <c r="M103">
        <f>7700000-7060713</f>
        <v>639287</v>
      </c>
    </row>
    <row r="104" spans="1:14" ht="15" thickBot="1">
      <c r="A104" s="824"/>
      <c r="B104" s="148"/>
      <c r="K104" s="825"/>
      <c r="M104">
        <f>+SUM(M95:M103)</f>
        <v>108896814.39000002</v>
      </c>
    </row>
    <row r="105" spans="1:14" ht="15" thickBot="1">
      <c r="A105" s="826" t="s">
        <v>399</v>
      </c>
      <c r="B105" s="827"/>
      <c r="C105" s="827"/>
      <c r="D105" s="827"/>
      <c r="E105" s="827"/>
      <c r="F105" s="827"/>
      <c r="G105" s="827"/>
      <c r="H105" s="827"/>
      <c r="I105" s="827"/>
      <c r="J105" s="827"/>
      <c r="K105" s="828"/>
      <c r="M105">
        <f>+M104-M99</f>
        <v>100788532.79000002</v>
      </c>
    </row>
    <row r="106" spans="1:14">
      <c r="A106" s="829" t="s">
        <v>1157</v>
      </c>
      <c r="B106" s="830">
        <f>+E130</f>
        <v>1138496.9099999997</v>
      </c>
      <c r="C106" s="912">
        <f>8108281.6</f>
        <v>8108281.5999999996</v>
      </c>
      <c r="D106" s="913">
        <f>+C96</f>
        <v>2830332</v>
      </c>
      <c r="E106" s="912">
        <f>B106+C106-D106</f>
        <v>6416446.5099999998</v>
      </c>
      <c r="F106" s="142">
        <v>0</v>
      </c>
      <c r="G106" s="142">
        <v>0</v>
      </c>
      <c r="H106" s="142">
        <v>0</v>
      </c>
      <c r="I106" s="142">
        <v>0</v>
      </c>
      <c r="J106" s="831">
        <f>+B106</f>
        <v>1138496.9099999997</v>
      </c>
      <c r="K106" s="831">
        <f>E106</f>
        <v>6416446.5099999998</v>
      </c>
    </row>
    <row r="107" spans="1:14" ht="15" thickBot="1">
      <c r="A107" s="832" t="s">
        <v>1158</v>
      </c>
      <c r="B107" s="830">
        <f>+E131</f>
        <v>39242252.449999996</v>
      </c>
      <c r="C107" s="912">
        <f>+M105</f>
        <v>100788532.79000002</v>
      </c>
      <c r="D107" s="913">
        <v>0</v>
      </c>
      <c r="E107" s="912">
        <f>B107+C107-D107</f>
        <v>140030785.24000001</v>
      </c>
      <c r="F107" s="142">
        <v>0</v>
      </c>
      <c r="G107" s="142">
        <v>0</v>
      </c>
      <c r="H107" s="142">
        <v>0</v>
      </c>
      <c r="I107" s="142">
        <v>0</v>
      </c>
      <c r="J107" s="833">
        <f>B107</f>
        <v>39242252.449999996</v>
      </c>
      <c r="K107" s="831">
        <f>E107</f>
        <v>140030785.24000001</v>
      </c>
    </row>
    <row r="108" spans="1:14" ht="16.2" thickBot="1">
      <c r="A108" s="834" t="s">
        <v>1156</v>
      </c>
      <c r="B108" s="835">
        <f>SUM(B106:B107)</f>
        <v>40380749.359999992</v>
      </c>
      <c r="C108" s="823">
        <f t="shared" ref="C108:D108" si="25">SUM(C106:C107)</f>
        <v>108896814.39000002</v>
      </c>
      <c r="D108" s="823">
        <f t="shared" si="25"/>
        <v>2830332</v>
      </c>
      <c r="E108" s="823">
        <f>SUM(E106:E107)</f>
        <v>146447231.75</v>
      </c>
      <c r="F108" s="823">
        <f t="shared" ref="F108:K108" si="26">SUM(F106:F107)</f>
        <v>0</v>
      </c>
      <c r="G108" s="823">
        <f t="shared" si="26"/>
        <v>0</v>
      </c>
      <c r="H108" s="823">
        <f t="shared" si="26"/>
        <v>0</v>
      </c>
      <c r="I108" s="823">
        <f t="shared" si="26"/>
        <v>0</v>
      </c>
      <c r="J108" s="823">
        <f t="shared" si="26"/>
        <v>40380749.359999992</v>
      </c>
      <c r="K108" s="836">
        <f t="shared" si="26"/>
        <v>146447231.75</v>
      </c>
    </row>
    <row r="109" spans="1:14" ht="15" thickBot="1">
      <c r="A109" s="837"/>
      <c r="K109" s="825"/>
    </row>
    <row r="110" spans="1:14" ht="16.2" thickBot="1">
      <c r="A110" s="834" t="s">
        <v>824</v>
      </c>
      <c r="B110" s="835">
        <f>B103+B108</f>
        <v>390522815.8457197</v>
      </c>
      <c r="C110" s="823">
        <f t="shared" ref="C110:D110" si="27">C103+C108</f>
        <v>112459216.39000002</v>
      </c>
      <c r="D110" s="823">
        <f t="shared" si="27"/>
        <v>2830332</v>
      </c>
      <c r="E110" s="823">
        <f>E103+E108</f>
        <v>500151700.23571968</v>
      </c>
      <c r="F110" s="823">
        <f t="shared" ref="F110:K110" si="28">F103+F108</f>
        <v>142194540.62078112</v>
      </c>
      <c r="G110" s="823">
        <f t="shared" si="28"/>
        <v>18081667.399999999</v>
      </c>
      <c r="H110" s="823">
        <f t="shared" si="28"/>
        <v>0</v>
      </c>
      <c r="I110" s="823">
        <f t="shared" si="28"/>
        <v>160276208.02078113</v>
      </c>
      <c r="J110" s="823">
        <f t="shared" si="28"/>
        <v>248328275.22493857</v>
      </c>
      <c r="K110" s="836">
        <f t="shared" si="28"/>
        <v>339875492.21493864</v>
      </c>
    </row>
    <row r="115" spans="1:11" ht="15" thickBot="1"/>
    <row r="116" spans="1:11" ht="16.2" thickBot="1">
      <c r="A116" s="809"/>
      <c r="B116" s="2507" t="s">
        <v>1146</v>
      </c>
      <c r="C116" s="2507"/>
      <c r="D116" s="2507"/>
      <c r="E116" s="2507"/>
      <c r="F116" s="2507"/>
      <c r="G116" s="2507"/>
      <c r="H116" s="2507"/>
      <c r="I116" s="2507"/>
      <c r="J116" s="2507"/>
      <c r="K116" s="2508"/>
    </row>
    <row r="117" spans="1:11" ht="15.6">
      <c r="A117" s="2509"/>
      <c r="B117" s="2511" t="s">
        <v>1147</v>
      </c>
      <c r="C117" s="2512"/>
      <c r="D117" s="2512"/>
      <c r="E117" s="2513"/>
      <c r="F117" s="2514" t="s">
        <v>132</v>
      </c>
      <c r="G117" s="2515"/>
      <c r="H117" s="2516"/>
      <c r="I117" s="2515"/>
      <c r="J117" s="810">
        <v>44287</v>
      </c>
      <c r="K117" s="811">
        <v>44651</v>
      </c>
    </row>
    <row r="118" spans="1:11" ht="47.4" thickBot="1">
      <c r="A118" s="2510"/>
      <c r="B118" s="812">
        <v>44287</v>
      </c>
      <c r="C118" s="813" t="s">
        <v>1148</v>
      </c>
      <c r="D118" s="814" t="s">
        <v>1149</v>
      </c>
      <c r="E118" s="812">
        <v>44651</v>
      </c>
      <c r="F118" s="815" t="s">
        <v>1150</v>
      </c>
      <c r="G118" s="814" t="s">
        <v>1151</v>
      </c>
      <c r="H118" s="816" t="s">
        <v>1152</v>
      </c>
      <c r="I118" s="815" t="s">
        <v>1153</v>
      </c>
      <c r="J118" s="817" t="s">
        <v>1154</v>
      </c>
      <c r="K118" s="818" t="s">
        <v>1154</v>
      </c>
    </row>
    <row r="119" spans="1:11">
      <c r="A119" s="819" t="s">
        <v>1155</v>
      </c>
      <c r="B119" s="141">
        <f>+'[80]Summary-20-21'!E4</f>
        <v>33964999.899999999</v>
      </c>
      <c r="C119" s="142">
        <f>+'[80]Summary 2021-22'!C4</f>
        <v>0</v>
      </c>
      <c r="D119" s="142">
        <f>+'[80]Summary 2021-22'!D4</f>
        <v>0</v>
      </c>
      <c r="E119" s="142">
        <f>B119+C119-D119</f>
        <v>33964999.899999999</v>
      </c>
      <c r="F119" s="142">
        <f>+'[80]Summary-20-21'!I4</f>
        <v>0</v>
      </c>
      <c r="G119" s="142">
        <f>+'[80]Summary 2021-22'!G4</f>
        <v>0</v>
      </c>
      <c r="H119" s="142">
        <v>0</v>
      </c>
      <c r="I119" s="142">
        <v>0</v>
      </c>
      <c r="J119" s="142">
        <f>B119-F119</f>
        <v>33964999.899999999</v>
      </c>
      <c r="K119" s="143">
        <f t="shared" ref="K119:K126" si="29">E119-I119</f>
        <v>33964999.899999999</v>
      </c>
    </row>
    <row r="120" spans="1:11">
      <c r="A120" s="820" t="s">
        <v>1127</v>
      </c>
      <c r="B120" s="141">
        <f>+'[80]Summary-20-21'!E5</f>
        <v>58923230.529999994</v>
      </c>
      <c r="C120" s="142">
        <f>+'[80]Summary 2021-22'!C5</f>
        <v>2363147.9900000002</v>
      </c>
      <c r="D120" s="142">
        <f>+'[80]Summary 2021-22'!D5</f>
        <v>0</v>
      </c>
      <c r="E120" s="144">
        <f>B120+C120-D120</f>
        <v>61286378.519999996</v>
      </c>
      <c r="F120" s="142">
        <f>+'[80]Summary-20-21'!I5</f>
        <v>5534893.9886987675</v>
      </c>
      <c r="G120" s="142">
        <f>+'[80]Summary 2021-22'!G5</f>
        <v>1905326.4820191783</v>
      </c>
      <c r="H120" s="142">
        <f>+'[80]Summary 2021-22'!H5</f>
        <v>0</v>
      </c>
      <c r="I120" s="144">
        <f t="shared" ref="I120:I126" si="30">F120+G120-H120</f>
        <v>7440220.4707179461</v>
      </c>
      <c r="J120" s="144">
        <f t="shared" ref="J120:J126" si="31">B120-F120</f>
        <v>53388336.541301228</v>
      </c>
      <c r="K120" s="145">
        <f t="shared" si="29"/>
        <v>53846158.049282052</v>
      </c>
    </row>
    <row r="121" spans="1:11">
      <c r="A121" s="820" t="s">
        <v>270</v>
      </c>
      <c r="B121" s="141">
        <f>+'[80]Summary-20-21'!E6</f>
        <v>215300342.50799999</v>
      </c>
      <c r="C121" s="142">
        <f>+'[80]Summary 2021-22'!C6-1</f>
        <v>6804070.8600000003</v>
      </c>
      <c r="D121" s="142">
        <f>+'[80]Summary 2021-22'!D6</f>
        <v>0</v>
      </c>
      <c r="E121" s="144">
        <f>B121+C121-D121</f>
        <v>222104413.368</v>
      </c>
      <c r="F121" s="142">
        <f>+'[80]Summary-20-21'!I6</f>
        <v>99496168.438061088</v>
      </c>
      <c r="G121" s="142">
        <f>+'[80]Summary 2021-22'!G6</f>
        <v>13628774.029168235</v>
      </c>
      <c r="H121" s="142">
        <f>+'[80]Summary 2021-22'!H6</f>
        <v>0</v>
      </c>
      <c r="I121" s="144">
        <f>F121+G121-H121</f>
        <v>113124942.46722932</v>
      </c>
      <c r="J121" s="144">
        <f t="shared" si="31"/>
        <v>115804174.0699389</v>
      </c>
      <c r="K121" s="145">
        <f t="shared" si="29"/>
        <v>108979470.90077068</v>
      </c>
    </row>
    <row r="122" spans="1:11">
      <c r="A122" s="820" t="s">
        <v>1128</v>
      </c>
      <c r="B122" s="141">
        <f>+'[80]Summary-20-21'!E7</f>
        <v>2991111</v>
      </c>
      <c r="C122" s="142">
        <f>+'[80]Summary 2021-22'!C7</f>
        <v>0</v>
      </c>
      <c r="D122" s="142">
        <f>+'[80]Summary 2021-22'!D7</f>
        <v>0</v>
      </c>
      <c r="E122" s="144">
        <f t="shared" ref="E122:E125" si="32">B122+C122-D122</f>
        <v>2991111</v>
      </c>
      <c r="F122" s="142">
        <f>+'[80]Summary-20-21'!I7</f>
        <v>558719.83806600736</v>
      </c>
      <c r="G122" s="142">
        <f>+'[80]Summary 2021-22'!G7</f>
        <v>369148.96419712796</v>
      </c>
      <c r="H122" s="142">
        <f>+'[80]Summary 2021-22'!H7</f>
        <v>0</v>
      </c>
      <c r="I122" s="144">
        <f t="shared" si="30"/>
        <v>927868.80226313532</v>
      </c>
      <c r="J122" s="144">
        <f t="shared" si="31"/>
        <v>2432391.1619339925</v>
      </c>
      <c r="K122" s="145">
        <f t="shared" si="29"/>
        <v>2063242.1977368647</v>
      </c>
    </row>
    <row r="123" spans="1:11">
      <c r="A123" s="820" t="s">
        <v>1129</v>
      </c>
      <c r="B123" s="141">
        <f>+'[80]Summary-20-21'!E8</f>
        <v>744525.7</v>
      </c>
      <c r="C123" s="142">
        <f>+'[80]Summary 2021-22'!C8-0.24228024</f>
        <v>124109.75771976</v>
      </c>
      <c r="D123" s="142">
        <f>+'[80]Summary 2021-22'!D8</f>
        <v>0</v>
      </c>
      <c r="E123" s="144">
        <f t="shared" si="32"/>
        <v>868635.45771976002</v>
      </c>
      <c r="F123" s="142">
        <f>+'[80]Summary-20-21'!I8</f>
        <v>688913.61548858462</v>
      </c>
      <c r="G123" s="142">
        <f>+'[80]Summary 2021-22'!G8</f>
        <v>41542.628027397266</v>
      </c>
      <c r="H123" s="142">
        <f>+'[80]Summary 2021-22'!H8</f>
        <v>0</v>
      </c>
      <c r="I123" s="144">
        <f t="shared" si="30"/>
        <v>730456.24351598183</v>
      </c>
      <c r="J123" s="144">
        <f t="shared" si="31"/>
        <v>55612.084511415334</v>
      </c>
      <c r="K123" s="145">
        <f t="shared" si="29"/>
        <v>138179.21420377819</v>
      </c>
    </row>
    <row r="124" spans="1:11">
      <c r="A124" s="820" t="s">
        <v>1130</v>
      </c>
      <c r="B124" s="141">
        <f>+'[80]Summary-20-21'!E9</f>
        <v>1024059.5</v>
      </c>
      <c r="C124" s="142">
        <f>+'[80]Summary 2021-22'!C9</f>
        <v>99683.63</v>
      </c>
      <c r="D124" s="142">
        <f>+'[80]Summary 2021-22'!D9</f>
        <v>0</v>
      </c>
      <c r="E124" s="144">
        <f>B124+C124-D124</f>
        <v>1123743.1299999999</v>
      </c>
      <c r="F124" s="142">
        <f>+'[80]Summary-20-21'!I9</f>
        <v>598525.87082759</v>
      </c>
      <c r="G124" s="142">
        <f>+'[80]Summary 2021-22'!G9</f>
        <v>113996.87240821918</v>
      </c>
      <c r="H124" s="142">
        <f>+'[80]Summary 2021-22'!H9</f>
        <v>0</v>
      </c>
      <c r="I124" s="144">
        <f t="shared" si="30"/>
        <v>712522.74323580915</v>
      </c>
      <c r="J124" s="144">
        <f t="shared" si="31"/>
        <v>425533.62917241</v>
      </c>
      <c r="K124" s="145">
        <f t="shared" si="29"/>
        <v>411220.38676419074</v>
      </c>
    </row>
    <row r="125" spans="1:11">
      <c r="A125" s="820" t="s">
        <v>1131</v>
      </c>
      <c r="B125" s="141">
        <f>+'[80]Summary-20-21'!E10</f>
        <v>1330214.03</v>
      </c>
      <c r="C125" s="142">
        <f>+'[80]Summary 2021-22'!C10</f>
        <v>13983</v>
      </c>
      <c r="D125" s="142">
        <f>+'[80]Summary 2021-22'!D10</f>
        <v>0</v>
      </c>
      <c r="E125" s="144">
        <f t="shared" si="32"/>
        <v>1344197.03</v>
      </c>
      <c r="F125" s="142">
        <f>+'[80]Summary-20-21'!I10</f>
        <v>1014017.3961523059</v>
      </c>
      <c r="G125" s="142">
        <f>+'[80]Summary 2021-22'!G10</f>
        <v>48716.19506216341</v>
      </c>
      <c r="H125" s="142">
        <f>+'[80]Summary 2021-22'!H10</f>
        <v>0</v>
      </c>
      <c r="I125" s="144">
        <f t="shared" si="30"/>
        <v>1062733.5912144694</v>
      </c>
      <c r="J125" s="144">
        <f t="shared" si="31"/>
        <v>316196.63384769415</v>
      </c>
      <c r="K125" s="145">
        <f t="shared" si="29"/>
        <v>281463.43878553063</v>
      </c>
    </row>
    <row r="126" spans="1:11" ht="15" thickBot="1">
      <c r="A126" s="821" t="s">
        <v>1132</v>
      </c>
      <c r="B126" s="141">
        <f>+'[80]Summary-20-21'!E11</f>
        <v>26188108.080000002</v>
      </c>
      <c r="C126" s="142">
        <f>+'[80]Summary 2021-22'!C11</f>
        <v>270480</v>
      </c>
      <c r="D126" s="142">
        <f>+'[80]Summary 2021-22'!D11</f>
        <v>0</v>
      </c>
      <c r="E126" s="146">
        <f>B126+C126-D126</f>
        <v>26458588.080000002</v>
      </c>
      <c r="F126" s="142">
        <f>+'[80]Summary-20-21'!I11</f>
        <v>16345550.182161208</v>
      </c>
      <c r="G126" s="142">
        <f>+'[80]Summary 2021-22'!G11</f>
        <v>1850243.3204432426</v>
      </c>
      <c r="H126" s="142">
        <f>+'[80]Summary 2021-22'!H11</f>
        <v>0</v>
      </c>
      <c r="I126" s="146">
        <f t="shared" si="30"/>
        <v>18195793.502604451</v>
      </c>
      <c r="J126" s="146">
        <f t="shared" si="31"/>
        <v>9842557.8978387937</v>
      </c>
      <c r="K126" s="147">
        <f t="shared" si="29"/>
        <v>8262794.5773955509</v>
      </c>
    </row>
    <row r="127" spans="1:11" ht="16.2" thickBot="1">
      <c r="A127" s="822" t="s">
        <v>1156</v>
      </c>
      <c r="B127" s="823">
        <f>SUM(B119:B126)</f>
        <v>340466591.24799991</v>
      </c>
      <c r="C127" s="823">
        <f t="shared" ref="C127:J127" si="33">SUM(C119:C126)</f>
        <v>9675475.2377197631</v>
      </c>
      <c r="D127" s="823">
        <f t="shared" si="33"/>
        <v>0</v>
      </c>
      <c r="E127" s="823">
        <f t="shared" si="33"/>
        <v>350142066.48571968</v>
      </c>
      <c r="F127" s="823">
        <f t="shared" si="33"/>
        <v>124236789.32945555</v>
      </c>
      <c r="G127" s="823">
        <f t="shared" si="33"/>
        <v>17957748.491325565</v>
      </c>
      <c r="H127" s="823">
        <f t="shared" si="33"/>
        <v>0</v>
      </c>
      <c r="I127" s="823">
        <f t="shared" si="33"/>
        <v>142194537.82078111</v>
      </c>
      <c r="J127" s="823">
        <f t="shared" si="33"/>
        <v>216229801.91854444</v>
      </c>
      <c r="K127" s="836">
        <f>SUM(K119:K126)</f>
        <v>207947528.66493863</v>
      </c>
    </row>
    <row r="128" spans="1:11" ht="15" thickBot="1">
      <c r="A128" s="824"/>
      <c r="B128" s="148"/>
      <c r="K128" s="825"/>
    </row>
    <row r="129" spans="1:11" ht="15" thickBot="1">
      <c r="A129" s="826" t="s">
        <v>399</v>
      </c>
      <c r="B129" s="827"/>
      <c r="C129" s="827"/>
      <c r="D129" s="827"/>
      <c r="E129" s="827"/>
      <c r="F129" s="827"/>
      <c r="G129" s="827"/>
      <c r="H129" s="827"/>
      <c r="I129" s="827"/>
      <c r="J129" s="827"/>
      <c r="K129" s="828"/>
    </row>
    <row r="130" spans="1:11">
      <c r="A130" s="829" t="s">
        <v>1157</v>
      </c>
      <c r="B130" s="830">
        <f>+'[80]Summary-20-21'!E15</f>
        <v>133007.59999999963</v>
      </c>
      <c r="C130" s="149">
        <f>+'[80]Summary 2021-22'!C15</f>
        <v>1825887.73</v>
      </c>
      <c r="D130" s="142">
        <f>+'[80]Summary 2021-22'!D15</f>
        <v>820398.42</v>
      </c>
      <c r="E130" s="149">
        <f>B130+C130-D130</f>
        <v>1138496.9099999997</v>
      </c>
      <c r="F130" s="142">
        <v>0</v>
      </c>
      <c r="G130" s="142">
        <v>0</v>
      </c>
      <c r="H130" s="142">
        <v>0</v>
      </c>
      <c r="I130" s="142">
        <v>0</v>
      </c>
      <c r="J130" s="831">
        <f>+B130</f>
        <v>133007.59999999963</v>
      </c>
      <c r="K130" s="831">
        <f>E130</f>
        <v>1138496.9099999997</v>
      </c>
    </row>
    <row r="131" spans="1:11" ht="15" thickBot="1">
      <c r="A131" s="832" t="s">
        <v>1158</v>
      </c>
      <c r="B131" s="830">
        <f>+'[80]Summary-20-21'!E16</f>
        <v>179999.53999999957</v>
      </c>
      <c r="C131" s="149">
        <v>42196733.909999996</v>
      </c>
      <c r="D131" s="142">
        <f>+'[80]Summary 2021-22'!D16</f>
        <v>3134481</v>
      </c>
      <c r="E131" s="149">
        <f>B131+C131-D131</f>
        <v>39242252.449999996</v>
      </c>
      <c r="F131" s="142">
        <v>0</v>
      </c>
      <c r="G131" s="142">
        <v>0</v>
      </c>
      <c r="H131" s="142">
        <v>0</v>
      </c>
      <c r="I131" s="142">
        <v>0</v>
      </c>
      <c r="J131" s="833">
        <f>B131</f>
        <v>179999.53999999957</v>
      </c>
      <c r="K131" s="831">
        <f>E131</f>
        <v>39242252.449999996</v>
      </c>
    </row>
    <row r="132" spans="1:11" ht="16.2" thickBot="1">
      <c r="A132" s="834" t="s">
        <v>1156</v>
      </c>
      <c r="B132" s="835">
        <f>SUM(B130:B131)</f>
        <v>313007.1399999992</v>
      </c>
      <c r="C132" s="823">
        <f t="shared" ref="C132:K132" si="34">SUM(C130:C131)</f>
        <v>44022621.639999993</v>
      </c>
      <c r="D132" s="823">
        <f t="shared" si="34"/>
        <v>3954879.42</v>
      </c>
      <c r="E132" s="823">
        <f>SUM(E130:E131)</f>
        <v>40380749.359999992</v>
      </c>
      <c r="F132" s="823">
        <f t="shared" si="34"/>
        <v>0</v>
      </c>
      <c r="G132" s="823">
        <f t="shared" si="34"/>
        <v>0</v>
      </c>
      <c r="H132" s="823">
        <f t="shared" si="34"/>
        <v>0</v>
      </c>
      <c r="I132" s="823">
        <f t="shared" si="34"/>
        <v>0</v>
      </c>
      <c r="J132" s="823">
        <f t="shared" si="34"/>
        <v>313007.1399999992</v>
      </c>
      <c r="K132" s="836">
        <f t="shared" si="34"/>
        <v>40380749.359999992</v>
      </c>
    </row>
    <row r="133" spans="1:11" ht="15" thickBot="1">
      <c r="A133" s="837"/>
      <c r="K133" s="825"/>
    </row>
    <row r="134" spans="1:11" ht="16.2" thickBot="1">
      <c r="A134" s="834" t="s">
        <v>824</v>
      </c>
      <c r="B134" s="835">
        <f>B127+B132</f>
        <v>340779598.38799989</v>
      </c>
      <c r="C134" s="823">
        <f t="shared" ref="C134:K134" si="35">C127+C132</f>
        <v>53698096.87771976</v>
      </c>
      <c r="D134" s="823">
        <f t="shared" si="35"/>
        <v>3954879.42</v>
      </c>
      <c r="E134" s="823">
        <f>E127+E132</f>
        <v>390522815.8457197</v>
      </c>
      <c r="F134" s="823">
        <f t="shared" si="35"/>
        <v>124236789.32945555</v>
      </c>
      <c r="G134" s="823">
        <f t="shared" si="35"/>
        <v>17957748.491325565</v>
      </c>
      <c r="H134" s="823">
        <f t="shared" si="35"/>
        <v>0</v>
      </c>
      <c r="I134" s="823">
        <f t="shared" si="35"/>
        <v>142194537.82078111</v>
      </c>
      <c r="J134" s="823">
        <f t="shared" si="35"/>
        <v>216542809.05854443</v>
      </c>
      <c r="K134" s="836">
        <f t="shared" si="35"/>
        <v>248328278.02493861</v>
      </c>
    </row>
    <row r="136" spans="1:11" ht="15" thickBot="1"/>
    <row r="137" spans="1:11" ht="16.2" thickBot="1">
      <c r="A137" s="809"/>
      <c r="B137" s="2507" t="s">
        <v>1159</v>
      </c>
      <c r="C137" s="2507"/>
      <c r="D137" s="2507"/>
      <c r="E137" s="2507"/>
      <c r="F137" s="2507"/>
      <c r="G137" s="2507"/>
      <c r="H137" s="2507"/>
      <c r="I137" s="2507"/>
      <c r="J137" s="2507"/>
      <c r="K137" s="2508"/>
    </row>
    <row r="138" spans="1:11" ht="15.6">
      <c r="A138" s="2509"/>
      <c r="B138" s="2511" t="s">
        <v>1147</v>
      </c>
      <c r="C138" s="2512"/>
      <c r="D138" s="2512"/>
      <c r="E138" s="2513"/>
      <c r="F138" s="2514" t="s">
        <v>132</v>
      </c>
      <c r="G138" s="2515"/>
      <c r="H138" s="2516"/>
      <c r="I138" s="2515"/>
      <c r="J138" s="810">
        <v>43922</v>
      </c>
      <c r="K138" s="811">
        <v>44286</v>
      </c>
    </row>
    <row r="139" spans="1:11" ht="47.4" thickBot="1">
      <c r="A139" s="2510"/>
      <c r="B139" s="812">
        <v>43922</v>
      </c>
      <c r="C139" s="813" t="s">
        <v>1160</v>
      </c>
      <c r="D139" s="814" t="s">
        <v>1161</v>
      </c>
      <c r="E139" s="812">
        <v>44286</v>
      </c>
      <c r="F139" s="815" t="s">
        <v>1162</v>
      </c>
      <c r="G139" s="814" t="s">
        <v>1151</v>
      </c>
      <c r="H139" s="816" t="s">
        <v>1152</v>
      </c>
      <c r="I139" s="815" t="s">
        <v>1153</v>
      </c>
      <c r="J139" s="817" t="s">
        <v>1154</v>
      </c>
      <c r="K139" s="818" t="s">
        <v>1154</v>
      </c>
    </row>
    <row r="140" spans="1:11">
      <c r="A140" s="819" t="s">
        <v>1155</v>
      </c>
      <c r="B140" s="141">
        <v>33964999.899999999</v>
      </c>
      <c r="C140" s="141">
        <v>0</v>
      </c>
      <c r="D140" s="141">
        <v>0</v>
      </c>
      <c r="E140" s="142">
        <f t="shared" ref="E140:E147" si="36">B140+C140-D140</f>
        <v>33964999.899999999</v>
      </c>
      <c r="F140" s="141">
        <v>0</v>
      </c>
      <c r="G140" s="141">
        <v>0</v>
      </c>
      <c r="H140" s="141"/>
      <c r="I140" s="141">
        <v>0</v>
      </c>
      <c r="J140" s="142">
        <v>33964999.899999999</v>
      </c>
      <c r="K140" s="143">
        <v>33964999.899999999</v>
      </c>
    </row>
    <row r="141" spans="1:11">
      <c r="A141" s="820" t="s">
        <v>1127</v>
      </c>
      <c r="B141" s="141">
        <v>56016203.549999997</v>
      </c>
      <c r="C141" s="141">
        <v>2907026.98</v>
      </c>
      <c r="D141" s="141">
        <v>0</v>
      </c>
      <c r="E141" s="142">
        <f t="shared" si="36"/>
        <v>58923230.529999994</v>
      </c>
      <c r="F141" s="141">
        <v>3700708.5652456624</v>
      </c>
      <c r="G141" s="141">
        <v>1834185.4234531051</v>
      </c>
      <c r="H141" s="141">
        <v>0</v>
      </c>
      <c r="I141" s="144">
        <v>5534893.9886987675</v>
      </c>
      <c r="J141" s="144">
        <v>52315494.984754331</v>
      </c>
      <c r="K141" s="145">
        <v>53388336.541301228</v>
      </c>
    </row>
    <row r="142" spans="1:11">
      <c r="A142" s="820" t="s">
        <v>270</v>
      </c>
      <c r="B142" s="141">
        <v>217294094.07799998</v>
      </c>
      <c r="C142" s="141">
        <v>5234643.66</v>
      </c>
      <c r="D142" s="141">
        <v>7228395.2299999995</v>
      </c>
      <c r="E142" s="142">
        <f t="shared" si="36"/>
        <v>215300342.50799999</v>
      </c>
      <c r="F142" s="141">
        <v>92431426.995565161</v>
      </c>
      <c r="G142" s="141">
        <v>13466160.816718986</v>
      </c>
      <c r="H142" s="141">
        <v>6401419.3742230469</v>
      </c>
      <c r="I142" s="144">
        <v>99496168.438061088</v>
      </c>
      <c r="J142" s="144">
        <v>124862667.08243482</v>
      </c>
      <c r="K142" s="145">
        <v>115804174.0699389</v>
      </c>
    </row>
    <row r="143" spans="1:11">
      <c r="A143" s="820" t="s">
        <v>1128</v>
      </c>
      <c r="B143" s="141">
        <v>2991111</v>
      </c>
      <c r="C143" s="141">
        <v>0</v>
      </c>
      <c r="D143" s="141">
        <v>0</v>
      </c>
      <c r="E143" s="142">
        <f t="shared" si="36"/>
        <v>2991111</v>
      </c>
      <c r="F143" s="141">
        <v>189570.87386887943</v>
      </c>
      <c r="G143" s="141">
        <v>369148.96419712796</v>
      </c>
      <c r="H143" s="141">
        <v>0</v>
      </c>
      <c r="I143" s="144">
        <v>558719.83806600736</v>
      </c>
      <c r="J143" s="144">
        <v>2801540.1261311206</v>
      </c>
      <c r="K143" s="145">
        <f>2432391.16193399+0.4</f>
        <v>2432391.5619339901</v>
      </c>
    </row>
    <row r="144" spans="1:11">
      <c r="A144" s="820" t="s">
        <v>1129</v>
      </c>
      <c r="B144" s="141">
        <v>1057200.7</v>
      </c>
      <c r="C144" s="141">
        <v>0</v>
      </c>
      <c r="D144" s="141">
        <v>312675</v>
      </c>
      <c r="E144" s="142">
        <f t="shared" si="36"/>
        <v>744525.7</v>
      </c>
      <c r="F144" s="141">
        <v>939165.05196347041</v>
      </c>
      <c r="G144" s="141">
        <v>46789.81352511415</v>
      </c>
      <c r="H144" s="141">
        <v>297041</v>
      </c>
      <c r="I144" s="144">
        <v>688913.86548858462</v>
      </c>
      <c r="J144" s="144">
        <v>118035.64803652954</v>
      </c>
      <c r="K144" s="145">
        <f>55611.8345114153+0.8+0.03</f>
        <v>55612.6645114153</v>
      </c>
    </row>
    <row r="145" spans="1:11">
      <c r="A145" s="820" t="s">
        <v>1130</v>
      </c>
      <c r="B145" s="141">
        <v>884075.03</v>
      </c>
      <c r="C145" s="141">
        <v>415195.47</v>
      </c>
      <c r="D145" s="141">
        <v>275211</v>
      </c>
      <c r="E145" s="142">
        <f t="shared" si="36"/>
        <v>1024059.5</v>
      </c>
      <c r="F145" s="141">
        <v>753817.65582759003</v>
      </c>
      <c r="G145" s="141">
        <v>103252.61500000002</v>
      </c>
      <c r="H145" s="141">
        <v>258544</v>
      </c>
      <c r="I145" s="144">
        <v>598526.27082759002</v>
      </c>
      <c r="J145" s="144">
        <v>130257.37417241</v>
      </c>
      <c r="K145" s="145">
        <f>425533.22917241-0.8</f>
        <v>425532.42917240999</v>
      </c>
    </row>
    <row r="146" spans="1:11">
      <c r="A146" s="820" t="s">
        <v>1131</v>
      </c>
      <c r="B146" s="141">
        <v>1820295</v>
      </c>
      <c r="C146" s="141">
        <v>47872.03</v>
      </c>
      <c r="D146" s="141">
        <v>537953</v>
      </c>
      <c r="E146" s="142">
        <f t="shared" si="36"/>
        <v>1330214.03</v>
      </c>
      <c r="F146" s="141">
        <v>1478166.1085677366</v>
      </c>
      <c r="G146" s="141">
        <v>46906.637584569173</v>
      </c>
      <c r="H146" s="141">
        <v>511055</v>
      </c>
      <c r="I146" s="144">
        <v>1014017.7461523057</v>
      </c>
      <c r="J146" s="144">
        <v>342128.89143226342</v>
      </c>
      <c r="K146" s="145">
        <f>316196.283847694-0.8</f>
        <v>316195.48384769401</v>
      </c>
    </row>
    <row r="147" spans="1:11" ht="15" thickBot="1">
      <c r="A147" s="821" t="s">
        <v>1132</v>
      </c>
      <c r="B147" s="141">
        <v>28507136.800000001</v>
      </c>
      <c r="C147" s="141">
        <v>422775</v>
      </c>
      <c r="D147" s="141">
        <v>2741803.7199999997</v>
      </c>
      <c r="E147" s="142">
        <f t="shared" si="36"/>
        <v>26188108.080000002</v>
      </c>
      <c r="F147" s="141">
        <v>16647091.583539886</v>
      </c>
      <c r="G147" s="141">
        <v>1861537.3326213248</v>
      </c>
      <c r="H147" s="141">
        <v>2163078.08</v>
      </c>
      <c r="I147" s="144">
        <v>16345550.836161209</v>
      </c>
      <c r="J147" s="146">
        <v>11860045.216460114</v>
      </c>
      <c r="K147" s="147">
        <f>9842557.24383879-2</f>
        <v>9842555.2438387908</v>
      </c>
    </row>
    <row r="148" spans="1:11" ht="16.2" thickBot="1">
      <c r="A148" s="822" t="s">
        <v>1156</v>
      </c>
      <c r="B148" s="836">
        <f t="shared" ref="B148:I148" si="37">+SUM(B140:B147)</f>
        <v>342535116.05799997</v>
      </c>
      <c r="C148" s="836">
        <f t="shared" si="37"/>
        <v>9027513.1400000006</v>
      </c>
      <c r="D148" s="836">
        <f t="shared" si="37"/>
        <v>11096037.949999999</v>
      </c>
      <c r="E148" s="836">
        <f t="shared" si="37"/>
        <v>340466591.24799991</v>
      </c>
      <c r="F148" s="836">
        <f t="shared" si="37"/>
        <v>116139946.83457838</v>
      </c>
      <c r="G148" s="836">
        <f t="shared" si="37"/>
        <v>17727981.603100225</v>
      </c>
      <c r="H148" s="836">
        <f t="shared" si="37"/>
        <v>9631137.4542230479</v>
      </c>
      <c r="I148" s="836">
        <f t="shared" si="37"/>
        <v>124236790.98345557</v>
      </c>
      <c r="J148" s="836">
        <f>+SUM(J140:J147)</f>
        <v>226395169.22342157</v>
      </c>
      <c r="K148" s="836">
        <f>+SUM(K140:K147)</f>
        <v>216229797.89454442</v>
      </c>
    </row>
    <row r="149" spans="1:11" ht="15" thickBot="1">
      <c r="A149" s="824"/>
      <c r="B149" s="148"/>
      <c r="K149" s="825"/>
    </row>
    <row r="150" spans="1:11" ht="15" thickBot="1">
      <c r="A150" s="826" t="s">
        <v>399</v>
      </c>
      <c r="B150" s="827"/>
      <c r="C150" s="827"/>
      <c r="D150" s="827"/>
      <c r="E150" s="827"/>
      <c r="F150" s="827"/>
      <c r="G150" s="827"/>
      <c r="H150" s="827"/>
      <c r="I150" s="827"/>
      <c r="J150" s="827"/>
      <c r="K150" s="828"/>
    </row>
    <row r="151" spans="1:11">
      <c r="A151" s="829" t="s">
        <v>1157</v>
      </c>
      <c r="B151" s="141">
        <v>172560</v>
      </c>
      <c r="C151" s="141">
        <v>2867475.08</v>
      </c>
      <c r="D151" s="141">
        <v>2907027.08</v>
      </c>
      <c r="E151" s="149">
        <v>133008</v>
      </c>
      <c r="F151" s="141">
        <v>0</v>
      </c>
      <c r="G151" s="141">
        <v>0</v>
      </c>
      <c r="H151" s="141">
        <v>0</v>
      </c>
      <c r="I151" s="141">
        <v>0</v>
      </c>
      <c r="J151" s="149">
        <v>172559.99999999988</v>
      </c>
      <c r="K151" s="831">
        <v>133008</v>
      </c>
    </row>
    <row r="152" spans="1:11" ht="15" thickBot="1">
      <c r="A152" s="832" t="s">
        <v>1158</v>
      </c>
      <c r="B152" s="141">
        <v>229919</v>
      </c>
      <c r="C152" s="141">
        <v>3105824.5399999996</v>
      </c>
      <c r="D152" s="141">
        <v>3155744</v>
      </c>
      <c r="E152" s="149">
        <v>179999.53999999957</v>
      </c>
      <c r="F152" s="141">
        <v>0</v>
      </c>
      <c r="G152" s="141">
        <v>0</v>
      </c>
      <c r="H152" s="141">
        <v>0</v>
      </c>
      <c r="I152" s="141">
        <v>0</v>
      </c>
      <c r="J152" s="833">
        <v>229919</v>
      </c>
      <c r="K152" s="831">
        <v>179999.53999999957</v>
      </c>
    </row>
    <row r="153" spans="1:11" ht="16.2" thickBot="1">
      <c r="A153" s="834" t="s">
        <v>1156</v>
      </c>
      <c r="B153" s="835">
        <v>402479</v>
      </c>
      <c r="C153" s="823">
        <v>5973299.6199999992</v>
      </c>
      <c r="D153" s="823">
        <v>6062771.0800000001</v>
      </c>
      <c r="E153" s="823">
        <v>313007.53999999957</v>
      </c>
      <c r="F153" s="823">
        <v>0</v>
      </c>
      <c r="G153" s="823">
        <v>0</v>
      </c>
      <c r="H153" s="823">
        <v>0</v>
      </c>
      <c r="I153" s="823">
        <v>0</v>
      </c>
      <c r="J153" s="823">
        <v>402478.99999999988</v>
      </c>
      <c r="K153" s="836">
        <v>313007.53999999957</v>
      </c>
    </row>
    <row r="154" spans="1:11" ht="15" thickBot="1">
      <c r="A154" s="837"/>
      <c r="K154" s="825"/>
    </row>
    <row r="155" spans="1:11" ht="16.2" thickBot="1">
      <c r="A155" s="834" t="s">
        <v>824</v>
      </c>
      <c r="B155" s="835">
        <v>342937595.05799997</v>
      </c>
      <c r="C155" s="823">
        <v>15000812.76</v>
      </c>
      <c r="D155" s="823">
        <v>17158809.030000001</v>
      </c>
      <c r="E155" s="823">
        <v>340779598.78799993</v>
      </c>
      <c r="F155" s="823">
        <v>116139946.83457838</v>
      </c>
      <c r="G155" s="823">
        <v>17727981.603100225</v>
      </c>
      <c r="H155" s="823">
        <v>9631137.4542230479</v>
      </c>
      <c r="I155" s="823">
        <v>124236790.98345557</v>
      </c>
      <c r="J155" s="823">
        <v>226797648.22342157</v>
      </c>
      <c r="K155" s="836">
        <v>216542807.80454442</v>
      </c>
    </row>
  </sheetData>
  <customSheetViews>
    <customSheetView guid="{ADEA4918-0326-423A-8D00-FB47A486004B}" scale="80" showPageBreaks="1" fitToPage="1" printArea="1" view="pageBreakPreview">
      <selection activeCell="H1" sqref="H1"/>
      <pageMargins left="0.70866141732283472" right="0.70866141732283472" top="0.74803149606299213" bottom="0.74803149606299213" header="0.31496062992125984" footer="0.31496062992125984"/>
      <pageSetup scale="56" orientation="landscape" r:id="rId1"/>
    </customSheetView>
    <customSheetView guid="{2A78E287-3113-4387-BB62-BE98FA5C13C2}" scale="80" showPageBreaks="1" fitToPage="1" printArea="1" view="pageBreakPreview">
      <selection activeCell="H1" sqref="H1"/>
      <pageMargins left="0.70866141732283472" right="0.70866141732283472" top="0.74803149606299213" bottom="0.74803149606299213" header="0.31496062992125984" footer="0.31496062992125984"/>
      <pageSetup scale="56" orientation="landscape" r:id="rId2"/>
    </customSheetView>
    <customSheetView guid="{DC5DA12B-0FA6-4F41-A983-6E433AD4604D}" scale="80" showPageBreaks="1" fitToPage="1" printArea="1" view="pageBreakPreview">
      <selection activeCell="H1" sqref="H1"/>
      <pageMargins left="0.70866141732283472" right="0.70866141732283472" top="0.74803149606299213" bottom="0.74803149606299213" header="0.31496062992125984" footer="0.31496062992125984"/>
      <pageSetup scale="56" orientation="landscape" r:id="rId3"/>
    </customSheetView>
  </customSheetViews>
  <mergeCells count="22">
    <mergeCell ref="A34:A35"/>
    <mergeCell ref="B34:F34"/>
    <mergeCell ref="B137:K137"/>
    <mergeCell ref="A138:A139"/>
    <mergeCell ref="B138:E138"/>
    <mergeCell ref="F138:I138"/>
    <mergeCell ref="B92:K92"/>
    <mergeCell ref="A93:A94"/>
    <mergeCell ref="B93:E93"/>
    <mergeCell ref="F93:I93"/>
    <mergeCell ref="B116:K116"/>
    <mergeCell ref="A117:A118"/>
    <mergeCell ref="B117:E117"/>
    <mergeCell ref="F117:I117"/>
    <mergeCell ref="A72:A73"/>
    <mergeCell ref="B72:E72"/>
    <mergeCell ref="F72:I72"/>
    <mergeCell ref="A46:A47"/>
    <mergeCell ref="B46:F46"/>
    <mergeCell ref="A59:A60"/>
    <mergeCell ref="B59:F59"/>
    <mergeCell ref="B71:K71"/>
  </mergeCells>
  <hyperlinks>
    <hyperlink ref="A119" location="'1'!A1" tooltip="Click to go to &quot;Land&quot; Sheet" display="Land" xr:uid="{D8449312-7E64-4A42-8650-DF3DC47E2FA4}"/>
    <hyperlink ref="A120" location="'2'!A1" tooltip="Click to go to &quot;Buildings&quot; Sheet" display="Buildings" xr:uid="{E91039A0-F446-4818-AE8B-9997DE0600A6}"/>
    <hyperlink ref="A121" location="'3'!A1" tooltip="Click to go to &quot;Plant &amp; Machinery&quot; Sheet" display="Plant and Machinery" xr:uid="{9F4B35E0-C115-48D0-913C-EA8846AC257D}"/>
    <hyperlink ref="A122" location="'4'!A1" tooltip="Click to go to &quot;Motor Vehicles&quot; Sheet" display="Motor Vehicles" xr:uid="{09919476-6580-4B89-9CF8-1531839EDEFC}"/>
    <hyperlink ref="A123" location="'5'!A1" tooltip="Click to go to &quot;Computers&quot; Sheet" display="Computers" xr:uid="{90500630-775E-4370-8B1B-3EF6049187DB}"/>
    <hyperlink ref="A124" location="'6'!A1" tooltip="Click to go to &quot;Office Equipments&quot; Sheet" display="Office Equipments" xr:uid="{024E1981-EEE6-4789-9D65-C0E92F44C1BF}"/>
    <hyperlink ref="A125" location="'7'!A1" tooltip="Click to go to &quot;Furniture &amp; Fittings&quot; Sheet" display="Furniture and Fittings" xr:uid="{C5565B75-DD84-4A9A-8AD8-89432D5A3E3C}"/>
    <hyperlink ref="A126" location="'8'!A1" tooltip="Click to go to &quot;Electrical Installations&quot; Sheet" display="Electrical Installations" xr:uid="{08AC53EB-435D-4A59-86CB-0775CC559BBC}"/>
    <hyperlink ref="B4" location="'1'!A1" tooltip="Click to go to &quot;Land&quot; Sheet" display="Land" xr:uid="{10A310F9-B496-407C-A978-0D4D7E1CC243}"/>
    <hyperlink ref="C4" location="'2'!A1" tooltip="Click to go to &quot;Buildings&quot; Sheet" display="Buildings" xr:uid="{955F6050-6244-4658-981B-D3014CF2CAE0}"/>
    <hyperlink ref="D4" location="'3'!A1" tooltip="Click to go to &quot;Plant &amp; Machinery&quot; Sheet" display="Plant and Machinery" xr:uid="{C9847A7C-16E7-426C-828D-502089101C2F}"/>
    <hyperlink ref="E4" location="'4'!A1" tooltip="Click to go to &quot;Motor Vehicles&quot; Sheet" display="Motor Vehicles" xr:uid="{BA797093-24CE-4A42-9836-816917693EE5}"/>
    <hyperlink ref="F4" location="'5'!A1" tooltip="Click to go to &quot;Computers&quot; Sheet" display="Computers" xr:uid="{B32E76CD-EF76-4A2C-BD22-B902B097F12A}"/>
    <hyperlink ref="G4" location="'6'!A1" tooltip="Click to go to &quot;Office Equipments&quot; Sheet" display="Office Equipments" xr:uid="{3E04FD43-99B9-4F61-A054-E8B562F1F5CE}"/>
    <hyperlink ref="H4" location="'7'!A1" tooltip="Click to go to &quot;Furniture &amp; Fittings&quot; Sheet" display="Furniture and Fittings" xr:uid="{4206E27C-C46F-4A80-8F20-235F89B03032}"/>
    <hyperlink ref="I4" location="'8'!A1" tooltip="Click to go to &quot;Electrical Installations&quot; Sheet" display="Electrical Installations" xr:uid="{D5C6788E-1988-4597-8F55-CB3D6390FBC4}"/>
  </hyperlinks>
  <pageMargins left="0.70866141732283472" right="0.70866141732283472" top="0.74803149606299213" bottom="0.74803149606299213" header="0.31496062992125984" footer="0.31496062992125984"/>
  <pageSetup scale="56" orientation="landscape"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35652-1ECF-46DD-BC1A-34C1080E311E}">
  <dimension ref="A1:G374"/>
  <sheetViews>
    <sheetView workbookViewId="0">
      <selection activeCell="A5" sqref="A5"/>
    </sheetView>
  </sheetViews>
  <sheetFormatPr defaultRowHeight="14.4"/>
  <cols>
    <col min="1" max="1" width="47.5546875" bestFit="1" customWidth="1"/>
    <col min="2" max="3" width="13.5546875" bestFit="1" customWidth="1"/>
    <col min="4" max="4" width="14.109375" bestFit="1" customWidth="1"/>
    <col min="5" max="5" width="12" bestFit="1" customWidth="1"/>
  </cols>
  <sheetData>
    <row r="1" spans="1:7" ht="15.6">
      <c r="A1" s="1618" t="s">
        <v>456</v>
      </c>
      <c r="B1" s="1618"/>
      <c r="C1" s="1618"/>
    </row>
    <row r="2" spans="1:7">
      <c r="A2" s="1612" t="s">
        <v>457</v>
      </c>
      <c r="B2" s="1612"/>
      <c r="C2" s="1612"/>
    </row>
    <row r="3" spans="1:7">
      <c r="A3" s="1612" t="s">
        <v>458</v>
      </c>
      <c r="B3" s="1612"/>
      <c r="C3" s="1612"/>
    </row>
    <row r="4" spans="1:7">
      <c r="A4" s="1612" t="s">
        <v>459</v>
      </c>
      <c r="B4" s="1612"/>
      <c r="C4" s="1612"/>
    </row>
    <row r="5" spans="1:7">
      <c r="A5" s="1619" t="s">
        <v>460</v>
      </c>
      <c r="B5" s="1619"/>
      <c r="C5" s="1619"/>
    </row>
    <row r="6" spans="1:7" ht="15.6">
      <c r="A6" s="1620" t="s">
        <v>461</v>
      </c>
      <c r="B6" s="1620"/>
      <c r="C6" s="1620"/>
    </row>
    <row r="7" spans="1:7">
      <c r="A7" s="1612" t="s">
        <v>2940</v>
      </c>
      <c r="B7" s="1612"/>
      <c r="C7" s="1612"/>
    </row>
    <row r="8" spans="1:7" ht="15" customHeight="1">
      <c r="A8" s="1891" t="s">
        <v>462</v>
      </c>
      <c r="B8" s="1613" t="s">
        <v>2941</v>
      </c>
      <c r="C8" s="1614"/>
    </row>
    <row r="9" spans="1:7" ht="15" customHeight="1">
      <c r="A9" s="1892" t="s">
        <v>463</v>
      </c>
      <c r="B9" s="1615" t="s">
        <v>2940</v>
      </c>
      <c r="C9" s="1616"/>
    </row>
    <row r="10" spans="1:7">
      <c r="A10" s="1892" t="s">
        <v>462</v>
      </c>
      <c r="B10" s="1740" t="s">
        <v>464</v>
      </c>
      <c r="C10" s="1617"/>
      <c r="D10" s="1740" t="s">
        <v>464</v>
      </c>
      <c r="E10" s="1617"/>
      <c r="F10" s="1740" t="s">
        <v>3066</v>
      </c>
      <c r="G10" s="1617"/>
    </row>
    <row r="11" spans="1:7">
      <c r="A11" s="1893" t="s">
        <v>462</v>
      </c>
      <c r="B11" s="1603" t="s">
        <v>465</v>
      </c>
      <c r="C11" s="1603" t="s">
        <v>466</v>
      </c>
      <c r="D11" s="1603" t="s">
        <v>465</v>
      </c>
      <c r="E11" s="1603" t="s">
        <v>466</v>
      </c>
      <c r="F11" s="1603" t="s">
        <v>465</v>
      </c>
      <c r="G11" s="1603" t="s">
        <v>466</v>
      </c>
    </row>
    <row r="12" spans="1:7">
      <c r="A12" s="1604" t="s">
        <v>251</v>
      </c>
      <c r="B12" s="1605">
        <v>62662681</v>
      </c>
      <c r="C12" s="1606"/>
      <c r="D12">
        <f>+IFERROR(VLOOKUP($A12,'TB Final'!$B:$K,7,0),0)</f>
        <v>62662681</v>
      </c>
      <c r="E12">
        <f>+IFERROR(VLOOKUP($A12,'TB Final'!$B:$K,10,0),0)</f>
        <v>0</v>
      </c>
      <c r="F12" s="1749">
        <f>+B12-D12</f>
        <v>0</v>
      </c>
      <c r="G12" s="1749">
        <f>+C12-E12</f>
        <v>0</v>
      </c>
    </row>
    <row r="13" spans="1:7">
      <c r="A13" s="1607" t="s">
        <v>20</v>
      </c>
      <c r="B13" s="1608"/>
      <c r="C13" s="1609">
        <v>2485320</v>
      </c>
      <c r="D13">
        <f>+IFERROR(VLOOKUP($A13,'TB Final'!$B:$K,7,0),0)</f>
        <v>0</v>
      </c>
      <c r="E13">
        <f>+IFERROR(VLOOKUP($A13,'TB Final'!$B:$K,10,0),0)</f>
        <v>2485320</v>
      </c>
      <c r="F13">
        <f t="shared" ref="F13:F76" si="0">+B13-D13</f>
        <v>0</v>
      </c>
      <c r="G13">
        <f t="shared" ref="G13:G76" si="1">+C13-E13</f>
        <v>0</v>
      </c>
    </row>
    <row r="14" spans="1:7">
      <c r="A14" s="1607" t="s">
        <v>2942</v>
      </c>
      <c r="B14" s="1608"/>
      <c r="C14" s="1609">
        <v>115749</v>
      </c>
      <c r="D14">
        <f>+IFERROR(VLOOKUP($A14,'TB Final'!$B:$K,7,0),0)</f>
        <v>0</v>
      </c>
      <c r="E14">
        <f>+IFERROR(VLOOKUP($A14,'TB Final'!$B:$K,10,0),0)</f>
        <v>115749</v>
      </c>
      <c r="F14">
        <f t="shared" si="0"/>
        <v>0</v>
      </c>
      <c r="G14">
        <f t="shared" si="1"/>
        <v>0</v>
      </c>
    </row>
    <row r="15" spans="1:7">
      <c r="A15" s="1607" t="s">
        <v>27</v>
      </c>
      <c r="B15" s="1609">
        <v>156102</v>
      </c>
      <c r="C15" s="1608"/>
      <c r="D15">
        <f>+IFERROR(VLOOKUP($A15,'TB Final'!$B:$K,7,0),0)</f>
        <v>156102</v>
      </c>
      <c r="E15">
        <f>+IFERROR(VLOOKUP($A15,'TB Final'!$B:$K,10,0),0)</f>
        <v>0</v>
      </c>
      <c r="F15">
        <f t="shared" si="0"/>
        <v>0</v>
      </c>
      <c r="G15">
        <f t="shared" si="1"/>
        <v>0</v>
      </c>
    </row>
    <row r="16" spans="1:7">
      <c r="A16" s="1607" t="s">
        <v>298</v>
      </c>
      <c r="B16" s="1608"/>
      <c r="C16" s="1609">
        <v>169429</v>
      </c>
      <c r="D16">
        <f>+IFERROR(VLOOKUP($A16,'TB Final'!$B:$K,7,0),0)</f>
        <v>0</v>
      </c>
      <c r="E16">
        <f>+IFERROR(VLOOKUP($A16,'TB Final'!$B:$K,10,0),0)</f>
        <v>169429</v>
      </c>
      <c r="F16">
        <f t="shared" si="0"/>
        <v>0</v>
      </c>
      <c r="G16">
        <f t="shared" si="1"/>
        <v>0</v>
      </c>
    </row>
    <row r="17" spans="1:7">
      <c r="A17" s="1607" t="s">
        <v>7</v>
      </c>
      <c r="B17" s="1608"/>
      <c r="C17" s="1609">
        <v>208440</v>
      </c>
      <c r="D17">
        <f>+IFERROR(VLOOKUP($A17,'TB Final'!$B:$K,7,0),0)</f>
        <v>0</v>
      </c>
      <c r="E17">
        <f>+IFERROR(VLOOKUP($A17,'TB Final'!$B:$K,10,0),0)</f>
        <v>208440</v>
      </c>
      <c r="F17">
        <f t="shared" si="0"/>
        <v>0</v>
      </c>
      <c r="G17">
        <f t="shared" si="1"/>
        <v>0</v>
      </c>
    </row>
    <row r="18" spans="1:7">
      <c r="A18" s="1607" t="s">
        <v>70</v>
      </c>
      <c r="B18" s="1609">
        <v>2734455</v>
      </c>
      <c r="C18" s="1608"/>
      <c r="D18">
        <f>+IFERROR(VLOOKUP($A18,'TB Final'!$B:$K,7,0),0)</f>
        <v>2734455</v>
      </c>
      <c r="E18">
        <f>+IFERROR(VLOOKUP($A18,'TB Final'!$B:$K,10,0),0)</f>
        <v>0</v>
      </c>
      <c r="F18">
        <f t="shared" si="0"/>
        <v>0</v>
      </c>
      <c r="G18">
        <f t="shared" si="1"/>
        <v>0</v>
      </c>
    </row>
    <row r="19" spans="1:7">
      <c r="A19" s="1607" t="s">
        <v>469</v>
      </c>
      <c r="B19" s="1608"/>
      <c r="C19" s="1609">
        <v>4465191</v>
      </c>
      <c r="D19">
        <f>+IFERROR(VLOOKUP($A19,'TB Final'!$B:$K,7,0),0)</f>
        <v>0</v>
      </c>
      <c r="E19">
        <f>+IFERROR(VLOOKUP($A19,'TB Final'!$B:$K,10,0),0)</f>
        <v>4465191</v>
      </c>
      <c r="F19">
        <f t="shared" si="0"/>
        <v>0</v>
      </c>
      <c r="G19">
        <f t="shared" si="1"/>
        <v>0</v>
      </c>
    </row>
    <row r="20" spans="1:7">
      <c r="A20" s="1607" t="s">
        <v>50</v>
      </c>
      <c r="B20" s="1609">
        <v>18000</v>
      </c>
      <c r="C20" s="1608"/>
      <c r="D20">
        <f>+IFERROR(VLOOKUP($A20,'TB Final'!$B:$K,7,0),0)</f>
        <v>18000</v>
      </c>
      <c r="E20">
        <f>+IFERROR(VLOOKUP($A20,'TB Final'!$B:$K,10,0),0)</f>
        <v>0</v>
      </c>
      <c r="F20">
        <f t="shared" si="0"/>
        <v>0</v>
      </c>
      <c r="G20">
        <f t="shared" si="1"/>
        <v>0</v>
      </c>
    </row>
    <row r="21" spans="1:7">
      <c r="A21" s="1607" t="s">
        <v>51</v>
      </c>
      <c r="B21" s="1609">
        <v>55000</v>
      </c>
      <c r="C21" s="1608"/>
      <c r="D21">
        <f>+IFERROR(VLOOKUP($A21,'TB Final'!$B:$K,7,0),0)</f>
        <v>55000</v>
      </c>
      <c r="E21">
        <f>+IFERROR(VLOOKUP($A21,'TB Final'!$B:$K,10,0),0)</f>
        <v>0</v>
      </c>
      <c r="F21">
        <f t="shared" si="0"/>
        <v>0</v>
      </c>
      <c r="G21">
        <f t="shared" si="1"/>
        <v>0</v>
      </c>
    </row>
    <row r="22" spans="1:7">
      <c r="A22" s="1607" t="s">
        <v>2944</v>
      </c>
      <c r="B22" s="1609">
        <v>70000</v>
      </c>
      <c r="C22" s="1608"/>
      <c r="D22">
        <f>+IFERROR(VLOOKUP($A22,'TB Final'!$B:$K,7,0),0)</f>
        <v>70000</v>
      </c>
      <c r="E22">
        <f>+IFERROR(VLOOKUP($A22,'TB Final'!$B:$K,10,0),0)</f>
        <v>0</v>
      </c>
      <c r="F22">
        <f t="shared" si="0"/>
        <v>0</v>
      </c>
      <c r="G22">
        <f t="shared" si="1"/>
        <v>0</v>
      </c>
    </row>
    <row r="23" spans="1:7">
      <c r="A23" s="1607" t="s">
        <v>2945</v>
      </c>
      <c r="B23" s="1609">
        <v>244640</v>
      </c>
      <c r="C23" s="1608"/>
      <c r="D23">
        <f>+IFERROR(VLOOKUP($A23,'TB Final'!$B:$K,7,0),0)</f>
        <v>244640</v>
      </c>
      <c r="E23">
        <f>+IFERROR(VLOOKUP($A23,'TB Final'!$B:$K,10,0),0)</f>
        <v>0</v>
      </c>
      <c r="F23">
        <f t="shared" si="0"/>
        <v>0</v>
      </c>
      <c r="G23">
        <f t="shared" si="1"/>
        <v>0</v>
      </c>
    </row>
    <row r="24" spans="1:7">
      <c r="A24" s="1607" t="s">
        <v>56</v>
      </c>
      <c r="B24" s="1609">
        <v>7403</v>
      </c>
      <c r="C24" s="1608"/>
      <c r="D24">
        <f>+IFERROR(VLOOKUP($A24,'TB Final'!$B:$K,7,0),0)</f>
        <v>7403</v>
      </c>
      <c r="E24">
        <f>+IFERROR(VLOOKUP($A24,'TB Final'!$B:$K,10,0),0)</f>
        <v>0</v>
      </c>
      <c r="F24">
        <f t="shared" si="0"/>
        <v>0</v>
      </c>
      <c r="G24">
        <f t="shared" si="1"/>
        <v>0</v>
      </c>
    </row>
    <row r="25" spans="1:7">
      <c r="A25" s="1607" t="s">
        <v>58</v>
      </c>
      <c r="B25" s="1608"/>
      <c r="C25" s="1609">
        <v>247500</v>
      </c>
      <c r="D25">
        <f>+IFERROR(VLOOKUP($A25,'TB Final'!$B:$K,7,0),0)</f>
        <v>0</v>
      </c>
      <c r="E25">
        <f>+IFERROR(VLOOKUP($A25,'TB Final'!$B:$K,10,0),0)</f>
        <v>247500</v>
      </c>
      <c r="F25">
        <f t="shared" si="0"/>
        <v>0</v>
      </c>
      <c r="G25">
        <f t="shared" si="1"/>
        <v>0</v>
      </c>
    </row>
    <row r="26" spans="1:7">
      <c r="A26" s="1607" t="s">
        <v>472</v>
      </c>
      <c r="B26" s="1609">
        <v>1489956</v>
      </c>
      <c r="C26" s="1608"/>
      <c r="D26">
        <f>+IFERROR(VLOOKUP($A26,'TB Final'!$B:$K,7,0),0)</f>
        <v>1489956</v>
      </c>
      <c r="E26">
        <f>+IFERROR(VLOOKUP($A26,'TB Final'!$B:$K,10,0),0)</f>
        <v>0</v>
      </c>
      <c r="F26">
        <f t="shared" si="0"/>
        <v>0</v>
      </c>
      <c r="G26">
        <f t="shared" si="1"/>
        <v>0</v>
      </c>
    </row>
    <row r="27" spans="1:7">
      <c r="A27" s="1607" t="s">
        <v>473</v>
      </c>
      <c r="B27" s="1608"/>
      <c r="C27" s="1609">
        <v>641767.5</v>
      </c>
      <c r="D27">
        <f>+IFERROR(VLOOKUP($A27,'TB Final'!$B:$K,7,0),0)</f>
        <v>0</v>
      </c>
      <c r="E27">
        <f>+IFERROR(VLOOKUP($A27,'TB Final'!$B:$K,10,0),0)</f>
        <v>641767.5</v>
      </c>
      <c r="F27">
        <f t="shared" si="0"/>
        <v>0</v>
      </c>
      <c r="G27">
        <f t="shared" si="1"/>
        <v>0</v>
      </c>
    </row>
    <row r="28" spans="1:7">
      <c r="A28" s="1607" t="s">
        <v>60</v>
      </c>
      <c r="B28" s="1608"/>
      <c r="C28" s="1609">
        <v>233402</v>
      </c>
      <c r="D28">
        <f>+IFERROR(VLOOKUP($A28,'TB Final'!$B:$K,7,0),0)</f>
        <v>0</v>
      </c>
      <c r="E28">
        <f>+IFERROR(VLOOKUP($A28,'TB Final'!$B:$K,10,0),0)</f>
        <v>233402</v>
      </c>
      <c r="F28">
        <f t="shared" si="0"/>
        <v>0</v>
      </c>
      <c r="G28">
        <f t="shared" si="1"/>
        <v>0</v>
      </c>
    </row>
    <row r="29" spans="1:7">
      <c r="A29" s="1607" t="s">
        <v>61</v>
      </c>
      <c r="B29" s="1608"/>
      <c r="C29" s="1609">
        <v>383005</v>
      </c>
      <c r="D29">
        <f>+IFERROR(VLOOKUP($A29,'TB Final'!$B:$K,7,0),0)</f>
        <v>0</v>
      </c>
      <c r="E29">
        <f>+IFERROR(VLOOKUP($A29,'TB Final'!$B:$K,10,0),0)</f>
        <v>383005</v>
      </c>
      <c r="F29">
        <f t="shared" si="0"/>
        <v>0</v>
      </c>
      <c r="G29">
        <f t="shared" si="1"/>
        <v>0</v>
      </c>
    </row>
    <row r="30" spans="1:7">
      <c r="A30" s="1607" t="s">
        <v>2946</v>
      </c>
      <c r="B30" s="1609">
        <v>350000</v>
      </c>
      <c r="C30" s="1608"/>
      <c r="D30">
        <f>+IFERROR(VLOOKUP($A30,'TB Final'!$B:$K,7,0),0)</f>
        <v>350000</v>
      </c>
      <c r="E30">
        <f>+IFERROR(VLOOKUP($A30,'TB Final'!$B:$K,10,0),0)</f>
        <v>0</v>
      </c>
      <c r="F30">
        <f t="shared" si="0"/>
        <v>0</v>
      </c>
      <c r="G30">
        <f t="shared" si="1"/>
        <v>0</v>
      </c>
    </row>
    <row r="31" spans="1:7">
      <c r="A31" s="1607" t="s">
        <v>62</v>
      </c>
      <c r="B31" s="1609">
        <v>182542.48</v>
      </c>
      <c r="C31" s="1608"/>
      <c r="D31">
        <f>+IFERROR(VLOOKUP($A31,'TB Final'!$B:$K,7,0),0)</f>
        <v>182542.48</v>
      </c>
      <c r="E31">
        <f>+IFERROR(VLOOKUP($A31,'TB Final'!$B:$K,10,0),0)</f>
        <v>0</v>
      </c>
      <c r="F31">
        <f t="shared" si="0"/>
        <v>0</v>
      </c>
      <c r="G31">
        <f t="shared" si="1"/>
        <v>0</v>
      </c>
    </row>
    <row r="32" spans="1:7">
      <c r="A32" s="1607" t="s">
        <v>66</v>
      </c>
      <c r="B32" s="1609">
        <v>262544</v>
      </c>
      <c r="C32" s="1608"/>
      <c r="D32">
        <f>+IFERROR(VLOOKUP($A32,'TB Final'!$B:$K,7,0),0)</f>
        <v>262544</v>
      </c>
      <c r="E32">
        <f>+IFERROR(VLOOKUP($A32,'TB Final'!$B:$K,10,0),0)</f>
        <v>0</v>
      </c>
      <c r="F32">
        <f t="shared" si="0"/>
        <v>0</v>
      </c>
      <c r="G32">
        <f t="shared" si="1"/>
        <v>0</v>
      </c>
    </row>
    <row r="33" spans="1:7">
      <c r="A33" s="1607" t="s">
        <v>2947</v>
      </c>
      <c r="B33" s="1609">
        <v>586700</v>
      </c>
      <c r="C33" s="1608"/>
      <c r="D33">
        <f>+IFERROR(VLOOKUP($A33,'TB Final'!$B:$K,7,0),0)</f>
        <v>586700</v>
      </c>
      <c r="E33">
        <f>+IFERROR(VLOOKUP($A33,'TB Final'!$B:$K,10,0),0)</f>
        <v>0</v>
      </c>
      <c r="F33">
        <f t="shared" si="0"/>
        <v>0</v>
      </c>
      <c r="G33">
        <f t="shared" si="1"/>
        <v>0</v>
      </c>
    </row>
    <row r="34" spans="1:7">
      <c r="A34" s="1607" t="s">
        <v>2948</v>
      </c>
      <c r="B34" s="1608"/>
      <c r="C34" s="1609">
        <v>430509</v>
      </c>
      <c r="D34">
        <f>+IFERROR(VLOOKUP($A34,'TB Final'!$B:$K,7,0),0)</f>
        <v>0</v>
      </c>
      <c r="E34">
        <f>+IFERROR(VLOOKUP($A34,'TB Final'!$B:$K,10,0),0)</f>
        <v>430509</v>
      </c>
      <c r="F34">
        <f t="shared" si="0"/>
        <v>0</v>
      </c>
      <c r="G34">
        <f t="shared" si="1"/>
        <v>0</v>
      </c>
    </row>
    <row r="35" spans="1:7">
      <c r="A35" s="1607" t="s">
        <v>69</v>
      </c>
      <c r="B35" s="1608"/>
      <c r="C35" s="1609">
        <v>757002</v>
      </c>
      <c r="D35">
        <f>+IFERROR(VLOOKUP($A35,'TB Final'!$B:$K,7,0),0)</f>
        <v>0</v>
      </c>
      <c r="E35">
        <f>+IFERROR(VLOOKUP($A35,'TB Final'!$B:$K,10,0),0)</f>
        <v>757002</v>
      </c>
      <c r="F35">
        <f t="shared" si="0"/>
        <v>0</v>
      </c>
      <c r="G35">
        <f t="shared" si="1"/>
        <v>0</v>
      </c>
    </row>
    <row r="36" spans="1:7">
      <c r="A36" s="1607" t="s">
        <v>2949</v>
      </c>
      <c r="B36" s="1608"/>
      <c r="C36" s="1609">
        <v>1762334</v>
      </c>
      <c r="D36">
        <f>+IFERROR(VLOOKUP($A36,'TB Final'!$B:$K,7,0),0)</f>
        <v>0</v>
      </c>
      <c r="E36">
        <f>+IFERROR(VLOOKUP($A36,'TB Final'!$B:$K,10,0),0)</f>
        <v>1762334</v>
      </c>
      <c r="F36">
        <f t="shared" si="0"/>
        <v>0</v>
      </c>
      <c r="G36">
        <f t="shared" si="1"/>
        <v>0</v>
      </c>
    </row>
    <row r="37" spans="1:7">
      <c r="A37" s="1607" t="s">
        <v>2950</v>
      </c>
      <c r="B37" s="1608"/>
      <c r="C37" s="1609">
        <v>38700</v>
      </c>
      <c r="D37">
        <f>+IFERROR(VLOOKUP($A37,'TB Final'!$B:$K,7,0),0)</f>
        <v>0</v>
      </c>
      <c r="E37">
        <f>+IFERROR(VLOOKUP($A37,'TB Final'!$B:$K,10,0),0)</f>
        <v>38700</v>
      </c>
      <c r="F37">
        <f t="shared" si="0"/>
        <v>0</v>
      </c>
      <c r="G37">
        <f t="shared" si="1"/>
        <v>0</v>
      </c>
    </row>
    <row r="38" spans="1:7">
      <c r="A38" s="1607" t="s">
        <v>72</v>
      </c>
      <c r="B38" s="1609">
        <v>3742571.88</v>
      </c>
      <c r="C38" s="1608"/>
      <c r="D38">
        <f>+IFERROR(VLOOKUP($A38,'TB Final'!$B:$K,7,0),0)</f>
        <v>3742571.88</v>
      </c>
      <c r="E38">
        <f>+IFERROR(VLOOKUP($A38,'TB Final'!$B:$K,10,0),0)</f>
        <v>0</v>
      </c>
      <c r="F38">
        <f t="shared" si="0"/>
        <v>0</v>
      </c>
      <c r="G38">
        <f t="shared" si="1"/>
        <v>0</v>
      </c>
    </row>
    <row r="39" spans="1:7">
      <c r="A39" s="1607" t="s">
        <v>475</v>
      </c>
      <c r="B39" s="1609">
        <v>3164</v>
      </c>
      <c r="C39" s="1608"/>
      <c r="D39">
        <f>+IFERROR(VLOOKUP($A39,'TB Final'!$B:$K,7,0),0)</f>
        <v>3164</v>
      </c>
      <c r="E39">
        <f>+IFERROR(VLOOKUP($A39,'TB Final'!$B:$K,10,0),0)</f>
        <v>0</v>
      </c>
      <c r="F39">
        <f t="shared" si="0"/>
        <v>0</v>
      </c>
      <c r="G39">
        <f t="shared" si="1"/>
        <v>0</v>
      </c>
    </row>
    <row r="40" spans="1:7">
      <c r="A40" s="1607" t="s">
        <v>2951</v>
      </c>
      <c r="B40" s="1609">
        <v>50118</v>
      </c>
      <c r="C40" s="1608"/>
      <c r="D40">
        <f>+IFERROR(VLOOKUP($A40,'TB Final'!$B:$K,7,0),0)</f>
        <v>50118</v>
      </c>
      <c r="E40">
        <f>+IFERROR(VLOOKUP($A40,'TB Final'!$B:$K,10,0),0)</f>
        <v>0</v>
      </c>
      <c r="F40">
        <f t="shared" si="0"/>
        <v>0</v>
      </c>
      <c r="G40">
        <f t="shared" si="1"/>
        <v>0</v>
      </c>
    </row>
    <row r="41" spans="1:7">
      <c r="A41" s="1607" t="s">
        <v>476</v>
      </c>
      <c r="B41" s="1609">
        <v>74323684.409999996</v>
      </c>
      <c r="C41" s="1608"/>
      <c r="D41">
        <f>+IFERROR(VLOOKUP($A41,'TB Final'!$B:$K,7,0),0)</f>
        <v>74323684.409999996</v>
      </c>
      <c r="E41">
        <f>+IFERROR(VLOOKUP($A41,'TB Final'!$B:$K,10,0),0)</f>
        <v>0</v>
      </c>
      <c r="F41">
        <f t="shared" si="0"/>
        <v>0</v>
      </c>
      <c r="G41">
        <f t="shared" si="1"/>
        <v>0</v>
      </c>
    </row>
    <row r="42" spans="1:7">
      <c r="A42" s="1607" t="s">
        <v>79</v>
      </c>
      <c r="B42" s="1608"/>
      <c r="C42" s="1609">
        <v>20413989</v>
      </c>
      <c r="D42">
        <f>+IFERROR(VLOOKUP($A42,'TB Final'!$B:$K,7,0),0)</f>
        <v>0</v>
      </c>
      <c r="E42">
        <f>+IFERROR(VLOOKUP($A42,'TB Final'!$B:$K,10,0),0)</f>
        <v>20413989</v>
      </c>
      <c r="F42">
        <f t="shared" si="0"/>
        <v>0</v>
      </c>
      <c r="G42">
        <f t="shared" si="1"/>
        <v>0</v>
      </c>
    </row>
    <row r="43" spans="1:7">
      <c r="A43" s="1607" t="s">
        <v>84</v>
      </c>
      <c r="B43" s="1609">
        <v>369720</v>
      </c>
      <c r="C43" s="1608"/>
      <c r="D43">
        <f>+IFERROR(VLOOKUP($A43,'TB Final'!$B:$K,7,0),0)</f>
        <v>369720</v>
      </c>
      <c r="E43">
        <f>+IFERROR(VLOOKUP($A43,'TB Final'!$B:$K,10,0),0)</f>
        <v>0</v>
      </c>
      <c r="F43">
        <f t="shared" si="0"/>
        <v>0</v>
      </c>
      <c r="G43">
        <f t="shared" si="1"/>
        <v>0</v>
      </c>
    </row>
    <row r="44" spans="1:7">
      <c r="A44" s="1607" t="s">
        <v>86</v>
      </c>
      <c r="B44" s="1609">
        <v>201977</v>
      </c>
      <c r="C44" s="1608"/>
      <c r="D44">
        <f>+IFERROR(VLOOKUP($A44,'TB Final'!$B:$K,7,0),0)</f>
        <v>201977</v>
      </c>
      <c r="E44">
        <f>+IFERROR(VLOOKUP($A44,'TB Final'!$B:$K,10,0),0)</f>
        <v>0</v>
      </c>
      <c r="F44">
        <f t="shared" si="0"/>
        <v>0</v>
      </c>
      <c r="G44">
        <f t="shared" si="1"/>
        <v>0</v>
      </c>
    </row>
    <row r="45" spans="1:7">
      <c r="A45" s="1607" t="s">
        <v>87</v>
      </c>
      <c r="B45" s="1609">
        <v>276683</v>
      </c>
      <c r="C45" s="1608"/>
      <c r="D45">
        <f>+IFERROR(VLOOKUP($A45,'TB Final'!$B:$K,7,0),0)</f>
        <v>276683</v>
      </c>
      <c r="E45">
        <f>+IFERROR(VLOOKUP($A45,'TB Final'!$B:$K,10,0),0)</f>
        <v>0</v>
      </c>
      <c r="F45">
        <f t="shared" si="0"/>
        <v>0</v>
      </c>
      <c r="G45">
        <f t="shared" si="1"/>
        <v>0</v>
      </c>
    </row>
    <row r="46" spans="1:7">
      <c r="A46" s="1607" t="s">
        <v>478</v>
      </c>
      <c r="B46" s="1609">
        <v>270656</v>
      </c>
      <c r="C46" s="1608"/>
      <c r="D46">
        <f>+IFERROR(VLOOKUP($A46,'TB Final'!$B:$K,7,0),0)</f>
        <v>270656</v>
      </c>
      <c r="E46">
        <f>+IFERROR(VLOOKUP($A46,'TB Final'!$B:$K,10,0),0)</f>
        <v>0</v>
      </c>
      <c r="F46">
        <f t="shared" si="0"/>
        <v>0</v>
      </c>
      <c r="G46">
        <f t="shared" si="1"/>
        <v>0</v>
      </c>
    </row>
    <row r="47" spans="1:7">
      <c r="A47" s="1607" t="s">
        <v>2953</v>
      </c>
      <c r="B47" s="1609">
        <v>780000</v>
      </c>
      <c r="C47" s="1608"/>
      <c r="D47">
        <f>+IFERROR(VLOOKUP($A47,'TB Final'!$B:$K,7,0),0)</f>
        <v>780000</v>
      </c>
      <c r="E47">
        <f>+IFERROR(VLOOKUP($A47,'TB Final'!$B:$K,10,0),0)</f>
        <v>0</v>
      </c>
      <c r="F47">
        <f t="shared" si="0"/>
        <v>0</v>
      </c>
      <c r="G47">
        <f t="shared" si="1"/>
        <v>0</v>
      </c>
    </row>
    <row r="48" spans="1:7">
      <c r="A48" s="1607" t="s">
        <v>2954</v>
      </c>
      <c r="B48" s="1608"/>
      <c r="C48" s="1609">
        <v>633932.4</v>
      </c>
      <c r="D48">
        <f>+IFERROR(VLOOKUP($A48,'TB Final'!$B:$K,7,0),0)</f>
        <v>0</v>
      </c>
      <c r="E48">
        <f>+IFERROR(VLOOKUP($A48,'TB Final'!$B:$K,10,0),0)</f>
        <v>633932.4</v>
      </c>
      <c r="F48">
        <f t="shared" si="0"/>
        <v>0</v>
      </c>
      <c r="G48">
        <f t="shared" si="1"/>
        <v>0</v>
      </c>
    </row>
    <row r="49" spans="1:7">
      <c r="A49" s="1607" t="s">
        <v>95</v>
      </c>
      <c r="B49" s="1609">
        <v>39746292.5</v>
      </c>
      <c r="C49" s="1608"/>
      <c r="D49">
        <f>+IFERROR(VLOOKUP($A49,'TB Final'!$B:$K,7,0),0)</f>
        <v>39746292.5</v>
      </c>
      <c r="E49">
        <f>+IFERROR(VLOOKUP($A49,'TB Final'!$B:$K,10,0),0)</f>
        <v>0</v>
      </c>
      <c r="F49">
        <f t="shared" si="0"/>
        <v>0</v>
      </c>
      <c r="G49">
        <f t="shared" si="1"/>
        <v>0</v>
      </c>
    </row>
    <row r="50" spans="1:7">
      <c r="A50" s="1607" t="s">
        <v>481</v>
      </c>
      <c r="B50" s="1609">
        <v>233302.6</v>
      </c>
      <c r="C50" s="1608"/>
      <c r="D50">
        <f>+IFERROR(VLOOKUP($A50,'TB Final'!$B:$K,7,0),0)</f>
        <v>233302.6</v>
      </c>
      <c r="E50">
        <f>+IFERROR(VLOOKUP($A50,'TB Final'!$B:$K,10,0),0)</f>
        <v>0</v>
      </c>
      <c r="F50">
        <f t="shared" si="0"/>
        <v>0</v>
      </c>
      <c r="G50">
        <f t="shared" si="1"/>
        <v>0</v>
      </c>
    </row>
    <row r="51" spans="1:7">
      <c r="A51" s="1607" t="s">
        <v>2956</v>
      </c>
      <c r="B51" s="1609">
        <v>245381</v>
      </c>
      <c r="C51" s="1608"/>
      <c r="D51">
        <f>+IFERROR(VLOOKUP($A51,'TB Final'!$B:$K,7,0),0)</f>
        <v>245381</v>
      </c>
      <c r="E51">
        <f>+IFERROR(VLOOKUP($A51,'TB Final'!$B:$K,10,0),0)</f>
        <v>0</v>
      </c>
      <c r="F51">
        <f t="shared" si="0"/>
        <v>0</v>
      </c>
      <c r="G51">
        <f t="shared" si="1"/>
        <v>0</v>
      </c>
    </row>
    <row r="52" spans="1:7">
      <c r="A52" s="1607" t="s">
        <v>99</v>
      </c>
      <c r="B52" s="1609">
        <v>22889262</v>
      </c>
      <c r="C52" s="1608"/>
      <c r="D52">
        <f>+IFERROR(VLOOKUP($A52,'TB Final'!$B:$K,7,0),0)</f>
        <v>22889262</v>
      </c>
      <c r="E52">
        <f>+IFERROR(VLOOKUP($A52,'TB Final'!$B:$K,10,0),0)</f>
        <v>0</v>
      </c>
      <c r="F52">
        <f t="shared" si="0"/>
        <v>0</v>
      </c>
      <c r="G52">
        <f t="shared" si="1"/>
        <v>0</v>
      </c>
    </row>
    <row r="53" spans="1:7">
      <c r="A53" s="1607" t="s">
        <v>2957</v>
      </c>
      <c r="B53" s="1609">
        <v>3656000</v>
      </c>
      <c r="C53" s="1608"/>
      <c r="D53">
        <f>+IFERROR(VLOOKUP($A53,'TB Final'!$B:$K,7,0),0)</f>
        <v>3656000</v>
      </c>
      <c r="E53">
        <f>+IFERROR(VLOOKUP($A53,'TB Final'!$B:$K,10,0),0)</f>
        <v>0</v>
      </c>
      <c r="F53">
        <f t="shared" si="0"/>
        <v>0</v>
      </c>
      <c r="G53">
        <f t="shared" si="1"/>
        <v>0</v>
      </c>
    </row>
    <row r="54" spans="1:7">
      <c r="A54" s="1607" t="s">
        <v>101</v>
      </c>
      <c r="B54" s="1609">
        <v>58412480.560000002</v>
      </c>
      <c r="C54" s="1608"/>
      <c r="D54">
        <f>+IFERROR(VLOOKUP($A54,'TB Final'!$B:$K,7,0),0)</f>
        <v>58412480.560000002</v>
      </c>
      <c r="E54">
        <f>+IFERROR(VLOOKUP($A54,'TB Final'!$B:$K,10,0),0)</f>
        <v>0</v>
      </c>
      <c r="F54">
        <f t="shared" si="0"/>
        <v>0</v>
      </c>
      <c r="G54">
        <f t="shared" si="1"/>
        <v>0</v>
      </c>
    </row>
    <row r="55" spans="1:7">
      <c r="A55" s="1607" t="s">
        <v>370</v>
      </c>
      <c r="B55" s="1609">
        <v>44654</v>
      </c>
      <c r="C55" s="1608"/>
      <c r="D55">
        <f>+IFERROR(VLOOKUP($A55,'TB Final'!$B:$K,7,0),0)</f>
        <v>44654</v>
      </c>
      <c r="E55">
        <f>+IFERROR(VLOOKUP($A55,'TB Final'!$B:$K,10,0),0)</f>
        <v>0</v>
      </c>
      <c r="F55">
        <f t="shared" si="0"/>
        <v>0</v>
      </c>
      <c r="G55">
        <f t="shared" si="1"/>
        <v>0</v>
      </c>
    </row>
    <row r="56" spans="1:7">
      <c r="A56" s="1607" t="s">
        <v>102</v>
      </c>
      <c r="B56" s="1609">
        <v>1056621.7</v>
      </c>
      <c r="C56" s="1608"/>
      <c r="D56">
        <f>+IFERROR(VLOOKUP($A56,'TB Final'!$B:$K,7,0),0)</f>
        <v>1056621.7</v>
      </c>
      <c r="E56">
        <f>+IFERROR(VLOOKUP($A56,'TB Final'!$B:$K,10,0),0)</f>
        <v>0</v>
      </c>
      <c r="F56">
        <f t="shared" si="0"/>
        <v>0</v>
      </c>
      <c r="G56">
        <f t="shared" si="1"/>
        <v>0</v>
      </c>
    </row>
    <row r="57" spans="1:7">
      <c r="A57" s="1607" t="s">
        <v>103</v>
      </c>
      <c r="B57" s="1609">
        <v>150000</v>
      </c>
      <c r="C57" s="1608"/>
      <c r="D57">
        <f>+IFERROR(VLOOKUP($A57,'TB Final'!$B:$K,7,0),0)</f>
        <v>150000</v>
      </c>
      <c r="E57">
        <f>+IFERROR(VLOOKUP($A57,'TB Final'!$B:$K,10,0),0)</f>
        <v>0</v>
      </c>
      <c r="F57">
        <f t="shared" si="0"/>
        <v>0</v>
      </c>
      <c r="G57">
        <f t="shared" si="1"/>
        <v>0</v>
      </c>
    </row>
    <row r="58" spans="1:7">
      <c r="A58" s="1607" t="s">
        <v>105</v>
      </c>
      <c r="B58" s="1609">
        <v>73085</v>
      </c>
      <c r="C58" s="1608"/>
      <c r="D58">
        <f>+IFERROR(VLOOKUP($A58,'TB Final'!$B:$K,7,0),0)</f>
        <v>73085</v>
      </c>
      <c r="E58">
        <f>+IFERROR(VLOOKUP($A58,'TB Final'!$B:$K,10,0),0)</f>
        <v>0</v>
      </c>
      <c r="F58">
        <f t="shared" si="0"/>
        <v>0</v>
      </c>
      <c r="G58">
        <f t="shared" si="1"/>
        <v>0</v>
      </c>
    </row>
    <row r="59" spans="1:7">
      <c r="A59" s="1607" t="s">
        <v>106</v>
      </c>
      <c r="B59" s="1608"/>
      <c r="C59" s="1609">
        <v>49748</v>
      </c>
      <c r="D59">
        <f>+IFERROR(VLOOKUP($A59,'TB Final'!$B:$K,7,0),0)</f>
        <v>0</v>
      </c>
      <c r="E59">
        <f>+IFERROR(VLOOKUP($A59,'TB Final'!$B:$K,10,0),0)</f>
        <v>49748</v>
      </c>
      <c r="F59">
        <f t="shared" si="0"/>
        <v>0</v>
      </c>
      <c r="G59">
        <f t="shared" si="1"/>
        <v>0</v>
      </c>
    </row>
    <row r="60" spans="1:7">
      <c r="A60" s="1607" t="s">
        <v>482</v>
      </c>
      <c r="B60" s="1608"/>
      <c r="C60" s="1609">
        <v>254452</v>
      </c>
      <c r="D60">
        <f>+IFERROR(VLOOKUP($A60,'TB Final'!$B:$K,7,0),0)</f>
        <v>0</v>
      </c>
      <c r="E60">
        <f>+IFERROR(VLOOKUP($A60,'TB Final'!$B:$K,10,0),0)</f>
        <v>254452</v>
      </c>
      <c r="F60">
        <f t="shared" si="0"/>
        <v>0</v>
      </c>
      <c r="G60">
        <f t="shared" si="1"/>
        <v>0</v>
      </c>
    </row>
    <row r="61" spans="1:7">
      <c r="A61" s="1607" t="s">
        <v>483</v>
      </c>
      <c r="B61" s="1609">
        <v>65874</v>
      </c>
      <c r="C61" s="1608"/>
      <c r="D61">
        <f>+IFERROR(VLOOKUP($A61,'TB Final'!$B:$K,7,0),0)</f>
        <v>65874</v>
      </c>
      <c r="E61">
        <f>+IFERROR(VLOOKUP($A61,'TB Final'!$B:$K,10,0),0)</f>
        <v>0</v>
      </c>
      <c r="F61">
        <f t="shared" si="0"/>
        <v>0</v>
      </c>
      <c r="G61">
        <f t="shared" si="1"/>
        <v>0</v>
      </c>
    </row>
    <row r="62" spans="1:7">
      <c r="A62" s="1607" t="s">
        <v>484</v>
      </c>
      <c r="B62" s="1609">
        <v>44110.5</v>
      </c>
      <c r="C62" s="1608"/>
      <c r="D62">
        <f>+IFERROR(VLOOKUP($A62,'TB Final'!$B:$K,7,0),0)</f>
        <v>44110.5</v>
      </c>
      <c r="E62">
        <f>+IFERROR(VLOOKUP($A62,'TB Final'!$B:$K,10,0),0)</f>
        <v>0</v>
      </c>
      <c r="F62">
        <f t="shared" si="0"/>
        <v>0</v>
      </c>
      <c r="G62">
        <f t="shared" si="1"/>
        <v>0</v>
      </c>
    </row>
    <row r="63" spans="1:7">
      <c r="A63" s="1607" t="s">
        <v>373</v>
      </c>
      <c r="B63" s="1609">
        <v>2229150</v>
      </c>
      <c r="C63" s="1608"/>
      <c r="D63">
        <f>+IFERROR(VLOOKUP($A63,'TB Final'!$B:$K,7,0),0)</f>
        <v>2229150</v>
      </c>
      <c r="E63">
        <f>+IFERROR(VLOOKUP($A63,'TB Final'!$B:$K,10,0),0)</f>
        <v>0</v>
      </c>
      <c r="F63">
        <f t="shared" si="0"/>
        <v>0</v>
      </c>
      <c r="G63">
        <f t="shared" si="1"/>
        <v>0</v>
      </c>
    </row>
    <row r="64" spans="1:7">
      <c r="A64" s="1607" t="s">
        <v>429</v>
      </c>
      <c r="B64" s="1608"/>
      <c r="C64" s="1609">
        <v>30858</v>
      </c>
      <c r="D64">
        <f>+IFERROR(VLOOKUP($A64,'TB Final'!$B:$K,7,0),0)</f>
        <v>0</v>
      </c>
      <c r="E64">
        <f>+IFERROR(VLOOKUP($A64,'TB Final'!$B:$K,10,0),0)</f>
        <v>30858</v>
      </c>
      <c r="F64">
        <f t="shared" si="0"/>
        <v>0</v>
      </c>
      <c r="G64">
        <f t="shared" si="1"/>
        <v>0</v>
      </c>
    </row>
    <row r="65" spans="1:7">
      <c r="A65" s="1607" t="s">
        <v>113</v>
      </c>
      <c r="B65" s="1608"/>
      <c r="C65" s="1609">
        <v>25061810.07</v>
      </c>
      <c r="D65">
        <f>+IFERROR(VLOOKUP($A65,'TB Final'!$B:$K,7,0),0)</f>
        <v>0</v>
      </c>
      <c r="E65">
        <f>+IFERROR(VLOOKUP($A65,'TB Final'!$B:$K,10,0),0)</f>
        <v>25061810.07</v>
      </c>
      <c r="F65">
        <f t="shared" si="0"/>
        <v>0</v>
      </c>
      <c r="G65">
        <f t="shared" si="1"/>
        <v>0</v>
      </c>
    </row>
    <row r="66" spans="1:7">
      <c r="A66" s="1607" t="s">
        <v>114</v>
      </c>
      <c r="B66" s="1608"/>
      <c r="C66" s="1609">
        <v>4105758</v>
      </c>
      <c r="D66">
        <f>+IFERROR(VLOOKUP($A66,'TB Final'!$B:$K,7,0),0)</f>
        <v>0</v>
      </c>
      <c r="E66">
        <f>+IFERROR(VLOOKUP($A66,'TB Final'!$B:$K,10,0),0)</f>
        <v>4105758</v>
      </c>
      <c r="F66">
        <f t="shared" si="0"/>
        <v>0</v>
      </c>
      <c r="G66">
        <f t="shared" si="1"/>
        <v>0</v>
      </c>
    </row>
    <row r="67" spans="1:7">
      <c r="A67" s="1607" t="s">
        <v>2958</v>
      </c>
      <c r="B67" s="1609">
        <v>25000</v>
      </c>
      <c r="C67" s="1608"/>
      <c r="D67">
        <f>+IFERROR(VLOOKUP($A67,'TB Final'!$B:$K,7,0),0)</f>
        <v>25000</v>
      </c>
      <c r="E67">
        <f>+IFERROR(VLOOKUP($A67,'TB Final'!$B:$K,10,0),0)</f>
        <v>0</v>
      </c>
      <c r="F67">
        <f t="shared" si="0"/>
        <v>0</v>
      </c>
      <c r="G67">
        <f t="shared" si="1"/>
        <v>0</v>
      </c>
    </row>
    <row r="68" spans="1:7">
      <c r="A68" s="1607" t="s">
        <v>117</v>
      </c>
      <c r="B68" s="1609">
        <v>1296000</v>
      </c>
      <c r="C68" s="1608"/>
      <c r="D68">
        <f>+IFERROR(VLOOKUP($A68,'TB Final'!$B:$K,7,0),0)</f>
        <v>1296000</v>
      </c>
      <c r="E68">
        <f>+IFERROR(VLOOKUP($A68,'TB Final'!$B:$K,10,0),0)</f>
        <v>0</v>
      </c>
      <c r="F68">
        <f t="shared" si="0"/>
        <v>0</v>
      </c>
      <c r="G68">
        <f t="shared" si="1"/>
        <v>0</v>
      </c>
    </row>
    <row r="69" spans="1:7">
      <c r="A69" s="1607" t="s">
        <v>118</v>
      </c>
      <c r="B69" s="1609">
        <v>6800</v>
      </c>
      <c r="C69" s="1608"/>
      <c r="D69">
        <f>+IFERROR(VLOOKUP($A69,'TB Final'!$B:$K,7,0),0)</f>
        <v>6800</v>
      </c>
      <c r="E69">
        <f>+IFERROR(VLOOKUP($A69,'TB Final'!$B:$K,10,0),0)</f>
        <v>0</v>
      </c>
      <c r="F69">
        <f t="shared" si="0"/>
        <v>0</v>
      </c>
      <c r="G69">
        <f t="shared" si="1"/>
        <v>0</v>
      </c>
    </row>
    <row r="70" spans="1:7">
      <c r="A70" s="1607" t="s">
        <v>485</v>
      </c>
      <c r="B70" s="1609">
        <v>200000</v>
      </c>
      <c r="C70" s="1608"/>
      <c r="D70">
        <f>+IFERROR(VLOOKUP($A70,'TB Final'!$B:$K,7,0),0)</f>
        <v>200000</v>
      </c>
      <c r="E70">
        <f>+IFERROR(VLOOKUP($A70,'TB Final'!$B:$K,10,0),0)</f>
        <v>0</v>
      </c>
      <c r="F70">
        <f t="shared" si="0"/>
        <v>0</v>
      </c>
      <c r="G70">
        <f t="shared" si="1"/>
        <v>0</v>
      </c>
    </row>
    <row r="71" spans="1:7">
      <c r="A71" s="1607" t="s">
        <v>486</v>
      </c>
      <c r="B71" s="1609">
        <v>10777</v>
      </c>
      <c r="C71" s="1608"/>
      <c r="D71">
        <f>+IFERROR(VLOOKUP($A71,'TB Final'!$B:$K,7,0),0)</f>
        <v>10777</v>
      </c>
      <c r="E71">
        <f>+IFERROR(VLOOKUP($A71,'TB Final'!$B:$K,10,0),0)</f>
        <v>0</v>
      </c>
      <c r="F71">
        <f t="shared" si="0"/>
        <v>0</v>
      </c>
      <c r="G71">
        <f t="shared" si="1"/>
        <v>0</v>
      </c>
    </row>
    <row r="72" spans="1:7">
      <c r="A72" s="1607" t="s">
        <v>128</v>
      </c>
      <c r="B72" s="1609">
        <v>619250</v>
      </c>
      <c r="C72" s="1608"/>
      <c r="D72">
        <f>+IFERROR(VLOOKUP($A72,'TB Final'!$B:$K,7,0),0)</f>
        <v>619250</v>
      </c>
      <c r="E72">
        <f>+IFERROR(VLOOKUP($A72,'TB Final'!$B:$K,10,0),0)</f>
        <v>0</v>
      </c>
      <c r="F72">
        <f t="shared" si="0"/>
        <v>0</v>
      </c>
      <c r="G72">
        <f t="shared" si="1"/>
        <v>0</v>
      </c>
    </row>
    <row r="73" spans="1:7">
      <c r="A73" s="1607" t="s">
        <v>129</v>
      </c>
      <c r="B73" s="1609">
        <v>5042406</v>
      </c>
      <c r="C73" s="1608"/>
      <c r="D73">
        <f>+IFERROR(VLOOKUP($A73,'TB Final'!$B:$K,7,0),0)</f>
        <v>5042406</v>
      </c>
      <c r="E73">
        <f>+IFERROR(VLOOKUP($A73,'TB Final'!$B:$K,10,0),0)</f>
        <v>0</v>
      </c>
      <c r="F73">
        <f t="shared" si="0"/>
        <v>0</v>
      </c>
      <c r="G73">
        <f t="shared" si="1"/>
        <v>0</v>
      </c>
    </row>
    <row r="74" spans="1:7">
      <c r="A74" s="1607" t="s">
        <v>123</v>
      </c>
      <c r="B74" s="1609">
        <v>330000</v>
      </c>
      <c r="C74" s="1608"/>
      <c r="D74">
        <f>+IFERROR(VLOOKUP($A74,'TB Final'!$B:$K,7,0),0)</f>
        <v>330000</v>
      </c>
      <c r="E74">
        <f>+IFERROR(VLOOKUP($A74,'TB Final'!$B:$K,10,0),0)</f>
        <v>0</v>
      </c>
      <c r="F74">
        <f t="shared" si="0"/>
        <v>0</v>
      </c>
      <c r="G74">
        <f t="shared" si="1"/>
        <v>0</v>
      </c>
    </row>
    <row r="75" spans="1:7">
      <c r="A75" s="1607" t="s">
        <v>124</v>
      </c>
      <c r="B75" s="1609">
        <v>6248400</v>
      </c>
      <c r="C75" s="1608"/>
      <c r="D75">
        <f>+IFERROR(VLOOKUP($A75,'TB Final'!$B:$K,7,0),0)</f>
        <v>6248400</v>
      </c>
      <c r="E75">
        <f>+IFERROR(VLOOKUP($A75,'TB Final'!$B:$K,10,0),0)</f>
        <v>0</v>
      </c>
      <c r="F75">
        <f t="shared" si="0"/>
        <v>0</v>
      </c>
      <c r="G75">
        <f t="shared" si="1"/>
        <v>0</v>
      </c>
    </row>
    <row r="76" spans="1:7">
      <c r="A76" s="1607" t="s">
        <v>487</v>
      </c>
      <c r="B76" s="1609">
        <v>900000</v>
      </c>
      <c r="C76" s="1608"/>
      <c r="D76">
        <f>+IFERROR(VLOOKUP($A76,'TB Final'!$B:$K,7,0),0)</f>
        <v>900000</v>
      </c>
      <c r="E76">
        <f>+IFERROR(VLOOKUP($A76,'TB Final'!$B:$K,10,0),0)</f>
        <v>0</v>
      </c>
      <c r="F76">
        <f t="shared" si="0"/>
        <v>0</v>
      </c>
      <c r="G76">
        <f t="shared" si="1"/>
        <v>0</v>
      </c>
    </row>
    <row r="77" spans="1:7">
      <c r="A77" s="1607" t="s">
        <v>122</v>
      </c>
      <c r="B77" s="1609">
        <v>239987</v>
      </c>
      <c r="C77" s="1608"/>
      <c r="D77">
        <f>+IFERROR(VLOOKUP($A77,'TB Final'!$B:$K,7,0),0)</f>
        <v>239987</v>
      </c>
      <c r="E77">
        <f>+IFERROR(VLOOKUP($A77,'TB Final'!$B:$K,10,0),0)</f>
        <v>0</v>
      </c>
      <c r="F77">
        <f t="shared" ref="F77:F140" si="2">+B77-D77</f>
        <v>0</v>
      </c>
      <c r="G77">
        <f t="shared" ref="G77:G140" si="3">+C77-E77</f>
        <v>0</v>
      </c>
    </row>
    <row r="78" spans="1:7">
      <c r="A78" s="1607" t="s">
        <v>2959</v>
      </c>
      <c r="B78" s="1609">
        <v>150294</v>
      </c>
      <c r="C78" s="1608"/>
      <c r="D78">
        <f>+IFERROR(VLOOKUP($A78,'TB Final'!$B:$K,7,0),0)</f>
        <v>150294</v>
      </c>
      <c r="E78">
        <f>+IFERROR(VLOOKUP($A78,'TB Final'!$B:$K,10,0),0)</f>
        <v>0</v>
      </c>
      <c r="F78">
        <f t="shared" si="2"/>
        <v>0</v>
      </c>
      <c r="G78">
        <f t="shared" si="3"/>
        <v>0</v>
      </c>
    </row>
    <row r="79" spans="1:7">
      <c r="A79" s="1607" t="s">
        <v>130</v>
      </c>
      <c r="B79" s="1609">
        <v>2791142</v>
      </c>
      <c r="C79" s="1608"/>
      <c r="D79">
        <f>+IFERROR(VLOOKUP($A79,'TB Final'!$B:$K,7,0),0)</f>
        <v>2791142</v>
      </c>
      <c r="E79">
        <f>+IFERROR(VLOOKUP($A79,'TB Final'!$B:$K,10,0),0)</f>
        <v>0</v>
      </c>
      <c r="F79">
        <f t="shared" si="2"/>
        <v>0</v>
      </c>
      <c r="G79">
        <f t="shared" si="3"/>
        <v>0</v>
      </c>
    </row>
    <row r="80" spans="1:7">
      <c r="A80" s="1607" t="s">
        <v>488</v>
      </c>
      <c r="B80" s="1609">
        <v>2104855</v>
      </c>
      <c r="C80" s="1608"/>
      <c r="D80">
        <f>+IFERROR(VLOOKUP($A80,'TB Final'!$B:$K,7,0),0)</f>
        <v>2104855</v>
      </c>
      <c r="E80">
        <f>+IFERROR(VLOOKUP($A80,'TB Final'!$B:$K,10,0),0)</f>
        <v>0</v>
      </c>
      <c r="F80">
        <f t="shared" si="2"/>
        <v>0</v>
      </c>
      <c r="G80">
        <f t="shared" si="3"/>
        <v>0</v>
      </c>
    </row>
    <row r="81" spans="1:7">
      <c r="A81" s="1607" t="s">
        <v>489</v>
      </c>
      <c r="B81" s="1609">
        <v>97152</v>
      </c>
      <c r="C81" s="1608"/>
      <c r="D81">
        <f>+IFERROR(VLOOKUP($A81,'TB Final'!$B:$K,7,0),0)</f>
        <v>97152</v>
      </c>
      <c r="E81">
        <f>+IFERROR(VLOOKUP($A81,'TB Final'!$B:$K,10,0),0)</f>
        <v>0</v>
      </c>
      <c r="F81">
        <f t="shared" si="2"/>
        <v>0</v>
      </c>
      <c r="G81">
        <f t="shared" si="3"/>
        <v>0</v>
      </c>
    </row>
    <row r="82" spans="1:7">
      <c r="A82" s="1607" t="s">
        <v>133</v>
      </c>
      <c r="B82" s="1609">
        <v>103879</v>
      </c>
      <c r="C82" s="1608"/>
      <c r="D82">
        <f>+IFERROR(VLOOKUP($A82,'TB Final'!$B:$K,7,0),0)</f>
        <v>103879</v>
      </c>
      <c r="E82">
        <f>+IFERROR(VLOOKUP($A82,'TB Final'!$B:$K,10,0),0)</f>
        <v>0</v>
      </c>
      <c r="F82">
        <f t="shared" si="2"/>
        <v>0</v>
      </c>
      <c r="G82">
        <f t="shared" si="3"/>
        <v>0</v>
      </c>
    </row>
    <row r="83" spans="1:7">
      <c r="A83" s="1607" t="s">
        <v>134</v>
      </c>
      <c r="B83" s="1609">
        <v>109389</v>
      </c>
      <c r="C83" s="1608"/>
      <c r="D83">
        <f>+IFERROR(VLOOKUP($A83,'TB Final'!$B:$K,7,0),0)</f>
        <v>109389</v>
      </c>
      <c r="E83">
        <f>+IFERROR(VLOOKUP($A83,'TB Final'!$B:$K,10,0),0)</f>
        <v>0</v>
      </c>
      <c r="F83">
        <f t="shared" si="2"/>
        <v>0</v>
      </c>
      <c r="G83">
        <f t="shared" si="3"/>
        <v>0</v>
      </c>
    </row>
    <row r="84" spans="1:7">
      <c r="A84" s="1607" t="s">
        <v>490</v>
      </c>
      <c r="B84" s="1609">
        <v>14032176</v>
      </c>
      <c r="C84" s="1608"/>
      <c r="D84">
        <f>+IFERROR(VLOOKUP($A84,'TB Final'!$B:$K,7,0),0)</f>
        <v>14032176</v>
      </c>
      <c r="E84">
        <f>+IFERROR(VLOOKUP($A84,'TB Final'!$B:$K,10,0),0)</f>
        <v>0</v>
      </c>
      <c r="F84">
        <f t="shared" si="2"/>
        <v>0</v>
      </c>
      <c r="G84">
        <f t="shared" si="3"/>
        <v>0</v>
      </c>
    </row>
    <row r="85" spans="1:7">
      <c r="A85" s="1607" t="s">
        <v>135</v>
      </c>
      <c r="B85" s="1609">
        <v>345303</v>
      </c>
      <c r="C85" s="1608"/>
      <c r="D85">
        <f>+IFERROR(VLOOKUP($A85,'TB Final'!$B:$K,7,0),0)</f>
        <v>345303</v>
      </c>
      <c r="E85">
        <f>+IFERROR(VLOOKUP($A85,'TB Final'!$B:$K,10,0),0)</f>
        <v>0</v>
      </c>
      <c r="F85">
        <f t="shared" si="2"/>
        <v>0</v>
      </c>
      <c r="G85">
        <f t="shared" si="3"/>
        <v>0</v>
      </c>
    </row>
    <row r="86" spans="1:7">
      <c r="A86" s="1607" t="s">
        <v>138</v>
      </c>
      <c r="B86" s="1609">
        <v>50000</v>
      </c>
      <c r="C86" s="1608"/>
      <c r="D86">
        <f>+IFERROR(VLOOKUP($A86,'TB Final'!$B:$K,7,0),0)</f>
        <v>50000</v>
      </c>
      <c r="E86">
        <f>+IFERROR(VLOOKUP($A86,'TB Final'!$B:$K,10,0),0)</f>
        <v>0</v>
      </c>
      <c r="F86">
        <f t="shared" si="2"/>
        <v>0</v>
      </c>
      <c r="G86">
        <f t="shared" si="3"/>
        <v>0</v>
      </c>
    </row>
    <row r="87" spans="1:7">
      <c r="A87" s="1607" t="s">
        <v>139</v>
      </c>
      <c r="B87" s="1609">
        <v>34500</v>
      </c>
      <c r="C87" s="1608"/>
      <c r="D87">
        <f>+IFERROR(VLOOKUP($A87,'TB Final'!$B:$K,7,0),0)</f>
        <v>34500</v>
      </c>
      <c r="E87">
        <f>+IFERROR(VLOOKUP($A87,'TB Final'!$B:$K,10,0),0)</f>
        <v>0</v>
      </c>
      <c r="F87">
        <f t="shared" si="2"/>
        <v>0</v>
      </c>
      <c r="G87">
        <f t="shared" si="3"/>
        <v>0</v>
      </c>
    </row>
    <row r="88" spans="1:7">
      <c r="A88" s="1607" t="s">
        <v>3062</v>
      </c>
      <c r="B88" s="1608"/>
      <c r="C88" s="1609">
        <v>13700</v>
      </c>
      <c r="D88">
        <f>+IFERROR(VLOOKUP($A88,'TB Final'!$B:$K,7,0),0)</f>
        <v>0</v>
      </c>
      <c r="E88">
        <f>+IFERROR(VLOOKUP($A88,'TB Final'!$B:$K,10,0),0)</f>
        <v>13700</v>
      </c>
      <c r="F88">
        <f t="shared" si="2"/>
        <v>0</v>
      </c>
      <c r="G88">
        <f t="shared" si="3"/>
        <v>0</v>
      </c>
    </row>
    <row r="89" spans="1:7">
      <c r="A89" s="1607" t="s">
        <v>142</v>
      </c>
      <c r="B89" s="1609">
        <v>469</v>
      </c>
      <c r="C89" s="1608"/>
      <c r="D89">
        <f>+IFERROR(VLOOKUP($A89,'TB Final'!$B:$K,7,0),0)</f>
        <v>469</v>
      </c>
      <c r="E89">
        <f>+IFERROR(VLOOKUP($A89,'TB Final'!$B:$K,10,0),0)</f>
        <v>0</v>
      </c>
      <c r="F89">
        <f t="shared" si="2"/>
        <v>0</v>
      </c>
      <c r="G89">
        <f t="shared" si="3"/>
        <v>0</v>
      </c>
    </row>
    <row r="90" spans="1:7">
      <c r="A90" s="1607" t="s">
        <v>374</v>
      </c>
      <c r="B90" s="1609">
        <v>32898534</v>
      </c>
      <c r="C90" s="1608"/>
      <c r="D90">
        <f>+IFERROR(VLOOKUP($A90,'TB Final'!$B:$K,7,0),0)</f>
        <v>32898534</v>
      </c>
      <c r="E90">
        <f>+IFERROR(VLOOKUP($A90,'TB Final'!$B:$K,10,0),0)</f>
        <v>0</v>
      </c>
      <c r="F90">
        <f t="shared" si="2"/>
        <v>0</v>
      </c>
      <c r="G90">
        <f t="shared" si="3"/>
        <v>0</v>
      </c>
    </row>
    <row r="91" spans="1:7">
      <c r="A91" s="1607" t="s">
        <v>146</v>
      </c>
      <c r="B91" s="1609">
        <v>168203.84</v>
      </c>
      <c r="C91" s="1608"/>
      <c r="D91">
        <f>+IFERROR(VLOOKUP($A91,'TB Final'!$B:$K,7,0),0)</f>
        <v>168203.84</v>
      </c>
      <c r="E91">
        <f>+IFERROR(VLOOKUP($A91,'TB Final'!$B:$K,10,0),0)</f>
        <v>0</v>
      </c>
      <c r="F91">
        <f t="shared" si="2"/>
        <v>0</v>
      </c>
      <c r="G91">
        <f t="shared" si="3"/>
        <v>0</v>
      </c>
    </row>
    <row r="92" spans="1:7">
      <c r="A92" s="1607" t="s">
        <v>147</v>
      </c>
      <c r="B92" s="1609">
        <v>2500</v>
      </c>
      <c r="C92" s="1608"/>
      <c r="D92">
        <f>+IFERROR(VLOOKUP($A92,'TB Final'!$B:$K,7,0),0)</f>
        <v>2500</v>
      </c>
      <c r="E92">
        <f>+IFERROR(VLOOKUP($A92,'TB Final'!$B:$K,10,0),0)</f>
        <v>0</v>
      </c>
      <c r="F92">
        <f t="shared" si="2"/>
        <v>0</v>
      </c>
      <c r="G92">
        <f t="shared" si="3"/>
        <v>0</v>
      </c>
    </row>
    <row r="93" spans="1:7">
      <c r="A93" s="1607" t="s">
        <v>150</v>
      </c>
      <c r="B93" s="1608"/>
      <c r="C93" s="1609">
        <v>66909</v>
      </c>
      <c r="D93">
        <f>+IFERROR(VLOOKUP($A93,'TB Final'!$B:$K,7,0),0)</f>
        <v>0</v>
      </c>
      <c r="E93">
        <f>+IFERROR(VLOOKUP($A93,'TB Final'!$B:$K,10,0),0)</f>
        <v>66909</v>
      </c>
      <c r="F93">
        <f t="shared" si="2"/>
        <v>0</v>
      </c>
      <c r="G93">
        <f t="shared" si="3"/>
        <v>0</v>
      </c>
    </row>
    <row r="94" spans="1:7">
      <c r="A94" s="1607" t="s">
        <v>151</v>
      </c>
      <c r="B94" s="1608"/>
      <c r="C94" s="1609">
        <v>1502067</v>
      </c>
      <c r="D94">
        <f>+IFERROR(VLOOKUP($A94,'TB Final'!$B:$K,7,0),0)</f>
        <v>0</v>
      </c>
      <c r="E94">
        <f>+IFERROR(VLOOKUP($A94,'TB Final'!$B:$K,10,0),0)</f>
        <v>1502067</v>
      </c>
      <c r="F94">
        <f t="shared" si="2"/>
        <v>0</v>
      </c>
      <c r="G94">
        <f t="shared" si="3"/>
        <v>0</v>
      </c>
    </row>
    <row r="95" spans="1:7">
      <c r="A95" s="1607" t="s">
        <v>152</v>
      </c>
      <c r="B95" s="1609">
        <v>69445250.989999995</v>
      </c>
      <c r="C95" s="1608"/>
      <c r="D95">
        <f>+IFERROR(VLOOKUP($A95,'TB Final'!$B:$K,7,0),0)</f>
        <v>69445250.989999995</v>
      </c>
      <c r="E95">
        <f>+IFERROR(VLOOKUP($A95,'TB Final'!$B:$K,10,0),0)</f>
        <v>0</v>
      </c>
      <c r="F95">
        <f t="shared" si="2"/>
        <v>0</v>
      </c>
      <c r="G95">
        <f t="shared" si="3"/>
        <v>0</v>
      </c>
    </row>
    <row r="96" spans="1:7">
      <c r="A96" s="1607" t="s">
        <v>377</v>
      </c>
      <c r="B96" s="1608"/>
      <c r="C96" s="1609">
        <v>93574</v>
      </c>
      <c r="D96">
        <f>+IFERROR(VLOOKUP($A96,'TB Final'!$B:$K,7,0),0)</f>
        <v>0</v>
      </c>
      <c r="E96">
        <f>+IFERROR(VLOOKUP($A96,'TB Final'!$B:$K,10,0),0)</f>
        <v>93574</v>
      </c>
      <c r="F96">
        <f t="shared" si="2"/>
        <v>0</v>
      </c>
      <c r="G96">
        <f t="shared" si="3"/>
        <v>0</v>
      </c>
    </row>
    <row r="97" spans="1:7">
      <c r="A97" s="1607" t="s">
        <v>153</v>
      </c>
      <c r="B97" s="1608"/>
      <c r="C97" s="1609">
        <v>26922650</v>
      </c>
      <c r="D97">
        <f>+IFERROR(VLOOKUP($A97,'TB Final'!$B:$K,7,0),0)</f>
        <v>0</v>
      </c>
      <c r="E97">
        <f>+IFERROR(VLOOKUP($A97,'TB Final'!$B:$K,10,0),0)</f>
        <v>26922650</v>
      </c>
      <c r="F97">
        <f t="shared" si="2"/>
        <v>0</v>
      </c>
      <c r="G97">
        <f t="shared" si="3"/>
        <v>0</v>
      </c>
    </row>
    <row r="98" spans="1:7">
      <c r="A98" s="1607" t="s">
        <v>156</v>
      </c>
      <c r="B98" s="1609">
        <v>267233</v>
      </c>
      <c r="C98" s="1608"/>
      <c r="D98">
        <f>+IFERROR(VLOOKUP($A98,'TB Final'!$B:$K,7,0),0)</f>
        <v>267233</v>
      </c>
      <c r="E98">
        <f>+IFERROR(VLOOKUP($A98,'TB Final'!$B:$K,10,0),0)</f>
        <v>0</v>
      </c>
      <c r="F98">
        <f t="shared" si="2"/>
        <v>0</v>
      </c>
      <c r="G98">
        <f t="shared" si="3"/>
        <v>0</v>
      </c>
    </row>
    <row r="99" spans="1:7">
      <c r="A99" s="1607" t="s">
        <v>158</v>
      </c>
      <c r="B99" s="1609">
        <v>4167</v>
      </c>
      <c r="C99" s="1608"/>
      <c r="D99">
        <f>+IFERROR(VLOOKUP($A99,'TB Final'!$B:$K,7,0),0)</f>
        <v>4167</v>
      </c>
      <c r="E99">
        <f>+IFERROR(VLOOKUP($A99,'TB Final'!$B:$K,10,0),0)</f>
        <v>0</v>
      </c>
      <c r="F99">
        <f t="shared" si="2"/>
        <v>0</v>
      </c>
      <c r="G99">
        <f t="shared" si="3"/>
        <v>0</v>
      </c>
    </row>
    <row r="100" spans="1:7">
      <c r="A100" s="1607" t="s">
        <v>164</v>
      </c>
      <c r="B100" s="1609">
        <v>72800</v>
      </c>
      <c r="C100" s="1608"/>
      <c r="D100">
        <f>+IFERROR(VLOOKUP($A100,'TB Final'!$B:$K,7,0),0)</f>
        <v>72800</v>
      </c>
      <c r="E100">
        <f>+IFERROR(VLOOKUP($A100,'TB Final'!$B:$K,10,0),0)</f>
        <v>0</v>
      </c>
      <c r="F100">
        <f t="shared" si="2"/>
        <v>0</v>
      </c>
      <c r="G100">
        <f t="shared" si="3"/>
        <v>0</v>
      </c>
    </row>
    <row r="101" spans="1:7">
      <c r="A101" s="1607" t="s">
        <v>165</v>
      </c>
      <c r="B101" s="1609">
        <v>267589</v>
      </c>
      <c r="C101" s="1608"/>
      <c r="D101">
        <f>+IFERROR(VLOOKUP($A101,'TB Final'!$B:$K,7,0),0)</f>
        <v>267589</v>
      </c>
      <c r="E101">
        <f>+IFERROR(VLOOKUP($A101,'TB Final'!$B:$K,10,0),0)</f>
        <v>0</v>
      </c>
      <c r="F101">
        <f t="shared" si="2"/>
        <v>0</v>
      </c>
      <c r="G101">
        <f t="shared" si="3"/>
        <v>0</v>
      </c>
    </row>
    <row r="102" spans="1:7">
      <c r="A102" s="1607" t="s">
        <v>166</v>
      </c>
      <c r="B102" s="1609">
        <v>53196916.659999996</v>
      </c>
      <c r="C102" s="1608"/>
      <c r="D102">
        <f>+IFERROR(VLOOKUP($A102,'TB Final'!$B:$K,7,0),0)</f>
        <v>53196916.659999996</v>
      </c>
      <c r="E102">
        <f>+IFERROR(VLOOKUP($A102,'TB Final'!$B:$K,10,0),0)</f>
        <v>0</v>
      </c>
      <c r="F102">
        <f t="shared" si="2"/>
        <v>0</v>
      </c>
      <c r="G102">
        <f t="shared" si="3"/>
        <v>0</v>
      </c>
    </row>
    <row r="103" spans="1:7">
      <c r="A103" s="1607" t="s">
        <v>167</v>
      </c>
      <c r="B103" s="1609">
        <v>249410</v>
      </c>
      <c r="C103" s="1608"/>
      <c r="D103">
        <f>+IFERROR(VLOOKUP($A103,'TB Final'!$B:$K,7,0),0)</f>
        <v>249410</v>
      </c>
      <c r="E103">
        <f>+IFERROR(VLOOKUP($A103,'TB Final'!$B:$K,10,0),0)</f>
        <v>0</v>
      </c>
      <c r="F103">
        <f t="shared" si="2"/>
        <v>0</v>
      </c>
      <c r="G103">
        <f t="shared" si="3"/>
        <v>0</v>
      </c>
    </row>
    <row r="104" spans="1:7">
      <c r="A104" s="1607" t="s">
        <v>493</v>
      </c>
      <c r="B104" s="1609">
        <v>25018</v>
      </c>
      <c r="C104" s="1608"/>
      <c r="D104">
        <f>+IFERROR(VLOOKUP($A104,'TB Final'!$B:$K,7,0),0)</f>
        <v>25018</v>
      </c>
      <c r="E104">
        <f>+IFERROR(VLOOKUP($A104,'TB Final'!$B:$K,10,0),0)</f>
        <v>0</v>
      </c>
      <c r="F104">
        <f t="shared" si="2"/>
        <v>0</v>
      </c>
      <c r="G104">
        <f t="shared" si="3"/>
        <v>0</v>
      </c>
    </row>
    <row r="105" spans="1:7">
      <c r="A105" s="1607" t="s">
        <v>47</v>
      </c>
      <c r="B105" s="1609">
        <v>129204</v>
      </c>
      <c r="C105" s="1608"/>
      <c r="D105">
        <f>+IFERROR(VLOOKUP($A105,'TB Final'!$B:$K,7,0),0)</f>
        <v>129204</v>
      </c>
      <c r="E105">
        <f>+IFERROR(VLOOKUP($A105,'TB Final'!$B:$K,10,0),0)</f>
        <v>0</v>
      </c>
      <c r="F105">
        <f t="shared" si="2"/>
        <v>0</v>
      </c>
      <c r="G105">
        <f t="shared" si="3"/>
        <v>0</v>
      </c>
    </row>
    <row r="106" spans="1:7">
      <c r="A106" s="1607" t="s">
        <v>169</v>
      </c>
      <c r="B106" s="1609">
        <v>3611803</v>
      </c>
      <c r="C106" s="1608"/>
      <c r="D106">
        <f>+IFERROR(VLOOKUP($A106,'TB Final'!$B:$K,7,0),0)</f>
        <v>3611803</v>
      </c>
      <c r="E106">
        <f>+IFERROR(VLOOKUP($A106,'TB Final'!$B:$K,10,0),0)</f>
        <v>0</v>
      </c>
      <c r="F106">
        <f t="shared" si="2"/>
        <v>0</v>
      </c>
      <c r="G106">
        <f t="shared" si="3"/>
        <v>0</v>
      </c>
    </row>
    <row r="107" spans="1:7">
      <c r="A107" s="1607" t="s">
        <v>494</v>
      </c>
      <c r="B107" s="1608"/>
      <c r="C107" s="1609">
        <v>387602</v>
      </c>
      <c r="D107">
        <f>+IFERROR(VLOOKUP($A107,'TB Final'!$B:$K,7,0),0)</f>
        <v>0</v>
      </c>
      <c r="E107">
        <f>+IFERROR(VLOOKUP($A107,'TB Final'!$B:$K,10,0),0)</f>
        <v>387602</v>
      </c>
      <c r="F107">
        <f t="shared" si="2"/>
        <v>0</v>
      </c>
      <c r="G107">
        <f t="shared" si="3"/>
        <v>0</v>
      </c>
    </row>
    <row r="108" spans="1:7">
      <c r="A108" s="1607" t="s">
        <v>378</v>
      </c>
      <c r="B108" s="1609">
        <v>273693</v>
      </c>
      <c r="C108" s="1608"/>
      <c r="D108">
        <f>+IFERROR(VLOOKUP($A108,'TB Final'!$B:$K,7,0),0)</f>
        <v>273693</v>
      </c>
      <c r="E108">
        <f>+IFERROR(VLOOKUP($A108,'TB Final'!$B:$K,10,0),0)</f>
        <v>0</v>
      </c>
      <c r="F108">
        <f t="shared" si="2"/>
        <v>0</v>
      </c>
      <c r="G108">
        <f t="shared" si="3"/>
        <v>0</v>
      </c>
    </row>
    <row r="109" spans="1:7">
      <c r="A109" s="1607" t="s">
        <v>171</v>
      </c>
      <c r="B109" s="1609">
        <v>1893357</v>
      </c>
      <c r="C109" s="1608"/>
      <c r="D109">
        <f>+IFERROR(VLOOKUP($A109,'TB Final'!$B:$K,7,0),0)</f>
        <v>1893357</v>
      </c>
      <c r="E109">
        <f>+IFERROR(VLOOKUP($A109,'TB Final'!$B:$K,10,0),0)</f>
        <v>0</v>
      </c>
      <c r="F109">
        <f t="shared" si="2"/>
        <v>0</v>
      </c>
      <c r="G109">
        <f t="shared" si="3"/>
        <v>0</v>
      </c>
    </row>
    <row r="110" spans="1:7">
      <c r="A110" s="1607" t="s">
        <v>172</v>
      </c>
      <c r="B110" s="1608"/>
      <c r="C110" s="1609">
        <v>729285</v>
      </c>
      <c r="D110">
        <f>+IFERROR(VLOOKUP($A110,'TB Final'!$B:$K,7,0),0)</f>
        <v>0</v>
      </c>
      <c r="E110">
        <f>+IFERROR(VLOOKUP($A110,'TB Final'!$B:$K,10,0),0)</f>
        <v>729285</v>
      </c>
      <c r="F110">
        <f t="shared" si="2"/>
        <v>0</v>
      </c>
      <c r="G110">
        <f t="shared" si="3"/>
        <v>0</v>
      </c>
    </row>
    <row r="111" spans="1:7">
      <c r="A111" s="1607" t="s">
        <v>175</v>
      </c>
      <c r="B111" s="1609">
        <v>33965000</v>
      </c>
      <c r="C111" s="1608"/>
      <c r="D111">
        <f>+IFERROR(VLOOKUP($A111,'TB Final'!$B:$K,7,0),0)</f>
        <v>33965000</v>
      </c>
      <c r="E111">
        <f>+IFERROR(VLOOKUP($A111,'TB Final'!$B:$K,10,0),0)</f>
        <v>0</v>
      </c>
      <c r="F111">
        <f t="shared" si="2"/>
        <v>0</v>
      </c>
      <c r="G111">
        <f t="shared" si="3"/>
        <v>0</v>
      </c>
    </row>
    <row r="112" spans="1:7">
      <c r="A112" s="1607" t="s">
        <v>2960</v>
      </c>
      <c r="B112" s="1609">
        <v>314100</v>
      </c>
      <c r="C112" s="1608"/>
      <c r="D112">
        <f>+IFERROR(VLOOKUP($A112,'TB Final'!$B:$K,7,0),0)</f>
        <v>314100</v>
      </c>
      <c r="E112">
        <f>+IFERROR(VLOOKUP($A112,'TB Final'!$B:$K,10,0),0)</f>
        <v>0</v>
      </c>
      <c r="F112">
        <f t="shared" si="2"/>
        <v>0</v>
      </c>
      <c r="G112">
        <f t="shared" si="3"/>
        <v>0</v>
      </c>
    </row>
    <row r="113" spans="1:7">
      <c r="A113" s="1607" t="s">
        <v>2961</v>
      </c>
      <c r="B113" s="1608"/>
      <c r="C113" s="1609">
        <v>23600</v>
      </c>
      <c r="D113">
        <f>+IFERROR(VLOOKUP($A113,'TB Final'!$B:$K,7,0),0)</f>
        <v>0</v>
      </c>
      <c r="E113">
        <f>+IFERROR(VLOOKUP($A113,'TB Final'!$B:$K,10,0),0)</f>
        <v>23600</v>
      </c>
      <c r="F113">
        <f t="shared" si="2"/>
        <v>0</v>
      </c>
      <c r="G113">
        <f t="shared" si="3"/>
        <v>0</v>
      </c>
    </row>
    <row r="114" spans="1:7">
      <c r="A114" s="1607" t="s">
        <v>176</v>
      </c>
      <c r="B114" s="1609">
        <v>1982848.03</v>
      </c>
      <c r="C114" s="1608"/>
      <c r="D114">
        <f>+IFERROR(VLOOKUP($A114,'TB Final'!$B:$K,7,0),0)</f>
        <v>1982848.03</v>
      </c>
      <c r="E114">
        <f>+IFERROR(VLOOKUP($A114,'TB Final'!$B:$K,10,0),0)</f>
        <v>0</v>
      </c>
      <c r="F114">
        <f t="shared" si="2"/>
        <v>0</v>
      </c>
      <c r="G114">
        <f t="shared" si="3"/>
        <v>0</v>
      </c>
    </row>
    <row r="115" spans="1:7">
      <c r="A115" s="1607" t="s">
        <v>177</v>
      </c>
      <c r="B115" s="1608"/>
      <c r="C115" s="1609">
        <v>156751</v>
      </c>
      <c r="D115">
        <f>+IFERROR(VLOOKUP($A115,'TB Final'!$B:$K,7,0),0)</f>
        <v>0</v>
      </c>
      <c r="E115">
        <f>+IFERROR(VLOOKUP($A115,'TB Final'!$B:$K,10,0),0)</f>
        <v>156751</v>
      </c>
      <c r="F115">
        <f t="shared" si="2"/>
        <v>0</v>
      </c>
      <c r="G115">
        <f t="shared" si="3"/>
        <v>0</v>
      </c>
    </row>
    <row r="116" spans="1:7">
      <c r="A116" s="1607" t="s">
        <v>380</v>
      </c>
      <c r="B116" s="1608"/>
      <c r="C116" s="1609">
        <v>1562798</v>
      </c>
      <c r="D116">
        <f>+IFERROR(VLOOKUP($A116,'TB Final'!$B:$K,7,0),0)</f>
        <v>0</v>
      </c>
      <c r="E116">
        <f>+IFERROR(VLOOKUP($A116,'TB Final'!$B:$K,10,0),0)</f>
        <v>1562798</v>
      </c>
      <c r="F116">
        <f t="shared" si="2"/>
        <v>0</v>
      </c>
      <c r="G116">
        <f t="shared" si="3"/>
        <v>0</v>
      </c>
    </row>
    <row r="117" spans="1:7">
      <c r="A117" s="1607" t="s">
        <v>178</v>
      </c>
      <c r="B117" s="1608"/>
      <c r="C117" s="1609">
        <v>1800000</v>
      </c>
      <c r="D117">
        <f>+IFERROR(VLOOKUP($A117,'TB Final'!$B:$K,7,0),0)</f>
        <v>0</v>
      </c>
      <c r="E117">
        <f>+IFERROR(VLOOKUP($A117,'TB Final'!$B:$K,10,0),0)</f>
        <v>1800000</v>
      </c>
      <c r="F117">
        <f t="shared" si="2"/>
        <v>0</v>
      </c>
      <c r="G117">
        <f t="shared" si="3"/>
        <v>0</v>
      </c>
    </row>
    <row r="118" spans="1:7">
      <c r="A118" s="1607" t="s">
        <v>430</v>
      </c>
      <c r="B118" s="1608"/>
      <c r="C118" s="1609">
        <v>13500</v>
      </c>
      <c r="D118">
        <f>+IFERROR(VLOOKUP($A118,'TB Final'!$B:$K,7,0),0)</f>
        <v>0</v>
      </c>
      <c r="E118">
        <f>+IFERROR(VLOOKUP($A118,'TB Final'!$B:$K,10,0),0)</f>
        <v>13500</v>
      </c>
      <c r="F118">
        <f t="shared" si="2"/>
        <v>0</v>
      </c>
      <c r="G118">
        <f t="shared" si="3"/>
        <v>0</v>
      </c>
    </row>
    <row r="119" spans="1:7">
      <c r="A119" s="1607" t="s">
        <v>180</v>
      </c>
      <c r="B119" s="1608"/>
      <c r="C119" s="1609">
        <v>111510</v>
      </c>
      <c r="D119">
        <f>+IFERROR(VLOOKUP($A119,'TB Final'!$B:$K,7,0),0)</f>
        <v>0</v>
      </c>
      <c r="E119">
        <f>+IFERROR(VLOOKUP($A119,'TB Final'!$B:$K,10,0),0)</f>
        <v>111510</v>
      </c>
      <c r="F119">
        <f t="shared" si="2"/>
        <v>0</v>
      </c>
      <c r="G119">
        <f t="shared" si="3"/>
        <v>0</v>
      </c>
    </row>
    <row r="120" spans="1:7">
      <c r="A120" s="1607" t="s">
        <v>497</v>
      </c>
      <c r="B120" s="1609">
        <v>943417</v>
      </c>
      <c r="C120" s="1608"/>
      <c r="D120">
        <f>+IFERROR(VLOOKUP($A120,'TB Final'!$B:$K,7,0),0)</f>
        <v>887750</v>
      </c>
      <c r="E120">
        <f>+IFERROR(VLOOKUP($A120,'TB Final'!$B:$K,10,0),0)</f>
        <v>0</v>
      </c>
      <c r="F120">
        <f t="shared" si="2"/>
        <v>55667</v>
      </c>
      <c r="G120">
        <f t="shared" si="3"/>
        <v>0</v>
      </c>
    </row>
    <row r="121" spans="1:7">
      <c r="A121" s="1607" t="s">
        <v>184</v>
      </c>
      <c r="B121" s="1609">
        <v>36000</v>
      </c>
      <c r="C121" s="1608"/>
      <c r="D121">
        <f>+IFERROR(VLOOKUP($A121,'TB Final'!$B:$K,7,0),0)</f>
        <v>36000</v>
      </c>
      <c r="E121">
        <f>+IFERROR(VLOOKUP($A121,'TB Final'!$B:$K,10,0),0)</f>
        <v>0</v>
      </c>
      <c r="F121">
        <f t="shared" si="2"/>
        <v>0</v>
      </c>
      <c r="G121">
        <f t="shared" si="3"/>
        <v>0</v>
      </c>
    </row>
    <row r="122" spans="1:7">
      <c r="A122" s="1607" t="s">
        <v>499</v>
      </c>
      <c r="B122" s="1608"/>
      <c r="C122" s="1609">
        <v>183581</v>
      </c>
      <c r="D122">
        <f>+IFERROR(VLOOKUP($A122,'TB Final'!$B:$K,7,0),0)</f>
        <v>0</v>
      </c>
      <c r="E122">
        <f>+IFERROR(VLOOKUP($A122,'TB Final'!$B:$K,10,0),0)</f>
        <v>183581</v>
      </c>
      <c r="F122">
        <f t="shared" si="2"/>
        <v>0</v>
      </c>
      <c r="G122">
        <f t="shared" si="3"/>
        <v>0</v>
      </c>
    </row>
    <row r="123" spans="1:7">
      <c r="A123" s="1607" t="s">
        <v>186</v>
      </c>
      <c r="B123" s="1608"/>
      <c r="C123" s="1609">
        <v>1524277</v>
      </c>
      <c r="D123">
        <f>+IFERROR(VLOOKUP($A123,'TB Final'!$B:$K,7,0),0)</f>
        <v>0</v>
      </c>
      <c r="E123">
        <f>+IFERROR(VLOOKUP($A123,'TB Final'!$B:$K,10,0),0)</f>
        <v>1524277</v>
      </c>
      <c r="F123">
        <f t="shared" si="2"/>
        <v>0</v>
      </c>
      <c r="G123">
        <f t="shared" si="3"/>
        <v>0</v>
      </c>
    </row>
    <row r="124" spans="1:7">
      <c r="A124" s="1607" t="s">
        <v>500</v>
      </c>
      <c r="B124" s="1609">
        <v>21000</v>
      </c>
      <c r="C124" s="1608"/>
      <c r="D124">
        <f>+IFERROR(VLOOKUP($A124,'TB Final'!$B:$K,7,0),0)</f>
        <v>21000</v>
      </c>
      <c r="E124">
        <f>+IFERROR(VLOOKUP($A124,'TB Final'!$B:$K,10,0),0)</f>
        <v>0</v>
      </c>
      <c r="F124">
        <f t="shared" si="2"/>
        <v>0</v>
      </c>
      <c r="G124">
        <f t="shared" si="3"/>
        <v>0</v>
      </c>
    </row>
    <row r="125" spans="1:7">
      <c r="A125" s="1607" t="s">
        <v>188</v>
      </c>
      <c r="B125" s="1608"/>
      <c r="C125" s="1609">
        <v>514599</v>
      </c>
      <c r="D125">
        <f>+IFERROR(VLOOKUP($A125,'TB Final'!$B:$K,7,0),0)</f>
        <v>0</v>
      </c>
      <c r="E125">
        <f>+IFERROR(VLOOKUP($A125,'TB Final'!$B:$K,10,0),0)</f>
        <v>514599</v>
      </c>
      <c r="F125">
        <f t="shared" si="2"/>
        <v>0</v>
      </c>
      <c r="G125">
        <f t="shared" si="3"/>
        <v>0</v>
      </c>
    </row>
    <row r="126" spans="1:7">
      <c r="A126" s="1607" t="s">
        <v>2962</v>
      </c>
      <c r="B126" s="1608"/>
      <c r="C126" s="1609">
        <v>532764.55000000005</v>
      </c>
      <c r="D126">
        <f>+IFERROR(VLOOKUP($A126,'TB Final'!$B:$K,7,0),0)</f>
        <v>0</v>
      </c>
      <c r="E126">
        <f>+IFERROR(VLOOKUP($A126,'TB Final'!$B:$K,10,0),0)</f>
        <v>532764.55000000005</v>
      </c>
      <c r="F126">
        <f t="shared" si="2"/>
        <v>0</v>
      </c>
      <c r="G126">
        <f t="shared" si="3"/>
        <v>0</v>
      </c>
    </row>
    <row r="127" spans="1:7">
      <c r="A127" s="1607" t="s">
        <v>191</v>
      </c>
      <c r="B127" s="1609">
        <v>81135916.489999995</v>
      </c>
      <c r="C127" s="1608"/>
      <c r="D127">
        <f>+IFERROR(VLOOKUP($A127,'TB Final'!$B:$K,7,0),0)</f>
        <v>81135916.489999995</v>
      </c>
      <c r="E127">
        <f>+IFERROR(VLOOKUP($A127,'TB Final'!$B:$K,10,0),0)</f>
        <v>0</v>
      </c>
      <c r="F127">
        <f t="shared" si="2"/>
        <v>0</v>
      </c>
      <c r="G127">
        <f t="shared" si="3"/>
        <v>0</v>
      </c>
    </row>
    <row r="128" spans="1:7">
      <c r="A128" s="1607" t="s">
        <v>386</v>
      </c>
      <c r="B128" s="1609">
        <v>192500</v>
      </c>
      <c r="C128" s="1608"/>
      <c r="D128">
        <f>+IFERROR(VLOOKUP($A128,'TB Final'!$B:$K,7,0),0)</f>
        <v>192500</v>
      </c>
      <c r="E128">
        <f>+IFERROR(VLOOKUP($A128,'TB Final'!$B:$K,10,0),0)</f>
        <v>0</v>
      </c>
      <c r="F128">
        <f t="shared" si="2"/>
        <v>0</v>
      </c>
      <c r="G128">
        <f t="shared" si="3"/>
        <v>0</v>
      </c>
    </row>
    <row r="129" spans="1:7">
      <c r="A129" s="1607" t="s">
        <v>194</v>
      </c>
      <c r="B129" s="1609">
        <v>400000</v>
      </c>
      <c r="C129" s="1608"/>
      <c r="D129">
        <f>+IFERROR(VLOOKUP($A129,'TB Final'!$B:$K,7,0),0)</f>
        <v>400000</v>
      </c>
      <c r="E129">
        <f>+IFERROR(VLOOKUP($A129,'TB Final'!$B:$K,10,0),0)</f>
        <v>0</v>
      </c>
      <c r="F129">
        <f t="shared" si="2"/>
        <v>0</v>
      </c>
      <c r="G129">
        <f t="shared" si="3"/>
        <v>0</v>
      </c>
    </row>
    <row r="130" spans="1:7">
      <c r="A130" s="1607" t="s">
        <v>287</v>
      </c>
      <c r="B130" s="1609">
        <v>17190</v>
      </c>
      <c r="C130" s="1608"/>
      <c r="D130">
        <f>+IFERROR(VLOOKUP($A130,'TB Final'!$B:$K,7,0),0)</f>
        <v>17190</v>
      </c>
      <c r="E130">
        <f>+IFERROR(VLOOKUP($A130,'TB Final'!$B:$K,10,0),0)</f>
        <v>0</v>
      </c>
      <c r="F130">
        <f t="shared" si="2"/>
        <v>0</v>
      </c>
      <c r="G130">
        <f t="shared" si="3"/>
        <v>0</v>
      </c>
    </row>
    <row r="131" spans="1:7">
      <c r="A131" s="1607" t="s">
        <v>503</v>
      </c>
      <c r="B131" s="1609">
        <v>1891381</v>
      </c>
      <c r="C131" s="1608"/>
      <c r="D131">
        <f>+IFERROR(VLOOKUP($A131,'TB Final'!$B:$K,7,0),0)</f>
        <v>1891381</v>
      </c>
      <c r="E131">
        <f>+IFERROR(VLOOKUP($A131,'TB Final'!$B:$K,10,0),0)</f>
        <v>0</v>
      </c>
      <c r="F131">
        <f t="shared" si="2"/>
        <v>0</v>
      </c>
      <c r="G131">
        <f t="shared" si="3"/>
        <v>0</v>
      </c>
    </row>
    <row r="132" spans="1:7">
      <c r="A132" s="1607" t="s">
        <v>289</v>
      </c>
      <c r="B132" s="1609">
        <v>88213</v>
      </c>
      <c r="C132" s="1608"/>
      <c r="D132">
        <f>+IFERROR(VLOOKUP($A132,'TB Final'!$B:$K,7,0),0)</f>
        <v>88213</v>
      </c>
      <c r="E132">
        <f>+IFERROR(VLOOKUP($A132,'TB Final'!$B:$K,10,0),0)</f>
        <v>0</v>
      </c>
      <c r="F132">
        <f t="shared" si="2"/>
        <v>0</v>
      </c>
      <c r="G132">
        <f t="shared" si="3"/>
        <v>0</v>
      </c>
    </row>
    <row r="133" spans="1:7">
      <c r="A133" s="1607" t="s">
        <v>195</v>
      </c>
      <c r="B133" s="1608"/>
      <c r="C133" s="1609">
        <v>400020</v>
      </c>
      <c r="D133">
        <f>+IFERROR(VLOOKUP($A133,'TB Final'!$B:$K,7,0),0)</f>
        <v>0</v>
      </c>
      <c r="E133">
        <f>+IFERROR(VLOOKUP($A133,'TB Final'!$B:$K,10,0),0)</f>
        <v>400020</v>
      </c>
      <c r="F133">
        <f t="shared" si="2"/>
        <v>0</v>
      </c>
      <c r="G133">
        <f t="shared" si="3"/>
        <v>0</v>
      </c>
    </row>
    <row r="134" spans="1:7">
      <c r="A134" s="1607" t="s">
        <v>2964</v>
      </c>
      <c r="B134" s="1609">
        <v>152598</v>
      </c>
      <c r="C134" s="1608"/>
      <c r="D134">
        <f>+IFERROR(VLOOKUP($A134,'TB Final'!$B:$K,7,0),0)</f>
        <v>152598</v>
      </c>
      <c r="E134">
        <f>+IFERROR(VLOOKUP($A134,'TB Final'!$B:$K,10,0),0)</f>
        <v>0</v>
      </c>
      <c r="F134">
        <f t="shared" si="2"/>
        <v>0</v>
      </c>
      <c r="G134">
        <f t="shared" si="3"/>
        <v>0</v>
      </c>
    </row>
    <row r="135" spans="1:7">
      <c r="A135" s="1607" t="s">
        <v>504</v>
      </c>
      <c r="B135" s="1609">
        <v>170957</v>
      </c>
      <c r="C135" s="1608"/>
      <c r="D135">
        <f>+IFERROR(VLOOKUP($A135,'TB Final'!$B:$K,7,0),0)</f>
        <v>170957</v>
      </c>
      <c r="E135">
        <f>+IFERROR(VLOOKUP($A135,'TB Final'!$B:$K,10,0),0)</f>
        <v>0</v>
      </c>
      <c r="F135">
        <f t="shared" si="2"/>
        <v>0</v>
      </c>
      <c r="G135">
        <f t="shared" si="3"/>
        <v>0</v>
      </c>
    </row>
    <row r="136" spans="1:7">
      <c r="A136" s="1607" t="s">
        <v>505</v>
      </c>
      <c r="B136" s="1609">
        <v>1196371</v>
      </c>
      <c r="C136" s="1608"/>
      <c r="D136">
        <f>+IFERROR(VLOOKUP($A136,'TB Final'!$B:$K,7,0),0)</f>
        <v>1196371</v>
      </c>
      <c r="E136">
        <f>+IFERROR(VLOOKUP($A136,'TB Final'!$B:$K,10,0),0)</f>
        <v>0</v>
      </c>
      <c r="F136">
        <f t="shared" si="2"/>
        <v>0</v>
      </c>
      <c r="G136">
        <f t="shared" si="3"/>
        <v>0</v>
      </c>
    </row>
    <row r="137" spans="1:7">
      <c r="A137" s="1607" t="s">
        <v>389</v>
      </c>
      <c r="B137" s="1609">
        <v>24320</v>
      </c>
      <c r="C137" s="1608"/>
      <c r="D137">
        <f>+IFERROR(VLOOKUP($A137,'TB Final'!$B:$K,7,0),0)</f>
        <v>24320</v>
      </c>
      <c r="E137">
        <f>+IFERROR(VLOOKUP($A137,'TB Final'!$B:$K,10,0),0)</f>
        <v>0</v>
      </c>
      <c r="F137">
        <f t="shared" si="2"/>
        <v>0</v>
      </c>
      <c r="G137">
        <f t="shared" si="3"/>
        <v>0</v>
      </c>
    </row>
    <row r="138" spans="1:7">
      <c r="A138" s="1607" t="s">
        <v>198</v>
      </c>
      <c r="B138" s="1609">
        <v>170888</v>
      </c>
      <c r="C138" s="1608"/>
      <c r="D138">
        <f>+IFERROR(VLOOKUP($A138,'TB Final'!$B:$K,7,0),0)</f>
        <v>170888</v>
      </c>
      <c r="E138">
        <f>+IFERROR(VLOOKUP($A138,'TB Final'!$B:$K,10,0),0)</f>
        <v>0</v>
      </c>
      <c r="F138">
        <f t="shared" si="2"/>
        <v>0</v>
      </c>
      <c r="G138">
        <f t="shared" si="3"/>
        <v>0</v>
      </c>
    </row>
    <row r="139" spans="1:7">
      <c r="A139" s="1607" t="s">
        <v>159</v>
      </c>
      <c r="B139" s="1609">
        <v>12943</v>
      </c>
      <c r="C139" s="1608"/>
      <c r="D139">
        <f>+IFERROR(VLOOKUP($A139,'TB Final'!$B:$K,7,0),0)</f>
        <v>12943</v>
      </c>
      <c r="E139">
        <f>+IFERROR(VLOOKUP($A139,'TB Final'!$B:$K,10,0),0)</f>
        <v>0</v>
      </c>
      <c r="F139">
        <f t="shared" si="2"/>
        <v>0</v>
      </c>
      <c r="G139">
        <f t="shared" si="3"/>
        <v>0</v>
      </c>
    </row>
    <row r="140" spans="1:7">
      <c r="A140" s="1607" t="s">
        <v>200</v>
      </c>
      <c r="B140" s="1609">
        <v>486928</v>
      </c>
      <c r="C140" s="1608"/>
      <c r="D140">
        <f>+IFERROR(VLOOKUP($A140,'TB Final'!$B:$K,7,0),0)</f>
        <v>486928</v>
      </c>
      <c r="E140">
        <f>+IFERROR(VLOOKUP($A140,'TB Final'!$B:$K,10,0),0)</f>
        <v>0</v>
      </c>
      <c r="F140">
        <f t="shared" si="2"/>
        <v>0</v>
      </c>
      <c r="G140">
        <f t="shared" si="3"/>
        <v>0</v>
      </c>
    </row>
    <row r="141" spans="1:7">
      <c r="A141" s="1607" t="s">
        <v>203</v>
      </c>
      <c r="B141" s="1608"/>
      <c r="C141" s="1609">
        <v>172494</v>
      </c>
      <c r="D141">
        <f>+IFERROR(VLOOKUP($A141,'TB Final'!$B:$K,7,0),0)</f>
        <v>0</v>
      </c>
      <c r="E141">
        <f>+IFERROR(VLOOKUP($A141,'TB Final'!$B:$K,10,0),0)</f>
        <v>172494</v>
      </c>
      <c r="F141">
        <f t="shared" ref="F141:F204" si="4">+B141-D141</f>
        <v>0</v>
      </c>
      <c r="G141">
        <f t="shared" ref="G141:G204" si="5">+C141-E141</f>
        <v>0</v>
      </c>
    </row>
    <row r="142" spans="1:7">
      <c r="A142" s="1607" t="s">
        <v>208</v>
      </c>
      <c r="B142" s="1609">
        <v>39606</v>
      </c>
      <c r="C142" s="1608"/>
      <c r="D142">
        <f>+IFERROR(VLOOKUP($A142,'TB Final'!$B:$K,7,0),0)</f>
        <v>39606</v>
      </c>
      <c r="E142">
        <f>+IFERROR(VLOOKUP($A142,'TB Final'!$B:$K,10,0),0)</f>
        <v>0</v>
      </c>
      <c r="F142">
        <f t="shared" si="4"/>
        <v>0</v>
      </c>
      <c r="G142">
        <f t="shared" si="5"/>
        <v>0</v>
      </c>
    </row>
    <row r="143" spans="1:7">
      <c r="A143" s="1607" t="s">
        <v>209</v>
      </c>
      <c r="B143" s="1609">
        <v>30516</v>
      </c>
      <c r="C143" s="1608"/>
      <c r="D143">
        <f>+IFERROR(VLOOKUP($A143,'TB Final'!$B:$K,7,0),0)</f>
        <v>30516</v>
      </c>
      <c r="E143">
        <f>+IFERROR(VLOOKUP($A143,'TB Final'!$B:$K,10,0),0)</f>
        <v>0</v>
      </c>
      <c r="F143">
        <f t="shared" si="4"/>
        <v>0</v>
      </c>
      <c r="G143">
        <f t="shared" si="5"/>
        <v>0</v>
      </c>
    </row>
    <row r="144" spans="1:7">
      <c r="A144" s="1607" t="s">
        <v>431</v>
      </c>
      <c r="B144" s="1609">
        <v>144126</v>
      </c>
      <c r="C144" s="1608"/>
      <c r="D144">
        <f>+IFERROR(VLOOKUP($A144,'TB Final'!$B:$K,7,0),0)</f>
        <v>144126</v>
      </c>
      <c r="E144">
        <f>+IFERROR(VLOOKUP($A144,'TB Final'!$B:$K,10,0),0)</f>
        <v>0</v>
      </c>
      <c r="F144">
        <f t="shared" si="4"/>
        <v>0</v>
      </c>
      <c r="G144">
        <f t="shared" si="5"/>
        <v>0</v>
      </c>
    </row>
    <row r="145" spans="1:7">
      <c r="A145" s="1607" t="s">
        <v>210</v>
      </c>
      <c r="B145" s="1609">
        <v>7332</v>
      </c>
      <c r="C145" s="1608"/>
      <c r="D145">
        <f>+IFERROR(VLOOKUP($A145,'TB Final'!$B:$K,7,0),0)</f>
        <v>7332</v>
      </c>
      <c r="E145">
        <f>+IFERROR(VLOOKUP($A145,'TB Final'!$B:$K,10,0),0)</f>
        <v>0</v>
      </c>
      <c r="F145">
        <f t="shared" si="4"/>
        <v>0</v>
      </c>
      <c r="G145">
        <f t="shared" si="5"/>
        <v>0</v>
      </c>
    </row>
    <row r="146" spans="1:7">
      <c r="A146" s="1607" t="s">
        <v>213</v>
      </c>
      <c r="B146" s="1609">
        <v>41084</v>
      </c>
      <c r="C146" s="1608"/>
      <c r="D146">
        <f>+IFERROR(VLOOKUP($A146,'TB Final'!$B:$K,7,0),0)</f>
        <v>41084</v>
      </c>
      <c r="E146">
        <f>+IFERROR(VLOOKUP($A146,'TB Final'!$B:$K,10,0),0)</f>
        <v>0</v>
      </c>
      <c r="F146">
        <f t="shared" si="4"/>
        <v>0</v>
      </c>
      <c r="G146">
        <f t="shared" si="5"/>
        <v>0</v>
      </c>
    </row>
    <row r="147" spans="1:7">
      <c r="A147" s="1607" t="s">
        <v>83</v>
      </c>
      <c r="B147" s="1609">
        <v>2611</v>
      </c>
      <c r="C147" s="1608"/>
      <c r="D147">
        <f>+IFERROR(VLOOKUP($A147,'TB Final'!$B:$K,7,0),0)</f>
        <v>2611</v>
      </c>
      <c r="E147">
        <f>+IFERROR(VLOOKUP($A147,'TB Final'!$B:$K,10,0),0)</f>
        <v>0</v>
      </c>
      <c r="F147">
        <f t="shared" si="4"/>
        <v>0</v>
      </c>
      <c r="G147">
        <f t="shared" si="5"/>
        <v>0</v>
      </c>
    </row>
    <row r="148" spans="1:7">
      <c r="A148" s="1607" t="s">
        <v>507</v>
      </c>
      <c r="B148" s="1609">
        <v>11646</v>
      </c>
      <c r="C148" s="1608"/>
      <c r="D148">
        <f>+IFERROR(VLOOKUP($A148,'TB Final'!$B:$K,7,0),0)</f>
        <v>11646</v>
      </c>
      <c r="E148">
        <f>+IFERROR(VLOOKUP($A148,'TB Final'!$B:$K,10,0),0)</f>
        <v>0</v>
      </c>
      <c r="F148">
        <f t="shared" si="4"/>
        <v>0</v>
      </c>
      <c r="G148">
        <f t="shared" si="5"/>
        <v>0</v>
      </c>
    </row>
    <row r="149" spans="1:7">
      <c r="A149" s="1607" t="s">
        <v>2966</v>
      </c>
      <c r="B149" s="1609">
        <v>290224</v>
      </c>
      <c r="C149" s="1608"/>
      <c r="D149">
        <f>+IFERROR(VLOOKUP($A149,'TB Final'!$B:$K,7,0),0)</f>
        <v>290224</v>
      </c>
      <c r="E149">
        <f>+IFERROR(VLOOKUP($A149,'TB Final'!$B:$K,10,0),0)</f>
        <v>0</v>
      </c>
      <c r="F149">
        <f t="shared" si="4"/>
        <v>0</v>
      </c>
      <c r="G149">
        <f t="shared" si="5"/>
        <v>0</v>
      </c>
    </row>
    <row r="150" spans="1:7">
      <c r="A150" s="1607" t="s">
        <v>2967</v>
      </c>
      <c r="B150" s="1609">
        <v>467386</v>
      </c>
      <c r="C150" s="1608"/>
      <c r="D150">
        <f>+IFERROR(VLOOKUP($A150,'TB Final'!$B:$K,7,0),0)</f>
        <v>467386</v>
      </c>
      <c r="E150">
        <f>+IFERROR(VLOOKUP($A150,'TB Final'!$B:$K,10,0),0)</f>
        <v>0</v>
      </c>
      <c r="F150">
        <f t="shared" si="4"/>
        <v>0</v>
      </c>
      <c r="G150">
        <f t="shared" si="5"/>
        <v>0</v>
      </c>
    </row>
    <row r="151" spans="1:7">
      <c r="A151" s="1607" t="s">
        <v>2968</v>
      </c>
      <c r="B151" s="1609">
        <v>1199821</v>
      </c>
      <c r="C151" s="1608"/>
      <c r="D151">
        <f>+IFERROR(VLOOKUP($A151,'TB Final'!$B:$K,7,0),0)</f>
        <v>1199821</v>
      </c>
      <c r="E151">
        <f>+IFERROR(VLOOKUP($A151,'TB Final'!$B:$K,10,0),0)</f>
        <v>0</v>
      </c>
      <c r="F151">
        <f t="shared" si="4"/>
        <v>0</v>
      </c>
      <c r="G151">
        <f t="shared" si="5"/>
        <v>0</v>
      </c>
    </row>
    <row r="152" spans="1:7">
      <c r="A152" s="1607" t="s">
        <v>202</v>
      </c>
      <c r="B152" s="1609">
        <v>319057</v>
      </c>
      <c r="C152" s="1608"/>
      <c r="D152">
        <f>+IFERROR(VLOOKUP($A152,'TB Final'!$B:$K,7,0),0)</f>
        <v>319057</v>
      </c>
      <c r="E152">
        <f>+IFERROR(VLOOKUP($A152,'TB Final'!$B:$K,10,0),0)</f>
        <v>0</v>
      </c>
      <c r="F152">
        <f t="shared" si="4"/>
        <v>0</v>
      </c>
      <c r="G152">
        <f t="shared" si="5"/>
        <v>0</v>
      </c>
    </row>
    <row r="153" spans="1:7">
      <c r="A153" s="1607" t="s">
        <v>508</v>
      </c>
      <c r="B153" s="1609">
        <v>8855907</v>
      </c>
      <c r="C153" s="1608"/>
      <c r="D153">
        <f>+IFERROR(VLOOKUP($A153,'TB Final'!$B:$K,7,0),0)</f>
        <v>8855907</v>
      </c>
      <c r="E153">
        <f>+IFERROR(VLOOKUP($A153,'TB Final'!$B:$K,10,0),0)</f>
        <v>0</v>
      </c>
      <c r="F153">
        <f t="shared" si="4"/>
        <v>0</v>
      </c>
      <c r="G153">
        <f t="shared" si="5"/>
        <v>0</v>
      </c>
    </row>
    <row r="154" spans="1:7">
      <c r="A154" s="1607" t="s">
        <v>391</v>
      </c>
      <c r="B154" s="1609">
        <v>488813</v>
      </c>
      <c r="C154" s="1608"/>
      <c r="D154">
        <f>+IFERROR(VLOOKUP($A154,'TB Final'!$B:$K,7,0),0)</f>
        <v>488813</v>
      </c>
      <c r="E154">
        <f>+IFERROR(VLOOKUP($A154,'TB Final'!$B:$K,10,0),0)</f>
        <v>0</v>
      </c>
      <c r="F154">
        <f t="shared" si="4"/>
        <v>0</v>
      </c>
      <c r="G154">
        <f t="shared" si="5"/>
        <v>0</v>
      </c>
    </row>
    <row r="155" spans="1:7">
      <c r="A155" s="1607" t="s">
        <v>509</v>
      </c>
      <c r="B155" s="1609">
        <v>2953424</v>
      </c>
      <c r="C155" s="1608"/>
      <c r="D155">
        <f>+IFERROR(VLOOKUP($A155,'TB Final'!$B:$K,7,0),0)</f>
        <v>2953424</v>
      </c>
      <c r="E155">
        <f>+IFERROR(VLOOKUP($A155,'TB Final'!$B:$K,10,0),0)</f>
        <v>0</v>
      </c>
      <c r="F155">
        <f t="shared" si="4"/>
        <v>0</v>
      </c>
      <c r="G155">
        <f t="shared" si="5"/>
        <v>0</v>
      </c>
    </row>
    <row r="156" spans="1:7">
      <c r="A156" s="1607" t="s">
        <v>215</v>
      </c>
      <c r="B156" s="1609">
        <v>200000</v>
      </c>
      <c r="C156" s="1608"/>
      <c r="D156">
        <f>+IFERROR(VLOOKUP($A156,'TB Final'!$B:$K,7,0),0)</f>
        <v>200000</v>
      </c>
      <c r="E156">
        <f>+IFERROR(VLOOKUP($A156,'TB Final'!$B:$K,10,0),0)</f>
        <v>0</v>
      </c>
      <c r="F156">
        <f t="shared" si="4"/>
        <v>0</v>
      </c>
      <c r="G156">
        <f t="shared" si="5"/>
        <v>0</v>
      </c>
    </row>
    <row r="157" spans="1:7">
      <c r="A157" s="1607" t="s">
        <v>432</v>
      </c>
      <c r="B157" s="1608"/>
      <c r="C157" s="1609">
        <v>68027</v>
      </c>
      <c r="D157">
        <f>+IFERROR(VLOOKUP($A157,'TB Final'!$B:$K,7,0),0)</f>
        <v>0</v>
      </c>
      <c r="E157">
        <f>+IFERROR(VLOOKUP($A157,'TB Final'!$B:$K,10,0),0)</f>
        <v>68027</v>
      </c>
      <c r="F157">
        <f t="shared" si="4"/>
        <v>0</v>
      </c>
      <c r="G157">
        <f t="shared" si="5"/>
        <v>0</v>
      </c>
    </row>
    <row r="158" spans="1:7">
      <c r="A158" s="1607" t="s">
        <v>218</v>
      </c>
      <c r="B158" s="1609">
        <v>231314</v>
      </c>
      <c r="C158" s="1608"/>
      <c r="D158">
        <f>+IFERROR(VLOOKUP($A158,'TB Final'!$B:$K,7,0),0)</f>
        <v>231314</v>
      </c>
      <c r="E158">
        <f>+IFERROR(VLOOKUP($A158,'TB Final'!$B:$K,10,0),0)</f>
        <v>0</v>
      </c>
      <c r="F158">
        <f t="shared" si="4"/>
        <v>0</v>
      </c>
      <c r="G158">
        <f t="shared" si="5"/>
        <v>0</v>
      </c>
    </row>
    <row r="159" spans="1:7">
      <c r="A159" s="1607" t="s">
        <v>220</v>
      </c>
      <c r="B159" s="1608"/>
      <c r="C159" s="1609">
        <v>7756259</v>
      </c>
      <c r="D159">
        <f>+IFERROR(VLOOKUP($A159,'TB Final'!$B:$K,7,0),0)</f>
        <v>0</v>
      </c>
      <c r="E159">
        <f>+IFERROR(VLOOKUP($A159,'TB Final'!$B:$K,10,0),0)</f>
        <v>7756259</v>
      </c>
      <c r="F159">
        <f t="shared" si="4"/>
        <v>0</v>
      </c>
      <c r="G159">
        <f t="shared" si="5"/>
        <v>0</v>
      </c>
    </row>
    <row r="160" spans="1:7">
      <c r="A160" s="1607" t="s">
        <v>433</v>
      </c>
      <c r="B160" s="1609">
        <v>250430</v>
      </c>
      <c r="C160" s="1608"/>
      <c r="D160">
        <f>+IFERROR(VLOOKUP($A160,'TB Final'!$B:$K,7,0),0)</f>
        <v>250430</v>
      </c>
      <c r="E160">
        <f>+IFERROR(VLOOKUP($A160,'TB Final'!$B:$K,10,0),0)</f>
        <v>0</v>
      </c>
      <c r="F160">
        <f t="shared" si="4"/>
        <v>0</v>
      </c>
      <c r="G160">
        <f t="shared" si="5"/>
        <v>0</v>
      </c>
    </row>
    <row r="161" spans="1:7">
      <c r="A161" s="1607" t="s">
        <v>511</v>
      </c>
      <c r="B161" s="1608"/>
      <c r="C161" s="1609">
        <v>5453561</v>
      </c>
      <c r="D161">
        <f>+IFERROR(VLOOKUP($A161,'TB Final'!$B:$K,7,0),0)</f>
        <v>0</v>
      </c>
      <c r="E161">
        <f>+IFERROR(VLOOKUP($A161,'TB Final'!$B:$K,10,0),0)</f>
        <v>5453561</v>
      </c>
      <c r="F161">
        <f t="shared" si="4"/>
        <v>0</v>
      </c>
      <c r="G161">
        <f t="shared" si="5"/>
        <v>0</v>
      </c>
    </row>
    <row r="162" spans="1:7">
      <c r="A162" s="1607" t="s">
        <v>512</v>
      </c>
      <c r="B162" s="1608"/>
      <c r="C162" s="1609">
        <v>7299688</v>
      </c>
      <c r="D162">
        <f>+IFERROR(VLOOKUP($A162,'TB Final'!$B:$K,7,0),0)</f>
        <v>0</v>
      </c>
      <c r="E162">
        <f>+IFERROR(VLOOKUP($A162,'TB Final'!$B:$K,10,0),0)</f>
        <v>7299688</v>
      </c>
      <c r="F162">
        <f t="shared" si="4"/>
        <v>0</v>
      </c>
      <c r="G162">
        <f t="shared" si="5"/>
        <v>0</v>
      </c>
    </row>
    <row r="163" spans="1:7">
      <c r="A163" s="1607" t="s">
        <v>224</v>
      </c>
      <c r="B163" s="1608"/>
      <c r="C163" s="1609">
        <v>4374722</v>
      </c>
      <c r="D163">
        <f>+IFERROR(VLOOKUP($A163,'TB Final'!$B:$K,7,0),0)</f>
        <v>0</v>
      </c>
      <c r="E163">
        <f>+IFERROR(VLOOKUP($A163,'TB Final'!$B:$K,10,0),0)</f>
        <v>4374722</v>
      </c>
      <c r="F163">
        <f t="shared" si="4"/>
        <v>0</v>
      </c>
      <c r="G163">
        <f t="shared" si="5"/>
        <v>0</v>
      </c>
    </row>
    <row r="164" spans="1:7">
      <c r="A164" s="1607" t="s">
        <v>452</v>
      </c>
      <c r="B164" s="1608"/>
      <c r="C164" s="1609">
        <v>220853</v>
      </c>
      <c r="D164">
        <f>+IFERROR(VLOOKUP($A164,'TB Final'!$B:$K,7,0),0)</f>
        <v>0</v>
      </c>
      <c r="E164">
        <f>+IFERROR(VLOOKUP($A164,'TB Final'!$B:$K,10,0),0)</f>
        <v>220853</v>
      </c>
      <c r="F164">
        <f t="shared" si="4"/>
        <v>0</v>
      </c>
      <c r="G164">
        <f t="shared" si="5"/>
        <v>0</v>
      </c>
    </row>
    <row r="165" spans="1:7">
      <c r="A165" s="1607" t="s">
        <v>2971</v>
      </c>
      <c r="B165" s="1608"/>
      <c r="C165" s="1609">
        <v>135000</v>
      </c>
      <c r="D165">
        <f>+IFERROR(VLOOKUP($A165,'TB Final'!$B:$K,7,0),0)</f>
        <v>0</v>
      </c>
      <c r="E165">
        <f>+IFERROR(VLOOKUP($A165,'TB Final'!$B:$K,10,0),0)</f>
        <v>135000</v>
      </c>
      <c r="F165">
        <f t="shared" si="4"/>
        <v>0</v>
      </c>
      <c r="G165">
        <f t="shared" si="5"/>
        <v>0</v>
      </c>
    </row>
    <row r="166" spans="1:7">
      <c r="A166" s="1607" t="s">
        <v>223</v>
      </c>
      <c r="B166" s="1608"/>
      <c r="C166" s="1609">
        <v>3154</v>
      </c>
      <c r="D166">
        <f>+IFERROR(VLOOKUP($A166,'TB Final'!$B:$K,7,0),0)</f>
        <v>0</v>
      </c>
      <c r="E166">
        <f>+IFERROR(VLOOKUP($A166,'TB Final'!$B:$K,10,0),0)</f>
        <v>3154</v>
      </c>
      <c r="F166">
        <f t="shared" si="4"/>
        <v>0</v>
      </c>
      <c r="G166">
        <f t="shared" si="5"/>
        <v>0</v>
      </c>
    </row>
    <row r="167" spans="1:7">
      <c r="A167" s="1607" t="s">
        <v>229</v>
      </c>
      <c r="B167" s="1609">
        <v>14544</v>
      </c>
      <c r="C167" s="1608"/>
      <c r="D167">
        <f>+IFERROR(VLOOKUP($A167,'TB Final'!$B:$K,7,0),0)</f>
        <v>14544</v>
      </c>
      <c r="E167">
        <f>+IFERROR(VLOOKUP($A167,'TB Final'!$B:$K,10,0),0)</f>
        <v>0</v>
      </c>
      <c r="F167">
        <f t="shared" si="4"/>
        <v>0</v>
      </c>
      <c r="G167">
        <f t="shared" si="5"/>
        <v>0</v>
      </c>
    </row>
    <row r="168" spans="1:7">
      <c r="A168" s="1607" t="s">
        <v>230</v>
      </c>
      <c r="B168" s="1609">
        <v>19977798</v>
      </c>
      <c r="C168" s="1608"/>
      <c r="D168">
        <f>+IFERROR(VLOOKUP($A168,'TB Final'!$B:$K,7,0),0)</f>
        <v>19977798</v>
      </c>
      <c r="E168">
        <f>+IFERROR(VLOOKUP($A168,'TB Final'!$B:$K,10,0),0)</f>
        <v>0</v>
      </c>
      <c r="F168">
        <f t="shared" si="4"/>
        <v>0</v>
      </c>
      <c r="G168">
        <f t="shared" si="5"/>
        <v>0</v>
      </c>
    </row>
    <row r="169" spans="1:7">
      <c r="A169" s="1607" t="s">
        <v>392</v>
      </c>
      <c r="B169" s="1608"/>
      <c r="C169" s="1609">
        <v>10547882</v>
      </c>
      <c r="D169">
        <f>+IFERROR(VLOOKUP($A169,'TB Final'!$B:$K,7,0),0)</f>
        <v>0</v>
      </c>
      <c r="E169">
        <f>+IFERROR(VLOOKUP($A169,'TB Final'!$B:$K,10,0),0)</f>
        <v>10547882</v>
      </c>
      <c r="F169">
        <f t="shared" si="4"/>
        <v>0</v>
      </c>
      <c r="G169">
        <f t="shared" si="5"/>
        <v>0</v>
      </c>
    </row>
    <row r="170" spans="1:7">
      <c r="A170" s="1607" t="s">
        <v>434</v>
      </c>
      <c r="B170" s="1608"/>
      <c r="C170" s="1609">
        <v>754370</v>
      </c>
      <c r="D170">
        <f>+IFERROR(VLOOKUP($A170,'TB Final'!$B:$K,7,0),0)</f>
        <v>0</v>
      </c>
      <c r="E170">
        <f>+IFERROR(VLOOKUP($A170,'TB Final'!$B:$K,10,0),0)</f>
        <v>754370</v>
      </c>
      <c r="F170">
        <f t="shared" si="4"/>
        <v>0</v>
      </c>
      <c r="G170">
        <f t="shared" si="5"/>
        <v>0</v>
      </c>
    </row>
    <row r="171" spans="1:7">
      <c r="A171" s="1607" t="s">
        <v>2972</v>
      </c>
      <c r="B171" s="1609">
        <v>781839</v>
      </c>
      <c r="C171" s="1608"/>
      <c r="D171">
        <f>+IFERROR(VLOOKUP($A171,'TB Final'!$B:$K,7,0),0)</f>
        <v>781839</v>
      </c>
      <c r="E171">
        <f>+IFERROR(VLOOKUP($A171,'TB Final'!$B:$K,10,0),0)</f>
        <v>0</v>
      </c>
      <c r="F171">
        <f t="shared" si="4"/>
        <v>0</v>
      </c>
      <c r="G171">
        <f t="shared" si="5"/>
        <v>0</v>
      </c>
    </row>
    <row r="172" spans="1:7">
      <c r="A172" s="1607" t="s">
        <v>232</v>
      </c>
      <c r="B172" s="1609">
        <v>343164</v>
      </c>
      <c r="C172" s="1608"/>
      <c r="D172">
        <f>+IFERROR(VLOOKUP($A172,'TB Final'!$B:$K,7,0),0)</f>
        <v>343164</v>
      </c>
      <c r="E172">
        <f>+IFERROR(VLOOKUP($A172,'TB Final'!$B:$K,10,0),0)</f>
        <v>0</v>
      </c>
      <c r="F172">
        <f t="shared" si="4"/>
        <v>0</v>
      </c>
      <c r="G172">
        <f t="shared" si="5"/>
        <v>0</v>
      </c>
    </row>
    <row r="173" spans="1:7">
      <c r="A173" s="1607" t="s">
        <v>233</v>
      </c>
      <c r="B173" s="1608"/>
      <c r="C173" s="1609">
        <v>343164</v>
      </c>
      <c r="D173">
        <f>+IFERROR(VLOOKUP($A173,'TB Final'!$B:$K,7,0),0)</f>
        <v>0</v>
      </c>
      <c r="E173">
        <f>+IFERROR(VLOOKUP($A173,'TB Final'!$B:$K,10,0),0)</f>
        <v>343164</v>
      </c>
      <c r="F173">
        <f t="shared" si="4"/>
        <v>0</v>
      </c>
      <c r="G173">
        <f t="shared" si="5"/>
        <v>0</v>
      </c>
    </row>
    <row r="174" spans="1:7">
      <c r="A174" s="1607" t="s">
        <v>234</v>
      </c>
      <c r="B174" s="1609">
        <v>112800</v>
      </c>
      <c r="C174" s="1608"/>
      <c r="D174">
        <f>+IFERROR(VLOOKUP($A174,'TB Final'!$B:$K,7,0),0)</f>
        <v>112800</v>
      </c>
      <c r="E174">
        <f>+IFERROR(VLOOKUP($A174,'TB Final'!$B:$K,10,0),0)</f>
        <v>0</v>
      </c>
      <c r="F174">
        <f t="shared" si="4"/>
        <v>0</v>
      </c>
      <c r="G174">
        <f t="shared" si="5"/>
        <v>0</v>
      </c>
    </row>
    <row r="175" spans="1:7">
      <c r="A175" s="1607" t="s">
        <v>228</v>
      </c>
      <c r="B175" s="1608"/>
      <c r="C175" s="1609">
        <v>40147</v>
      </c>
      <c r="D175">
        <f>+IFERROR(VLOOKUP($A175,'TB Final'!$B:$K,7,0),0)</f>
        <v>0</v>
      </c>
      <c r="E175">
        <f>+IFERROR(VLOOKUP($A175,'TB Final'!$B:$K,10,0),0)</f>
        <v>40147</v>
      </c>
      <c r="F175">
        <f t="shared" si="4"/>
        <v>0</v>
      </c>
      <c r="G175">
        <f t="shared" si="5"/>
        <v>0</v>
      </c>
    </row>
    <row r="176" spans="1:7">
      <c r="A176" s="1607" t="s">
        <v>4717</v>
      </c>
      <c r="B176" s="1609">
        <v>323224</v>
      </c>
      <c r="C176" s="1608"/>
      <c r="D176">
        <f>+IFERROR(VLOOKUP($A176,'TB Final'!$B:$K,7,0),0)</f>
        <v>323224</v>
      </c>
      <c r="E176">
        <f>+IFERROR(VLOOKUP($A176,'TB Final'!$B:$K,10,0),0)</f>
        <v>0</v>
      </c>
      <c r="F176">
        <f t="shared" si="4"/>
        <v>0</v>
      </c>
      <c r="G176">
        <f t="shared" si="5"/>
        <v>0</v>
      </c>
    </row>
    <row r="177" spans="1:7">
      <c r="A177" s="1607" t="s">
        <v>236</v>
      </c>
      <c r="B177" s="1609">
        <v>402863.5</v>
      </c>
      <c r="C177" s="1608"/>
      <c r="D177">
        <f>+IFERROR(VLOOKUP($A177,'TB Final'!$B:$K,7,0),0)</f>
        <v>402863.5</v>
      </c>
      <c r="E177">
        <f>+IFERROR(VLOOKUP($A177,'TB Final'!$B:$K,10,0),0)</f>
        <v>0</v>
      </c>
      <c r="F177">
        <f t="shared" si="4"/>
        <v>0</v>
      </c>
      <c r="G177">
        <f t="shared" si="5"/>
        <v>0</v>
      </c>
    </row>
    <row r="178" spans="1:7">
      <c r="A178" s="1607" t="s">
        <v>237</v>
      </c>
      <c r="B178" s="1609">
        <v>1501316</v>
      </c>
      <c r="C178" s="1608"/>
      <c r="D178">
        <f>+IFERROR(VLOOKUP($A178,'TB Final'!$B:$K,7,0),0)</f>
        <v>1501316</v>
      </c>
      <c r="E178">
        <f>+IFERROR(VLOOKUP($A178,'TB Final'!$B:$K,10,0),0)</f>
        <v>0</v>
      </c>
      <c r="F178">
        <f t="shared" si="4"/>
        <v>0</v>
      </c>
      <c r="G178">
        <f t="shared" si="5"/>
        <v>0</v>
      </c>
    </row>
    <row r="179" spans="1:7">
      <c r="A179" s="1607" t="s">
        <v>238</v>
      </c>
      <c r="B179" s="1609">
        <v>4136012.77</v>
      </c>
      <c r="C179" s="1608"/>
      <c r="D179">
        <f>+IFERROR(VLOOKUP($A179,'TB Final'!$B:$K,7,0),0)</f>
        <v>4136012.77</v>
      </c>
      <c r="E179">
        <f>+IFERROR(VLOOKUP($A179,'TB Final'!$B:$K,10,0),0)</f>
        <v>0</v>
      </c>
      <c r="F179">
        <f t="shared" si="4"/>
        <v>0</v>
      </c>
      <c r="G179">
        <f t="shared" si="5"/>
        <v>0</v>
      </c>
    </row>
    <row r="180" spans="1:7">
      <c r="A180" s="1607" t="s">
        <v>513</v>
      </c>
      <c r="B180" s="1609">
        <v>193134.65</v>
      </c>
      <c r="C180" s="1608"/>
      <c r="D180">
        <f>+IFERROR(VLOOKUP($A180,'TB Final'!$B:$K,7,0),0)</f>
        <v>193134.65</v>
      </c>
      <c r="E180">
        <f>+IFERROR(VLOOKUP($A180,'TB Final'!$B:$K,10,0),0)</f>
        <v>0</v>
      </c>
      <c r="F180">
        <f t="shared" si="4"/>
        <v>0</v>
      </c>
      <c r="G180">
        <f t="shared" si="5"/>
        <v>0</v>
      </c>
    </row>
    <row r="181" spans="1:7">
      <c r="A181" s="1607" t="s">
        <v>239</v>
      </c>
      <c r="B181" s="1609">
        <v>2465865</v>
      </c>
      <c r="C181" s="1608"/>
      <c r="D181">
        <f>+IFERROR(VLOOKUP($A181,'TB Final'!$B:$K,7,0),0)</f>
        <v>2465865</v>
      </c>
      <c r="E181">
        <f>+IFERROR(VLOOKUP($A181,'TB Final'!$B:$K,10,0),0)</f>
        <v>0</v>
      </c>
      <c r="F181">
        <f t="shared" si="4"/>
        <v>0</v>
      </c>
      <c r="G181">
        <f t="shared" si="5"/>
        <v>0</v>
      </c>
    </row>
    <row r="182" spans="1:7">
      <c r="A182" s="1607" t="s">
        <v>19</v>
      </c>
      <c r="B182" s="1608"/>
      <c r="C182" s="1609">
        <v>5463715</v>
      </c>
      <c r="D182">
        <f>+IFERROR(VLOOKUP($A182,'TB Final'!$B:$K,7,0),0)</f>
        <v>0</v>
      </c>
      <c r="E182">
        <f>+IFERROR(VLOOKUP($A182,'TB Final'!$B:$K,10,0),0)</f>
        <v>5463715</v>
      </c>
      <c r="F182">
        <f t="shared" si="4"/>
        <v>0</v>
      </c>
      <c r="G182">
        <f t="shared" si="5"/>
        <v>0</v>
      </c>
    </row>
    <row r="183" spans="1:7">
      <c r="A183" s="1607" t="s">
        <v>515</v>
      </c>
      <c r="B183" s="1609">
        <v>255943</v>
      </c>
      <c r="C183" s="1608"/>
      <c r="D183">
        <f>+IFERROR(VLOOKUP($A183,'TB Final'!$B:$K,7,0),0)</f>
        <v>255943</v>
      </c>
      <c r="E183">
        <f>+IFERROR(VLOOKUP($A183,'TB Final'!$B:$K,10,0),0)</f>
        <v>0</v>
      </c>
      <c r="F183">
        <f t="shared" si="4"/>
        <v>0</v>
      </c>
      <c r="G183">
        <f t="shared" si="5"/>
        <v>0</v>
      </c>
    </row>
    <row r="184" spans="1:7">
      <c r="A184" s="1607" t="s">
        <v>435</v>
      </c>
      <c r="B184" s="1608"/>
      <c r="C184" s="1609">
        <v>35044</v>
      </c>
      <c r="D184">
        <f>+IFERROR(VLOOKUP($A184,'TB Final'!$B:$K,7,0),0)</f>
        <v>0</v>
      </c>
      <c r="E184">
        <f>+IFERROR(VLOOKUP($A184,'TB Final'!$B:$K,10,0),0)</f>
        <v>35044</v>
      </c>
      <c r="F184">
        <f t="shared" si="4"/>
        <v>0</v>
      </c>
      <c r="G184">
        <f t="shared" si="5"/>
        <v>0</v>
      </c>
    </row>
    <row r="185" spans="1:7">
      <c r="A185" s="1607" t="s">
        <v>516</v>
      </c>
      <c r="B185" s="1608"/>
      <c r="C185" s="1609">
        <v>218551</v>
      </c>
      <c r="D185">
        <f>+IFERROR(VLOOKUP($A185,'TB Final'!$B:$K,7,0),0)</f>
        <v>0</v>
      </c>
      <c r="E185">
        <f>+IFERROR(VLOOKUP($A185,'TB Final'!$B:$K,10,0),0)</f>
        <v>218551</v>
      </c>
      <c r="F185">
        <f t="shared" si="4"/>
        <v>0</v>
      </c>
      <c r="G185">
        <f t="shared" si="5"/>
        <v>0</v>
      </c>
    </row>
    <row r="186" spans="1:7">
      <c r="A186" s="1607" t="s">
        <v>393</v>
      </c>
      <c r="B186" s="1609">
        <v>3000</v>
      </c>
      <c r="C186" s="1608"/>
      <c r="D186">
        <f>+IFERROR(VLOOKUP($A186,'TB Final'!$B:$K,7,0),0)</f>
        <v>3000</v>
      </c>
      <c r="E186">
        <f>+IFERROR(VLOOKUP($A186,'TB Final'!$B:$K,10,0),0)</f>
        <v>0</v>
      </c>
      <c r="F186">
        <f t="shared" si="4"/>
        <v>0</v>
      </c>
      <c r="G186">
        <f t="shared" si="5"/>
        <v>0</v>
      </c>
    </row>
    <row r="187" spans="1:7">
      <c r="A187" s="1607" t="s">
        <v>21</v>
      </c>
      <c r="B187" s="1608"/>
      <c r="C187" s="1609">
        <v>632914</v>
      </c>
      <c r="D187">
        <f>+IFERROR(VLOOKUP($A187,'TB Final'!$B:$K,7,0),0)</f>
        <v>0</v>
      </c>
      <c r="E187">
        <f>+IFERROR(VLOOKUP($A187,'TB Final'!$B:$K,10,0),0)</f>
        <v>632914</v>
      </c>
      <c r="F187">
        <f t="shared" si="4"/>
        <v>0</v>
      </c>
      <c r="G187">
        <f t="shared" si="5"/>
        <v>0</v>
      </c>
    </row>
    <row r="188" spans="1:7">
      <c r="A188" s="1607" t="s">
        <v>248</v>
      </c>
      <c r="B188" s="1609">
        <v>6000</v>
      </c>
      <c r="C188" s="1608"/>
      <c r="D188">
        <f>+IFERROR(VLOOKUP($A188,'TB Final'!$B:$K,7,0),0)</f>
        <v>6000</v>
      </c>
      <c r="E188">
        <f>+IFERROR(VLOOKUP($A188,'TB Final'!$B:$K,10,0),0)</f>
        <v>0</v>
      </c>
      <c r="F188">
        <f t="shared" si="4"/>
        <v>0</v>
      </c>
      <c r="G188">
        <f t="shared" si="5"/>
        <v>0</v>
      </c>
    </row>
    <row r="189" spans="1:7">
      <c r="A189" s="1607" t="s">
        <v>38</v>
      </c>
      <c r="B189" s="1609">
        <v>40000</v>
      </c>
      <c r="C189" s="1608"/>
      <c r="D189">
        <f>+IFERROR(VLOOKUP($A189,'TB Final'!$B:$K,7,0),0)</f>
        <v>40000</v>
      </c>
      <c r="E189">
        <f>+IFERROR(VLOOKUP($A189,'TB Final'!$B:$K,10,0),0)</f>
        <v>0</v>
      </c>
      <c r="F189">
        <f t="shared" si="4"/>
        <v>0</v>
      </c>
      <c r="G189">
        <f t="shared" si="5"/>
        <v>0</v>
      </c>
    </row>
    <row r="190" spans="1:7">
      <c r="A190" s="1607" t="s">
        <v>2973</v>
      </c>
      <c r="B190" s="1608"/>
      <c r="C190" s="1609">
        <v>21830</v>
      </c>
      <c r="D190">
        <f>+IFERROR(VLOOKUP($A190,'TB Final'!$B:$K,7,0),0)</f>
        <v>0</v>
      </c>
      <c r="E190">
        <f>+IFERROR(VLOOKUP($A190,'TB Final'!$B:$K,10,0),0)</f>
        <v>21830</v>
      </c>
      <c r="F190">
        <f t="shared" si="4"/>
        <v>0</v>
      </c>
      <c r="G190">
        <f t="shared" si="5"/>
        <v>0</v>
      </c>
    </row>
    <row r="191" spans="1:7">
      <c r="A191" s="1607" t="s">
        <v>517</v>
      </c>
      <c r="B191" s="1609">
        <v>153600</v>
      </c>
      <c r="C191" s="1608"/>
      <c r="D191">
        <f>+IFERROR(VLOOKUP($A191,'TB Final'!$B:$K,7,0),0)</f>
        <v>153600</v>
      </c>
      <c r="E191">
        <f>+IFERROR(VLOOKUP($A191,'TB Final'!$B:$K,10,0),0)</f>
        <v>0</v>
      </c>
      <c r="F191">
        <f t="shared" si="4"/>
        <v>0</v>
      </c>
      <c r="G191">
        <f t="shared" si="5"/>
        <v>0</v>
      </c>
    </row>
    <row r="192" spans="1:7">
      <c r="A192" s="1607" t="s">
        <v>518</v>
      </c>
      <c r="B192" s="1609">
        <v>104700</v>
      </c>
      <c r="C192" s="1608"/>
      <c r="D192">
        <f>+IFERROR(VLOOKUP($A192,'TB Final'!$B:$K,7,0),0)</f>
        <v>104700</v>
      </c>
      <c r="E192">
        <f>+IFERROR(VLOOKUP($A192,'TB Final'!$B:$K,10,0),0)</f>
        <v>0</v>
      </c>
      <c r="F192">
        <f t="shared" si="4"/>
        <v>0</v>
      </c>
      <c r="G192">
        <f t="shared" si="5"/>
        <v>0</v>
      </c>
    </row>
    <row r="193" spans="1:7">
      <c r="A193" s="1607" t="s">
        <v>249</v>
      </c>
      <c r="B193" s="1609">
        <v>1208365.8799999999</v>
      </c>
      <c r="C193" s="1608"/>
      <c r="D193">
        <f>+IFERROR(VLOOKUP($A193,'TB Final'!$B:$K,7,0),0)</f>
        <v>1208365.8799999999</v>
      </c>
      <c r="E193">
        <f>+IFERROR(VLOOKUP($A193,'TB Final'!$B:$K,10,0),0)</f>
        <v>0</v>
      </c>
      <c r="F193">
        <f t="shared" si="4"/>
        <v>0</v>
      </c>
      <c r="G193">
        <f t="shared" si="5"/>
        <v>0</v>
      </c>
    </row>
    <row r="194" spans="1:7">
      <c r="A194" s="1607" t="s">
        <v>519</v>
      </c>
      <c r="B194" s="1609">
        <v>54090.28</v>
      </c>
      <c r="C194" s="1608"/>
      <c r="D194">
        <f>+IFERROR(VLOOKUP($A194,'TB Final'!$B:$K,7,0),0)</f>
        <v>54090.28</v>
      </c>
      <c r="E194">
        <f>+IFERROR(VLOOKUP($A194,'TB Final'!$B:$K,10,0),0)</f>
        <v>0</v>
      </c>
      <c r="F194">
        <f t="shared" si="4"/>
        <v>0</v>
      </c>
      <c r="G194">
        <f t="shared" si="5"/>
        <v>0</v>
      </c>
    </row>
    <row r="195" spans="1:7">
      <c r="A195" s="1607" t="s">
        <v>520</v>
      </c>
      <c r="B195" s="1609">
        <v>643125</v>
      </c>
      <c r="C195" s="1608"/>
      <c r="D195">
        <f>+IFERROR(VLOOKUP($A195,'TB Final'!$B:$K,7,0),0)</f>
        <v>643125</v>
      </c>
      <c r="E195">
        <f>+IFERROR(VLOOKUP($A195,'TB Final'!$B:$K,10,0),0)</f>
        <v>0</v>
      </c>
      <c r="F195">
        <f t="shared" si="4"/>
        <v>0</v>
      </c>
      <c r="G195">
        <f t="shared" si="5"/>
        <v>0</v>
      </c>
    </row>
    <row r="196" spans="1:7">
      <c r="A196" s="1607" t="s">
        <v>521</v>
      </c>
      <c r="B196" s="1609">
        <v>53221</v>
      </c>
      <c r="C196" s="1608"/>
      <c r="D196">
        <f>+IFERROR(VLOOKUP($A196,'TB Final'!$B:$K,7,0),0)</f>
        <v>53221</v>
      </c>
      <c r="E196">
        <f>+IFERROR(VLOOKUP($A196,'TB Final'!$B:$K,10,0),0)</f>
        <v>0</v>
      </c>
      <c r="F196">
        <f t="shared" si="4"/>
        <v>0</v>
      </c>
      <c r="G196">
        <f t="shared" si="5"/>
        <v>0</v>
      </c>
    </row>
    <row r="197" spans="1:7">
      <c r="A197" s="1607" t="s">
        <v>522</v>
      </c>
      <c r="B197" s="1608"/>
      <c r="C197" s="1609">
        <v>5700468</v>
      </c>
      <c r="D197">
        <f>+IFERROR(VLOOKUP($A197,'TB Final'!$B:$K,7,0),0)</f>
        <v>0</v>
      </c>
      <c r="E197">
        <f>+IFERROR(VLOOKUP($A197,'TB Final'!$B:$K,10,0),0)</f>
        <v>5700468</v>
      </c>
      <c r="F197">
        <f t="shared" si="4"/>
        <v>0</v>
      </c>
      <c r="G197">
        <f t="shared" si="5"/>
        <v>0</v>
      </c>
    </row>
    <row r="198" spans="1:7">
      <c r="A198" s="1607" t="s">
        <v>253</v>
      </c>
      <c r="B198" s="1609">
        <v>131217.84</v>
      </c>
      <c r="C198" s="1608"/>
      <c r="D198">
        <f>+IFERROR(VLOOKUP($A198,'TB Final'!$B:$K,7,0),0)</f>
        <v>131217.84</v>
      </c>
      <c r="E198">
        <f>+IFERROR(VLOOKUP($A198,'TB Final'!$B:$K,10,0),0)</f>
        <v>0</v>
      </c>
      <c r="F198">
        <f t="shared" si="4"/>
        <v>0</v>
      </c>
      <c r="G198">
        <f t="shared" si="5"/>
        <v>0</v>
      </c>
    </row>
    <row r="199" spans="1:7">
      <c r="A199" s="1607" t="s">
        <v>394</v>
      </c>
      <c r="B199" s="1608"/>
      <c r="C199" s="1609">
        <v>313012</v>
      </c>
      <c r="D199">
        <f>+IFERROR(VLOOKUP($A199,'TB Final'!$B:$K,7,0),0)</f>
        <v>0</v>
      </c>
      <c r="E199">
        <f>+IFERROR(VLOOKUP($A199,'TB Final'!$B:$K,10,0),0)</f>
        <v>313012</v>
      </c>
      <c r="F199">
        <f t="shared" si="4"/>
        <v>0</v>
      </c>
      <c r="G199">
        <f t="shared" si="5"/>
        <v>0</v>
      </c>
    </row>
    <row r="200" spans="1:7">
      <c r="A200" s="1607" t="s">
        <v>254</v>
      </c>
      <c r="B200" s="1609">
        <v>56914</v>
      </c>
      <c r="C200" s="1608"/>
      <c r="D200">
        <f>+IFERROR(VLOOKUP($A200,'TB Final'!$B:$K,7,0),0)</f>
        <v>56914</v>
      </c>
      <c r="E200">
        <f>+IFERROR(VLOOKUP($A200,'TB Final'!$B:$K,10,0),0)</f>
        <v>0</v>
      </c>
      <c r="F200">
        <f t="shared" si="4"/>
        <v>0</v>
      </c>
      <c r="G200">
        <f t="shared" si="5"/>
        <v>0</v>
      </c>
    </row>
    <row r="201" spans="1:7">
      <c r="A201" s="1607" t="s">
        <v>256</v>
      </c>
      <c r="B201" s="1609">
        <v>470140.39</v>
      </c>
      <c r="C201" s="1608"/>
      <c r="D201">
        <f>+IFERROR(VLOOKUP($A201,'TB Final'!$B:$K,7,0),0)</f>
        <v>470140.39</v>
      </c>
      <c r="E201">
        <f>+IFERROR(VLOOKUP($A201,'TB Final'!$B:$K,10,0),0)</f>
        <v>0</v>
      </c>
      <c r="F201">
        <f t="shared" si="4"/>
        <v>0</v>
      </c>
      <c r="G201">
        <f t="shared" si="5"/>
        <v>0</v>
      </c>
    </row>
    <row r="202" spans="1:7">
      <c r="A202" s="1607" t="s">
        <v>258</v>
      </c>
      <c r="B202" s="1609">
        <v>12870</v>
      </c>
      <c r="C202" s="1608"/>
      <c r="D202">
        <f>+IFERROR(VLOOKUP($A202,'TB Final'!$B:$K,7,0),0)</f>
        <v>12870</v>
      </c>
      <c r="E202">
        <f>+IFERROR(VLOOKUP($A202,'TB Final'!$B:$K,10,0),0)</f>
        <v>0</v>
      </c>
      <c r="F202">
        <f t="shared" si="4"/>
        <v>0</v>
      </c>
      <c r="G202">
        <f t="shared" si="5"/>
        <v>0</v>
      </c>
    </row>
    <row r="203" spans="1:7">
      <c r="A203" s="1607" t="s">
        <v>260</v>
      </c>
      <c r="B203" s="1609">
        <v>54676</v>
      </c>
      <c r="C203" s="1608"/>
      <c r="D203">
        <f>+IFERROR(VLOOKUP($A203,'TB Final'!$B:$K,7,0),0)</f>
        <v>54676</v>
      </c>
      <c r="E203">
        <f>+IFERROR(VLOOKUP($A203,'TB Final'!$B:$K,10,0),0)</f>
        <v>0</v>
      </c>
      <c r="F203">
        <f t="shared" si="4"/>
        <v>0</v>
      </c>
      <c r="G203">
        <f t="shared" si="5"/>
        <v>0</v>
      </c>
    </row>
    <row r="204" spans="1:7">
      <c r="A204" s="1607" t="s">
        <v>261</v>
      </c>
      <c r="B204" s="1608"/>
      <c r="C204" s="1609">
        <v>354825</v>
      </c>
      <c r="D204">
        <f>+IFERROR(VLOOKUP($A204,'TB Final'!$B:$K,7,0),0)</f>
        <v>0</v>
      </c>
      <c r="E204">
        <f>+IFERROR(VLOOKUP($A204,'TB Final'!$B:$K,10,0),0)</f>
        <v>354825</v>
      </c>
      <c r="F204">
        <f t="shared" si="4"/>
        <v>0</v>
      </c>
      <c r="G204">
        <f t="shared" si="5"/>
        <v>0</v>
      </c>
    </row>
    <row r="205" spans="1:7">
      <c r="A205" s="1607" t="s">
        <v>257</v>
      </c>
      <c r="B205" s="1609">
        <v>5210528.92</v>
      </c>
      <c r="C205" s="1608"/>
      <c r="D205">
        <f>+IFERROR(VLOOKUP($A205,'TB Final'!$B:$K,7,0),0)</f>
        <v>5210528.92</v>
      </c>
      <c r="E205">
        <f>+IFERROR(VLOOKUP($A205,'TB Final'!$B:$K,10,0),0)</f>
        <v>0</v>
      </c>
      <c r="F205">
        <f t="shared" ref="F205:F268" si="6">+B205-D205</f>
        <v>0</v>
      </c>
      <c r="G205">
        <f t="shared" ref="G205:G268" si="7">+C205-E205</f>
        <v>0</v>
      </c>
    </row>
    <row r="206" spans="1:7">
      <c r="A206" s="1607" t="s">
        <v>262</v>
      </c>
      <c r="B206" s="1609">
        <v>490236</v>
      </c>
      <c r="C206" s="1608"/>
      <c r="D206">
        <f>+IFERROR(VLOOKUP($A206,'TB Final'!$B:$K,7,0),0)</f>
        <v>490236</v>
      </c>
      <c r="E206">
        <f>+IFERROR(VLOOKUP($A206,'TB Final'!$B:$K,10,0),0)</f>
        <v>0</v>
      </c>
      <c r="F206">
        <f t="shared" si="6"/>
        <v>0</v>
      </c>
      <c r="G206">
        <f t="shared" si="7"/>
        <v>0</v>
      </c>
    </row>
    <row r="207" spans="1:7">
      <c r="A207" s="1607" t="s">
        <v>263</v>
      </c>
      <c r="B207" s="1608"/>
      <c r="C207" s="1609">
        <v>16497</v>
      </c>
      <c r="D207">
        <f>+IFERROR(VLOOKUP($A207,'TB Final'!$B:$K,7,0),0)</f>
        <v>0</v>
      </c>
      <c r="E207">
        <f>+IFERROR(VLOOKUP($A207,'TB Final'!$B:$K,10,0),0)</f>
        <v>16497</v>
      </c>
      <c r="F207">
        <f t="shared" si="6"/>
        <v>0</v>
      </c>
      <c r="G207">
        <f t="shared" si="7"/>
        <v>0</v>
      </c>
    </row>
    <row r="208" spans="1:7">
      <c r="A208" s="1607" t="s">
        <v>264</v>
      </c>
      <c r="B208" s="1608"/>
      <c r="C208" s="1609">
        <v>430942</v>
      </c>
      <c r="D208">
        <f>+IFERROR(VLOOKUP($A208,'TB Final'!$B:$K,7,0),0)</f>
        <v>0</v>
      </c>
      <c r="E208">
        <f>+IFERROR(VLOOKUP($A208,'TB Final'!$B:$K,10,0),0)</f>
        <v>430942</v>
      </c>
      <c r="F208">
        <f t="shared" si="6"/>
        <v>0</v>
      </c>
      <c r="G208">
        <f t="shared" si="7"/>
        <v>0</v>
      </c>
    </row>
    <row r="209" spans="1:7">
      <c r="A209" s="1607" t="s">
        <v>525</v>
      </c>
      <c r="B209" s="1608"/>
      <c r="C209" s="1609">
        <v>437513</v>
      </c>
      <c r="D209">
        <f>+IFERROR(VLOOKUP($A209,'TB Final'!$B:$K,7,0),0)</f>
        <v>0</v>
      </c>
      <c r="E209">
        <f>+IFERROR(VLOOKUP($A209,'TB Final'!$B:$K,10,0),0)</f>
        <v>437513</v>
      </c>
      <c r="F209">
        <f t="shared" si="6"/>
        <v>0</v>
      </c>
      <c r="G209">
        <f t="shared" si="7"/>
        <v>0</v>
      </c>
    </row>
    <row r="210" spans="1:7">
      <c r="A210" s="1607" t="s">
        <v>265</v>
      </c>
      <c r="B210" s="1608"/>
      <c r="C210" s="1609">
        <v>544625</v>
      </c>
      <c r="D210">
        <f>+IFERROR(VLOOKUP($A210,'TB Final'!$B:$K,7,0),0)</f>
        <v>0</v>
      </c>
      <c r="E210">
        <f>+IFERROR(VLOOKUP($A210,'TB Final'!$B:$K,10,0),0)</f>
        <v>544625</v>
      </c>
      <c r="F210">
        <f t="shared" si="6"/>
        <v>0</v>
      </c>
      <c r="G210">
        <f t="shared" si="7"/>
        <v>0</v>
      </c>
    </row>
    <row r="211" spans="1:7">
      <c r="A211" s="1607" t="s">
        <v>266</v>
      </c>
      <c r="B211" s="1609">
        <v>450</v>
      </c>
      <c r="C211" s="1608"/>
      <c r="D211">
        <f>+IFERROR(VLOOKUP($A211,'TB Final'!$B:$K,7,0),0)</f>
        <v>450</v>
      </c>
      <c r="E211">
        <f>+IFERROR(VLOOKUP($A211,'TB Final'!$B:$K,10,0),0)</f>
        <v>0</v>
      </c>
      <c r="F211">
        <f t="shared" si="6"/>
        <v>0</v>
      </c>
      <c r="G211">
        <f t="shared" si="7"/>
        <v>0</v>
      </c>
    </row>
    <row r="212" spans="1:7">
      <c r="A212" s="1607" t="s">
        <v>267</v>
      </c>
      <c r="B212" s="1609">
        <v>5000</v>
      </c>
      <c r="C212" s="1608"/>
      <c r="D212">
        <f>+IFERROR(VLOOKUP($A212,'TB Final'!$B:$K,7,0),0)</f>
        <v>5000</v>
      </c>
      <c r="E212">
        <f>+IFERROR(VLOOKUP($A212,'TB Final'!$B:$K,10,0),0)</f>
        <v>0</v>
      </c>
      <c r="F212">
        <f t="shared" si="6"/>
        <v>0</v>
      </c>
      <c r="G212">
        <f t="shared" si="7"/>
        <v>0</v>
      </c>
    </row>
    <row r="213" spans="1:7">
      <c r="A213" s="1607" t="s">
        <v>268</v>
      </c>
      <c r="B213" s="1609">
        <v>450</v>
      </c>
      <c r="C213" s="1608"/>
      <c r="D213">
        <f>+IFERROR(VLOOKUP($A213,'TB Final'!$B:$K,7,0),0)</f>
        <v>450</v>
      </c>
      <c r="E213">
        <f>+IFERROR(VLOOKUP($A213,'TB Final'!$B:$K,10,0),0)</f>
        <v>0</v>
      </c>
      <c r="F213">
        <f t="shared" si="6"/>
        <v>0</v>
      </c>
      <c r="G213">
        <f t="shared" si="7"/>
        <v>0</v>
      </c>
    </row>
    <row r="214" spans="1:7">
      <c r="A214" s="1607" t="s">
        <v>2976</v>
      </c>
      <c r="B214" s="1609">
        <v>217</v>
      </c>
      <c r="C214" s="1608"/>
      <c r="D214">
        <f>+IFERROR(VLOOKUP($A214,'TB Final'!$B:$K,7,0),0)</f>
        <v>217</v>
      </c>
      <c r="E214">
        <f>+IFERROR(VLOOKUP($A214,'TB Final'!$B:$K,10,0),0)</f>
        <v>0</v>
      </c>
      <c r="F214">
        <f t="shared" si="6"/>
        <v>0</v>
      </c>
      <c r="G214">
        <f t="shared" si="7"/>
        <v>0</v>
      </c>
    </row>
    <row r="215" spans="1:7">
      <c r="A215" s="1607" t="s">
        <v>270</v>
      </c>
      <c r="B215" s="1609">
        <v>348624149.81</v>
      </c>
      <c r="C215" s="1608"/>
      <c r="D215">
        <f>+IFERROR(VLOOKUP($A215,'TB Final'!$B:$K,7,0),0)</f>
        <v>348624149.81</v>
      </c>
      <c r="E215">
        <f>+IFERROR(VLOOKUP($A215,'TB Final'!$B:$K,10,0),0)</f>
        <v>0</v>
      </c>
      <c r="F215">
        <f t="shared" si="6"/>
        <v>0</v>
      </c>
      <c r="G215">
        <f t="shared" si="7"/>
        <v>0</v>
      </c>
    </row>
    <row r="216" spans="1:7">
      <c r="A216" s="1607" t="s">
        <v>526</v>
      </c>
      <c r="B216" s="1608"/>
      <c r="C216" s="1609">
        <v>333000</v>
      </c>
      <c r="D216">
        <f>+IFERROR(VLOOKUP($A216,'TB Final'!$B:$K,7,0),0)</f>
        <v>0</v>
      </c>
      <c r="E216">
        <f>+IFERROR(VLOOKUP($A216,'TB Final'!$B:$K,10,0),0)</f>
        <v>333000</v>
      </c>
      <c r="F216">
        <f t="shared" si="6"/>
        <v>0</v>
      </c>
      <c r="G216">
        <f t="shared" si="7"/>
        <v>0</v>
      </c>
    </row>
    <row r="217" spans="1:7">
      <c r="A217" s="1607" t="s">
        <v>527</v>
      </c>
      <c r="B217" s="1609">
        <v>72027</v>
      </c>
      <c r="C217" s="1608"/>
      <c r="D217">
        <f>+IFERROR(VLOOKUP($A217,'TB Final'!$B:$K,7,0),0)</f>
        <v>72027</v>
      </c>
      <c r="E217">
        <f>+IFERROR(VLOOKUP($A217,'TB Final'!$B:$K,10,0),0)</f>
        <v>0</v>
      </c>
      <c r="F217">
        <f t="shared" si="6"/>
        <v>0</v>
      </c>
      <c r="G217">
        <f t="shared" si="7"/>
        <v>0</v>
      </c>
    </row>
    <row r="218" spans="1:7">
      <c r="A218" s="1607" t="s">
        <v>271</v>
      </c>
      <c r="B218" s="1608"/>
      <c r="C218" s="1609">
        <v>1103470</v>
      </c>
      <c r="D218">
        <f>+IFERROR(VLOOKUP($A218,'TB Final'!$B:$K,7,0),0)</f>
        <v>0</v>
      </c>
      <c r="E218">
        <f>+IFERROR(VLOOKUP($A218,'TB Final'!$B:$K,10,0),0)</f>
        <v>1103470</v>
      </c>
      <c r="F218">
        <f t="shared" si="6"/>
        <v>0</v>
      </c>
      <c r="G218">
        <f t="shared" si="7"/>
        <v>0</v>
      </c>
    </row>
    <row r="219" spans="1:7">
      <c r="A219" s="1607" t="s">
        <v>2977</v>
      </c>
      <c r="B219" s="1609">
        <v>2498493</v>
      </c>
      <c r="C219" s="1608"/>
      <c r="D219">
        <f>+IFERROR(VLOOKUP($A219,'TB Final'!$B:$K,7,0),0)</f>
        <v>2498493</v>
      </c>
      <c r="E219">
        <f>+IFERROR(VLOOKUP($A219,'TB Final'!$B:$K,10,0),0)</f>
        <v>0</v>
      </c>
      <c r="F219">
        <f t="shared" si="6"/>
        <v>0</v>
      </c>
      <c r="G219">
        <f t="shared" si="7"/>
        <v>0</v>
      </c>
    </row>
    <row r="220" spans="1:7">
      <c r="A220" s="1607" t="s">
        <v>2978</v>
      </c>
      <c r="B220" s="1608"/>
      <c r="C220" s="1609">
        <v>40020</v>
      </c>
      <c r="D220">
        <f>+IFERROR(VLOOKUP($A220,'TB Final'!$B:$K,7,0),0)</f>
        <v>0</v>
      </c>
      <c r="E220">
        <f>+IFERROR(VLOOKUP($A220,'TB Final'!$B:$K,10,0),0)</f>
        <v>40020</v>
      </c>
      <c r="F220">
        <f t="shared" si="6"/>
        <v>0</v>
      </c>
      <c r="G220">
        <f t="shared" si="7"/>
        <v>0</v>
      </c>
    </row>
    <row r="221" spans="1:7">
      <c r="A221" s="1607" t="s">
        <v>2979</v>
      </c>
      <c r="B221" s="1608"/>
      <c r="C221" s="1609">
        <v>93400</v>
      </c>
      <c r="D221">
        <f>+IFERROR(VLOOKUP($A221,'TB Final'!$B:$K,7,0),0)</f>
        <v>0</v>
      </c>
      <c r="E221">
        <f>+IFERROR(VLOOKUP($A221,'TB Final'!$B:$K,10,0),0)</f>
        <v>93400</v>
      </c>
      <c r="F221">
        <f t="shared" si="6"/>
        <v>0</v>
      </c>
      <c r="G221">
        <f t="shared" si="7"/>
        <v>0</v>
      </c>
    </row>
    <row r="222" spans="1:7">
      <c r="A222" s="1607" t="s">
        <v>273</v>
      </c>
      <c r="B222" s="1609">
        <v>990425</v>
      </c>
      <c r="C222" s="1608"/>
      <c r="D222">
        <f>+IFERROR(VLOOKUP($A222,'TB Final'!$B:$K,7,0),0)</f>
        <v>990425</v>
      </c>
      <c r="E222">
        <f>+IFERROR(VLOOKUP($A222,'TB Final'!$B:$K,10,0),0)</f>
        <v>0</v>
      </c>
      <c r="F222">
        <f t="shared" si="6"/>
        <v>0</v>
      </c>
      <c r="G222">
        <f t="shared" si="7"/>
        <v>0</v>
      </c>
    </row>
    <row r="223" spans="1:7">
      <c r="A223" s="1607" t="s">
        <v>2980</v>
      </c>
      <c r="B223" s="1609">
        <v>515309</v>
      </c>
      <c r="C223" s="1608"/>
      <c r="D223">
        <f>+IFERROR(VLOOKUP($A223,'TB Final'!$B:$K,7,0),0)</f>
        <v>515309</v>
      </c>
      <c r="E223">
        <f>+IFERROR(VLOOKUP($A223,'TB Final'!$B:$K,10,0),0)</f>
        <v>0</v>
      </c>
      <c r="F223">
        <f t="shared" si="6"/>
        <v>0</v>
      </c>
      <c r="G223">
        <f t="shared" si="7"/>
        <v>0</v>
      </c>
    </row>
    <row r="224" spans="1:7">
      <c r="A224" s="1607" t="s">
        <v>3063</v>
      </c>
      <c r="B224" s="1608"/>
      <c r="C224" s="1609">
        <v>19514</v>
      </c>
      <c r="D224">
        <f>+IFERROR(VLOOKUP($A224,'TB Final'!$B:$K,7,0),0)</f>
        <v>0</v>
      </c>
      <c r="E224">
        <f>+IFERROR(VLOOKUP($A224,'TB Final'!$B:$K,10,0),0)</f>
        <v>19514</v>
      </c>
      <c r="F224">
        <f t="shared" si="6"/>
        <v>0</v>
      </c>
      <c r="G224">
        <f t="shared" si="7"/>
        <v>0</v>
      </c>
    </row>
    <row r="225" spans="1:7">
      <c r="A225" s="1607" t="s">
        <v>275</v>
      </c>
      <c r="B225" s="1609">
        <v>774063</v>
      </c>
      <c r="C225" s="1608"/>
      <c r="D225">
        <f>+IFERROR(VLOOKUP($A225,'TB Final'!$B:$K,7,0),0)</f>
        <v>774063</v>
      </c>
      <c r="E225">
        <f>+IFERROR(VLOOKUP($A225,'TB Final'!$B:$K,10,0),0)</f>
        <v>0</v>
      </c>
      <c r="F225">
        <f t="shared" si="6"/>
        <v>0</v>
      </c>
      <c r="G225">
        <f t="shared" si="7"/>
        <v>0</v>
      </c>
    </row>
    <row r="226" spans="1:7">
      <c r="A226" s="1607" t="s">
        <v>276</v>
      </c>
      <c r="B226" s="1609">
        <v>2500</v>
      </c>
      <c r="C226" s="1608"/>
      <c r="D226">
        <f>+IFERROR(VLOOKUP($A226,'TB Final'!$B:$K,7,0),0)</f>
        <v>2500</v>
      </c>
      <c r="E226">
        <f>+IFERROR(VLOOKUP($A226,'TB Final'!$B:$K,10,0),0)</f>
        <v>0</v>
      </c>
      <c r="F226">
        <f t="shared" si="6"/>
        <v>0</v>
      </c>
      <c r="G226">
        <f t="shared" si="7"/>
        <v>0</v>
      </c>
    </row>
    <row r="227" spans="1:7">
      <c r="A227" s="1607" t="s">
        <v>529</v>
      </c>
      <c r="B227" s="1608"/>
      <c r="C227" s="1609">
        <v>127241303.03</v>
      </c>
      <c r="D227">
        <f>+IFERROR(VLOOKUP($A227,'TB Final'!$B:$K,7,0),0)</f>
        <v>0</v>
      </c>
      <c r="E227">
        <f>+IFERROR(VLOOKUP($A227,'TB Final'!$B:$K,10,0),0)</f>
        <v>127241303.03</v>
      </c>
      <c r="F227">
        <f t="shared" si="6"/>
        <v>0</v>
      </c>
      <c r="G227">
        <f t="shared" si="7"/>
        <v>0</v>
      </c>
    </row>
    <row r="228" spans="1:7">
      <c r="A228" s="1607" t="s">
        <v>4718</v>
      </c>
      <c r="B228" s="1609">
        <v>84364</v>
      </c>
      <c r="C228" s="1608"/>
      <c r="D228">
        <f>+IFERROR(VLOOKUP($A228,'TB Final'!$B:$K,7,0),0)</f>
        <v>84364</v>
      </c>
      <c r="E228">
        <f>+IFERROR(VLOOKUP($A228,'TB Final'!$B:$K,10,0),0)</f>
        <v>0</v>
      </c>
      <c r="F228">
        <f t="shared" si="6"/>
        <v>0</v>
      </c>
      <c r="G228">
        <f t="shared" si="7"/>
        <v>0</v>
      </c>
    </row>
    <row r="229" spans="1:7">
      <c r="A229" s="1607" t="s">
        <v>279</v>
      </c>
      <c r="B229" s="1608"/>
      <c r="C229" s="1609">
        <v>9444000</v>
      </c>
      <c r="D229">
        <f>+IFERROR(VLOOKUP($A229,'TB Final'!$B:$K,7,0),0)</f>
        <v>0</v>
      </c>
      <c r="E229">
        <f>+IFERROR(VLOOKUP($A229,'TB Final'!$B:$K,10,0),0)</f>
        <v>9444000</v>
      </c>
      <c r="F229">
        <f t="shared" si="6"/>
        <v>0</v>
      </c>
      <c r="G229">
        <f t="shared" si="7"/>
        <v>0</v>
      </c>
    </row>
    <row r="230" spans="1:7">
      <c r="A230" s="1607" t="s">
        <v>530</v>
      </c>
      <c r="B230" s="1609">
        <v>1547993</v>
      </c>
      <c r="C230" s="1608"/>
      <c r="D230">
        <f>+IFERROR(VLOOKUP($A230,'TB Final'!$B:$K,7,0),0)</f>
        <v>1547993</v>
      </c>
      <c r="E230">
        <f>+IFERROR(VLOOKUP($A230,'TB Final'!$B:$K,10,0),0)</f>
        <v>0</v>
      </c>
      <c r="F230">
        <f t="shared" si="6"/>
        <v>0</v>
      </c>
      <c r="G230">
        <f t="shared" si="7"/>
        <v>0</v>
      </c>
    </row>
    <row r="231" spans="1:7">
      <c r="A231" s="1607" t="s">
        <v>281</v>
      </c>
      <c r="B231" s="1608"/>
      <c r="C231" s="1609">
        <v>5971965</v>
      </c>
      <c r="D231">
        <f>+IFERROR(VLOOKUP($A231,'TB Final'!$B:$K,7,0),0)</f>
        <v>0</v>
      </c>
      <c r="E231">
        <f>+IFERROR(VLOOKUP($A231,'TB Final'!$B:$K,10,0),0)</f>
        <v>5916298</v>
      </c>
      <c r="F231">
        <f t="shared" si="6"/>
        <v>0</v>
      </c>
      <c r="G231">
        <f t="shared" si="7"/>
        <v>55667</v>
      </c>
    </row>
    <row r="232" spans="1:7">
      <c r="A232" s="1607" t="s">
        <v>282</v>
      </c>
      <c r="B232" s="1608"/>
      <c r="C232" s="1609">
        <v>10989233.91</v>
      </c>
      <c r="D232">
        <f>+IFERROR(VLOOKUP($A232,'TB Final'!$B:$K,7,0),0)</f>
        <v>0</v>
      </c>
      <c r="E232">
        <f>+IFERROR(VLOOKUP($A232,'TB Final'!$B:$K,10,0),0)</f>
        <v>10989233.91</v>
      </c>
      <c r="F232">
        <f t="shared" si="6"/>
        <v>0</v>
      </c>
      <c r="G232">
        <f t="shared" si="7"/>
        <v>0</v>
      </c>
    </row>
    <row r="233" spans="1:7">
      <c r="A233" s="1607" t="s">
        <v>531</v>
      </c>
      <c r="B233" s="1608"/>
      <c r="C233" s="1609">
        <v>869014.41</v>
      </c>
      <c r="D233">
        <f>+IFERROR(VLOOKUP($A233,'TB Final'!$B:$K,7,0),0)</f>
        <v>0</v>
      </c>
      <c r="E233">
        <f>+IFERROR(VLOOKUP($A233,'TB Final'!$B:$K,10,0),0)</f>
        <v>869014.41</v>
      </c>
      <c r="F233">
        <f t="shared" si="6"/>
        <v>0</v>
      </c>
      <c r="G233">
        <f t="shared" si="7"/>
        <v>0</v>
      </c>
    </row>
    <row r="234" spans="1:7">
      <c r="A234" s="1607" t="s">
        <v>532</v>
      </c>
      <c r="B234" s="1608"/>
      <c r="C234" s="1609">
        <v>17269944.850000001</v>
      </c>
      <c r="D234">
        <f>+IFERROR(VLOOKUP($A234,'TB Final'!$B:$K,7,0),0)</f>
        <v>0</v>
      </c>
      <c r="E234">
        <f>+IFERROR(VLOOKUP($A234,'TB Final'!$B:$K,10,0),0)</f>
        <v>17269944.850000001</v>
      </c>
      <c r="F234">
        <f t="shared" si="6"/>
        <v>0</v>
      </c>
      <c r="G234">
        <f t="shared" si="7"/>
        <v>0</v>
      </c>
    </row>
    <row r="235" spans="1:7">
      <c r="A235" s="1607" t="s">
        <v>284</v>
      </c>
      <c r="B235" s="1608"/>
      <c r="C235" s="1609">
        <v>379192</v>
      </c>
      <c r="D235">
        <f>+IFERROR(VLOOKUP($A235,'TB Final'!$B:$K,7,0),0)</f>
        <v>0</v>
      </c>
      <c r="E235">
        <f>+IFERROR(VLOOKUP($A235,'TB Final'!$B:$K,10,0),0)</f>
        <v>379192</v>
      </c>
      <c r="F235">
        <f t="shared" si="6"/>
        <v>0</v>
      </c>
      <c r="G235">
        <f t="shared" si="7"/>
        <v>0</v>
      </c>
    </row>
    <row r="236" spans="1:7">
      <c r="A236" s="1607" t="s">
        <v>533</v>
      </c>
      <c r="B236" s="1608"/>
      <c r="C236" s="1609">
        <v>1218124.6399999999</v>
      </c>
      <c r="D236">
        <f>+IFERROR(VLOOKUP($A236,'TB Final'!$B:$K,7,0),0)</f>
        <v>0</v>
      </c>
      <c r="E236">
        <f>+IFERROR(VLOOKUP($A236,'TB Final'!$B:$K,10,0),0)</f>
        <v>1218124.6399999999</v>
      </c>
      <c r="F236">
        <f t="shared" si="6"/>
        <v>0</v>
      </c>
      <c r="G236">
        <f t="shared" si="7"/>
        <v>0</v>
      </c>
    </row>
    <row r="237" spans="1:7">
      <c r="A237" s="1607" t="s">
        <v>534</v>
      </c>
      <c r="B237" s="1608"/>
      <c r="C237" s="1609">
        <v>926478.12</v>
      </c>
      <c r="D237">
        <f>+IFERROR(VLOOKUP($A237,'TB Final'!$B:$K,7,0),0)</f>
        <v>0</v>
      </c>
      <c r="E237">
        <f>+IFERROR(VLOOKUP($A237,'TB Final'!$B:$K,10,0),0)</f>
        <v>926478.12</v>
      </c>
      <c r="F237">
        <f t="shared" si="6"/>
        <v>0</v>
      </c>
      <c r="G237">
        <f t="shared" si="7"/>
        <v>0</v>
      </c>
    </row>
    <row r="238" spans="1:7">
      <c r="A238" s="1607" t="s">
        <v>535</v>
      </c>
      <c r="B238" s="1608"/>
      <c r="C238" s="1609">
        <v>130154367.81999999</v>
      </c>
      <c r="D238">
        <f>+IFERROR(VLOOKUP($A238,'TB Final'!$B:$K,7,0),0)</f>
        <v>0</v>
      </c>
      <c r="E238">
        <f>+IFERROR(VLOOKUP($A238,'TB Final'!$B:$K,10,0),0)</f>
        <v>130154367.81999999</v>
      </c>
      <c r="F238">
        <f t="shared" si="6"/>
        <v>0</v>
      </c>
      <c r="G238">
        <f t="shared" si="7"/>
        <v>0</v>
      </c>
    </row>
    <row r="239" spans="1:7">
      <c r="A239" s="1607" t="s">
        <v>536</v>
      </c>
      <c r="B239" s="1608"/>
      <c r="C239" s="1609">
        <v>1611557.77</v>
      </c>
      <c r="D239">
        <f>+IFERROR(VLOOKUP($A239,'TB Final'!$B:$K,7,0),0)</f>
        <v>0</v>
      </c>
      <c r="E239">
        <f>+IFERROR(VLOOKUP($A239,'TB Final'!$B:$K,10,0),0)</f>
        <v>1611557.77</v>
      </c>
      <c r="F239">
        <f t="shared" si="6"/>
        <v>0</v>
      </c>
      <c r="G239">
        <f t="shared" si="7"/>
        <v>0</v>
      </c>
    </row>
    <row r="240" spans="1:7">
      <c r="A240" s="1607" t="s">
        <v>288</v>
      </c>
      <c r="B240" s="1609">
        <v>122153</v>
      </c>
      <c r="C240" s="1608"/>
      <c r="D240">
        <f>+IFERROR(VLOOKUP($A240,'TB Final'!$B:$K,7,0),0)</f>
        <v>122153</v>
      </c>
      <c r="E240">
        <f>+IFERROR(VLOOKUP($A240,'TB Final'!$B:$K,10,0),0)</f>
        <v>0</v>
      </c>
      <c r="F240">
        <f t="shared" si="6"/>
        <v>0</v>
      </c>
      <c r="G240">
        <f t="shared" si="7"/>
        <v>0</v>
      </c>
    </row>
    <row r="241" spans="1:7">
      <c r="A241" s="1607" t="s">
        <v>291</v>
      </c>
      <c r="B241" s="1609">
        <v>271788</v>
      </c>
      <c r="C241" s="1608"/>
      <c r="D241">
        <f>+IFERROR(VLOOKUP($A241,'TB Final'!$B:$K,7,0),0)</f>
        <v>271788</v>
      </c>
      <c r="E241">
        <f>+IFERROR(VLOOKUP($A241,'TB Final'!$B:$K,10,0),0)</f>
        <v>0</v>
      </c>
      <c r="F241">
        <f t="shared" si="6"/>
        <v>0</v>
      </c>
      <c r="G241">
        <f t="shared" si="7"/>
        <v>0</v>
      </c>
    </row>
    <row r="242" spans="1:7">
      <c r="A242" s="1607" t="s">
        <v>290</v>
      </c>
      <c r="B242" s="1609">
        <v>139678</v>
      </c>
      <c r="C242" s="1608"/>
      <c r="D242">
        <f>+IFERROR(VLOOKUP($A242,'TB Final'!$B:$K,7,0),0)</f>
        <v>139678</v>
      </c>
      <c r="E242">
        <f>+IFERROR(VLOOKUP($A242,'TB Final'!$B:$K,10,0),0)</f>
        <v>0</v>
      </c>
      <c r="F242">
        <f t="shared" si="6"/>
        <v>0</v>
      </c>
      <c r="G242">
        <f t="shared" si="7"/>
        <v>0</v>
      </c>
    </row>
    <row r="243" spans="1:7">
      <c r="A243" s="1607" t="s">
        <v>285</v>
      </c>
      <c r="B243" s="1609">
        <v>34285</v>
      </c>
      <c r="C243" s="1608"/>
      <c r="D243">
        <f>+IFERROR(VLOOKUP($A243,'TB Final'!$B:$K,7,0),0)</f>
        <v>34285</v>
      </c>
      <c r="E243">
        <f>+IFERROR(VLOOKUP($A243,'TB Final'!$B:$K,10,0),0)</f>
        <v>0</v>
      </c>
      <c r="F243">
        <f t="shared" si="6"/>
        <v>0</v>
      </c>
      <c r="G243">
        <f t="shared" si="7"/>
        <v>0</v>
      </c>
    </row>
    <row r="244" spans="1:7">
      <c r="A244" s="1607" t="s">
        <v>537</v>
      </c>
      <c r="B244" s="1608"/>
      <c r="C244" s="1609">
        <v>3020979.7</v>
      </c>
      <c r="D244">
        <f>+IFERROR(VLOOKUP($A244,'TB Final'!$B:$K,7,0),0)</f>
        <v>0</v>
      </c>
      <c r="E244">
        <f>+IFERROR(VLOOKUP($A244,'TB Final'!$B:$K,10,0),0)</f>
        <v>3020979.7</v>
      </c>
      <c r="F244">
        <f t="shared" si="6"/>
        <v>0</v>
      </c>
      <c r="G244">
        <f t="shared" si="7"/>
        <v>0</v>
      </c>
    </row>
    <row r="245" spans="1:7">
      <c r="A245" s="1607" t="s">
        <v>292</v>
      </c>
      <c r="B245" s="1609">
        <v>11114075</v>
      </c>
      <c r="C245" s="1608"/>
      <c r="D245">
        <f>+IFERROR(VLOOKUP($A245,'TB Final'!$B:$K,7,0),0)</f>
        <v>11114075</v>
      </c>
      <c r="E245">
        <f>+IFERROR(VLOOKUP($A245,'TB Final'!$B:$K,10,0),0)</f>
        <v>0</v>
      </c>
      <c r="F245">
        <f t="shared" si="6"/>
        <v>0</v>
      </c>
      <c r="G245">
        <f t="shared" si="7"/>
        <v>0</v>
      </c>
    </row>
    <row r="246" spans="1:7">
      <c r="A246" s="1607" t="s">
        <v>2981</v>
      </c>
      <c r="B246" s="1608"/>
      <c r="C246" s="1609">
        <v>39629</v>
      </c>
      <c r="D246">
        <f>+IFERROR(VLOOKUP($A246,'TB Final'!$B:$K,7,0),0)</f>
        <v>0</v>
      </c>
      <c r="E246">
        <f>+IFERROR(VLOOKUP($A246,'TB Final'!$B:$K,10,0),0)</f>
        <v>39629</v>
      </c>
      <c r="F246">
        <f t="shared" si="6"/>
        <v>0</v>
      </c>
      <c r="G246">
        <f t="shared" si="7"/>
        <v>0</v>
      </c>
    </row>
    <row r="247" spans="1:7">
      <c r="A247" s="1607" t="s">
        <v>538</v>
      </c>
      <c r="B247" s="1608"/>
      <c r="C247" s="1609">
        <v>570460</v>
      </c>
      <c r="D247">
        <f>+IFERROR(VLOOKUP($A247,'TB Final'!$B:$K,7,0),0)</f>
        <v>0</v>
      </c>
      <c r="E247">
        <f>+IFERROR(VLOOKUP($A247,'TB Final'!$B:$K,10,0),0)</f>
        <v>570460</v>
      </c>
      <c r="F247">
        <f t="shared" si="6"/>
        <v>0</v>
      </c>
      <c r="G247">
        <f t="shared" si="7"/>
        <v>0</v>
      </c>
    </row>
    <row r="248" spans="1:7">
      <c r="A248" s="1607" t="s">
        <v>293</v>
      </c>
      <c r="B248" s="1609">
        <v>248584</v>
      </c>
      <c r="C248" s="1608"/>
      <c r="D248">
        <f>+IFERROR(VLOOKUP($A248,'TB Final'!$B:$K,7,0),0)</f>
        <v>248584</v>
      </c>
      <c r="E248">
        <f>+IFERROR(VLOOKUP($A248,'TB Final'!$B:$K,10,0),0)</f>
        <v>0</v>
      </c>
      <c r="F248">
        <f t="shared" si="6"/>
        <v>0</v>
      </c>
      <c r="G248">
        <f t="shared" si="7"/>
        <v>0</v>
      </c>
    </row>
    <row r="249" spans="1:7">
      <c r="A249" s="1607" t="s">
        <v>294</v>
      </c>
      <c r="B249" s="1609">
        <v>8366598</v>
      </c>
      <c r="C249" s="1608"/>
      <c r="D249">
        <f>+IFERROR(VLOOKUP($A249,'TB Final'!$B:$K,7,0),0)</f>
        <v>8366598</v>
      </c>
      <c r="E249">
        <f>+IFERROR(VLOOKUP($A249,'TB Final'!$B:$K,10,0),0)</f>
        <v>0</v>
      </c>
      <c r="F249">
        <f t="shared" si="6"/>
        <v>0</v>
      </c>
      <c r="G249">
        <f t="shared" si="7"/>
        <v>0</v>
      </c>
    </row>
    <row r="250" spans="1:7">
      <c r="A250" s="1607" t="s">
        <v>295</v>
      </c>
      <c r="B250" s="1609">
        <v>210</v>
      </c>
      <c r="C250" s="1608"/>
      <c r="D250">
        <f>+IFERROR(VLOOKUP($A250,'TB Final'!$B:$K,7,0),0)</f>
        <v>210</v>
      </c>
      <c r="E250">
        <f>+IFERROR(VLOOKUP($A250,'TB Final'!$B:$K,10,0),0)</f>
        <v>0</v>
      </c>
      <c r="F250">
        <f t="shared" si="6"/>
        <v>0</v>
      </c>
      <c r="G250">
        <f t="shared" si="7"/>
        <v>0</v>
      </c>
    </row>
    <row r="251" spans="1:7">
      <c r="A251" s="1607" t="s">
        <v>540</v>
      </c>
      <c r="B251" s="1609">
        <v>11174515.4</v>
      </c>
      <c r="C251" s="1608"/>
      <c r="D251">
        <f>+IFERROR(VLOOKUP($A251,'TB Final'!$B:$K,7,0),0)</f>
        <v>11174515.4</v>
      </c>
      <c r="E251">
        <f>+IFERROR(VLOOKUP($A251,'TB Final'!$B:$K,10,0),0)</f>
        <v>0</v>
      </c>
      <c r="F251">
        <f t="shared" si="6"/>
        <v>0</v>
      </c>
      <c r="G251">
        <f t="shared" si="7"/>
        <v>0</v>
      </c>
    </row>
    <row r="252" spans="1:7">
      <c r="A252" s="1607" t="s">
        <v>2982</v>
      </c>
      <c r="B252" s="1609">
        <v>11449790</v>
      </c>
      <c r="C252" s="1608"/>
      <c r="D252">
        <f>+IFERROR(VLOOKUP($A252,'TB Final'!$B:$K,7,0),0)</f>
        <v>11449790</v>
      </c>
      <c r="E252">
        <f>+IFERROR(VLOOKUP($A252,'TB Final'!$B:$K,10,0),0)</f>
        <v>0</v>
      </c>
      <c r="F252">
        <f t="shared" si="6"/>
        <v>0</v>
      </c>
      <c r="G252">
        <f t="shared" si="7"/>
        <v>0</v>
      </c>
    </row>
    <row r="253" spans="1:7">
      <c r="A253" s="1607" t="s">
        <v>2983</v>
      </c>
      <c r="B253" s="1608"/>
      <c r="C253" s="1609">
        <v>328373</v>
      </c>
      <c r="D253">
        <f>+IFERROR(VLOOKUP($A253,'TB Final'!$B:$K,7,0),0)</f>
        <v>0</v>
      </c>
      <c r="E253">
        <f>+IFERROR(VLOOKUP($A253,'TB Final'!$B:$K,10,0),0)</f>
        <v>328373</v>
      </c>
      <c r="F253">
        <f t="shared" si="6"/>
        <v>0</v>
      </c>
      <c r="G253">
        <f t="shared" si="7"/>
        <v>0</v>
      </c>
    </row>
    <row r="254" spans="1:7">
      <c r="A254" s="1607" t="s">
        <v>301</v>
      </c>
      <c r="B254" s="1608"/>
      <c r="C254" s="1609">
        <v>3493498</v>
      </c>
      <c r="D254">
        <f>+IFERROR(VLOOKUP($A254,'TB Final'!$B:$K,7,0),0)</f>
        <v>0</v>
      </c>
      <c r="E254">
        <f>+IFERROR(VLOOKUP($A254,'TB Final'!$B:$K,10,0),0)</f>
        <v>3493498</v>
      </c>
      <c r="F254">
        <f t="shared" si="6"/>
        <v>0</v>
      </c>
      <c r="G254">
        <f t="shared" si="7"/>
        <v>0</v>
      </c>
    </row>
    <row r="255" spans="1:7">
      <c r="A255" s="1607" t="s">
        <v>2984</v>
      </c>
      <c r="B255" s="1609">
        <v>846</v>
      </c>
      <c r="C255" s="1608"/>
      <c r="D255">
        <f>+IFERROR(VLOOKUP($A255,'TB Final'!$B:$K,7,0),0)</f>
        <v>846</v>
      </c>
      <c r="E255">
        <f>+IFERROR(VLOOKUP($A255,'TB Final'!$B:$K,10,0),0)</f>
        <v>0</v>
      </c>
      <c r="F255">
        <f t="shared" si="6"/>
        <v>0</v>
      </c>
      <c r="G255">
        <f t="shared" si="7"/>
        <v>0</v>
      </c>
    </row>
    <row r="256" spans="1:7">
      <c r="A256" s="1607" t="s">
        <v>82</v>
      </c>
      <c r="B256" s="1609">
        <v>248399</v>
      </c>
      <c r="C256" s="1608"/>
      <c r="D256">
        <f>+IFERROR(VLOOKUP($A256,'TB Final'!$B:$K,7,0),0)</f>
        <v>248399</v>
      </c>
      <c r="E256">
        <f>+IFERROR(VLOOKUP($A256,'TB Final'!$B:$K,10,0),0)</f>
        <v>0</v>
      </c>
      <c r="F256">
        <f t="shared" si="6"/>
        <v>0</v>
      </c>
      <c r="G256">
        <f t="shared" si="7"/>
        <v>0</v>
      </c>
    </row>
    <row r="257" spans="1:7">
      <c r="A257" s="1607" t="s">
        <v>2565</v>
      </c>
      <c r="B257" s="1609">
        <v>15000</v>
      </c>
      <c r="C257" s="1608"/>
      <c r="D257">
        <f>+IFERROR(VLOOKUP($A257,'TB Final'!$B:$K,7,0),0)</f>
        <v>15000</v>
      </c>
      <c r="E257">
        <f>+IFERROR(VLOOKUP($A257,'TB Final'!$B:$K,10,0),0)</f>
        <v>0</v>
      </c>
      <c r="F257">
        <f t="shared" si="6"/>
        <v>0</v>
      </c>
      <c r="G257">
        <f t="shared" si="7"/>
        <v>0</v>
      </c>
    </row>
    <row r="258" spans="1:7">
      <c r="A258" s="1607" t="s">
        <v>303</v>
      </c>
      <c r="B258" s="1609">
        <v>3685087.84</v>
      </c>
      <c r="C258" s="1608"/>
      <c r="D258">
        <f>+IFERROR(VLOOKUP($A258,'TB Final'!$B:$K,7,0),0)</f>
        <v>3685087.84</v>
      </c>
      <c r="E258">
        <f>+IFERROR(VLOOKUP($A258,'TB Final'!$B:$K,10,0),0)</f>
        <v>0</v>
      </c>
      <c r="F258">
        <f t="shared" si="6"/>
        <v>0</v>
      </c>
      <c r="G258">
        <f t="shared" si="7"/>
        <v>0</v>
      </c>
    </row>
    <row r="259" spans="1:7">
      <c r="A259" s="1607" t="s">
        <v>299</v>
      </c>
      <c r="B259" s="1609">
        <v>1924603.5</v>
      </c>
      <c r="C259" s="1608"/>
      <c r="D259">
        <f>+IFERROR(VLOOKUP($A259,'TB Final'!$B:$K,7,0),0)</f>
        <v>1924603.5</v>
      </c>
      <c r="E259">
        <f>+IFERROR(VLOOKUP($A259,'TB Final'!$B:$K,10,0),0)</f>
        <v>0</v>
      </c>
      <c r="F259">
        <f t="shared" si="6"/>
        <v>0</v>
      </c>
      <c r="G259">
        <f t="shared" si="7"/>
        <v>0</v>
      </c>
    </row>
    <row r="260" spans="1:7">
      <c r="A260" s="1607" t="s">
        <v>304</v>
      </c>
      <c r="B260" s="1608"/>
      <c r="C260" s="1609">
        <v>29783</v>
      </c>
      <c r="D260">
        <f>+IFERROR(VLOOKUP($A260,'TB Final'!$B:$K,7,0),0)</f>
        <v>0</v>
      </c>
      <c r="E260">
        <f>+IFERROR(VLOOKUP($A260,'TB Final'!$B:$K,10,0),0)</f>
        <v>29783</v>
      </c>
      <c r="F260">
        <f t="shared" si="6"/>
        <v>0</v>
      </c>
      <c r="G260">
        <f t="shared" si="7"/>
        <v>0</v>
      </c>
    </row>
    <row r="261" spans="1:7">
      <c r="A261" s="1607" t="s">
        <v>305</v>
      </c>
      <c r="B261" s="1608"/>
      <c r="C261" s="1609">
        <v>27120</v>
      </c>
      <c r="D261">
        <f>+IFERROR(VLOOKUP($A261,'TB Final'!$B:$K,7,0),0)</f>
        <v>0</v>
      </c>
      <c r="E261">
        <f>+IFERROR(VLOOKUP($A261,'TB Final'!$B:$K,10,0),0)</f>
        <v>27120</v>
      </c>
      <c r="F261">
        <f t="shared" si="6"/>
        <v>0</v>
      </c>
      <c r="G261">
        <f t="shared" si="7"/>
        <v>0</v>
      </c>
    </row>
    <row r="262" spans="1:7">
      <c r="A262" s="1607" t="s">
        <v>306</v>
      </c>
      <c r="B262" s="1608"/>
      <c r="C262" s="1609">
        <v>29783</v>
      </c>
      <c r="D262">
        <f>+IFERROR(VLOOKUP($A262,'TB Final'!$B:$K,7,0),0)</f>
        <v>0</v>
      </c>
      <c r="E262">
        <f>+IFERROR(VLOOKUP($A262,'TB Final'!$B:$K,10,0),0)</f>
        <v>29783</v>
      </c>
      <c r="F262">
        <f t="shared" si="6"/>
        <v>0</v>
      </c>
      <c r="G262">
        <f t="shared" si="7"/>
        <v>0</v>
      </c>
    </row>
    <row r="263" spans="1:7">
      <c r="A263" s="1607" t="s">
        <v>909</v>
      </c>
      <c r="B263" s="1608"/>
      <c r="C263" s="1609">
        <v>160600</v>
      </c>
      <c r="D263">
        <f>+IFERROR(VLOOKUP($A263,'TB Final'!$B:$K,7,0),0)</f>
        <v>0</v>
      </c>
      <c r="E263">
        <f>+IFERROR(VLOOKUP($A263,'TB Final'!$B:$K,10,0),0)</f>
        <v>160600</v>
      </c>
      <c r="F263">
        <f t="shared" si="6"/>
        <v>0</v>
      </c>
      <c r="G263">
        <f t="shared" si="7"/>
        <v>0</v>
      </c>
    </row>
    <row r="264" spans="1:7">
      <c r="A264" s="1607" t="s">
        <v>545</v>
      </c>
      <c r="B264" s="1609">
        <v>1916000</v>
      </c>
      <c r="C264" s="1608"/>
      <c r="D264">
        <f>+IFERROR(VLOOKUP($A264,'TB Final'!$B:$K,7,0),0)</f>
        <v>1916000</v>
      </c>
      <c r="E264">
        <f>+IFERROR(VLOOKUP($A264,'TB Final'!$B:$K,10,0),0)</f>
        <v>0</v>
      </c>
      <c r="F264">
        <f t="shared" si="6"/>
        <v>0</v>
      </c>
      <c r="G264">
        <f t="shared" si="7"/>
        <v>0</v>
      </c>
    </row>
    <row r="265" spans="1:7">
      <c r="A265" s="1607" t="s">
        <v>309</v>
      </c>
      <c r="B265" s="1609">
        <v>400168</v>
      </c>
      <c r="C265" s="1608"/>
      <c r="D265">
        <f>+IFERROR(VLOOKUP($A265,'TB Final'!$B:$K,7,0),0)</f>
        <v>400168</v>
      </c>
      <c r="E265">
        <f>+IFERROR(VLOOKUP($A265,'TB Final'!$B:$K,10,0),0)</f>
        <v>0</v>
      </c>
      <c r="F265">
        <f t="shared" si="6"/>
        <v>0</v>
      </c>
      <c r="G265">
        <f t="shared" si="7"/>
        <v>0</v>
      </c>
    </row>
    <row r="266" spans="1:7">
      <c r="A266" s="1607" t="s">
        <v>2985</v>
      </c>
      <c r="B266" s="1609">
        <v>51534</v>
      </c>
      <c r="C266" s="1608"/>
      <c r="D266">
        <f>+IFERROR(VLOOKUP($A266,'TB Final'!$B:$K,7,0),0)</f>
        <v>51534</v>
      </c>
      <c r="E266">
        <f>+IFERROR(VLOOKUP($A266,'TB Final'!$B:$K,10,0),0)</f>
        <v>0</v>
      </c>
      <c r="F266">
        <f t="shared" si="6"/>
        <v>0</v>
      </c>
      <c r="G266">
        <f t="shared" si="7"/>
        <v>0</v>
      </c>
    </row>
    <row r="267" spans="1:7">
      <c r="A267" s="1607" t="s">
        <v>311</v>
      </c>
      <c r="B267" s="1609">
        <v>357129.36</v>
      </c>
      <c r="C267" s="1608"/>
      <c r="D267">
        <f>+IFERROR(VLOOKUP($A267,'TB Final'!$B:$K,7,0),0)</f>
        <v>357129.36</v>
      </c>
      <c r="E267">
        <f>+IFERROR(VLOOKUP($A267,'TB Final'!$B:$K,10,0),0)</f>
        <v>0</v>
      </c>
      <c r="F267">
        <f t="shared" si="6"/>
        <v>0</v>
      </c>
      <c r="G267">
        <f t="shared" si="7"/>
        <v>0</v>
      </c>
    </row>
    <row r="268" spans="1:7">
      <c r="A268" s="1607" t="s">
        <v>546</v>
      </c>
      <c r="B268" s="1609">
        <v>263090.43</v>
      </c>
      <c r="C268" s="1608"/>
      <c r="D268">
        <f>+IFERROR(VLOOKUP($A268,'TB Final'!$B:$K,7,0),0)</f>
        <v>263090.43</v>
      </c>
      <c r="E268">
        <f>+IFERROR(VLOOKUP($A268,'TB Final'!$B:$K,10,0),0)</f>
        <v>0</v>
      </c>
      <c r="F268">
        <f t="shared" si="6"/>
        <v>0</v>
      </c>
      <c r="G268">
        <f t="shared" si="7"/>
        <v>0</v>
      </c>
    </row>
    <row r="269" spans="1:7">
      <c r="A269" s="1607" t="s">
        <v>2986</v>
      </c>
      <c r="B269" s="1609">
        <v>58000</v>
      </c>
      <c r="C269" s="1608"/>
      <c r="D269">
        <f>+IFERROR(VLOOKUP($A269,'TB Final'!$B:$K,7,0),0)</f>
        <v>58000</v>
      </c>
      <c r="E269">
        <f>+IFERROR(VLOOKUP($A269,'TB Final'!$B:$K,10,0),0)</f>
        <v>0</v>
      </c>
      <c r="F269">
        <f t="shared" ref="F269:F332" si="8">+B269-D269</f>
        <v>0</v>
      </c>
      <c r="G269">
        <f t="shared" ref="G269:G332" si="9">+C269-E269</f>
        <v>0</v>
      </c>
    </row>
    <row r="270" spans="1:7">
      <c r="A270" s="1607" t="s">
        <v>312</v>
      </c>
      <c r="B270" s="1608"/>
      <c r="C270" s="1609">
        <v>50905004</v>
      </c>
      <c r="D270">
        <f>+IFERROR(VLOOKUP($A270,'TB Final'!$B:$K,7,0),0)</f>
        <v>0</v>
      </c>
      <c r="E270">
        <f>+IFERROR(VLOOKUP($A270,'TB Final'!$B:$K,10,0),0)</f>
        <v>50905004</v>
      </c>
      <c r="F270">
        <f t="shared" si="8"/>
        <v>0</v>
      </c>
      <c r="G270">
        <f t="shared" si="9"/>
        <v>0</v>
      </c>
    </row>
    <row r="271" spans="1:7">
      <c r="A271" s="1607" t="s">
        <v>3064</v>
      </c>
      <c r="B271" s="1608"/>
      <c r="C271" s="1609">
        <v>77396</v>
      </c>
      <c r="D271">
        <f>+IFERROR(VLOOKUP($A271,'TB Final'!$B:$K,7,0),0)</f>
        <v>0</v>
      </c>
      <c r="E271">
        <f>+IFERROR(VLOOKUP($A271,'TB Final'!$B:$K,10,0),0)</f>
        <v>77396</v>
      </c>
      <c r="F271">
        <f t="shared" si="8"/>
        <v>0</v>
      </c>
      <c r="G271">
        <f t="shared" si="9"/>
        <v>0</v>
      </c>
    </row>
    <row r="272" spans="1:7">
      <c r="A272" s="1607" t="s">
        <v>549</v>
      </c>
      <c r="B272" s="1608"/>
      <c r="C272" s="1609">
        <v>54000</v>
      </c>
      <c r="D272">
        <f>+IFERROR(VLOOKUP($A272,'TB Final'!$B:$K,7,0),0)</f>
        <v>0</v>
      </c>
      <c r="E272">
        <f>+IFERROR(VLOOKUP($A272,'TB Final'!$B:$K,10,0),0)</f>
        <v>54000</v>
      </c>
      <c r="F272">
        <f t="shared" si="8"/>
        <v>0</v>
      </c>
      <c r="G272">
        <f t="shared" si="9"/>
        <v>0</v>
      </c>
    </row>
    <row r="273" spans="1:7">
      <c r="A273" s="1607" t="s">
        <v>313</v>
      </c>
      <c r="B273" s="1609">
        <v>4800</v>
      </c>
      <c r="C273" s="1608"/>
      <c r="D273">
        <f>+IFERROR(VLOOKUP($A273,'TB Final'!$B:$K,7,0),0)</f>
        <v>4800</v>
      </c>
      <c r="E273">
        <f>+IFERROR(VLOOKUP($A273,'TB Final'!$B:$K,10,0),0)</f>
        <v>0</v>
      </c>
      <c r="F273">
        <f t="shared" si="8"/>
        <v>0</v>
      </c>
      <c r="G273">
        <f t="shared" si="9"/>
        <v>0</v>
      </c>
    </row>
    <row r="274" spans="1:7">
      <c r="A274" s="1607" t="s">
        <v>405</v>
      </c>
      <c r="B274" s="1609">
        <v>221984</v>
      </c>
      <c r="C274" s="1608"/>
      <c r="D274">
        <f>+IFERROR(VLOOKUP($A274,'TB Final'!$B:$K,7,0),0)</f>
        <v>221984</v>
      </c>
      <c r="E274">
        <f>+IFERROR(VLOOKUP($A274,'TB Final'!$B:$K,10,0),0)</f>
        <v>0</v>
      </c>
      <c r="F274">
        <f t="shared" si="8"/>
        <v>0</v>
      </c>
      <c r="G274">
        <f t="shared" si="9"/>
        <v>0</v>
      </c>
    </row>
    <row r="275" spans="1:7">
      <c r="A275" s="1607" t="s">
        <v>314</v>
      </c>
      <c r="B275" s="1608"/>
      <c r="C275" s="1609">
        <v>3110810</v>
      </c>
      <c r="D275">
        <f>+IFERROR(VLOOKUP($A275,'TB Final'!$B:$K,7,0),0)</f>
        <v>0</v>
      </c>
      <c r="E275">
        <f>+IFERROR(VLOOKUP($A275,'TB Final'!$B:$K,10,0),0)</f>
        <v>3110810</v>
      </c>
      <c r="F275">
        <f t="shared" si="8"/>
        <v>0</v>
      </c>
      <c r="G275">
        <f t="shared" si="9"/>
        <v>0</v>
      </c>
    </row>
    <row r="276" spans="1:7">
      <c r="A276" s="1607" t="s">
        <v>315</v>
      </c>
      <c r="B276" s="1608"/>
      <c r="C276" s="1609">
        <v>245.71</v>
      </c>
      <c r="D276">
        <f>+IFERROR(VLOOKUP($A276,'TB Final'!$B:$K,7,0),0)</f>
        <v>0</v>
      </c>
      <c r="E276">
        <f>+IFERROR(VLOOKUP($A276,'TB Final'!$B:$K,10,0),0)</f>
        <v>245.71</v>
      </c>
      <c r="F276">
        <f t="shared" si="8"/>
        <v>0</v>
      </c>
      <c r="G276">
        <f t="shared" si="9"/>
        <v>0</v>
      </c>
    </row>
    <row r="277" spans="1:7">
      <c r="A277" s="1607" t="s">
        <v>407</v>
      </c>
      <c r="B277" s="1609">
        <v>15353091</v>
      </c>
      <c r="C277" s="1608"/>
      <c r="D277">
        <f>+IFERROR(VLOOKUP($A277,'TB Final'!$B:$K,7,0),0)</f>
        <v>15353091</v>
      </c>
      <c r="E277">
        <f>+IFERROR(VLOOKUP($A277,'TB Final'!$B:$K,10,0),0)</f>
        <v>0</v>
      </c>
      <c r="F277">
        <f t="shared" si="8"/>
        <v>0</v>
      </c>
      <c r="G277">
        <f t="shared" si="9"/>
        <v>0</v>
      </c>
    </row>
    <row r="278" spans="1:7">
      <c r="A278" s="1607" t="s">
        <v>550</v>
      </c>
      <c r="B278" s="1609">
        <v>231709</v>
      </c>
      <c r="C278" s="1608"/>
      <c r="D278">
        <f>+IFERROR(VLOOKUP($A278,'TB Final'!$B:$K,7,0),0)</f>
        <v>231709</v>
      </c>
      <c r="E278">
        <f>+IFERROR(VLOOKUP($A278,'TB Final'!$B:$K,10,0),0)</f>
        <v>0</v>
      </c>
      <c r="F278">
        <f t="shared" si="8"/>
        <v>0</v>
      </c>
      <c r="G278">
        <f t="shared" si="9"/>
        <v>0</v>
      </c>
    </row>
    <row r="279" spans="1:7">
      <c r="A279" s="1607" t="s">
        <v>320</v>
      </c>
      <c r="B279" s="1608"/>
      <c r="C279" s="1609">
        <v>2400131</v>
      </c>
      <c r="D279">
        <f>+IFERROR(VLOOKUP($A279,'TB Final'!$B:$K,7,0),0)</f>
        <v>0</v>
      </c>
      <c r="E279">
        <f>+IFERROR(VLOOKUP($A279,'TB Final'!$B:$K,10,0),0)</f>
        <v>2400131</v>
      </c>
      <c r="F279">
        <f t="shared" si="8"/>
        <v>0</v>
      </c>
      <c r="G279">
        <f t="shared" si="9"/>
        <v>0</v>
      </c>
    </row>
    <row r="280" spans="1:7">
      <c r="A280" s="1607" t="s">
        <v>321</v>
      </c>
      <c r="B280" s="1608"/>
      <c r="C280" s="1609">
        <v>1508372</v>
      </c>
      <c r="D280">
        <f>+IFERROR(VLOOKUP($A280,'TB Final'!$B:$K,7,0),0)</f>
        <v>0</v>
      </c>
      <c r="E280">
        <f>+IFERROR(VLOOKUP($A280,'TB Final'!$B:$K,10,0),0)</f>
        <v>1508372</v>
      </c>
      <c r="F280">
        <f t="shared" si="8"/>
        <v>0</v>
      </c>
      <c r="G280">
        <f t="shared" si="9"/>
        <v>0</v>
      </c>
    </row>
    <row r="281" spans="1:7">
      <c r="A281" s="1607" t="s">
        <v>323</v>
      </c>
      <c r="B281" s="1609">
        <v>252000</v>
      </c>
      <c r="C281" s="1608"/>
      <c r="D281">
        <f>+IFERROR(VLOOKUP($A281,'TB Final'!$B:$K,7,0),0)</f>
        <v>252000</v>
      </c>
      <c r="E281">
        <f>+IFERROR(VLOOKUP($A281,'TB Final'!$B:$K,10,0),0)</f>
        <v>0</v>
      </c>
      <c r="F281">
        <f t="shared" si="8"/>
        <v>0</v>
      </c>
      <c r="G281">
        <f t="shared" si="9"/>
        <v>0</v>
      </c>
    </row>
    <row r="282" spans="1:7">
      <c r="A282" s="1607" t="s">
        <v>552</v>
      </c>
      <c r="B282" s="1609">
        <v>1930419</v>
      </c>
      <c r="C282" s="1608"/>
      <c r="D282">
        <f>+IFERROR(VLOOKUP($A282,'TB Final'!$B:$K,7,0),0)</f>
        <v>1930419</v>
      </c>
      <c r="E282">
        <f>+IFERROR(VLOOKUP($A282,'TB Final'!$B:$K,10,0),0)</f>
        <v>0</v>
      </c>
      <c r="F282">
        <f t="shared" si="8"/>
        <v>0</v>
      </c>
      <c r="G282">
        <f t="shared" si="9"/>
        <v>0</v>
      </c>
    </row>
    <row r="283" spans="1:7">
      <c r="A283" s="1607" t="s">
        <v>553</v>
      </c>
      <c r="B283" s="1609">
        <v>2844200</v>
      </c>
      <c r="C283" s="1608"/>
      <c r="D283">
        <f>+IFERROR(VLOOKUP($A283,'TB Final'!$B:$K,7,0),0)</f>
        <v>2844200</v>
      </c>
      <c r="E283">
        <f>+IFERROR(VLOOKUP($A283,'TB Final'!$B:$K,10,0),0)</f>
        <v>0</v>
      </c>
      <c r="F283">
        <f t="shared" si="8"/>
        <v>0</v>
      </c>
      <c r="G283">
        <f t="shared" si="9"/>
        <v>0</v>
      </c>
    </row>
    <row r="284" spans="1:7">
      <c r="A284" s="1607" t="s">
        <v>554</v>
      </c>
      <c r="B284" s="1609">
        <v>9905920</v>
      </c>
      <c r="C284" s="1608"/>
      <c r="D284">
        <f>+IFERROR(VLOOKUP($A284,'TB Final'!$B:$K,7,0),0)</f>
        <v>9905920</v>
      </c>
      <c r="E284">
        <f>+IFERROR(VLOOKUP($A284,'TB Final'!$B:$K,10,0),0)</f>
        <v>0</v>
      </c>
      <c r="F284">
        <f t="shared" si="8"/>
        <v>0</v>
      </c>
      <c r="G284">
        <f t="shared" si="9"/>
        <v>0</v>
      </c>
    </row>
    <row r="285" spans="1:7">
      <c r="A285" s="1607" t="s">
        <v>2987</v>
      </c>
      <c r="B285" s="1608"/>
      <c r="C285" s="1609">
        <v>1300144</v>
      </c>
      <c r="D285">
        <f>+IFERROR(VLOOKUP($A285,'TB Final'!$B:$K,7,0),0)</f>
        <v>0</v>
      </c>
      <c r="E285">
        <f>+IFERROR(VLOOKUP($A285,'TB Final'!$B:$K,10,0),0)</f>
        <v>1300144</v>
      </c>
      <c r="F285">
        <f t="shared" si="8"/>
        <v>0</v>
      </c>
      <c r="G285">
        <f t="shared" si="9"/>
        <v>0</v>
      </c>
    </row>
    <row r="286" spans="1:7">
      <c r="A286" s="1607" t="s">
        <v>324</v>
      </c>
      <c r="B286" s="1608"/>
      <c r="C286" s="1609">
        <v>512311311.10000002</v>
      </c>
      <c r="D286">
        <f>+IFERROR(VLOOKUP($A286,'TB Final'!$B:$K,7,0),0)</f>
        <v>0</v>
      </c>
      <c r="E286">
        <f>+IFERROR(VLOOKUP($A286,'TB Final'!$B:$K,10,0),0)</f>
        <v>512311311.10000002</v>
      </c>
      <c r="F286">
        <f t="shared" si="8"/>
        <v>0</v>
      </c>
      <c r="G286">
        <f t="shared" si="9"/>
        <v>0</v>
      </c>
    </row>
    <row r="287" spans="1:7">
      <c r="A287" s="1607" t="s">
        <v>145</v>
      </c>
      <c r="B287" s="1608"/>
      <c r="C287" s="1609">
        <v>99943120.799999997</v>
      </c>
      <c r="D287">
        <f>+IFERROR(VLOOKUP($A287,'TB Final'!$B:$K,7,0),0)</f>
        <v>0</v>
      </c>
      <c r="E287">
        <f>+IFERROR(VLOOKUP($A287,'TB Final'!$B:$K,10,0),0)</f>
        <v>99943120.799999997</v>
      </c>
      <c r="F287">
        <f t="shared" si="8"/>
        <v>0</v>
      </c>
      <c r="G287">
        <f t="shared" si="9"/>
        <v>0</v>
      </c>
    </row>
    <row r="288" spans="1:7">
      <c r="A288" s="1607" t="s">
        <v>2988</v>
      </c>
      <c r="B288" s="1609">
        <v>322707</v>
      </c>
      <c r="C288" s="1608"/>
      <c r="D288">
        <f>+IFERROR(VLOOKUP($A288,'TB Final'!$B:$K,7,0),0)</f>
        <v>322707</v>
      </c>
      <c r="E288">
        <f>+IFERROR(VLOOKUP($A288,'TB Final'!$B:$K,10,0),0)</f>
        <v>0</v>
      </c>
      <c r="F288">
        <f t="shared" si="8"/>
        <v>0</v>
      </c>
      <c r="G288">
        <f t="shared" si="9"/>
        <v>0</v>
      </c>
    </row>
    <row r="289" spans="1:7">
      <c r="A289" s="1607" t="s">
        <v>556</v>
      </c>
      <c r="B289" s="1608"/>
      <c r="C289" s="1609">
        <v>409917</v>
      </c>
      <c r="D289">
        <f>+IFERROR(VLOOKUP($A289,'TB Final'!$B:$K,7,0),0)</f>
        <v>0</v>
      </c>
      <c r="E289">
        <f>+IFERROR(VLOOKUP($A289,'TB Final'!$B:$K,10,0),0)</f>
        <v>409917</v>
      </c>
      <c r="F289">
        <f t="shared" si="8"/>
        <v>0</v>
      </c>
      <c r="G289">
        <f t="shared" si="9"/>
        <v>0</v>
      </c>
    </row>
    <row r="290" spans="1:7">
      <c r="A290" s="1607" t="s">
        <v>325</v>
      </c>
      <c r="B290" s="1608"/>
      <c r="C290" s="1609">
        <v>1406203</v>
      </c>
      <c r="D290">
        <f>+IFERROR(VLOOKUP($A290,'TB Final'!$B:$K,7,0),0)</f>
        <v>0</v>
      </c>
      <c r="E290">
        <f>+IFERROR(VLOOKUP($A290,'TB Final'!$B:$K,10,0),0)</f>
        <v>1406203</v>
      </c>
      <c r="F290">
        <f t="shared" si="8"/>
        <v>0</v>
      </c>
      <c r="G290">
        <f t="shared" si="9"/>
        <v>0</v>
      </c>
    </row>
    <row r="291" spans="1:7">
      <c r="A291" s="1607" t="s">
        <v>2989</v>
      </c>
      <c r="B291" s="1608"/>
      <c r="C291" s="1609">
        <v>5290</v>
      </c>
      <c r="D291">
        <f>+IFERROR(VLOOKUP($A291,'TB Final'!$B:$K,7,0),0)</f>
        <v>0</v>
      </c>
      <c r="E291">
        <f>+IFERROR(VLOOKUP($A291,'TB Final'!$B:$K,10,0),0)</f>
        <v>5290</v>
      </c>
      <c r="F291">
        <f t="shared" si="8"/>
        <v>0</v>
      </c>
      <c r="G291">
        <f t="shared" si="9"/>
        <v>0</v>
      </c>
    </row>
    <row r="292" spans="1:7">
      <c r="A292" s="1607" t="s">
        <v>557</v>
      </c>
      <c r="B292" s="1608"/>
      <c r="C292" s="1609">
        <v>2187364</v>
      </c>
      <c r="D292">
        <f>+IFERROR(VLOOKUP($A292,'TB Final'!$B:$K,7,0),0)</f>
        <v>0</v>
      </c>
      <c r="E292">
        <f>+IFERROR(VLOOKUP($A292,'TB Final'!$B:$K,10,0),0)</f>
        <v>2187364</v>
      </c>
      <c r="F292">
        <f t="shared" si="8"/>
        <v>0</v>
      </c>
      <c r="G292">
        <f t="shared" si="9"/>
        <v>0</v>
      </c>
    </row>
    <row r="293" spans="1:7">
      <c r="A293" s="1607" t="s">
        <v>2990</v>
      </c>
      <c r="B293" s="1609">
        <v>1094</v>
      </c>
      <c r="C293" s="1608"/>
      <c r="D293">
        <f>+IFERROR(VLOOKUP($A293,'TB Final'!$B:$K,7,0),0)</f>
        <v>1094</v>
      </c>
      <c r="E293">
        <f>+IFERROR(VLOOKUP($A293,'TB Final'!$B:$K,10,0),0)</f>
        <v>0</v>
      </c>
      <c r="F293">
        <f t="shared" si="8"/>
        <v>0</v>
      </c>
      <c r="G293">
        <f t="shared" si="9"/>
        <v>0</v>
      </c>
    </row>
    <row r="294" spans="1:7">
      <c r="A294" s="1607" t="s">
        <v>42</v>
      </c>
      <c r="B294" s="1609">
        <v>8712571</v>
      </c>
      <c r="C294" s="1608"/>
      <c r="D294">
        <f>+IFERROR(VLOOKUP($A294,'TB Final'!$B:$K,7,0),0)</f>
        <v>8712571</v>
      </c>
      <c r="E294">
        <f>+IFERROR(VLOOKUP($A294,'TB Final'!$B:$K,10,0),0)</f>
        <v>0</v>
      </c>
      <c r="F294">
        <f t="shared" si="8"/>
        <v>0</v>
      </c>
      <c r="G294">
        <f t="shared" si="9"/>
        <v>0</v>
      </c>
    </row>
    <row r="295" spans="1:7">
      <c r="A295" s="1607" t="s">
        <v>558</v>
      </c>
      <c r="B295" s="1608"/>
      <c r="C295" s="1609">
        <v>11159826</v>
      </c>
      <c r="D295">
        <f>+IFERROR(VLOOKUP($A295,'TB Final'!$B:$K,7,0),0)</f>
        <v>0</v>
      </c>
      <c r="E295">
        <f>+IFERROR(VLOOKUP($A295,'TB Final'!$B:$K,10,0),0)</f>
        <v>11159826</v>
      </c>
      <c r="F295">
        <f t="shared" si="8"/>
        <v>0</v>
      </c>
      <c r="G295">
        <f t="shared" si="9"/>
        <v>0</v>
      </c>
    </row>
    <row r="296" spans="1:7">
      <c r="A296" s="1607" t="s">
        <v>409</v>
      </c>
      <c r="B296" s="1608"/>
      <c r="C296" s="1609">
        <v>6263137</v>
      </c>
      <c r="D296">
        <f>+IFERROR(VLOOKUP($A296,'TB Final'!$B:$K,7,0),0)</f>
        <v>0</v>
      </c>
      <c r="E296">
        <f>+IFERROR(VLOOKUP($A296,'TB Final'!$B:$K,10,0),0)</f>
        <v>6263137</v>
      </c>
      <c r="F296">
        <f t="shared" si="8"/>
        <v>0</v>
      </c>
      <c r="G296">
        <f t="shared" si="9"/>
        <v>0</v>
      </c>
    </row>
    <row r="297" spans="1:7">
      <c r="A297" s="1607" t="s">
        <v>437</v>
      </c>
      <c r="B297" s="1608"/>
      <c r="C297" s="1609">
        <v>68723.86</v>
      </c>
      <c r="D297">
        <f>+IFERROR(VLOOKUP($A297,'TB Final'!$B:$K,7,0),0)</f>
        <v>0</v>
      </c>
      <c r="E297">
        <f>+IFERROR(VLOOKUP($A297,'TB Final'!$B:$K,10,0),0)</f>
        <v>68723.86</v>
      </c>
      <c r="F297">
        <f t="shared" si="8"/>
        <v>0</v>
      </c>
      <c r="G297">
        <f t="shared" si="9"/>
        <v>0</v>
      </c>
    </row>
    <row r="298" spans="1:7">
      <c r="A298" s="1607" t="s">
        <v>316</v>
      </c>
      <c r="B298" s="1609">
        <v>8810.64</v>
      </c>
      <c r="C298" s="1608"/>
      <c r="D298">
        <f>+IFERROR(VLOOKUP($A298,'TB Final'!$B:$K,7,0),0)</f>
        <v>8810.64</v>
      </c>
      <c r="E298">
        <f>+IFERROR(VLOOKUP($A298,'TB Final'!$B:$K,10,0),0)</f>
        <v>0</v>
      </c>
      <c r="F298">
        <f t="shared" si="8"/>
        <v>0</v>
      </c>
      <c r="G298">
        <f t="shared" si="9"/>
        <v>0</v>
      </c>
    </row>
    <row r="299" spans="1:7">
      <c r="A299" s="1607" t="s">
        <v>2991</v>
      </c>
      <c r="B299" s="1608"/>
      <c r="C299" s="1609">
        <v>28972386</v>
      </c>
      <c r="D299">
        <f>+IFERROR(VLOOKUP($A299,'TB Final'!$B:$K,7,0),0)</f>
        <v>0</v>
      </c>
      <c r="E299">
        <f>+IFERROR(VLOOKUP($A299,'TB Final'!$B:$K,10,0),0)</f>
        <v>28972386</v>
      </c>
      <c r="F299">
        <f t="shared" si="8"/>
        <v>0</v>
      </c>
      <c r="G299">
        <f t="shared" si="9"/>
        <v>0</v>
      </c>
    </row>
    <row r="300" spans="1:7">
      <c r="A300" s="1607" t="s">
        <v>410</v>
      </c>
      <c r="B300" s="1608"/>
      <c r="C300" s="1609">
        <v>46199076</v>
      </c>
      <c r="D300">
        <f>+IFERROR(VLOOKUP($A300,'TB Final'!$B:$K,7,0),0)</f>
        <v>0</v>
      </c>
      <c r="E300">
        <f>+IFERROR(VLOOKUP($A300,'TB Final'!$B:$K,10,0),0)</f>
        <v>46199076</v>
      </c>
      <c r="F300">
        <f t="shared" si="8"/>
        <v>0</v>
      </c>
      <c r="G300">
        <f t="shared" si="9"/>
        <v>0</v>
      </c>
    </row>
    <row r="301" spans="1:7">
      <c r="A301" s="1607" t="s">
        <v>326</v>
      </c>
      <c r="B301" s="1608"/>
      <c r="C301" s="1609">
        <v>8664946</v>
      </c>
      <c r="D301">
        <f>+IFERROR(VLOOKUP($A301,'TB Final'!$B:$K,7,0),0)</f>
        <v>0</v>
      </c>
      <c r="E301">
        <f>+IFERROR(VLOOKUP($A301,'TB Final'!$B:$K,10,0),0)</f>
        <v>8664946</v>
      </c>
      <c r="F301">
        <f t="shared" si="8"/>
        <v>0</v>
      </c>
      <c r="G301">
        <f t="shared" si="9"/>
        <v>0</v>
      </c>
    </row>
    <row r="302" spans="1:7">
      <c r="A302" s="1607" t="s">
        <v>328</v>
      </c>
      <c r="B302" s="1609">
        <v>827794</v>
      </c>
      <c r="C302" s="1608"/>
      <c r="D302">
        <f>+IFERROR(VLOOKUP($A302,'TB Final'!$B:$K,7,0),0)</f>
        <v>827794</v>
      </c>
      <c r="E302">
        <f>+IFERROR(VLOOKUP($A302,'TB Final'!$B:$K,10,0),0)</f>
        <v>0</v>
      </c>
      <c r="F302">
        <f t="shared" si="8"/>
        <v>0</v>
      </c>
      <c r="G302">
        <f t="shared" si="9"/>
        <v>0</v>
      </c>
    </row>
    <row r="303" spans="1:7">
      <c r="A303" s="1607" t="s">
        <v>411</v>
      </c>
      <c r="B303" s="1608"/>
      <c r="C303" s="1609">
        <v>1397710</v>
      </c>
      <c r="D303">
        <f>+IFERROR(VLOOKUP($A303,'TB Final'!$B:$K,7,0),0)</f>
        <v>0</v>
      </c>
      <c r="E303">
        <f>+IFERROR(VLOOKUP($A303,'TB Final'!$B:$K,10,0),0)</f>
        <v>1397710</v>
      </c>
      <c r="F303">
        <f t="shared" si="8"/>
        <v>0</v>
      </c>
      <c r="G303">
        <f t="shared" si="9"/>
        <v>0</v>
      </c>
    </row>
    <row r="304" spans="1:7">
      <c r="A304" s="1607" t="s">
        <v>16</v>
      </c>
      <c r="B304" s="1608"/>
      <c r="C304" s="1609">
        <v>210890</v>
      </c>
      <c r="D304">
        <f>+IFERROR(VLOOKUP($A304,'TB Final'!$B:$K,7,0),0)</f>
        <v>0</v>
      </c>
      <c r="E304">
        <f>+IFERROR(VLOOKUP($A304,'TB Final'!$B:$K,10,0),0)</f>
        <v>210890</v>
      </c>
      <c r="F304">
        <f t="shared" si="8"/>
        <v>0</v>
      </c>
      <c r="G304">
        <f t="shared" si="9"/>
        <v>0</v>
      </c>
    </row>
    <row r="305" spans="1:7">
      <c r="A305" s="1607" t="s">
        <v>2992</v>
      </c>
      <c r="B305" s="1608"/>
      <c r="C305" s="1609">
        <v>633932.32999999996</v>
      </c>
      <c r="D305">
        <f>+IFERROR(VLOOKUP($A305,'TB Final'!$B:$K,7,0),0)</f>
        <v>0</v>
      </c>
      <c r="E305">
        <f>+IFERROR(VLOOKUP($A305,'TB Final'!$B:$K,10,0),0)</f>
        <v>633932.32999999996</v>
      </c>
      <c r="F305">
        <f t="shared" si="8"/>
        <v>0</v>
      </c>
      <c r="G305">
        <f t="shared" si="9"/>
        <v>0</v>
      </c>
    </row>
    <row r="306" spans="1:7">
      <c r="A306" s="1607" t="s">
        <v>2993</v>
      </c>
      <c r="B306" s="1608"/>
      <c r="C306" s="1609">
        <v>41335.42</v>
      </c>
      <c r="D306">
        <f>+IFERROR(VLOOKUP($A306,'TB Final'!$B:$K,7,0),0)</f>
        <v>0</v>
      </c>
      <c r="E306">
        <f>+IFERROR(VLOOKUP($A306,'TB Final'!$B:$K,10,0),0)</f>
        <v>41335.42</v>
      </c>
      <c r="F306">
        <f t="shared" si="8"/>
        <v>0</v>
      </c>
      <c r="G306">
        <f t="shared" si="9"/>
        <v>0</v>
      </c>
    </row>
    <row r="307" spans="1:7">
      <c r="A307" s="1607" t="s">
        <v>217</v>
      </c>
      <c r="B307" s="1608"/>
      <c r="C307" s="1609">
        <v>474189</v>
      </c>
      <c r="D307">
        <f>+IFERROR(VLOOKUP($A307,'TB Final'!$B:$K,7,0),0)</f>
        <v>0</v>
      </c>
      <c r="E307">
        <f>+IFERROR(VLOOKUP($A307,'TB Final'!$B:$K,10,0),0)</f>
        <v>474189</v>
      </c>
      <c r="F307">
        <f t="shared" si="8"/>
        <v>0</v>
      </c>
      <c r="G307">
        <f t="shared" si="9"/>
        <v>0</v>
      </c>
    </row>
    <row r="308" spans="1:7">
      <c r="A308" s="1607" t="s">
        <v>332</v>
      </c>
      <c r="B308" s="1609">
        <v>719897</v>
      </c>
      <c r="C308" s="1608"/>
      <c r="D308">
        <f>+IFERROR(VLOOKUP($A308,'TB Final'!$B:$K,7,0),0)</f>
        <v>719897</v>
      </c>
      <c r="E308">
        <f>+IFERROR(VLOOKUP($A308,'TB Final'!$B:$K,10,0),0)</f>
        <v>0</v>
      </c>
      <c r="F308">
        <f t="shared" si="8"/>
        <v>0</v>
      </c>
      <c r="G308">
        <f t="shared" si="9"/>
        <v>0</v>
      </c>
    </row>
    <row r="309" spans="1:7">
      <c r="A309" s="1607" t="s">
        <v>2994</v>
      </c>
      <c r="B309" s="1609">
        <v>1651.44</v>
      </c>
      <c r="C309" s="1608"/>
      <c r="D309">
        <f>+IFERROR(VLOOKUP($A309,'TB Final'!$B:$K,7,0),0)</f>
        <v>1651.44</v>
      </c>
      <c r="E309">
        <f>+IFERROR(VLOOKUP($A309,'TB Final'!$B:$K,10,0),0)</f>
        <v>0</v>
      </c>
      <c r="F309">
        <f t="shared" si="8"/>
        <v>0</v>
      </c>
      <c r="G309">
        <f t="shared" si="9"/>
        <v>0</v>
      </c>
    </row>
    <row r="310" spans="1:7">
      <c r="A310" s="1607" t="s">
        <v>333</v>
      </c>
      <c r="B310" s="1608"/>
      <c r="C310" s="1609">
        <v>1449699.7</v>
      </c>
      <c r="D310">
        <f>+IFERROR(VLOOKUP($A310,'TB Final'!$B:$K,7,0),0)</f>
        <v>0</v>
      </c>
      <c r="E310">
        <f>+IFERROR(VLOOKUP($A310,'TB Final'!$B:$K,10,0),0)</f>
        <v>1449699.7</v>
      </c>
      <c r="F310">
        <f t="shared" si="8"/>
        <v>0</v>
      </c>
      <c r="G310">
        <f t="shared" si="9"/>
        <v>0</v>
      </c>
    </row>
    <row r="311" spans="1:7">
      <c r="A311" s="1607" t="s">
        <v>3065</v>
      </c>
      <c r="B311" s="1608"/>
      <c r="C311" s="1609">
        <v>22492</v>
      </c>
      <c r="D311">
        <f>+IFERROR(VLOOKUP($A311,'TB Final'!$B:$K,7,0),0)</f>
        <v>0</v>
      </c>
      <c r="E311">
        <f>+IFERROR(VLOOKUP($A311,'TB Final'!$B:$K,10,0),0)</f>
        <v>22492</v>
      </c>
      <c r="F311">
        <f t="shared" si="8"/>
        <v>0</v>
      </c>
      <c r="G311">
        <f t="shared" si="9"/>
        <v>0</v>
      </c>
    </row>
    <row r="312" spans="1:7">
      <c r="A312" s="1607" t="s">
        <v>414</v>
      </c>
      <c r="B312" s="1609">
        <v>221637</v>
      </c>
      <c r="C312" s="1608"/>
      <c r="D312">
        <f>+IFERROR(VLOOKUP($A312,'TB Final'!$B:$K,7,0),0)</f>
        <v>221637</v>
      </c>
      <c r="E312">
        <f>+IFERROR(VLOOKUP($A312,'TB Final'!$B:$K,10,0),0)</f>
        <v>0</v>
      </c>
      <c r="F312">
        <f t="shared" si="8"/>
        <v>0</v>
      </c>
      <c r="G312">
        <f t="shared" si="9"/>
        <v>0</v>
      </c>
    </row>
    <row r="313" spans="1:7">
      <c r="A313" s="1607" t="s">
        <v>336</v>
      </c>
      <c r="B313" s="1609">
        <v>125</v>
      </c>
      <c r="C313" s="1608"/>
      <c r="D313">
        <f>+IFERROR(VLOOKUP($A313,'TB Final'!$B:$K,7,0),0)</f>
        <v>125</v>
      </c>
      <c r="E313">
        <f>+IFERROR(VLOOKUP($A313,'TB Final'!$B:$K,10,0),0)</f>
        <v>0</v>
      </c>
      <c r="F313">
        <f t="shared" si="8"/>
        <v>0</v>
      </c>
      <c r="G313">
        <f t="shared" si="9"/>
        <v>0</v>
      </c>
    </row>
    <row r="314" spans="1:7">
      <c r="A314" s="1607" t="s">
        <v>2995</v>
      </c>
      <c r="B314" s="1608"/>
      <c r="C314" s="1609">
        <v>258302</v>
      </c>
      <c r="D314">
        <f>+IFERROR(VLOOKUP($A314,'TB Final'!$B:$K,7,0),0)</f>
        <v>0</v>
      </c>
      <c r="E314">
        <f>+IFERROR(VLOOKUP($A314,'TB Final'!$B:$K,10,0),0)</f>
        <v>258302</v>
      </c>
      <c r="F314">
        <f t="shared" si="8"/>
        <v>0</v>
      </c>
      <c r="G314">
        <f t="shared" si="9"/>
        <v>0</v>
      </c>
    </row>
    <row r="315" spans="1:7">
      <c r="A315" s="1607" t="s">
        <v>2996</v>
      </c>
      <c r="B315" s="1608"/>
      <c r="C315" s="1609">
        <v>114628</v>
      </c>
      <c r="D315">
        <f>+IFERROR(VLOOKUP($A315,'TB Final'!$B:$K,7,0),0)</f>
        <v>0</v>
      </c>
      <c r="E315">
        <f>+IFERROR(VLOOKUP($A315,'TB Final'!$B:$K,10,0),0)</f>
        <v>114628</v>
      </c>
      <c r="F315">
        <f t="shared" si="8"/>
        <v>0</v>
      </c>
      <c r="G315">
        <f t="shared" si="9"/>
        <v>0</v>
      </c>
    </row>
    <row r="316" spans="1:7">
      <c r="A316" s="1607" t="s">
        <v>337</v>
      </c>
      <c r="B316" s="1608"/>
      <c r="C316" s="1609">
        <v>559911</v>
      </c>
      <c r="D316">
        <f>+IFERROR(VLOOKUP($A316,'TB Final'!$B:$K,7,0),0)</f>
        <v>0</v>
      </c>
      <c r="E316">
        <f>+IFERROR(VLOOKUP($A316,'TB Final'!$B:$K,10,0),0)</f>
        <v>559911</v>
      </c>
      <c r="F316">
        <f t="shared" si="8"/>
        <v>0</v>
      </c>
      <c r="G316">
        <f t="shared" si="9"/>
        <v>0</v>
      </c>
    </row>
    <row r="317" spans="1:7">
      <c r="A317" s="1607" t="s">
        <v>338</v>
      </c>
      <c r="B317" s="1608"/>
      <c r="C317" s="1609">
        <v>14175</v>
      </c>
      <c r="D317">
        <f>+IFERROR(VLOOKUP($A317,'TB Final'!$B:$K,7,0),0)</f>
        <v>0</v>
      </c>
      <c r="E317">
        <f>+IFERROR(VLOOKUP($A317,'TB Final'!$B:$K,10,0),0)</f>
        <v>14175</v>
      </c>
      <c r="F317">
        <f t="shared" si="8"/>
        <v>0</v>
      </c>
      <c r="G317">
        <f t="shared" si="9"/>
        <v>0</v>
      </c>
    </row>
    <row r="318" spans="1:7">
      <c r="A318" s="1607" t="s">
        <v>416</v>
      </c>
      <c r="B318" s="1609">
        <v>12900</v>
      </c>
      <c r="C318" s="1608"/>
      <c r="D318">
        <f>+IFERROR(VLOOKUP($A318,'TB Final'!$B:$K,7,0),0)</f>
        <v>12900</v>
      </c>
      <c r="E318">
        <f>+IFERROR(VLOOKUP($A318,'TB Final'!$B:$K,10,0),0)</f>
        <v>0</v>
      </c>
      <c r="F318">
        <f t="shared" si="8"/>
        <v>0</v>
      </c>
      <c r="G318">
        <f t="shared" si="9"/>
        <v>0</v>
      </c>
    </row>
    <row r="319" spans="1:7">
      <c r="A319" s="1607" t="s">
        <v>562</v>
      </c>
      <c r="B319" s="1608"/>
      <c r="C319" s="1609">
        <v>89643931.159999996</v>
      </c>
      <c r="D319">
        <f>+IFERROR(VLOOKUP($A319,'TB Final'!$B:$K,7,0),0)</f>
        <v>0</v>
      </c>
      <c r="E319">
        <f>+IFERROR(VLOOKUP($A319,'TB Final'!$B:$K,10,0),0)</f>
        <v>89643931.159999996</v>
      </c>
      <c r="F319">
        <f t="shared" si="8"/>
        <v>0</v>
      </c>
      <c r="G319">
        <f t="shared" si="9"/>
        <v>0</v>
      </c>
    </row>
    <row r="320" spans="1:7">
      <c r="A320" s="1607" t="s">
        <v>341</v>
      </c>
      <c r="B320" s="1609">
        <v>5149248</v>
      </c>
      <c r="C320" s="1608"/>
      <c r="D320">
        <f>+IFERROR(VLOOKUP($A320,'TB Final'!$B:$K,7,0),0)</f>
        <v>5149248</v>
      </c>
      <c r="E320">
        <f>+IFERROR(VLOOKUP($A320,'TB Final'!$B:$K,10,0),0)</f>
        <v>0</v>
      </c>
      <c r="F320">
        <f t="shared" si="8"/>
        <v>0</v>
      </c>
      <c r="G320">
        <f t="shared" si="9"/>
        <v>0</v>
      </c>
    </row>
    <row r="321" spans="1:7">
      <c r="A321" s="1607" t="s">
        <v>563</v>
      </c>
      <c r="B321" s="1609">
        <v>217506.58</v>
      </c>
      <c r="C321" s="1608"/>
      <c r="D321">
        <f>+IFERROR(VLOOKUP($A321,'TB Final'!$B:$K,7,0),0)</f>
        <v>217506.58</v>
      </c>
      <c r="E321">
        <f>+IFERROR(VLOOKUP($A321,'TB Final'!$B:$K,10,0),0)</f>
        <v>0</v>
      </c>
      <c r="F321">
        <f t="shared" si="8"/>
        <v>0</v>
      </c>
      <c r="G321">
        <f t="shared" si="9"/>
        <v>0</v>
      </c>
    </row>
    <row r="322" spans="1:7">
      <c r="A322" s="1607" t="s">
        <v>343</v>
      </c>
      <c r="B322" s="1609">
        <v>275000</v>
      </c>
      <c r="C322" s="1608"/>
      <c r="D322">
        <f>+IFERROR(VLOOKUP($A322,'TB Final'!$B:$K,7,0),0)</f>
        <v>275000</v>
      </c>
      <c r="E322">
        <f>+IFERROR(VLOOKUP($A322,'TB Final'!$B:$K,10,0),0)</f>
        <v>0</v>
      </c>
      <c r="F322">
        <f t="shared" si="8"/>
        <v>0</v>
      </c>
      <c r="G322">
        <f t="shared" si="9"/>
        <v>0</v>
      </c>
    </row>
    <row r="323" spans="1:7">
      <c r="A323" s="1607" t="s">
        <v>345</v>
      </c>
      <c r="B323" s="1609">
        <v>46000</v>
      </c>
      <c r="C323" s="1608"/>
      <c r="D323">
        <f>+IFERROR(VLOOKUP($A323,'TB Final'!$B:$K,7,0),0)</f>
        <v>46000</v>
      </c>
      <c r="E323">
        <f>+IFERROR(VLOOKUP($A323,'TB Final'!$B:$K,10,0),0)</f>
        <v>0</v>
      </c>
      <c r="F323">
        <f t="shared" si="8"/>
        <v>0</v>
      </c>
      <c r="G323">
        <f t="shared" si="9"/>
        <v>0</v>
      </c>
    </row>
    <row r="324" spans="1:7">
      <c r="A324" s="1607" t="s">
        <v>564</v>
      </c>
      <c r="B324" s="1608"/>
      <c r="C324" s="1609">
        <v>548430</v>
      </c>
      <c r="D324">
        <f>+IFERROR(VLOOKUP($A324,'TB Final'!$B:$K,7,0),0)</f>
        <v>0</v>
      </c>
      <c r="E324">
        <f>+IFERROR(VLOOKUP($A324,'TB Final'!$B:$K,10,0),0)</f>
        <v>548430</v>
      </c>
      <c r="F324">
        <f t="shared" si="8"/>
        <v>0</v>
      </c>
      <c r="G324">
        <f t="shared" si="9"/>
        <v>0</v>
      </c>
    </row>
    <row r="325" spans="1:7">
      <c r="A325" s="1607" t="s">
        <v>565</v>
      </c>
      <c r="B325" s="1609">
        <v>188020.5</v>
      </c>
      <c r="C325" s="1608"/>
      <c r="D325">
        <f>+IFERROR(VLOOKUP($A325,'TB Final'!$B:$K,7,0),0)</f>
        <v>188020.5</v>
      </c>
      <c r="E325">
        <f>+IFERROR(VLOOKUP($A325,'TB Final'!$B:$K,10,0),0)</f>
        <v>0</v>
      </c>
      <c r="F325">
        <f t="shared" si="8"/>
        <v>0</v>
      </c>
      <c r="G325">
        <f t="shared" si="9"/>
        <v>0</v>
      </c>
    </row>
    <row r="326" spans="1:7">
      <c r="A326" s="1607" t="s">
        <v>349</v>
      </c>
      <c r="B326" s="1609">
        <v>30000</v>
      </c>
      <c r="C326" s="1608"/>
      <c r="D326">
        <f>+IFERROR(VLOOKUP($A326,'TB Final'!$B:$K,7,0),0)</f>
        <v>30000</v>
      </c>
      <c r="E326">
        <f>+IFERROR(VLOOKUP($A326,'TB Final'!$B:$K,10,0),0)</f>
        <v>0</v>
      </c>
      <c r="F326">
        <f t="shared" si="8"/>
        <v>0</v>
      </c>
      <c r="G326">
        <f t="shared" si="9"/>
        <v>0</v>
      </c>
    </row>
    <row r="327" spans="1:7">
      <c r="A327" s="1607" t="s">
        <v>2997</v>
      </c>
      <c r="B327" s="1608"/>
      <c r="C327" s="1609">
        <v>122997</v>
      </c>
      <c r="D327">
        <f>+IFERROR(VLOOKUP($A327,'TB Final'!$B:$K,7,0),0)</f>
        <v>0</v>
      </c>
      <c r="E327">
        <f>+IFERROR(VLOOKUP($A327,'TB Final'!$B:$K,10,0),0)</f>
        <v>122997</v>
      </c>
      <c r="F327">
        <f t="shared" si="8"/>
        <v>0</v>
      </c>
      <c r="G327">
        <f t="shared" si="9"/>
        <v>0</v>
      </c>
    </row>
    <row r="328" spans="1:7">
      <c r="A328" s="1607" t="s">
        <v>2998</v>
      </c>
      <c r="B328" s="1608"/>
      <c r="C328" s="1609">
        <v>423547</v>
      </c>
      <c r="D328">
        <f>+IFERROR(VLOOKUP($A328,'TB Final'!$B:$K,7,0),0)</f>
        <v>0</v>
      </c>
      <c r="E328">
        <f>+IFERROR(VLOOKUP($A328,'TB Final'!$B:$K,10,0),0)</f>
        <v>423547</v>
      </c>
      <c r="F328">
        <f t="shared" si="8"/>
        <v>0</v>
      </c>
      <c r="G328">
        <f t="shared" si="9"/>
        <v>0</v>
      </c>
    </row>
    <row r="329" spans="1:7">
      <c r="A329" s="1607" t="s">
        <v>350</v>
      </c>
      <c r="B329" s="1608"/>
      <c r="C329" s="1609">
        <v>1046424</v>
      </c>
      <c r="D329">
        <f>+IFERROR(VLOOKUP($A329,'TB Final'!$B:$K,7,0),0)</f>
        <v>0</v>
      </c>
      <c r="E329">
        <f>+IFERROR(VLOOKUP($A329,'TB Final'!$B:$K,10,0),0)</f>
        <v>1046424</v>
      </c>
      <c r="F329">
        <f t="shared" si="8"/>
        <v>0</v>
      </c>
      <c r="G329">
        <f t="shared" si="9"/>
        <v>0</v>
      </c>
    </row>
    <row r="330" spans="1:7">
      <c r="A330" s="1607" t="s">
        <v>2999</v>
      </c>
      <c r="B330" s="1608"/>
      <c r="C330" s="1609">
        <v>103673</v>
      </c>
      <c r="D330">
        <f>+IFERROR(VLOOKUP($A330,'TB Final'!$B:$K,7,0),0)</f>
        <v>0</v>
      </c>
      <c r="E330">
        <f>+IFERROR(VLOOKUP($A330,'TB Final'!$B:$K,10,0),0)</f>
        <v>103673</v>
      </c>
      <c r="F330">
        <f t="shared" si="8"/>
        <v>0</v>
      </c>
      <c r="G330">
        <f t="shared" si="9"/>
        <v>0</v>
      </c>
    </row>
    <row r="331" spans="1:7">
      <c r="A331" s="1607" t="s">
        <v>568</v>
      </c>
      <c r="B331" s="1609">
        <v>11611</v>
      </c>
      <c r="C331" s="1608"/>
      <c r="D331">
        <f>+IFERROR(VLOOKUP($A331,'TB Final'!$B:$K,7,0),0)</f>
        <v>11611</v>
      </c>
      <c r="E331">
        <f>+IFERROR(VLOOKUP($A331,'TB Final'!$B:$K,10,0),0)</f>
        <v>0</v>
      </c>
      <c r="F331">
        <f t="shared" si="8"/>
        <v>0</v>
      </c>
      <c r="G331">
        <f t="shared" si="9"/>
        <v>0</v>
      </c>
    </row>
    <row r="332" spans="1:7">
      <c r="A332" s="1607" t="s">
        <v>3000</v>
      </c>
      <c r="B332" s="1609">
        <v>52979.92</v>
      </c>
      <c r="C332" s="1608"/>
      <c r="D332">
        <f>+IFERROR(VLOOKUP($A332,'TB Final'!$B:$K,7,0),0)</f>
        <v>52979.92</v>
      </c>
      <c r="E332">
        <f>+IFERROR(VLOOKUP($A332,'TB Final'!$B:$K,10,0),0)</f>
        <v>0</v>
      </c>
      <c r="F332">
        <f t="shared" si="8"/>
        <v>0</v>
      </c>
      <c r="G332">
        <f t="shared" si="9"/>
        <v>0</v>
      </c>
    </row>
    <row r="333" spans="1:7">
      <c r="A333" s="1607" t="s">
        <v>351</v>
      </c>
      <c r="B333" s="1608"/>
      <c r="C333" s="1609">
        <v>14885.01</v>
      </c>
      <c r="D333">
        <f>+IFERROR(VLOOKUP($A333,'TB Final'!$B:$K,7,0),0)</f>
        <v>0</v>
      </c>
      <c r="E333">
        <f>+IFERROR(VLOOKUP($A333,'TB Final'!$B:$K,10,0),0)</f>
        <v>14885.01</v>
      </c>
      <c r="F333">
        <f t="shared" ref="F333:F373" si="10">+B333-D333</f>
        <v>0</v>
      </c>
      <c r="G333">
        <f t="shared" ref="G333:G373" si="11">+C333-E333</f>
        <v>0</v>
      </c>
    </row>
    <row r="334" spans="1:7">
      <c r="A334" s="1607" t="s">
        <v>420</v>
      </c>
      <c r="B334" s="1609">
        <v>24886</v>
      </c>
      <c r="C334" s="1608"/>
      <c r="D334">
        <f>+IFERROR(VLOOKUP($A334,'TB Final'!$B:$K,7,0),0)</f>
        <v>24886</v>
      </c>
      <c r="E334">
        <f>+IFERROR(VLOOKUP($A334,'TB Final'!$B:$K,10,0),0)</f>
        <v>0</v>
      </c>
      <c r="F334">
        <f t="shared" si="10"/>
        <v>0</v>
      </c>
      <c r="G334">
        <f t="shared" si="11"/>
        <v>0</v>
      </c>
    </row>
    <row r="335" spans="1:7">
      <c r="A335" s="1607" t="s">
        <v>569</v>
      </c>
      <c r="B335" s="1609">
        <v>15998</v>
      </c>
      <c r="C335" s="1608"/>
      <c r="D335">
        <f>+IFERROR(VLOOKUP($A335,'TB Final'!$B:$K,7,0),0)</f>
        <v>15998</v>
      </c>
      <c r="E335">
        <f>+IFERROR(VLOOKUP($A335,'TB Final'!$B:$K,10,0),0)</f>
        <v>0</v>
      </c>
      <c r="F335">
        <f t="shared" si="10"/>
        <v>0</v>
      </c>
      <c r="G335">
        <f t="shared" si="11"/>
        <v>0</v>
      </c>
    </row>
    <row r="336" spans="1:7">
      <c r="A336" s="1607" t="s">
        <v>3001</v>
      </c>
      <c r="B336" s="1609">
        <v>435758</v>
      </c>
      <c r="C336" s="1608"/>
      <c r="D336">
        <f>+IFERROR(VLOOKUP($A336,'TB Final'!$B:$K,7,0),0)</f>
        <v>435758</v>
      </c>
      <c r="E336">
        <f>+IFERROR(VLOOKUP($A336,'TB Final'!$B:$K,10,0),0)</f>
        <v>0</v>
      </c>
      <c r="F336">
        <f t="shared" si="10"/>
        <v>0</v>
      </c>
      <c r="G336">
        <f t="shared" si="11"/>
        <v>0</v>
      </c>
    </row>
    <row r="337" spans="1:7">
      <c r="A337" s="1607" t="s">
        <v>571</v>
      </c>
      <c r="B337" s="1608"/>
      <c r="C337" s="1609">
        <v>18590.04</v>
      </c>
      <c r="D337">
        <f>+IFERROR(VLOOKUP($A337,'TB Final'!$B:$K,7,0),0)</f>
        <v>0</v>
      </c>
      <c r="E337">
        <f>+IFERROR(VLOOKUP($A337,'TB Final'!$B:$K,10,0),0)</f>
        <v>18590.04</v>
      </c>
      <c r="F337">
        <f t="shared" si="10"/>
        <v>0</v>
      </c>
      <c r="G337">
        <f t="shared" si="11"/>
        <v>0</v>
      </c>
    </row>
    <row r="338" spans="1:7">
      <c r="A338" s="1607" t="s">
        <v>572</v>
      </c>
      <c r="B338" s="1608"/>
      <c r="C338" s="1609">
        <v>31456</v>
      </c>
      <c r="D338">
        <f>+IFERROR(VLOOKUP($A338,'TB Final'!$B:$K,7,0),0)</f>
        <v>0</v>
      </c>
      <c r="E338">
        <f>+IFERROR(VLOOKUP($A338,'TB Final'!$B:$K,10,0),0)</f>
        <v>31456</v>
      </c>
      <c r="F338">
        <f t="shared" si="10"/>
        <v>0</v>
      </c>
      <c r="G338">
        <f t="shared" si="11"/>
        <v>0</v>
      </c>
    </row>
    <row r="339" spans="1:7">
      <c r="A339" s="1607" t="s">
        <v>573</v>
      </c>
      <c r="B339" s="1608"/>
      <c r="C339" s="1609">
        <v>5513</v>
      </c>
      <c r="D339">
        <f>+IFERROR(VLOOKUP($A339,'TB Final'!$B:$K,7,0),0)</f>
        <v>0</v>
      </c>
      <c r="E339">
        <f>+IFERROR(VLOOKUP($A339,'TB Final'!$B:$K,10,0),0)</f>
        <v>5513</v>
      </c>
      <c r="F339">
        <f t="shared" si="10"/>
        <v>0</v>
      </c>
      <c r="G339">
        <f t="shared" si="11"/>
        <v>0</v>
      </c>
    </row>
    <row r="340" spans="1:7">
      <c r="A340" s="1607" t="s">
        <v>574</v>
      </c>
      <c r="B340" s="1608"/>
      <c r="C340" s="1609">
        <v>48309</v>
      </c>
      <c r="D340">
        <f>+IFERROR(VLOOKUP($A340,'TB Final'!$B:$K,7,0),0)</f>
        <v>0</v>
      </c>
      <c r="E340">
        <f>+IFERROR(VLOOKUP($A340,'TB Final'!$B:$K,10,0),0)</f>
        <v>48309</v>
      </c>
      <c r="F340">
        <f t="shared" si="10"/>
        <v>0</v>
      </c>
      <c r="G340">
        <f t="shared" si="11"/>
        <v>0</v>
      </c>
    </row>
    <row r="341" spans="1:7">
      <c r="A341" s="1607" t="s">
        <v>421</v>
      </c>
      <c r="B341" s="1608"/>
      <c r="C341" s="1609">
        <v>33692</v>
      </c>
      <c r="D341">
        <f>+IFERROR(VLOOKUP($A341,'TB Final'!$B:$K,7,0),0)</f>
        <v>0</v>
      </c>
      <c r="E341">
        <f>+IFERROR(VLOOKUP($A341,'TB Final'!$B:$K,10,0),0)</f>
        <v>33692</v>
      </c>
      <c r="F341">
        <f t="shared" si="10"/>
        <v>0</v>
      </c>
      <c r="G341">
        <f t="shared" si="11"/>
        <v>0</v>
      </c>
    </row>
    <row r="342" spans="1:7">
      <c r="A342" s="1607" t="s">
        <v>354</v>
      </c>
      <c r="B342" s="1608"/>
      <c r="C342" s="1609">
        <v>34000</v>
      </c>
      <c r="D342">
        <f>+IFERROR(VLOOKUP($A342,'TB Final'!$B:$K,7,0),0)</f>
        <v>0</v>
      </c>
      <c r="E342">
        <f>+IFERROR(VLOOKUP($A342,'TB Final'!$B:$K,10,0),0)</f>
        <v>34000</v>
      </c>
      <c r="F342">
        <f t="shared" si="10"/>
        <v>0</v>
      </c>
      <c r="G342">
        <f t="shared" si="11"/>
        <v>0</v>
      </c>
    </row>
    <row r="343" spans="1:7">
      <c r="A343" s="1607" t="s">
        <v>575</v>
      </c>
      <c r="B343" s="1608"/>
      <c r="C343" s="1609">
        <v>8000</v>
      </c>
      <c r="D343">
        <f>+IFERROR(VLOOKUP($A343,'TB Final'!$B:$K,7,0),0)</f>
        <v>0</v>
      </c>
      <c r="E343">
        <f>+IFERROR(VLOOKUP($A343,'TB Final'!$B:$K,10,0),0)</f>
        <v>8000</v>
      </c>
      <c r="F343">
        <f t="shared" si="10"/>
        <v>0</v>
      </c>
      <c r="G343">
        <f t="shared" si="11"/>
        <v>0</v>
      </c>
    </row>
    <row r="344" spans="1:7">
      <c r="A344" s="1607" t="s">
        <v>353</v>
      </c>
      <c r="B344" s="1608"/>
      <c r="C344" s="1609">
        <v>23905</v>
      </c>
      <c r="D344">
        <f>+IFERROR(VLOOKUP($A344,'TB Final'!$B:$K,7,0),0)</f>
        <v>0</v>
      </c>
      <c r="E344">
        <f>+IFERROR(VLOOKUP($A344,'TB Final'!$B:$K,10,0),0)</f>
        <v>23905</v>
      </c>
      <c r="F344">
        <f t="shared" si="10"/>
        <v>0</v>
      </c>
      <c r="G344">
        <f t="shared" si="11"/>
        <v>0</v>
      </c>
    </row>
    <row r="345" spans="1:7">
      <c r="A345" s="1607" t="s">
        <v>576</v>
      </c>
      <c r="B345" s="1609">
        <v>933217.36</v>
      </c>
      <c r="C345" s="1608"/>
      <c r="D345">
        <f>+IFERROR(VLOOKUP($A345,'TB Final'!$B:$K,7,0),0)</f>
        <v>933217.36</v>
      </c>
      <c r="E345">
        <f>+IFERROR(VLOOKUP($A345,'TB Final'!$B:$K,10,0),0)</f>
        <v>0</v>
      </c>
      <c r="F345">
        <f t="shared" si="10"/>
        <v>0</v>
      </c>
      <c r="G345">
        <f t="shared" si="11"/>
        <v>0</v>
      </c>
    </row>
    <row r="346" spans="1:7">
      <c r="A346" s="1607" t="s">
        <v>577</v>
      </c>
      <c r="B346" s="1609">
        <v>72945</v>
      </c>
      <c r="C346" s="1608"/>
      <c r="D346">
        <f>+IFERROR(VLOOKUP($A346,'TB Final'!$B:$K,7,0),0)</f>
        <v>72945</v>
      </c>
      <c r="E346">
        <f>+IFERROR(VLOOKUP($A346,'TB Final'!$B:$K,10,0),0)</f>
        <v>0</v>
      </c>
      <c r="F346">
        <f t="shared" si="10"/>
        <v>0</v>
      </c>
      <c r="G346">
        <f t="shared" si="11"/>
        <v>0</v>
      </c>
    </row>
    <row r="347" spans="1:7">
      <c r="A347" s="1607" t="s">
        <v>358</v>
      </c>
      <c r="B347" s="1609">
        <v>99717</v>
      </c>
      <c r="C347" s="1608"/>
      <c r="D347">
        <f>+IFERROR(VLOOKUP($A347,'TB Final'!$B:$K,7,0),0)</f>
        <v>99717</v>
      </c>
      <c r="E347">
        <f>+IFERROR(VLOOKUP($A347,'TB Final'!$B:$K,10,0),0)</f>
        <v>0</v>
      </c>
      <c r="F347">
        <f t="shared" si="10"/>
        <v>0</v>
      </c>
      <c r="G347">
        <f t="shared" si="11"/>
        <v>0</v>
      </c>
    </row>
    <row r="348" spans="1:7">
      <c r="A348" s="1607" t="s">
        <v>3002</v>
      </c>
      <c r="B348" s="1608"/>
      <c r="C348" s="1609">
        <v>197478</v>
      </c>
      <c r="D348">
        <f>+IFERROR(VLOOKUP($A348,'TB Final'!$B:$K,7,0),0)</f>
        <v>0</v>
      </c>
      <c r="E348">
        <f>+IFERROR(VLOOKUP($A348,'TB Final'!$B:$K,10,0),0)</f>
        <v>197478</v>
      </c>
      <c r="F348">
        <f t="shared" si="10"/>
        <v>0</v>
      </c>
      <c r="G348">
        <f t="shared" si="11"/>
        <v>0</v>
      </c>
    </row>
    <row r="349" spans="1:7">
      <c r="A349" s="1607" t="s">
        <v>578</v>
      </c>
      <c r="B349" s="1609">
        <v>59132.5</v>
      </c>
      <c r="C349" s="1608"/>
      <c r="D349">
        <f>+IFERROR(VLOOKUP($A349,'TB Final'!$B:$K,7,0),0)</f>
        <v>59132.5</v>
      </c>
      <c r="E349">
        <f>+IFERROR(VLOOKUP($A349,'TB Final'!$B:$K,10,0),0)</f>
        <v>0</v>
      </c>
      <c r="F349">
        <f t="shared" si="10"/>
        <v>0</v>
      </c>
      <c r="G349">
        <f t="shared" si="11"/>
        <v>0</v>
      </c>
    </row>
    <row r="350" spans="1:7">
      <c r="A350" s="1607" t="s">
        <v>359</v>
      </c>
      <c r="B350" s="1609">
        <v>368810</v>
      </c>
      <c r="C350" s="1608"/>
      <c r="D350">
        <f>+IFERROR(VLOOKUP($A350,'TB Final'!$B:$K,7,0),0)</f>
        <v>368810</v>
      </c>
      <c r="E350">
        <f>+IFERROR(VLOOKUP($A350,'TB Final'!$B:$K,10,0),0)</f>
        <v>0</v>
      </c>
      <c r="F350">
        <f t="shared" si="10"/>
        <v>0</v>
      </c>
      <c r="G350">
        <f t="shared" si="11"/>
        <v>0</v>
      </c>
    </row>
    <row r="351" spans="1:7">
      <c r="A351" s="1607" t="s">
        <v>582</v>
      </c>
      <c r="B351" s="1609">
        <v>313340</v>
      </c>
      <c r="C351" s="1608"/>
      <c r="D351">
        <f>+IFERROR(VLOOKUP($A351,'TB Final'!$B:$K,7,0),0)</f>
        <v>313340</v>
      </c>
      <c r="E351">
        <f>+IFERROR(VLOOKUP($A351,'TB Final'!$B:$K,10,0),0)</f>
        <v>0</v>
      </c>
      <c r="F351">
        <f t="shared" si="10"/>
        <v>0</v>
      </c>
      <c r="G351">
        <f t="shared" si="11"/>
        <v>0</v>
      </c>
    </row>
    <row r="352" spans="1:7">
      <c r="A352" s="1607" t="s">
        <v>583</v>
      </c>
      <c r="B352" s="1609">
        <v>1977842</v>
      </c>
      <c r="C352" s="1608"/>
      <c r="D352">
        <f>+IFERROR(VLOOKUP($A352,'TB Final'!$B:$K,7,0),0)</f>
        <v>1977842</v>
      </c>
      <c r="E352">
        <f>+IFERROR(VLOOKUP($A352,'TB Final'!$B:$K,10,0),0)</f>
        <v>0</v>
      </c>
      <c r="F352">
        <f t="shared" si="10"/>
        <v>0</v>
      </c>
      <c r="G352">
        <f t="shared" si="11"/>
        <v>0</v>
      </c>
    </row>
    <row r="353" spans="1:7">
      <c r="A353" s="1607" t="s">
        <v>427</v>
      </c>
      <c r="B353" s="1608"/>
      <c r="C353" s="1609">
        <v>27540</v>
      </c>
      <c r="D353">
        <f>+IFERROR(VLOOKUP($A353,'TB Final'!$B:$K,7,0),0)</f>
        <v>0</v>
      </c>
      <c r="E353">
        <f>+IFERROR(VLOOKUP($A353,'TB Final'!$B:$K,10,0),0)</f>
        <v>27540</v>
      </c>
      <c r="F353">
        <f t="shared" si="10"/>
        <v>0</v>
      </c>
      <c r="G353">
        <f t="shared" si="11"/>
        <v>0</v>
      </c>
    </row>
    <row r="354" spans="1:7">
      <c r="A354" s="1607" t="s">
        <v>10</v>
      </c>
      <c r="B354" s="1608"/>
      <c r="C354" s="1609">
        <v>1018930</v>
      </c>
      <c r="D354">
        <f>+IFERROR(VLOOKUP($A354,'TB Final'!$B:$K,7,0),0)</f>
        <v>0</v>
      </c>
      <c r="E354">
        <f>+IFERROR(VLOOKUP($A354,'TB Final'!$B:$K,10,0),0)</f>
        <v>1018930</v>
      </c>
      <c r="F354">
        <f t="shared" si="10"/>
        <v>0</v>
      </c>
      <c r="G354">
        <f t="shared" si="11"/>
        <v>0</v>
      </c>
    </row>
    <row r="355" spans="1:7">
      <c r="A355" s="1607" t="s">
        <v>3003</v>
      </c>
      <c r="B355" s="1608"/>
      <c r="C355" s="1609">
        <v>18125083</v>
      </c>
      <c r="D355">
        <f>+IFERROR(VLOOKUP($A355,'TB Final'!$B:$K,7,0),0)</f>
        <v>0</v>
      </c>
      <c r="E355">
        <f>+IFERROR(VLOOKUP($A355,'TB Final'!$B:$K,10,0),0)</f>
        <v>18125083</v>
      </c>
      <c r="F355">
        <f t="shared" si="10"/>
        <v>0</v>
      </c>
      <c r="G355">
        <f t="shared" si="11"/>
        <v>0</v>
      </c>
    </row>
    <row r="356" spans="1:7">
      <c r="A356" s="1607" t="s">
        <v>3004</v>
      </c>
      <c r="B356" s="1608"/>
      <c r="C356" s="1609">
        <v>162657.20000000001</v>
      </c>
      <c r="D356">
        <f>+IFERROR(VLOOKUP($A356,'TB Final'!$B:$K,7,0),0)</f>
        <v>0</v>
      </c>
      <c r="E356">
        <f>+IFERROR(VLOOKUP($A356,'TB Final'!$B:$K,10,0),0)</f>
        <v>162657.20000000001</v>
      </c>
      <c r="F356">
        <f t="shared" si="10"/>
        <v>0</v>
      </c>
      <c r="G356">
        <f t="shared" si="11"/>
        <v>0</v>
      </c>
    </row>
    <row r="357" spans="1:7">
      <c r="A357" s="1607" t="s">
        <v>3005</v>
      </c>
      <c r="B357" s="1609">
        <v>306572</v>
      </c>
      <c r="C357" s="1608"/>
      <c r="D357">
        <f>+IFERROR(VLOOKUP($A357,'TB Final'!$B:$K,7,0),0)</f>
        <v>306572</v>
      </c>
      <c r="E357">
        <f>+IFERROR(VLOOKUP($A357,'TB Final'!$B:$K,10,0),0)</f>
        <v>0</v>
      </c>
      <c r="F357">
        <f t="shared" si="10"/>
        <v>0</v>
      </c>
      <c r="G357">
        <f t="shared" si="11"/>
        <v>0</v>
      </c>
    </row>
    <row r="358" spans="1:7">
      <c r="A358" s="1607" t="s">
        <v>438</v>
      </c>
      <c r="B358" s="1609">
        <v>2991111</v>
      </c>
      <c r="C358" s="1608"/>
      <c r="D358">
        <f>+IFERROR(VLOOKUP($A358,'TB Final'!$B:$K,7,0),0)</f>
        <v>2991111</v>
      </c>
      <c r="E358">
        <f>+IFERROR(VLOOKUP($A358,'TB Final'!$B:$K,10,0),0)</f>
        <v>0</v>
      </c>
      <c r="F358">
        <f t="shared" si="10"/>
        <v>0</v>
      </c>
      <c r="G358">
        <f t="shared" si="11"/>
        <v>0</v>
      </c>
    </row>
    <row r="359" spans="1:7">
      <c r="A359" s="1607" t="s">
        <v>584</v>
      </c>
      <c r="B359" s="1609">
        <v>765698</v>
      </c>
      <c r="C359" s="1608"/>
      <c r="D359">
        <f>+IFERROR(VLOOKUP($A359,'TB Final'!$B:$K,7,0),0)</f>
        <v>765698</v>
      </c>
      <c r="E359">
        <f>+IFERROR(VLOOKUP($A359,'TB Final'!$B:$K,10,0),0)</f>
        <v>0</v>
      </c>
      <c r="F359">
        <f t="shared" si="10"/>
        <v>0</v>
      </c>
      <c r="G359">
        <f t="shared" si="11"/>
        <v>0</v>
      </c>
    </row>
    <row r="360" spans="1:7">
      <c r="A360" s="1607" t="s">
        <v>440</v>
      </c>
      <c r="B360" s="1609">
        <v>253880</v>
      </c>
      <c r="C360" s="1608"/>
      <c r="D360">
        <f>+IFERROR(VLOOKUP($A360,'TB Final'!$B:$K,7,0),0)</f>
        <v>253880</v>
      </c>
      <c r="E360">
        <f>+IFERROR(VLOOKUP($A360,'TB Final'!$B:$K,10,0),0)</f>
        <v>0</v>
      </c>
      <c r="F360">
        <f t="shared" si="10"/>
        <v>0</v>
      </c>
      <c r="G360">
        <f t="shared" si="11"/>
        <v>0</v>
      </c>
    </row>
    <row r="361" spans="1:7">
      <c r="A361" s="1607" t="s">
        <v>441</v>
      </c>
      <c r="B361" s="1608"/>
      <c r="C361" s="1609">
        <v>9434468</v>
      </c>
      <c r="D361">
        <f>+IFERROR(VLOOKUP($A361,'TB Final'!$B:$K,7,0),0)</f>
        <v>0</v>
      </c>
      <c r="E361">
        <f>+IFERROR(VLOOKUP($A361,'TB Final'!$B:$K,10,0),0)</f>
        <v>9434468</v>
      </c>
      <c r="F361">
        <f t="shared" si="10"/>
        <v>0</v>
      </c>
      <c r="G361">
        <f t="shared" si="11"/>
        <v>0</v>
      </c>
    </row>
    <row r="362" spans="1:7">
      <c r="A362" s="1607" t="s">
        <v>442</v>
      </c>
      <c r="B362" s="1608"/>
      <c r="C362" s="1609">
        <v>560256</v>
      </c>
      <c r="D362">
        <f>+IFERROR(VLOOKUP($A362,'TB Final'!$B:$K,7,0),0)</f>
        <v>0</v>
      </c>
      <c r="E362">
        <f>+IFERROR(VLOOKUP($A362,'TB Final'!$B:$K,10,0),0)</f>
        <v>560256</v>
      </c>
      <c r="F362">
        <f t="shared" si="10"/>
        <v>0</v>
      </c>
      <c r="G362">
        <f t="shared" si="11"/>
        <v>0</v>
      </c>
    </row>
    <row r="363" spans="1:7">
      <c r="A363" s="1607" t="s">
        <v>587</v>
      </c>
      <c r="B363" s="1608"/>
      <c r="C363" s="1609">
        <v>7622054</v>
      </c>
      <c r="D363">
        <f>+IFERROR(VLOOKUP($A363,'TB Final'!$B:$K,7,0),0)</f>
        <v>0</v>
      </c>
      <c r="E363">
        <f>+IFERROR(VLOOKUP($A363,'TB Final'!$B:$K,10,0),0)</f>
        <v>7622054</v>
      </c>
      <c r="F363">
        <f t="shared" si="10"/>
        <v>0</v>
      </c>
      <c r="G363">
        <f t="shared" si="11"/>
        <v>0</v>
      </c>
    </row>
    <row r="364" spans="1:7">
      <c r="A364" s="1607" t="s">
        <v>3006</v>
      </c>
      <c r="B364" s="1609">
        <v>30768</v>
      </c>
      <c r="C364" s="1608"/>
      <c r="D364">
        <f>+IFERROR(VLOOKUP($A364,'TB Final'!$B:$K,7,0),0)</f>
        <v>30768</v>
      </c>
      <c r="E364">
        <f>+IFERROR(VLOOKUP($A364,'TB Final'!$B:$K,10,0),0)</f>
        <v>0</v>
      </c>
      <c r="F364">
        <f t="shared" si="10"/>
        <v>0</v>
      </c>
      <c r="G364">
        <f t="shared" si="11"/>
        <v>0</v>
      </c>
    </row>
    <row r="365" spans="1:7">
      <c r="A365" s="1607" t="s">
        <v>3007</v>
      </c>
      <c r="B365" s="1609">
        <v>246345</v>
      </c>
      <c r="C365" s="1608"/>
      <c r="D365">
        <f>+IFERROR(VLOOKUP($A365,'TB Final'!$B:$K,7,0),0)</f>
        <v>246345</v>
      </c>
      <c r="E365">
        <f>+IFERROR(VLOOKUP($A365,'TB Final'!$B:$K,10,0),0)</f>
        <v>0</v>
      </c>
      <c r="F365">
        <f t="shared" si="10"/>
        <v>0</v>
      </c>
      <c r="G365">
        <f t="shared" si="11"/>
        <v>0</v>
      </c>
    </row>
    <row r="366" spans="1:7">
      <c r="A366" s="1607" t="s">
        <v>3008</v>
      </c>
      <c r="B366" s="1609">
        <v>42376</v>
      </c>
      <c r="C366" s="1608"/>
      <c r="D366">
        <f>+IFERROR(VLOOKUP($A366,'TB Final'!$B:$K,7,0),0)</f>
        <v>42376</v>
      </c>
      <c r="E366">
        <f>+IFERROR(VLOOKUP($A366,'TB Final'!$B:$K,10,0),0)</f>
        <v>0</v>
      </c>
      <c r="F366">
        <f t="shared" si="10"/>
        <v>0</v>
      </c>
      <c r="G366">
        <f t="shared" si="11"/>
        <v>0</v>
      </c>
    </row>
    <row r="367" spans="1:7">
      <c r="A367" s="1607" t="s">
        <v>445</v>
      </c>
      <c r="B367" s="1609">
        <v>4714336.38</v>
      </c>
      <c r="C367" s="1608"/>
      <c r="D367">
        <f>+IFERROR(VLOOKUP($A367,'TB Final'!$B:$K,7,0),0)</f>
        <v>4714336.38</v>
      </c>
      <c r="E367">
        <f>+IFERROR(VLOOKUP($A367,'TB Final'!$B:$K,10,0),0)</f>
        <v>0</v>
      </c>
      <c r="F367">
        <f t="shared" si="10"/>
        <v>0</v>
      </c>
      <c r="G367">
        <f t="shared" si="11"/>
        <v>0</v>
      </c>
    </row>
    <row r="368" spans="1:7">
      <c r="A368" s="1607" t="s">
        <v>447</v>
      </c>
      <c r="B368" s="1609">
        <v>239312224.5</v>
      </c>
      <c r="C368" s="1608"/>
      <c r="D368">
        <f>+IFERROR(VLOOKUP($A368,'TB Final'!$B:$K,7,0),0)</f>
        <v>239312224.5</v>
      </c>
      <c r="E368">
        <f>+IFERROR(VLOOKUP($A368,'TB Final'!$B:$K,10,0),0)</f>
        <v>0</v>
      </c>
      <c r="F368">
        <f t="shared" si="10"/>
        <v>0</v>
      </c>
      <c r="G368">
        <f t="shared" si="11"/>
        <v>0</v>
      </c>
    </row>
    <row r="369" spans="1:7">
      <c r="A369" s="1607" t="s">
        <v>448</v>
      </c>
      <c r="B369" s="1609">
        <v>2933800.43</v>
      </c>
      <c r="C369" s="1608"/>
      <c r="D369">
        <f>+IFERROR(VLOOKUP($A369,'TB Final'!$B:$K,7,0),0)</f>
        <v>2933800.43</v>
      </c>
      <c r="E369">
        <f>+IFERROR(VLOOKUP($A369,'TB Final'!$B:$K,10,0),0)</f>
        <v>0</v>
      </c>
      <c r="F369">
        <f t="shared" si="10"/>
        <v>0</v>
      </c>
      <c r="G369">
        <f t="shared" si="11"/>
        <v>0</v>
      </c>
    </row>
    <row r="370" spans="1:7">
      <c r="A370" s="1607" t="s">
        <v>3009</v>
      </c>
      <c r="B370" s="1608"/>
      <c r="C370" s="1609">
        <v>714051</v>
      </c>
      <c r="D370">
        <f>+IFERROR(VLOOKUP($A370,'TB Final'!$B:$K,7,0),0)</f>
        <v>0</v>
      </c>
      <c r="E370">
        <f>+IFERROR(VLOOKUP($A370,'TB Final'!$B:$K,10,0),0)</f>
        <v>714051</v>
      </c>
      <c r="F370">
        <f t="shared" si="10"/>
        <v>0</v>
      </c>
      <c r="G370">
        <f t="shared" si="11"/>
        <v>0</v>
      </c>
    </row>
    <row r="371" spans="1:7">
      <c r="A371" s="1607" t="s">
        <v>3010</v>
      </c>
      <c r="B371" s="1608"/>
      <c r="C371" s="1609">
        <v>351471</v>
      </c>
      <c r="D371">
        <f>+IFERROR(VLOOKUP($A371,'TB Final'!$B:$K,7,0),0)</f>
        <v>0</v>
      </c>
      <c r="E371">
        <f>+IFERROR(VLOOKUP($A371,'TB Final'!$B:$K,10,0),0)</f>
        <v>351471</v>
      </c>
      <c r="F371">
        <f t="shared" si="10"/>
        <v>0</v>
      </c>
      <c r="G371">
        <f t="shared" si="11"/>
        <v>0</v>
      </c>
    </row>
    <row r="372" spans="1:7">
      <c r="A372" s="1607" t="s">
        <v>590</v>
      </c>
      <c r="B372" s="1609">
        <v>8923</v>
      </c>
      <c r="C372" s="1608"/>
      <c r="D372">
        <f>+IFERROR(VLOOKUP($A372,'TB Final'!$B:$K,7,0),0)</f>
        <v>8923</v>
      </c>
      <c r="E372">
        <f>+IFERROR(VLOOKUP($A372,'TB Final'!$B:$K,10,0),0)</f>
        <v>0</v>
      </c>
      <c r="F372">
        <f t="shared" si="10"/>
        <v>0</v>
      </c>
      <c r="G372">
        <f t="shared" si="11"/>
        <v>0</v>
      </c>
    </row>
    <row r="373" spans="1:7">
      <c r="A373" s="1607" t="s">
        <v>451</v>
      </c>
      <c r="B373" s="1609">
        <v>14904501.640000001</v>
      </c>
      <c r="C373" s="1608"/>
      <c r="D373">
        <f>+IFERROR(VLOOKUP($A373,'TB Final'!$B:$K,7,0),0)</f>
        <v>14904501.640000001</v>
      </c>
      <c r="E373">
        <f>+IFERROR(VLOOKUP($A373,'TB Final'!$B:$K,10,0),0)</f>
        <v>0</v>
      </c>
      <c r="F373">
        <f t="shared" si="10"/>
        <v>0</v>
      </c>
      <c r="G373">
        <f t="shared" si="11"/>
        <v>0</v>
      </c>
    </row>
    <row r="374" spans="1:7">
      <c r="A374" s="1894" t="s">
        <v>591</v>
      </c>
      <c r="B374" s="1611">
        <v>1378178160.0999999</v>
      </c>
      <c r="C374" s="1611">
        <v>1378178160.0999999</v>
      </c>
    </row>
  </sheetData>
  <customSheetViews>
    <customSheetView guid="{ADEA4918-0326-423A-8D00-FB47A486004B}">
      <selection activeCell="A5" sqref="A5"/>
      <pageMargins left="0.7" right="0.7" top="0.75" bottom="0.75" header="0.3" footer="0.3"/>
    </customSheetView>
    <customSheetView guid="{2A78E287-3113-4387-BB62-BE98FA5C13C2}">
      <selection activeCell="A5" sqref="A5"/>
      <pageMargins left="0.7" right="0.7" top="0.75" bottom="0.75" header="0.3" footer="0.3"/>
    </customSheetView>
    <customSheetView guid="{DC5DA12B-0FA6-4F41-A983-6E433AD4604D}">
      <selection activeCell="A5" sqref="A5"/>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37B9E-0628-40BE-86D1-09B6B6CF9903}">
  <dimension ref="A2:Q576"/>
  <sheetViews>
    <sheetView topLeftCell="A102" workbookViewId="0">
      <selection activeCell="H125" sqref="H125"/>
    </sheetView>
  </sheetViews>
  <sheetFormatPr defaultRowHeight="14.4"/>
  <cols>
    <col min="2" max="2" width="46" bestFit="1" customWidth="1"/>
    <col min="3" max="3" width="7" bestFit="1" customWidth="1"/>
    <col min="4" max="4" width="32.44140625" bestFit="1" customWidth="1"/>
    <col min="5" max="5" width="38.109375" bestFit="1" customWidth="1"/>
    <col min="6" max="6" width="16.33203125" bestFit="1" customWidth="1"/>
    <col min="7" max="7" width="12.88671875" customWidth="1"/>
    <col min="8" max="8" width="18.109375" bestFit="1" customWidth="1"/>
    <col min="9" max="9" width="16.33203125" bestFit="1" customWidth="1"/>
    <col min="10" max="10" width="12.33203125" bestFit="1" customWidth="1"/>
    <col min="11" max="11" width="18.109375" bestFit="1" customWidth="1"/>
    <col min="12" max="12" width="16.33203125" bestFit="1" customWidth="1"/>
    <col min="13" max="13" width="5.88671875" bestFit="1" customWidth="1"/>
    <col min="14" max="14" width="18.109375" bestFit="1" customWidth="1"/>
    <col min="15" max="15" width="16.33203125" bestFit="1" customWidth="1"/>
    <col min="16" max="16" width="5.6640625" bestFit="1" customWidth="1"/>
    <col min="17" max="17" width="18" bestFit="1" customWidth="1"/>
  </cols>
  <sheetData>
    <row r="2" spans="2:17">
      <c r="F2" s="1626" t="s">
        <v>2488</v>
      </c>
      <c r="G2" s="1626"/>
      <c r="H2" s="1626"/>
      <c r="I2" s="1626"/>
      <c r="J2" s="1626"/>
      <c r="K2" s="1626"/>
      <c r="L2" s="1626" t="s">
        <v>900</v>
      </c>
      <c r="M2" s="1626"/>
      <c r="N2" s="1626"/>
      <c r="O2" s="1626"/>
      <c r="P2" s="1626"/>
      <c r="Q2" s="1626"/>
    </row>
    <row r="3" spans="2:17">
      <c r="B3" s="1621" t="s">
        <v>0</v>
      </c>
      <c r="C3" s="1622" t="s">
        <v>1</v>
      </c>
      <c r="D3" s="1621" t="s">
        <v>2</v>
      </c>
      <c r="E3" s="1621" t="s">
        <v>3</v>
      </c>
      <c r="F3" s="1621" t="s">
        <v>4</v>
      </c>
      <c r="G3" s="1621" t="s">
        <v>5</v>
      </c>
      <c r="H3" s="1621" t="s">
        <v>3011</v>
      </c>
      <c r="I3" s="1621" t="s">
        <v>6</v>
      </c>
      <c r="J3" s="1621" t="s">
        <v>5</v>
      </c>
      <c r="K3" s="1621" t="s">
        <v>3012</v>
      </c>
      <c r="L3" s="1621" t="s">
        <v>4</v>
      </c>
      <c r="M3" s="1621" t="s">
        <v>5</v>
      </c>
      <c r="N3" s="1621" t="s">
        <v>454</v>
      </c>
      <c r="O3" s="1621" t="s">
        <v>6</v>
      </c>
      <c r="P3" s="1621" t="s">
        <v>5</v>
      </c>
      <c r="Q3" s="1621" t="s">
        <v>455</v>
      </c>
    </row>
    <row r="4" spans="2:17">
      <c r="B4" s="856" t="s">
        <v>251</v>
      </c>
      <c r="C4" s="856"/>
      <c r="D4" s="856" t="s">
        <v>252</v>
      </c>
      <c r="E4" s="856" t="s">
        <v>252</v>
      </c>
      <c r="F4" s="1623">
        <f>+IFERROR(VLOOKUP($B4,'TB 260524'!$A:$C,2,0),0)</f>
        <v>62662681</v>
      </c>
      <c r="G4" s="1623"/>
      <c r="H4" s="1623">
        <f>+F4+G4</f>
        <v>62662681</v>
      </c>
      <c r="I4" s="1623">
        <f>+IFERROR(VLOOKUP($B4,'TB 260524'!$A:$C,3,0),0)</f>
        <v>0</v>
      </c>
      <c r="J4" s="1623"/>
      <c r="K4" s="1623">
        <f>+I4+J4</f>
        <v>0</v>
      </c>
      <c r="L4" s="1623">
        <v>51593267</v>
      </c>
      <c r="M4" s="1623">
        <v>0</v>
      </c>
      <c r="N4" s="1623">
        <v>51593267</v>
      </c>
      <c r="O4" s="1623">
        <v>0</v>
      </c>
      <c r="P4" s="1623">
        <v>0</v>
      </c>
      <c r="Q4" s="1623">
        <v>0</v>
      </c>
    </row>
    <row r="5" spans="2:17">
      <c r="B5" s="856" t="s">
        <v>20</v>
      </c>
      <c r="C5" s="856">
        <v>17</v>
      </c>
      <c r="D5" s="856" t="s">
        <v>8</v>
      </c>
      <c r="E5" s="856" t="s">
        <v>9</v>
      </c>
      <c r="F5" s="1623">
        <f>+IFERROR(VLOOKUP($B5,'TB 260524'!$A:$C,2,0),0)</f>
        <v>0</v>
      </c>
      <c r="G5" s="1623"/>
      <c r="H5" s="1623">
        <f t="shared" ref="H5:H70" si="0">+F5+G5</f>
        <v>0</v>
      </c>
      <c r="I5" s="1623">
        <f>+IFERROR(VLOOKUP($B5,'TB 260524'!$A:$C,3,0),0)</f>
        <v>2485320</v>
      </c>
      <c r="J5" s="1623"/>
      <c r="K5" s="1623">
        <f t="shared" ref="K5:K70" si="1">+I5+J5</f>
        <v>2485320</v>
      </c>
      <c r="L5" s="1623">
        <v>0</v>
      </c>
      <c r="M5" s="1623">
        <v>0</v>
      </c>
      <c r="N5" s="1623">
        <v>0</v>
      </c>
      <c r="O5" s="1623">
        <v>380240</v>
      </c>
      <c r="P5" s="1623">
        <v>0</v>
      </c>
      <c r="Q5" s="1623">
        <v>380240</v>
      </c>
    </row>
    <row r="6" spans="2:17">
      <c r="B6" s="856" t="s">
        <v>2942</v>
      </c>
      <c r="C6" s="856">
        <v>17</v>
      </c>
      <c r="D6" s="856" t="s">
        <v>8</v>
      </c>
      <c r="E6" s="856" t="s">
        <v>9</v>
      </c>
      <c r="F6" s="1623">
        <f>+IFERROR(VLOOKUP($B6,'TB 260524'!$A:$C,2,0),0)</f>
        <v>0</v>
      </c>
      <c r="G6" s="1623"/>
      <c r="H6" s="1623">
        <f t="shared" si="0"/>
        <v>0</v>
      </c>
      <c r="I6" s="1623">
        <f>+IFERROR(VLOOKUP($B6,'TB 260524'!$A:$C,3,0),0)</f>
        <v>115749</v>
      </c>
      <c r="J6" s="1623"/>
      <c r="K6" s="1623">
        <f t="shared" si="1"/>
        <v>115749</v>
      </c>
      <c r="L6" s="1623">
        <v>0</v>
      </c>
      <c r="M6" s="1623">
        <v>0</v>
      </c>
      <c r="N6" s="1623">
        <v>0</v>
      </c>
      <c r="O6" s="1623">
        <v>0</v>
      </c>
      <c r="P6" s="1623">
        <v>0</v>
      </c>
      <c r="Q6" s="1623">
        <v>0</v>
      </c>
    </row>
    <row r="7" spans="2:17">
      <c r="B7" s="1744" t="s">
        <v>3062</v>
      </c>
      <c r="C7" s="1744">
        <v>27</v>
      </c>
      <c r="D7" s="1744" t="s">
        <v>28</v>
      </c>
      <c r="E7" s="1744" t="s">
        <v>196</v>
      </c>
      <c r="F7" s="1623">
        <f>+IFERROR(VLOOKUP($B7,'TB 260524'!$A:$C,2,0),0)</f>
        <v>0</v>
      </c>
      <c r="G7" s="1623"/>
      <c r="H7" s="1623">
        <f t="shared" si="0"/>
        <v>0</v>
      </c>
      <c r="I7" s="1623">
        <f>+IFERROR(VLOOKUP($B7,'TB 260524'!$A:$C,3,0),0)</f>
        <v>13700</v>
      </c>
      <c r="J7" s="1623"/>
      <c r="K7" s="1623">
        <f t="shared" si="1"/>
        <v>13700</v>
      </c>
      <c r="L7" s="1623"/>
      <c r="M7" s="1623"/>
      <c r="N7" s="1623"/>
      <c r="O7" s="1623"/>
      <c r="P7" s="1623"/>
      <c r="Q7" s="1623"/>
    </row>
    <row r="8" spans="2:17">
      <c r="B8" s="1744" t="s">
        <v>389</v>
      </c>
      <c r="C8" s="1744">
        <v>10</v>
      </c>
      <c r="D8" s="1744" t="s">
        <v>32</v>
      </c>
      <c r="E8" s="1744" t="s">
        <v>199</v>
      </c>
      <c r="F8" s="1623">
        <f>+IFERROR(VLOOKUP($B8,'TB 260524'!$A:$C,2,0),0)</f>
        <v>24320</v>
      </c>
      <c r="G8" s="1623"/>
      <c r="H8" s="1623">
        <f t="shared" si="0"/>
        <v>24320</v>
      </c>
      <c r="I8" s="1623">
        <f>+IFERROR(VLOOKUP($B8,'TB 260524'!$A:$C,3,0),0)</f>
        <v>0</v>
      </c>
      <c r="J8" s="1623"/>
      <c r="K8" s="1623">
        <f t="shared" si="1"/>
        <v>0</v>
      </c>
      <c r="L8" s="1623"/>
      <c r="M8" s="1623"/>
      <c r="N8" s="1623"/>
      <c r="O8" s="1623"/>
      <c r="P8" s="1623"/>
      <c r="Q8" s="1623"/>
    </row>
    <row r="9" spans="2:17">
      <c r="B9" s="1745" t="s">
        <v>202</v>
      </c>
      <c r="C9" s="1745">
        <v>9</v>
      </c>
      <c r="D9" s="1745" t="s">
        <v>35</v>
      </c>
      <c r="E9" s="1745" t="s">
        <v>202</v>
      </c>
      <c r="F9" s="1623">
        <f>+IFERROR(VLOOKUP($B9,'TB 260524'!$A:$C,2,0),0)</f>
        <v>319057</v>
      </c>
      <c r="G9" s="1623"/>
      <c r="H9" s="1623">
        <f t="shared" si="0"/>
        <v>319057</v>
      </c>
      <c r="I9" s="1623">
        <f>+IFERROR(VLOOKUP($B9,'TB 260524'!$A:$C,3,0),0)</f>
        <v>0</v>
      </c>
      <c r="J9" s="1623"/>
      <c r="K9" s="1623">
        <f t="shared" si="1"/>
        <v>0</v>
      </c>
      <c r="L9" s="1623"/>
      <c r="M9" s="1623"/>
      <c r="N9" s="1623"/>
      <c r="O9" s="1623"/>
      <c r="P9" s="1623"/>
      <c r="Q9" s="1623"/>
    </row>
    <row r="10" spans="2:17">
      <c r="B10" s="1744" t="s">
        <v>218</v>
      </c>
      <c r="C10" s="1744">
        <v>6</v>
      </c>
      <c r="D10" s="1744" t="s">
        <v>13</v>
      </c>
      <c r="E10" s="1744" t="s">
        <v>14</v>
      </c>
      <c r="F10" s="1623">
        <f>+IFERROR(VLOOKUP($B10,'TB 260524'!$A:$C,2,0),0)</f>
        <v>231314</v>
      </c>
      <c r="G10" s="1623"/>
      <c r="H10" s="1623">
        <f t="shared" si="0"/>
        <v>231314</v>
      </c>
      <c r="I10" s="1623">
        <f>+IFERROR(VLOOKUP($B10,'TB 260524'!$A:$C,3,0),0)</f>
        <v>0</v>
      </c>
      <c r="J10" s="1623"/>
      <c r="K10" s="1623">
        <f t="shared" si="1"/>
        <v>0</v>
      </c>
      <c r="L10" s="1623">
        <v>231314</v>
      </c>
      <c r="M10" s="1623">
        <v>0</v>
      </c>
      <c r="N10" s="1623">
        <f>+L10+M10</f>
        <v>231314</v>
      </c>
      <c r="O10" s="1623"/>
      <c r="P10" s="1623"/>
      <c r="Q10" s="1623"/>
    </row>
    <row r="11" spans="2:17">
      <c r="B11" s="1744" t="s">
        <v>3063</v>
      </c>
      <c r="C11" s="1744">
        <v>17</v>
      </c>
      <c r="D11" s="1744" t="s">
        <v>8</v>
      </c>
      <c r="E11" s="1744" t="s">
        <v>8</v>
      </c>
      <c r="F11" s="1623">
        <f>+IFERROR(VLOOKUP($B11,'TB 260524'!$A:$C,2,0),0)</f>
        <v>0</v>
      </c>
      <c r="G11" s="1623"/>
      <c r="H11" s="1623">
        <f t="shared" si="0"/>
        <v>0</v>
      </c>
      <c r="I11" s="1623">
        <f>+IFERROR(VLOOKUP($B11,'TB 260524'!$A:$C,3,0),0)</f>
        <v>19514</v>
      </c>
      <c r="J11" s="1623"/>
      <c r="K11" s="1623">
        <f t="shared" si="1"/>
        <v>19514</v>
      </c>
      <c r="L11" s="1623"/>
      <c r="M11" s="1623"/>
      <c r="N11" s="1623"/>
      <c r="O11" s="1623"/>
      <c r="P11" s="1623"/>
      <c r="Q11" s="1623"/>
    </row>
    <row r="12" spans="2:17">
      <c r="B12" s="1744" t="s">
        <v>3064</v>
      </c>
      <c r="C12" s="1744">
        <v>18</v>
      </c>
      <c r="D12" s="1744" t="s">
        <v>214</v>
      </c>
      <c r="E12" s="1744" t="s">
        <v>90</v>
      </c>
      <c r="F12" s="1623">
        <f>+IFERROR(VLOOKUP($B12,'TB 260524'!$A:$C,2,0),0)</f>
        <v>0</v>
      </c>
      <c r="G12" s="1623"/>
      <c r="H12" s="1623">
        <f t="shared" si="0"/>
        <v>0</v>
      </c>
      <c r="I12" s="1623">
        <f>+IFERROR(VLOOKUP($B12,'TB 260524'!$A:$C,3,0),0)</f>
        <v>77396</v>
      </c>
      <c r="J12" s="1623"/>
      <c r="K12" s="1623">
        <f t="shared" si="1"/>
        <v>77396</v>
      </c>
      <c r="L12" s="1623"/>
      <c r="M12" s="1623"/>
      <c r="N12" s="1623"/>
      <c r="O12" s="1623"/>
      <c r="P12" s="1623"/>
      <c r="Q12" s="1623"/>
    </row>
    <row r="13" spans="2:17">
      <c r="B13" s="1744" t="s">
        <v>3065</v>
      </c>
      <c r="C13" s="1744">
        <v>17</v>
      </c>
      <c r="D13" s="1744" t="s">
        <v>8</v>
      </c>
      <c r="E13" s="1744" t="s">
        <v>9</v>
      </c>
      <c r="F13" s="1623">
        <f>+IFERROR(VLOOKUP($B13,'TB 260524'!$A:$C,2,0),0)</f>
        <v>0</v>
      </c>
      <c r="G13" s="1623"/>
      <c r="H13" s="1623">
        <f t="shared" si="0"/>
        <v>0</v>
      </c>
      <c r="I13" s="1623">
        <f>+IFERROR(VLOOKUP($B13,'TB 260524'!$A:$C,3,0),0)</f>
        <v>22492</v>
      </c>
      <c r="J13" s="1623"/>
      <c r="K13" s="1623">
        <f t="shared" si="1"/>
        <v>22492</v>
      </c>
      <c r="L13" s="1623"/>
      <c r="M13" s="1623"/>
      <c r="N13" s="1623"/>
      <c r="O13" s="1623"/>
      <c r="P13" s="1623"/>
      <c r="Q13" s="1623"/>
    </row>
    <row r="14" spans="2:17">
      <c r="B14" s="856" t="s">
        <v>27</v>
      </c>
      <c r="C14" s="856">
        <v>27</v>
      </c>
      <c r="D14" s="856" t="s">
        <v>28</v>
      </c>
      <c r="E14" s="856" t="s">
        <v>27</v>
      </c>
      <c r="F14" s="1623">
        <f>+IFERROR(VLOOKUP($B14,'TB 260524'!$A:$C,2,0),0)</f>
        <v>156102</v>
      </c>
      <c r="G14" s="1623"/>
      <c r="H14" s="1623">
        <f t="shared" si="0"/>
        <v>156102</v>
      </c>
      <c r="I14" s="1623">
        <f>+IFERROR(VLOOKUP($B14,'TB 260524'!$A:$C,3,0),0)</f>
        <v>0</v>
      </c>
      <c r="J14" s="1623"/>
      <c r="K14" s="1623">
        <f t="shared" si="1"/>
        <v>0</v>
      </c>
      <c r="L14" s="1623">
        <v>120274</v>
      </c>
      <c r="M14" s="1623">
        <v>0</v>
      </c>
      <c r="N14" s="1623">
        <v>120274</v>
      </c>
      <c r="O14" s="1623">
        <v>0</v>
      </c>
      <c r="P14" s="1623">
        <v>0</v>
      </c>
      <c r="Q14" s="1623">
        <v>0</v>
      </c>
    </row>
    <row r="15" spans="2:17">
      <c r="B15" s="856" t="s">
        <v>298</v>
      </c>
      <c r="C15" s="856">
        <v>17</v>
      </c>
      <c r="D15" s="856" t="s">
        <v>8</v>
      </c>
      <c r="E15" s="856" t="s">
        <v>9</v>
      </c>
      <c r="F15" s="1623">
        <f>+IFERROR(VLOOKUP($B15,'TB 260524'!$A:$C,2,0),0)</f>
        <v>0</v>
      </c>
      <c r="G15" s="1623"/>
      <c r="H15" s="1623">
        <f t="shared" si="0"/>
        <v>0</v>
      </c>
      <c r="I15" s="1623">
        <f>+IFERROR(VLOOKUP($B15,'TB 260524'!$A:$C,3,0),0)</f>
        <v>169429</v>
      </c>
      <c r="J15" s="1623"/>
      <c r="K15" s="1623">
        <f t="shared" si="1"/>
        <v>169429</v>
      </c>
      <c r="L15" s="1623">
        <v>0</v>
      </c>
      <c r="M15" s="1623">
        <v>0</v>
      </c>
      <c r="N15" s="1623">
        <v>0</v>
      </c>
      <c r="O15" s="1623">
        <v>39816</v>
      </c>
      <c r="P15" s="1623">
        <v>0</v>
      </c>
      <c r="Q15" s="1623">
        <v>39816</v>
      </c>
    </row>
    <row r="16" spans="2:17">
      <c r="B16" s="856" t="s">
        <v>7</v>
      </c>
      <c r="C16" s="856">
        <v>17</v>
      </c>
      <c r="D16" s="856" t="s">
        <v>8</v>
      </c>
      <c r="E16" s="856" t="s">
        <v>9</v>
      </c>
      <c r="F16" s="1623">
        <f>+IFERROR(VLOOKUP($B16,'TB 260524'!$A:$C,2,0),0)</f>
        <v>0</v>
      </c>
      <c r="G16" s="1623"/>
      <c r="H16" s="1623">
        <f t="shared" si="0"/>
        <v>0</v>
      </c>
      <c r="I16" s="1623">
        <f>+IFERROR(VLOOKUP($B16,'TB 260524'!$A:$C,3,0),0)</f>
        <v>208440</v>
      </c>
      <c r="J16" s="1623"/>
      <c r="K16" s="1623">
        <f t="shared" si="1"/>
        <v>208440</v>
      </c>
      <c r="L16" s="1623">
        <v>0</v>
      </c>
      <c r="M16" s="1623">
        <v>0</v>
      </c>
      <c r="N16" s="1623">
        <v>0</v>
      </c>
      <c r="O16" s="1623">
        <v>73440</v>
      </c>
      <c r="P16" s="1623">
        <v>0</v>
      </c>
      <c r="Q16" s="1623">
        <v>73440</v>
      </c>
    </row>
    <row r="17" spans="2:17">
      <c r="B17" s="856" t="s">
        <v>70</v>
      </c>
      <c r="C17" s="856">
        <v>6</v>
      </c>
      <c r="D17" s="856" t="s">
        <v>13</v>
      </c>
      <c r="E17" s="856" t="s">
        <v>14</v>
      </c>
      <c r="F17" s="1623">
        <f>+IFERROR(VLOOKUP($B17,'TB 260524'!$A:$C,2,0),0)</f>
        <v>2734455</v>
      </c>
      <c r="G17" s="1623"/>
      <c r="H17" s="1623">
        <f t="shared" si="0"/>
        <v>2734455</v>
      </c>
      <c r="I17" s="1623">
        <f>+IFERROR(VLOOKUP($B17,'TB 260524'!$A:$C,3,0),0)</f>
        <v>0</v>
      </c>
      <c r="J17" s="1623"/>
      <c r="K17" s="1623">
        <f t="shared" si="1"/>
        <v>0</v>
      </c>
      <c r="L17" s="1623">
        <v>0</v>
      </c>
      <c r="M17" s="1623">
        <v>0</v>
      </c>
      <c r="N17" s="1623">
        <v>0</v>
      </c>
      <c r="O17" s="1623">
        <v>0</v>
      </c>
      <c r="P17" s="1623">
        <v>0</v>
      </c>
      <c r="Q17" s="1623">
        <v>0</v>
      </c>
    </row>
    <row r="18" spans="2:17">
      <c r="B18" s="856" t="s">
        <v>469</v>
      </c>
      <c r="C18" s="856">
        <v>13</v>
      </c>
      <c r="D18" s="856" t="s">
        <v>44</v>
      </c>
      <c r="E18" s="856" t="s">
        <v>45</v>
      </c>
      <c r="F18" s="1623">
        <f>+IFERROR(VLOOKUP($B18,'TB 260524'!$A:$C,2,0),0)</f>
        <v>0</v>
      </c>
      <c r="G18" s="1623"/>
      <c r="H18" s="1623">
        <f t="shared" si="0"/>
        <v>0</v>
      </c>
      <c r="I18" s="1623">
        <f>+IFERROR(VLOOKUP($B18,'TB 260524'!$A:$C,3,0),0)</f>
        <v>4465191</v>
      </c>
      <c r="J18" s="1623"/>
      <c r="K18" s="1623">
        <f t="shared" si="1"/>
        <v>4465191</v>
      </c>
      <c r="L18" s="1623">
        <v>0</v>
      </c>
      <c r="M18" s="1623">
        <v>0</v>
      </c>
      <c r="N18" s="1623">
        <v>0</v>
      </c>
      <c r="O18" s="1623">
        <v>2723419</v>
      </c>
      <c r="P18" s="1623">
        <v>0</v>
      </c>
      <c r="Q18" s="1623">
        <v>2723419</v>
      </c>
    </row>
    <row r="19" spans="2:17">
      <c r="B19" s="856" t="s">
        <v>2943</v>
      </c>
      <c r="C19" s="856">
        <v>18</v>
      </c>
      <c r="D19" s="856" t="s">
        <v>214</v>
      </c>
      <c r="E19" s="856" t="s">
        <v>322</v>
      </c>
      <c r="F19" s="1623">
        <f>+IFERROR(VLOOKUP($B19,'TB 260524'!$A:$C,2,0),0)</f>
        <v>0</v>
      </c>
      <c r="G19" s="1623"/>
      <c r="H19" s="1623">
        <f t="shared" si="0"/>
        <v>0</v>
      </c>
      <c r="I19" s="1623">
        <f>+IFERROR(VLOOKUP($B19,'TB 260524'!$A:$C,3,0),0)</f>
        <v>0</v>
      </c>
      <c r="J19" s="1623"/>
      <c r="K19" s="1623">
        <f t="shared" si="1"/>
        <v>0</v>
      </c>
      <c r="L19" s="1623">
        <v>0</v>
      </c>
      <c r="M19" s="1623">
        <v>0</v>
      </c>
      <c r="N19" s="1623">
        <v>0</v>
      </c>
      <c r="O19" s="1623">
        <v>0</v>
      </c>
      <c r="P19" s="1623">
        <v>0</v>
      </c>
      <c r="Q19" s="1623">
        <v>0</v>
      </c>
    </row>
    <row r="20" spans="2:17">
      <c r="B20" s="856" t="s">
        <v>50</v>
      </c>
      <c r="C20" s="856">
        <v>27</v>
      </c>
      <c r="D20" s="856" t="s">
        <v>48</v>
      </c>
      <c r="E20" s="856" t="s">
        <v>49</v>
      </c>
      <c r="F20" s="1623">
        <f>+IFERROR(VLOOKUP($B20,'TB 260524'!$A:$C,2,0),0)</f>
        <v>18000</v>
      </c>
      <c r="G20" s="1623"/>
      <c r="H20" s="1623">
        <f t="shared" si="0"/>
        <v>18000</v>
      </c>
      <c r="I20" s="1623">
        <f>+IFERROR(VLOOKUP($B20,'TB 260524'!$A:$C,3,0),0)</f>
        <v>0</v>
      </c>
      <c r="J20" s="1623"/>
      <c r="K20" s="1623">
        <f t="shared" si="1"/>
        <v>0</v>
      </c>
      <c r="L20" s="1623">
        <v>18000</v>
      </c>
      <c r="M20" s="1623">
        <v>0</v>
      </c>
      <c r="N20" s="1623">
        <v>18000</v>
      </c>
      <c r="O20" s="1623">
        <v>0</v>
      </c>
      <c r="P20" s="1623">
        <v>0</v>
      </c>
      <c r="Q20" s="1623">
        <v>0</v>
      </c>
    </row>
    <row r="21" spans="2:17">
      <c r="B21" s="856" t="s">
        <v>51</v>
      </c>
      <c r="C21" s="856">
        <v>27</v>
      </c>
      <c r="D21" s="856" t="s">
        <v>48</v>
      </c>
      <c r="E21" s="856" t="s">
        <v>52</v>
      </c>
      <c r="F21" s="1623">
        <f>+IFERROR(VLOOKUP($B21,'TB 260524'!$A:$C,2,0),0)</f>
        <v>55000</v>
      </c>
      <c r="G21" s="1623"/>
      <c r="H21" s="1623">
        <f t="shared" si="0"/>
        <v>55000</v>
      </c>
      <c r="I21" s="1623">
        <f>+IFERROR(VLOOKUP($B21,'TB 260524'!$A:$C,3,0),0)</f>
        <v>0</v>
      </c>
      <c r="J21" s="1623"/>
      <c r="K21" s="1623">
        <f t="shared" si="1"/>
        <v>0</v>
      </c>
      <c r="L21" s="1623">
        <v>55000</v>
      </c>
      <c r="M21" s="1623">
        <v>0</v>
      </c>
      <c r="N21" s="1623">
        <v>55000</v>
      </c>
      <c r="O21" s="1623">
        <v>0</v>
      </c>
      <c r="P21" s="1623">
        <v>0</v>
      </c>
      <c r="Q21" s="1623">
        <v>0</v>
      </c>
    </row>
    <row r="22" spans="2:17">
      <c r="B22" s="856" t="s">
        <v>2944</v>
      </c>
      <c r="C22" s="856">
        <v>9</v>
      </c>
      <c r="D22" s="856" t="s">
        <v>35</v>
      </c>
      <c r="E22" s="856" t="s">
        <v>36</v>
      </c>
      <c r="F22" s="1623">
        <f>+IFERROR(VLOOKUP($B22,'TB 260524'!$A:$C,2,0),0)</f>
        <v>70000</v>
      </c>
      <c r="G22" s="1623"/>
      <c r="H22" s="1623">
        <f t="shared" si="0"/>
        <v>70000</v>
      </c>
      <c r="I22" s="1623">
        <f>+IFERROR(VLOOKUP($B22,'TB 260524'!$A:$C,3,0),0)</f>
        <v>0</v>
      </c>
      <c r="J22" s="1623"/>
      <c r="K22" s="1623">
        <f t="shared" si="1"/>
        <v>0</v>
      </c>
      <c r="L22" s="1623">
        <v>0</v>
      </c>
      <c r="M22" s="1623">
        <v>0</v>
      </c>
      <c r="N22" s="1623">
        <v>0</v>
      </c>
      <c r="O22" s="1623">
        <v>0</v>
      </c>
      <c r="P22" s="1623">
        <v>0</v>
      </c>
      <c r="Q22" s="1623">
        <v>0</v>
      </c>
    </row>
    <row r="23" spans="2:17">
      <c r="B23" s="856" t="s">
        <v>2945</v>
      </c>
      <c r="C23" s="856">
        <v>6</v>
      </c>
      <c r="D23" s="856" t="s">
        <v>13</v>
      </c>
      <c r="E23" s="856" t="s">
        <v>14</v>
      </c>
      <c r="F23" s="1623">
        <f>+IFERROR(VLOOKUP($B23,'TB 260524'!$A:$C,2,0),0)</f>
        <v>244640</v>
      </c>
      <c r="G23" s="1623"/>
      <c r="H23" s="1623">
        <f t="shared" si="0"/>
        <v>244640</v>
      </c>
      <c r="I23" s="1623">
        <f>+IFERROR(VLOOKUP($B23,'TB 260524'!$A:$C,3,0),0)</f>
        <v>0</v>
      </c>
      <c r="J23" s="1623"/>
      <c r="K23" s="1623">
        <f t="shared" si="1"/>
        <v>0</v>
      </c>
      <c r="L23" s="1623">
        <v>0</v>
      </c>
      <c r="M23" s="1623">
        <v>0</v>
      </c>
      <c r="N23" s="1623">
        <v>0</v>
      </c>
      <c r="O23" s="1623">
        <v>0</v>
      </c>
      <c r="P23" s="1623">
        <v>0</v>
      </c>
      <c r="Q23" s="1623">
        <v>0</v>
      </c>
    </row>
    <row r="24" spans="2:17">
      <c r="B24" s="856" t="s">
        <v>56</v>
      </c>
      <c r="C24" s="856">
        <v>27</v>
      </c>
      <c r="D24" s="856" t="s">
        <v>48</v>
      </c>
      <c r="E24" s="856" t="s">
        <v>57</v>
      </c>
      <c r="F24" s="1623">
        <f>+IFERROR(VLOOKUP($B24,'TB 260524'!$A:$C,2,0),0)</f>
        <v>7403</v>
      </c>
      <c r="G24" s="1623"/>
      <c r="H24" s="1623">
        <f t="shared" si="0"/>
        <v>7403</v>
      </c>
      <c r="I24" s="1623">
        <f>+IFERROR(VLOOKUP($B24,'TB 260524'!$A:$C,3,0),0)</f>
        <v>0</v>
      </c>
      <c r="J24" s="1623"/>
      <c r="K24" s="1623">
        <f t="shared" si="1"/>
        <v>0</v>
      </c>
      <c r="L24" s="1623">
        <v>0</v>
      </c>
      <c r="M24" s="1623">
        <v>0</v>
      </c>
      <c r="N24" s="1623">
        <v>0</v>
      </c>
      <c r="O24" s="1623">
        <v>0</v>
      </c>
      <c r="P24" s="1623">
        <v>0</v>
      </c>
      <c r="Q24" s="1623">
        <v>0</v>
      </c>
    </row>
    <row r="25" spans="2:17">
      <c r="B25" s="856" t="s">
        <v>58</v>
      </c>
      <c r="C25" s="856">
        <v>17</v>
      </c>
      <c r="D25" s="856" t="s">
        <v>8</v>
      </c>
      <c r="E25" s="856" t="s">
        <v>9</v>
      </c>
      <c r="F25" s="1623">
        <f>+IFERROR(VLOOKUP($B25,'TB 260524'!$A:$C,2,0),0)</f>
        <v>0</v>
      </c>
      <c r="G25" s="1623"/>
      <c r="H25" s="1623">
        <f t="shared" si="0"/>
        <v>0</v>
      </c>
      <c r="I25" s="1623">
        <f>+IFERROR(VLOOKUP($B25,'TB 260524'!$A:$C,3,0),0)</f>
        <v>247500</v>
      </c>
      <c r="J25" s="1623"/>
      <c r="K25" s="1623">
        <f t="shared" si="1"/>
        <v>247500</v>
      </c>
      <c r="L25" s="1623">
        <v>0</v>
      </c>
      <c r="M25" s="1623">
        <v>0</v>
      </c>
      <c r="N25" s="1623">
        <v>0</v>
      </c>
      <c r="O25" s="1623">
        <v>247500</v>
      </c>
      <c r="P25" s="1623">
        <v>0</v>
      </c>
      <c r="Q25" s="1623">
        <v>247500</v>
      </c>
    </row>
    <row r="26" spans="2:17">
      <c r="B26" s="856" t="s">
        <v>472</v>
      </c>
      <c r="C26" s="856">
        <v>6</v>
      </c>
      <c r="D26" s="856" t="s">
        <v>13</v>
      </c>
      <c r="E26" s="856" t="s">
        <v>14</v>
      </c>
      <c r="F26" s="1623">
        <f>+IFERROR(VLOOKUP($B26,'TB 260524'!$A:$C,2,0),0)</f>
        <v>1489956</v>
      </c>
      <c r="G26" s="1623"/>
      <c r="H26" s="1623">
        <f t="shared" si="0"/>
        <v>1489956</v>
      </c>
      <c r="I26" s="1623">
        <f>+IFERROR(VLOOKUP($B26,'TB 260524'!$A:$C,3,0),0)</f>
        <v>0</v>
      </c>
      <c r="J26" s="1623"/>
      <c r="K26" s="1623">
        <f t="shared" si="1"/>
        <v>0</v>
      </c>
      <c r="L26" s="1623">
        <v>2282129</v>
      </c>
      <c r="M26" s="1623">
        <v>0</v>
      </c>
      <c r="N26" s="1623">
        <v>2282129</v>
      </c>
      <c r="O26" s="1623">
        <v>0</v>
      </c>
      <c r="P26" s="1623">
        <v>0</v>
      </c>
      <c r="Q26" s="1623">
        <v>0</v>
      </c>
    </row>
    <row r="27" spans="2:17">
      <c r="B27" s="856" t="s">
        <v>473</v>
      </c>
      <c r="C27" s="856">
        <v>17</v>
      </c>
      <c r="D27" s="856" t="s">
        <v>8</v>
      </c>
      <c r="E27" s="856" t="s">
        <v>8</v>
      </c>
      <c r="F27" s="1623">
        <f>+IFERROR(VLOOKUP($B27,'TB 260524'!$A:$C,2,0),0)</f>
        <v>0</v>
      </c>
      <c r="G27" s="1623"/>
      <c r="H27" s="1623">
        <f t="shared" si="0"/>
        <v>0</v>
      </c>
      <c r="I27" s="1623">
        <f>+IFERROR(VLOOKUP($B27,'TB 260524'!$A:$C,3,0),0)</f>
        <v>641767.5</v>
      </c>
      <c r="J27" s="1623"/>
      <c r="K27" s="1623">
        <f t="shared" si="1"/>
        <v>641767.5</v>
      </c>
      <c r="L27" s="1623">
        <v>0</v>
      </c>
      <c r="M27" s="1623">
        <v>0</v>
      </c>
      <c r="N27" s="1623">
        <v>0</v>
      </c>
      <c r="O27" s="1623">
        <v>556517</v>
      </c>
      <c r="P27" s="1623">
        <v>0</v>
      </c>
      <c r="Q27" s="1623">
        <v>556517</v>
      </c>
    </row>
    <row r="28" spans="2:17">
      <c r="B28" s="856" t="s">
        <v>59</v>
      </c>
      <c r="C28" s="856">
        <v>27</v>
      </c>
      <c r="D28" s="856" t="s">
        <v>48</v>
      </c>
      <c r="E28" s="856" t="s">
        <v>59</v>
      </c>
      <c r="F28" s="1623">
        <f>+IFERROR(VLOOKUP($B28,'TB 260524'!$A:$C,2,0),0)</f>
        <v>0</v>
      </c>
      <c r="G28" s="1623"/>
      <c r="H28" s="1623">
        <f t="shared" si="0"/>
        <v>0</v>
      </c>
      <c r="I28" s="1623">
        <f>+IFERROR(VLOOKUP($B28,'TB 260524'!$A:$C,3,0),0)</f>
        <v>0</v>
      </c>
      <c r="J28" s="1623"/>
      <c r="K28" s="1623">
        <f t="shared" si="1"/>
        <v>0</v>
      </c>
      <c r="L28" s="1623">
        <v>0</v>
      </c>
      <c r="M28" s="1623">
        <v>0</v>
      </c>
      <c r="N28" s="1623">
        <v>0</v>
      </c>
      <c r="O28" s="1623">
        <v>0</v>
      </c>
      <c r="P28" s="1623">
        <v>0</v>
      </c>
      <c r="Q28" s="1623">
        <v>0</v>
      </c>
    </row>
    <row r="29" spans="2:17">
      <c r="B29" s="856" t="s">
        <v>60</v>
      </c>
      <c r="C29" s="856">
        <v>17</v>
      </c>
      <c r="D29" s="856" t="s">
        <v>8</v>
      </c>
      <c r="E29" s="856" t="s">
        <v>8</v>
      </c>
      <c r="F29" s="1623">
        <f>+IFERROR(VLOOKUP($B29,'TB 260524'!$A:$C,2,0),0)</f>
        <v>0</v>
      </c>
      <c r="G29" s="1623"/>
      <c r="H29" s="1623">
        <f t="shared" si="0"/>
        <v>0</v>
      </c>
      <c r="I29" s="1623">
        <f>+IFERROR(VLOOKUP($B29,'TB 260524'!$A:$C,3,0),0)</f>
        <v>233402</v>
      </c>
      <c r="J29" s="1623"/>
      <c r="K29" s="1623">
        <f t="shared" si="1"/>
        <v>233402</v>
      </c>
      <c r="L29" s="1623">
        <v>0</v>
      </c>
      <c r="M29" s="1623">
        <v>0</v>
      </c>
      <c r="N29" s="1623">
        <v>0</v>
      </c>
      <c r="O29" s="1623">
        <v>156616</v>
      </c>
      <c r="P29" s="1623">
        <v>0</v>
      </c>
      <c r="Q29" s="1623">
        <v>156616</v>
      </c>
    </row>
    <row r="30" spans="2:17">
      <c r="B30" s="856" t="s">
        <v>61</v>
      </c>
      <c r="C30" s="856">
        <v>13</v>
      </c>
      <c r="D30" s="856" t="s">
        <v>44</v>
      </c>
      <c r="E30" s="856" t="s">
        <v>45</v>
      </c>
      <c r="F30" s="1623">
        <f>+IFERROR(VLOOKUP($B30,'TB 260524'!$A:$C,2,0),0)</f>
        <v>0</v>
      </c>
      <c r="G30" s="1623"/>
      <c r="H30" s="1623">
        <f t="shared" si="0"/>
        <v>0</v>
      </c>
      <c r="I30" s="1623">
        <f>+IFERROR(VLOOKUP($B30,'TB 260524'!$A:$C,3,0),0)</f>
        <v>383005</v>
      </c>
      <c r="J30" s="1623"/>
      <c r="K30" s="1623">
        <f t="shared" si="1"/>
        <v>383005</v>
      </c>
      <c r="L30" s="1623">
        <v>0</v>
      </c>
      <c r="M30" s="1623">
        <v>0</v>
      </c>
      <c r="N30" s="1623">
        <v>0</v>
      </c>
      <c r="O30" s="1623">
        <v>853856</v>
      </c>
      <c r="P30" s="1623">
        <v>0</v>
      </c>
      <c r="Q30" s="1623">
        <v>853856</v>
      </c>
    </row>
    <row r="31" spans="2:17">
      <c r="B31" s="856" t="s">
        <v>2946</v>
      </c>
      <c r="C31" s="856">
        <v>26</v>
      </c>
      <c r="D31" s="856" t="s">
        <v>67</v>
      </c>
      <c r="E31" s="856" t="s">
        <v>68</v>
      </c>
      <c r="F31" s="1623">
        <f>+IFERROR(VLOOKUP($B31,'TB 260524'!$A:$C,2,0),0)</f>
        <v>350000</v>
      </c>
      <c r="G31" s="1623"/>
      <c r="H31" s="1623">
        <f t="shared" si="0"/>
        <v>350000</v>
      </c>
      <c r="I31" s="1623">
        <f>+IFERROR(VLOOKUP($B31,'TB 260524'!$A:$C,3,0),0)</f>
        <v>0</v>
      </c>
      <c r="J31" s="1623"/>
      <c r="K31" s="1623">
        <f t="shared" si="1"/>
        <v>0</v>
      </c>
      <c r="L31" s="1623">
        <v>0</v>
      </c>
      <c r="M31" s="1623">
        <v>0</v>
      </c>
      <c r="N31" s="1623">
        <v>0</v>
      </c>
      <c r="O31" s="1623">
        <v>0</v>
      </c>
      <c r="P31" s="1623">
        <v>0</v>
      </c>
      <c r="Q31" s="1623">
        <v>0</v>
      </c>
    </row>
    <row r="32" spans="2:17">
      <c r="B32" s="856" t="s">
        <v>62</v>
      </c>
      <c r="C32" s="856">
        <v>27</v>
      </c>
      <c r="D32" s="856" t="s">
        <v>48</v>
      </c>
      <c r="E32" s="856" t="s">
        <v>62</v>
      </c>
      <c r="F32" s="1623">
        <f>+IFERROR(VLOOKUP($B32,'TB 260524'!$A:$C,2,0),0)</f>
        <v>182542.48</v>
      </c>
      <c r="G32" s="1623"/>
      <c r="H32" s="1623">
        <f t="shared" si="0"/>
        <v>182542.48</v>
      </c>
      <c r="I32" s="1623">
        <f>+IFERROR(VLOOKUP($B32,'TB 260524'!$A:$C,3,0),0)</f>
        <v>0</v>
      </c>
      <c r="J32" s="1623"/>
      <c r="K32" s="1623">
        <f t="shared" si="1"/>
        <v>0</v>
      </c>
      <c r="L32" s="1623">
        <v>412603.48</v>
      </c>
      <c r="M32" s="1623">
        <v>0</v>
      </c>
      <c r="N32" s="1623">
        <v>412603.48</v>
      </c>
      <c r="O32" s="1623">
        <v>0</v>
      </c>
      <c r="P32" s="1623">
        <v>0</v>
      </c>
      <c r="Q32" s="1623">
        <v>0</v>
      </c>
    </row>
    <row r="33" spans="2:17">
      <c r="B33" s="856" t="s">
        <v>66</v>
      </c>
      <c r="C33" s="856">
        <v>26</v>
      </c>
      <c r="D33" s="856" t="s">
        <v>67</v>
      </c>
      <c r="E33" s="856" t="s">
        <v>68</v>
      </c>
      <c r="F33" s="1623">
        <f>+IFERROR(VLOOKUP($B33,'TB 260524'!$A:$C,2,0),0)</f>
        <v>262544</v>
      </c>
      <c r="G33" s="1623"/>
      <c r="H33" s="1623">
        <f t="shared" si="0"/>
        <v>262544</v>
      </c>
      <c r="I33" s="1623">
        <f>+IFERROR(VLOOKUP($B33,'TB 260524'!$A:$C,3,0),0)</f>
        <v>0</v>
      </c>
      <c r="J33" s="1623"/>
      <c r="K33" s="1623">
        <f t="shared" si="1"/>
        <v>0</v>
      </c>
      <c r="L33" s="1623">
        <v>175317</v>
      </c>
      <c r="M33" s="1623">
        <v>0</v>
      </c>
      <c r="N33" s="1623">
        <v>175317</v>
      </c>
      <c r="O33" s="1623">
        <v>0</v>
      </c>
      <c r="P33" s="1623">
        <v>0</v>
      </c>
      <c r="Q33" s="1623">
        <v>0</v>
      </c>
    </row>
    <row r="34" spans="2:17">
      <c r="B34" s="856" t="s">
        <v>2947</v>
      </c>
      <c r="C34" s="856">
        <v>26</v>
      </c>
      <c r="D34" s="856" t="s">
        <v>67</v>
      </c>
      <c r="E34" s="856" t="s">
        <v>68</v>
      </c>
      <c r="F34" s="1623">
        <f>+IFERROR(VLOOKUP($B34,'TB 260524'!$A:$C,2,0),0)</f>
        <v>586700</v>
      </c>
      <c r="G34" s="1623"/>
      <c r="H34" s="1623">
        <f t="shared" si="0"/>
        <v>586700</v>
      </c>
      <c r="I34" s="1623">
        <f>+IFERROR(VLOOKUP($B34,'TB 260524'!$A:$C,3,0),0)</f>
        <v>0</v>
      </c>
      <c r="J34" s="1623"/>
      <c r="K34" s="1623">
        <f t="shared" si="1"/>
        <v>0</v>
      </c>
      <c r="L34" s="1623">
        <v>0</v>
      </c>
      <c r="M34" s="1623">
        <v>0</v>
      </c>
      <c r="N34" s="1623">
        <v>0</v>
      </c>
      <c r="O34" s="1623">
        <v>0</v>
      </c>
      <c r="P34" s="1623">
        <v>0</v>
      </c>
      <c r="Q34" s="1623">
        <v>0</v>
      </c>
    </row>
    <row r="35" spans="2:17">
      <c r="B35" s="856" t="s">
        <v>2948</v>
      </c>
      <c r="C35" s="856">
        <v>17</v>
      </c>
      <c r="D35" s="856" t="s">
        <v>8</v>
      </c>
      <c r="E35" s="856" t="s">
        <v>9</v>
      </c>
      <c r="F35" s="1623">
        <f>+IFERROR(VLOOKUP($B35,'TB 260524'!$A:$C,2,0),0)</f>
        <v>0</v>
      </c>
      <c r="G35" s="1623"/>
      <c r="H35" s="1623">
        <f t="shared" si="0"/>
        <v>0</v>
      </c>
      <c r="I35" s="1623">
        <f>+IFERROR(VLOOKUP($B35,'TB 260524'!$A:$C,3,0),0)</f>
        <v>430509</v>
      </c>
      <c r="J35" s="1623"/>
      <c r="K35" s="1623">
        <f t="shared" si="1"/>
        <v>430509</v>
      </c>
      <c r="L35" s="1623">
        <v>0</v>
      </c>
      <c r="M35" s="1623">
        <v>0</v>
      </c>
      <c r="N35" s="1623">
        <v>0</v>
      </c>
      <c r="O35" s="1623">
        <v>0</v>
      </c>
      <c r="P35" s="1623">
        <v>0</v>
      </c>
      <c r="Q35" s="1623">
        <v>0</v>
      </c>
    </row>
    <row r="36" spans="2:17">
      <c r="B36" s="856" t="s">
        <v>69</v>
      </c>
      <c r="C36" s="856">
        <v>17</v>
      </c>
      <c r="D36" s="856" t="s">
        <v>8</v>
      </c>
      <c r="E36" s="856" t="s">
        <v>8</v>
      </c>
      <c r="F36" s="1623">
        <f>+IFERROR(VLOOKUP($B36,'TB 260524'!$A:$C,2,0),0)</f>
        <v>0</v>
      </c>
      <c r="G36" s="1623"/>
      <c r="H36" s="1623">
        <f t="shared" si="0"/>
        <v>0</v>
      </c>
      <c r="I36" s="1623">
        <f>+IFERROR(VLOOKUP($B36,'TB 260524'!$A:$C,3,0),0)</f>
        <v>757002</v>
      </c>
      <c r="J36" s="1623"/>
      <c r="K36" s="1623">
        <f t="shared" si="1"/>
        <v>757002</v>
      </c>
      <c r="L36" s="1623">
        <v>0</v>
      </c>
      <c r="M36" s="1623">
        <v>0</v>
      </c>
      <c r="N36" s="1623">
        <v>0</v>
      </c>
      <c r="O36" s="1623">
        <v>54681</v>
      </c>
      <c r="P36" s="1623">
        <v>0</v>
      </c>
      <c r="Q36" s="1623">
        <v>54681</v>
      </c>
    </row>
    <row r="37" spans="2:17">
      <c r="B37" s="856" t="s">
        <v>2949</v>
      </c>
      <c r="C37" s="856">
        <v>17</v>
      </c>
      <c r="D37" s="856" t="s">
        <v>8</v>
      </c>
      <c r="E37" s="856" t="s">
        <v>8</v>
      </c>
      <c r="F37" s="1623">
        <f>+IFERROR(VLOOKUP($B37,'TB 260524'!$A:$C,2,0),0)</f>
        <v>0</v>
      </c>
      <c r="G37" s="1623"/>
      <c r="H37" s="1623">
        <f t="shared" si="0"/>
        <v>0</v>
      </c>
      <c r="I37" s="1623">
        <f>+IFERROR(VLOOKUP($B37,'TB 260524'!$A:$C,3,0),0)</f>
        <v>1762334</v>
      </c>
      <c r="J37" s="1623"/>
      <c r="K37" s="1623">
        <f t="shared" si="1"/>
        <v>1762334</v>
      </c>
      <c r="L37" s="1623">
        <v>0</v>
      </c>
      <c r="M37" s="1623">
        <v>0</v>
      </c>
      <c r="N37" s="1623">
        <v>0</v>
      </c>
      <c r="O37" s="1623">
        <v>0</v>
      </c>
      <c r="P37" s="1623">
        <v>0</v>
      </c>
      <c r="Q37" s="1623">
        <v>0</v>
      </c>
    </row>
    <row r="38" spans="2:17">
      <c r="B38" s="856" t="s">
        <v>2950</v>
      </c>
      <c r="C38" s="856">
        <v>17</v>
      </c>
      <c r="D38" s="856" t="s">
        <v>8</v>
      </c>
      <c r="E38" s="856" t="s">
        <v>9</v>
      </c>
      <c r="F38" s="1623">
        <f>+IFERROR(VLOOKUP($B38,'TB 260524'!$A:$C,2,0),0)</f>
        <v>0</v>
      </c>
      <c r="G38" s="1623"/>
      <c r="H38" s="1623">
        <f t="shared" si="0"/>
        <v>0</v>
      </c>
      <c r="I38" s="1623">
        <f>+IFERROR(VLOOKUP($B38,'TB 260524'!$A:$C,3,0),0)</f>
        <v>38700</v>
      </c>
      <c r="J38" s="1623"/>
      <c r="K38" s="1623">
        <f t="shared" si="1"/>
        <v>38700</v>
      </c>
      <c r="L38" s="1623">
        <v>0</v>
      </c>
      <c r="M38" s="1623">
        <v>0</v>
      </c>
      <c r="N38" s="1623">
        <v>0</v>
      </c>
      <c r="O38" s="1623">
        <v>0</v>
      </c>
      <c r="P38" s="1623">
        <v>0</v>
      </c>
      <c r="Q38" s="1623">
        <v>0</v>
      </c>
    </row>
    <row r="39" spans="2:17">
      <c r="B39" s="856" t="s">
        <v>72</v>
      </c>
      <c r="C39" s="856">
        <v>27</v>
      </c>
      <c r="D39" s="856" t="s">
        <v>73</v>
      </c>
      <c r="E39" s="856" t="s">
        <v>74</v>
      </c>
      <c r="F39" s="1623">
        <f>+IFERROR(VLOOKUP($B39,'TB 260524'!$A:$C,2,0),0)</f>
        <v>3742571.88</v>
      </c>
      <c r="G39" s="1623"/>
      <c r="H39" s="1623">
        <f t="shared" si="0"/>
        <v>3742571.88</v>
      </c>
      <c r="I39" s="1623">
        <f>+IFERROR(VLOOKUP($B39,'TB 260524'!$A:$C,3,0),0)</f>
        <v>0</v>
      </c>
      <c r="J39" s="1623"/>
      <c r="K39" s="1623">
        <f t="shared" si="1"/>
        <v>0</v>
      </c>
      <c r="L39" s="1623">
        <v>3043560</v>
      </c>
      <c r="M39" s="1623">
        <v>0</v>
      </c>
      <c r="N39" s="1623">
        <v>3043560</v>
      </c>
      <c r="O39" s="1623">
        <v>0</v>
      </c>
      <c r="P39" s="1623">
        <v>0</v>
      </c>
      <c r="Q39" s="1623">
        <v>0</v>
      </c>
    </row>
    <row r="40" spans="2:17">
      <c r="B40" s="856" t="s">
        <v>475</v>
      </c>
      <c r="C40" s="856">
        <v>27</v>
      </c>
      <c r="D40" s="856" t="s">
        <v>48</v>
      </c>
      <c r="E40" s="856" t="s">
        <v>75</v>
      </c>
      <c r="F40" s="1623">
        <f>+IFERROR(VLOOKUP($B40,'TB 260524'!$A:$C,2,0),0)</f>
        <v>3164</v>
      </c>
      <c r="G40" s="1623"/>
      <c r="H40" s="1623">
        <f t="shared" si="0"/>
        <v>3164</v>
      </c>
      <c r="I40" s="1623">
        <f>+IFERROR(VLOOKUP($B40,'TB 260524'!$A:$C,3,0),0)</f>
        <v>0</v>
      </c>
      <c r="J40" s="1623"/>
      <c r="K40" s="1623">
        <f t="shared" si="1"/>
        <v>0</v>
      </c>
      <c r="L40" s="1623">
        <v>3329</v>
      </c>
      <c r="M40" s="1623">
        <v>0</v>
      </c>
      <c r="N40" s="1623">
        <v>3329</v>
      </c>
      <c r="O40" s="1623">
        <v>0</v>
      </c>
      <c r="P40" s="1623">
        <v>0</v>
      </c>
      <c r="Q40" s="1623">
        <v>0</v>
      </c>
    </row>
    <row r="41" spans="2:17">
      <c r="B41" s="856" t="s">
        <v>2951</v>
      </c>
      <c r="C41" s="856">
        <v>6</v>
      </c>
      <c r="D41" s="856" t="s">
        <v>13</v>
      </c>
      <c r="E41" s="856" t="s">
        <v>14</v>
      </c>
      <c r="F41" s="1623">
        <f>+IFERROR(VLOOKUP($B41,'TB 260524'!$A:$C,2,0),0)</f>
        <v>50118</v>
      </c>
      <c r="G41" s="1623"/>
      <c r="H41" s="1623">
        <f t="shared" si="0"/>
        <v>50118</v>
      </c>
      <c r="I41" s="1623">
        <f>+IFERROR(VLOOKUP($B41,'TB 260524'!$A:$C,3,0),0)</f>
        <v>0</v>
      </c>
      <c r="J41" s="1623"/>
      <c r="K41" s="1623">
        <f t="shared" si="1"/>
        <v>0</v>
      </c>
      <c r="L41" s="1623">
        <v>0</v>
      </c>
      <c r="M41" s="1623">
        <v>0</v>
      </c>
      <c r="N41" s="1623">
        <v>0</v>
      </c>
      <c r="O41" s="1623">
        <v>0</v>
      </c>
      <c r="P41" s="1623">
        <v>0</v>
      </c>
      <c r="Q41" s="1623">
        <v>0</v>
      </c>
    </row>
    <row r="42" spans="2:17">
      <c r="B42" s="856" t="s">
        <v>476</v>
      </c>
      <c r="C42" s="856">
        <v>2</v>
      </c>
      <c r="D42" s="856" t="s">
        <v>77</v>
      </c>
      <c r="E42" s="856" t="s">
        <v>78</v>
      </c>
      <c r="F42" s="1623">
        <f>+IFERROR(VLOOKUP($B42,'TB 260524'!$A:$C,2,0),0)</f>
        <v>74323684.409999996</v>
      </c>
      <c r="G42" s="1623"/>
      <c r="H42" s="1623">
        <f t="shared" si="0"/>
        <v>74323684.409999996</v>
      </c>
      <c r="I42" s="1623">
        <f>+IFERROR(VLOOKUP($B42,'TB 260524'!$A:$C,3,0),0)</f>
        <v>0</v>
      </c>
      <c r="J42" s="1623"/>
      <c r="K42" s="1623">
        <f t="shared" si="1"/>
        <v>0</v>
      </c>
      <c r="L42" s="1623">
        <v>64116710.619999997</v>
      </c>
      <c r="M42" s="1623">
        <v>0</v>
      </c>
      <c r="N42" s="1623">
        <v>64116710.619999997</v>
      </c>
      <c r="O42" s="1623">
        <v>0</v>
      </c>
      <c r="P42" s="1623">
        <v>0</v>
      </c>
      <c r="Q42" s="1623">
        <v>0</v>
      </c>
    </row>
    <row r="43" spans="2:17">
      <c r="B43" s="856" t="s">
        <v>79</v>
      </c>
      <c r="C43" s="856">
        <v>12</v>
      </c>
      <c r="D43" s="856" t="s">
        <v>80</v>
      </c>
      <c r="E43" s="856" t="s">
        <v>81</v>
      </c>
      <c r="F43" s="1623">
        <f>+IFERROR(VLOOKUP($B43,'TB 260524'!$A:$C,2,0),0)</f>
        <v>0</v>
      </c>
      <c r="G43" s="1623"/>
      <c r="H43" s="1623">
        <f t="shared" si="0"/>
        <v>0</v>
      </c>
      <c r="I43" s="1623">
        <f>+IFERROR(VLOOKUP($B43,'TB 260524'!$A:$C,3,0),0)</f>
        <v>20413989</v>
      </c>
      <c r="J43" s="1623"/>
      <c r="K43" s="1623">
        <f t="shared" si="1"/>
        <v>20413989</v>
      </c>
      <c r="L43" s="1623">
        <v>0</v>
      </c>
      <c r="M43" s="1623">
        <v>0</v>
      </c>
      <c r="N43" s="1623">
        <v>0</v>
      </c>
      <c r="O43" s="1623">
        <v>20413989</v>
      </c>
      <c r="P43" s="1623">
        <v>0</v>
      </c>
      <c r="Q43" s="1623">
        <v>20413989</v>
      </c>
    </row>
    <row r="44" spans="2:17">
      <c r="B44" s="856" t="s">
        <v>84</v>
      </c>
      <c r="C44" s="856">
        <v>27</v>
      </c>
      <c r="D44" s="856" t="s">
        <v>73</v>
      </c>
      <c r="E44" s="856" t="s">
        <v>85</v>
      </c>
      <c r="F44" s="1623">
        <f>+IFERROR(VLOOKUP($B44,'TB 260524'!$A:$C,2,0),0)</f>
        <v>369720</v>
      </c>
      <c r="G44" s="1623"/>
      <c r="H44" s="1623">
        <f t="shared" si="0"/>
        <v>369720</v>
      </c>
      <c r="I44" s="1623">
        <f>+IFERROR(VLOOKUP($B44,'TB 260524'!$A:$C,3,0),0)</f>
        <v>0</v>
      </c>
      <c r="J44" s="1623"/>
      <c r="K44" s="1623">
        <f t="shared" si="1"/>
        <v>0</v>
      </c>
      <c r="L44" s="1623">
        <v>492951</v>
      </c>
      <c r="M44" s="1623">
        <v>0</v>
      </c>
      <c r="N44" s="1623">
        <v>492951</v>
      </c>
      <c r="O44" s="1623">
        <v>0</v>
      </c>
      <c r="P44" s="1623">
        <v>0</v>
      </c>
      <c r="Q44" s="1623">
        <v>0</v>
      </c>
    </row>
    <row r="45" spans="2:17">
      <c r="B45" s="856" t="s">
        <v>86</v>
      </c>
      <c r="C45" s="856">
        <v>27</v>
      </c>
      <c r="D45" s="856" t="s">
        <v>73</v>
      </c>
      <c r="E45" s="856" t="s">
        <v>74</v>
      </c>
      <c r="F45" s="1623">
        <f>+IFERROR(VLOOKUP($B45,'TB 260524'!$A:$C,2,0),0)</f>
        <v>201977</v>
      </c>
      <c r="G45" s="1623"/>
      <c r="H45" s="1623">
        <f t="shared" si="0"/>
        <v>201977</v>
      </c>
      <c r="I45" s="1623">
        <f>+IFERROR(VLOOKUP($B45,'TB 260524'!$A:$C,3,0),0)</f>
        <v>0</v>
      </c>
      <c r="J45" s="1623"/>
      <c r="K45" s="1623">
        <f t="shared" si="1"/>
        <v>0</v>
      </c>
      <c r="L45" s="1623">
        <v>283443</v>
      </c>
      <c r="M45" s="1623">
        <v>0</v>
      </c>
      <c r="N45" s="1623">
        <v>283443</v>
      </c>
      <c r="O45" s="1623">
        <v>0</v>
      </c>
      <c r="P45" s="1623">
        <v>0</v>
      </c>
      <c r="Q45" s="1623">
        <v>0</v>
      </c>
    </row>
    <row r="46" spans="2:17">
      <c r="B46" s="856" t="s">
        <v>87</v>
      </c>
      <c r="C46" s="856">
        <v>27</v>
      </c>
      <c r="D46" s="856" t="s">
        <v>73</v>
      </c>
      <c r="E46" s="856" t="s">
        <v>74</v>
      </c>
      <c r="F46" s="1623">
        <f>+IFERROR(VLOOKUP($B46,'TB 260524'!$A:$C,2,0),0)</f>
        <v>276683</v>
      </c>
      <c r="G46" s="1623"/>
      <c r="H46" s="1623">
        <f t="shared" si="0"/>
        <v>276683</v>
      </c>
      <c r="I46" s="1623">
        <f>+IFERROR(VLOOKUP($B46,'TB 260524'!$A:$C,3,0),0)</f>
        <v>0</v>
      </c>
      <c r="J46" s="1623"/>
      <c r="K46" s="1623">
        <f t="shared" si="1"/>
        <v>0</v>
      </c>
      <c r="L46" s="1623">
        <v>234338</v>
      </c>
      <c r="M46" s="1623">
        <v>0</v>
      </c>
      <c r="N46" s="1623">
        <v>234338</v>
      </c>
      <c r="O46" s="1623">
        <v>0</v>
      </c>
      <c r="P46" s="1623">
        <v>0</v>
      </c>
      <c r="Q46" s="1623">
        <v>0</v>
      </c>
    </row>
    <row r="47" spans="2:17">
      <c r="B47" s="856" t="s">
        <v>478</v>
      </c>
      <c r="C47" s="856">
        <v>7</v>
      </c>
      <c r="D47" s="856" t="s">
        <v>88</v>
      </c>
      <c r="E47" s="856" t="s">
        <v>89</v>
      </c>
      <c r="F47" s="1623">
        <f>+IFERROR(VLOOKUP($B47,'TB 260524'!$A:$C,2,0),0)</f>
        <v>270656</v>
      </c>
      <c r="G47" s="1623"/>
      <c r="H47" s="1623">
        <f t="shared" si="0"/>
        <v>270656</v>
      </c>
      <c r="I47" s="1623">
        <f>+IFERROR(VLOOKUP($B47,'TB 260524'!$A:$C,3,0),0)</f>
        <v>0</v>
      </c>
      <c r="J47" s="1623"/>
      <c r="K47" s="1623">
        <f t="shared" si="1"/>
        <v>0</v>
      </c>
      <c r="L47" s="1623">
        <v>230316</v>
      </c>
      <c r="M47" s="1623">
        <v>0</v>
      </c>
      <c r="N47" s="1623">
        <v>230316</v>
      </c>
      <c r="O47" s="1623">
        <v>0</v>
      </c>
      <c r="P47" s="1623">
        <v>0</v>
      </c>
      <c r="Q47" s="1623">
        <v>0</v>
      </c>
    </row>
    <row r="48" spans="2:17">
      <c r="B48" s="856" t="s">
        <v>2952</v>
      </c>
      <c r="C48" s="856">
        <v>17</v>
      </c>
      <c r="D48" s="856" t="s">
        <v>8</v>
      </c>
      <c r="E48" s="856" t="s">
        <v>9</v>
      </c>
      <c r="F48" s="1623">
        <f>+IFERROR(VLOOKUP($B48,'TB 260524'!$A:$C,2,0),0)</f>
        <v>0</v>
      </c>
      <c r="G48" s="1623"/>
      <c r="H48" s="1623">
        <f t="shared" si="0"/>
        <v>0</v>
      </c>
      <c r="I48" s="1623">
        <f>+IFERROR(VLOOKUP($B48,'TB 260524'!$A:$C,3,0),0)</f>
        <v>0</v>
      </c>
      <c r="J48" s="1623"/>
      <c r="K48" s="1623">
        <f t="shared" si="1"/>
        <v>0</v>
      </c>
      <c r="L48" s="1623">
        <v>0</v>
      </c>
      <c r="M48" s="1623">
        <v>0</v>
      </c>
      <c r="N48" s="1623">
        <v>0</v>
      </c>
      <c r="O48" s="1623">
        <v>0</v>
      </c>
      <c r="P48" s="1623">
        <v>0</v>
      </c>
      <c r="Q48" s="1623">
        <v>0</v>
      </c>
    </row>
    <row r="49" spans="1:17">
      <c r="A49" t="s">
        <v>3014</v>
      </c>
      <c r="B49" s="856" t="s">
        <v>2953</v>
      </c>
      <c r="C49" s="856">
        <v>9</v>
      </c>
      <c r="D49" s="856" t="s">
        <v>35</v>
      </c>
      <c r="E49" s="856" t="s">
        <v>3013</v>
      </c>
      <c r="F49" s="1623">
        <f>+IFERROR(VLOOKUP($B49,'TB 260524'!$A:$C,2,0),0)</f>
        <v>780000</v>
      </c>
      <c r="G49" s="1623"/>
      <c r="H49" s="1623">
        <f t="shared" si="0"/>
        <v>780000</v>
      </c>
      <c r="I49" s="1623">
        <f>+IFERROR(VLOOKUP($B49,'TB 260524'!$A:$C,3,0),0)</f>
        <v>0</v>
      </c>
      <c r="J49" s="1623"/>
      <c r="K49" s="1623">
        <f t="shared" si="1"/>
        <v>0</v>
      </c>
      <c r="L49" s="1623">
        <v>0</v>
      </c>
      <c r="M49" s="1623">
        <v>0</v>
      </c>
      <c r="N49" s="1623">
        <v>0</v>
      </c>
      <c r="O49" s="1623">
        <v>0</v>
      </c>
      <c r="P49" s="1623">
        <v>0</v>
      </c>
      <c r="Q49" s="1623">
        <v>0</v>
      </c>
    </row>
    <row r="50" spans="1:17">
      <c r="B50" s="856" t="s">
        <v>2954</v>
      </c>
      <c r="C50" s="856">
        <v>18</v>
      </c>
      <c r="D50" s="856" t="s">
        <v>214</v>
      </c>
      <c r="E50" s="856" t="s">
        <v>90</v>
      </c>
      <c r="F50" s="1623">
        <f>+IFERROR(VLOOKUP($B50,'TB 260524'!$A:$C,2,0),0)</f>
        <v>0</v>
      </c>
      <c r="G50" s="1623"/>
      <c r="H50" s="1623">
        <f t="shared" si="0"/>
        <v>0</v>
      </c>
      <c r="I50" s="1623">
        <f>+IFERROR(VLOOKUP($B50,'TB 260524'!$A:$C,3,0),0)</f>
        <v>633932.4</v>
      </c>
      <c r="J50" s="1623"/>
      <c r="K50" s="1623">
        <f t="shared" si="1"/>
        <v>633932.4</v>
      </c>
      <c r="L50" s="1623">
        <v>0</v>
      </c>
      <c r="M50" s="1623">
        <v>0</v>
      </c>
      <c r="N50" s="1623">
        <v>0</v>
      </c>
      <c r="O50" s="1623">
        <v>0</v>
      </c>
      <c r="P50" s="1623">
        <v>0</v>
      </c>
      <c r="Q50" s="1623">
        <v>0</v>
      </c>
    </row>
    <row r="51" spans="1:17">
      <c r="B51" s="856" t="s">
        <v>2955</v>
      </c>
      <c r="C51" s="856">
        <v>9</v>
      </c>
      <c r="D51" s="856" t="s">
        <v>35</v>
      </c>
      <c r="E51" s="856" t="s">
        <v>112</v>
      </c>
      <c r="F51" s="1623">
        <f>+IFERROR(VLOOKUP($B51,'TB 260524'!$A:$C,2,0),0)</f>
        <v>0</v>
      </c>
      <c r="G51" s="1623"/>
      <c r="H51" s="1623">
        <f t="shared" si="0"/>
        <v>0</v>
      </c>
      <c r="I51" s="1623">
        <f>+IFERROR(VLOOKUP($B51,'TB 260524'!$A:$C,3,0),0)</f>
        <v>0</v>
      </c>
      <c r="J51" s="1623"/>
      <c r="K51" s="1623">
        <f t="shared" si="1"/>
        <v>0</v>
      </c>
      <c r="L51" s="1623">
        <v>0</v>
      </c>
      <c r="M51" s="1623">
        <v>0</v>
      </c>
      <c r="N51" s="1623">
        <v>0</v>
      </c>
      <c r="O51" s="1623">
        <v>0</v>
      </c>
      <c r="P51" s="1623">
        <v>0</v>
      </c>
      <c r="Q51" s="1623">
        <v>0</v>
      </c>
    </row>
    <row r="52" spans="1:17">
      <c r="B52" s="856" t="s">
        <v>93</v>
      </c>
      <c r="C52" s="856">
        <v>6</v>
      </c>
      <c r="D52" s="856" t="s">
        <v>13</v>
      </c>
      <c r="E52" s="856" t="s">
        <v>14</v>
      </c>
      <c r="F52" s="1623">
        <f>+IFERROR(VLOOKUP($B52,'TB 260524'!$A:$C,2,0),0)</f>
        <v>0</v>
      </c>
      <c r="G52" s="1623"/>
      <c r="H52" s="1623">
        <f t="shared" si="0"/>
        <v>0</v>
      </c>
      <c r="I52" s="1623">
        <f>+IFERROR(VLOOKUP($B52,'TB 260524'!$A:$C,3,0),0)</f>
        <v>0</v>
      </c>
      <c r="J52" s="1623"/>
      <c r="K52" s="1623">
        <f t="shared" si="1"/>
        <v>0</v>
      </c>
      <c r="L52" s="1623">
        <v>10899010</v>
      </c>
      <c r="M52" s="1623">
        <v>0</v>
      </c>
      <c r="N52" s="1623">
        <v>10899010</v>
      </c>
      <c r="O52" s="1623">
        <v>0</v>
      </c>
      <c r="P52" s="1623">
        <v>0</v>
      </c>
      <c r="Q52" s="1623">
        <v>0</v>
      </c>
    </row>
    <row r="53" spans="1:17">
      <c r="B53" s="856" t="s">
        <v>95</v>
      </c>
      <c r="C53" s="856">
        <v>23</v>
      </c>
      <c r="D53" s="856" t="s">
        <v>96</v>
      </c>
      <c r="E53" s="856" t="s">
        <v>97</v>
      </c>
      <c r="F53" s="1623">
        <f>+IFERROR(VLOOKUP($B53,'TB 260524'!$A:$C,2,0),0)</f>
        <v>39746292.5</v>
      </c>
      <c r="G53" s="1623"/>
      <c r="H53" s="1623">
        <f t="shared" si="0"/>
        <v>39746292.5</v>
      </c>
      <c r="I53" s="1623">
        <f>+IFERROR(VLOOKUP($B53,'TB 260524'!$A:$C,3,0),0)</f>
        <v>0</v>
      </c>
      <c r="J53" s="1623"/>
      <c r="K53" s="1623">
        <f t="shared" si="1"/>
        <v>0</v>
      </c>
      <c r="L53" s="1623">
        <v>51776100</v>
      </c>
      <c r="M53" s="1623">
        <v>0</v>
      </c>
      <c r="N53" s="1623">
        <v>51776100</v>
      </c>
      <c r="O53" s="1623">
        <v>0</v>
      </c>
      <c r="P53" s="1623">
        <v>0</v>
      </c>
      <c r="Q53" s="1623">
        <v>0</v>
      </c>
    </row>
    <row r="54" spans="1:17">
      <c r="B54" s="856" t="s">
        <v>481</v>
      </c>
      <c r="C54" s="856">
        <v>6</v>
      </c>
      <c r="D54" s="856" t="s">
        <v>13</v>
      </c>
      <c r="E54" s="856" t="s">
        <v>14</v>
      </c>
      <c r="F54" s="1623">
        <f>+IFERROR(VLOOKUP($B54,'TB 260524'!$A:$C,2,0),0)</f>
        <v>233302.6</v>
      </c>
      <c r="G54" s="1623"/>
      <c r="H54" s="1623">
        <f t="shared" si="0"/>
        <v>233302.6</v>
      </c>
      <c r="I54" s="1623">
        <f>+IFERROR(VLOOKUP($B54,'TB 260524'!$A:$C,3,0),0)</f>
        <v>0</v>
      </c>
      <c r="J54" s="1623"/>
      <c r="K54" s="1623">
        <f t="shared" si="1"/>
        <v>0</v>
      </c>
      <c r="L54" s="1623">
        <v>456870</v>
      </c>
      <c r="M54" s="1623">
        <v>0</v>
      </c>
      <c r="N54" s="1623">
        <v>456870</v>
      </c>
      <c r="O54" s="1623">
        <v>0</v>
      </c>
      <c r="P54" s="1623">
        <v>0</v>
      </c>
      <c r="Q54" s="1623">
        <v>0</v>
      </c>
    </row>
    <row r="55" spans="1:17">
      <c r="B55" s="856" t="s">
        <v>2956</v>
      </c>
      <c r="C55" s="856">
        <v>10</v>
      </c>
      <c r="D55" s="856" t="s">
        <v>32</v>
      </c>
      <c r="E55" s="856" t="s">
        <v>406</v>
      </c>
      <c r="F55" s="1623">
        <f>+IFERROR(VLOOKUP($B55,'TB 260524'!$A:$C,2,0),0)</f>
        <v>245381</v>
      </c>
      <c r="G55" s="1623"/>
      <c r="H55" s="1623">
        <f t="shared" si="0"/>
        <v>245381</v>
      </c>
      <c r="I55" s="1623">
        <f>+IFERROR(VLOOKUP($B55,'TB 260524'!$A:$C,3,0),0)</f>
        <v>0</v>
      </c>
      <c r="J55" s="1623"/>
      <c r="K55" s="1623">
        <f t="shared" si="1"/>
        <v>0</v>
      </c>
      <c r="L55" s="1623">
        <v>0</v>
      </c>
      <c r="M55" s="1623">
        <v>0</v>
      </c>
      <c r="N55" s="1623">
        <v>0</v>
      </c>
      <c r="O55" s="1623">
        <v>0</v>
      </c>
      <c r="P55" s="1623">
        <v>0</v>
      </c>
      <c r="Q55" s="1623">
        <v>0</v>
      </c>
    </row>
    <row r="56" spans="1:17">
      <c r="B56" s="856" t="s">
        <v>99</v>
      </c>
      <c r="C56" s="856">
        <v>23</v>
      </c>
      <c r="D56" s="856" t="s">
        <v>96</v>
      </c>
      <c r="E56" s="856" t="s">
        <v>97</v>
      </c>
      <c r="F56" s="1623">
        <f>+IFERROR(VLOOKUP($B56,'TB 260524'!$A:$C,2,0),0)</f>
        <v>22889262</v>
      </c>
      <c r="G56" s="1623"/>
      <c r="H56" s="1623">
        <f t="shared" si="0"/>
        <v>22889262</v>
      </c>
      <c r="I56" s="1623">
        <f>+IFERROR(VLOOKUP($B56,'TB 260524'!$A:$C,3,0),0)</f>
        <v>0</v>
      </c>
      <c r="J56" s="1623"/>
      <c r="K56" s="1623">
        <f t="shared" si="1"/>
        <v>0</v>
      </c>
      <c r="L56" s="1623">
        <v>42501627</v>
      </c>
      <c r="M56" s="1623">
        <v>0</v>
      </c>
      <c r="N56" s="1623">
        <v>42501627</v>
      </c>
      <c r="O56" s="1623">
        <v>0</v>
      </c>
      <c r="P56" s="1623">
        <v>0</v>
      </c>
      <c r="Q56" s="1623">
        <v>0</v>
      </c>
    </row>
    <row r="57" spans="1:17">
      <c r="B57" s="856" t="s">
        <v>2957</v>
      </c>
      <c r="C57" s="856">
        <v>23</v>
      </c>
      <c r="D57" s="856" t="s">
        <v>96</v>
      </c>
      <c r="E57" s="856" t="s">
        <v>97</v>
      </c>
      <c r="F57" s="1623">
        <f>+IFERROR(VLOOKUP($B57,'TB 260524'!$A:$C,2,0),0)</f>
        <v>3656000</v>
      </c>
      <c r="G57" s="1623"/>
      <c r="H57" s="1623">
        <f t="shared" si="0"/>
        <v>3656000</v>
      </c>
      <c r="I57" s="1623">
        <f>+IFERROR(VLOOKUP($B57,'TB 260524'!$A:$C,3,0),0)</f>
        <v>0</v>
      </c>
      <c r="J57" s="1623"/>
      <c r="K57" s="1623">
        <f t="shared" si="1"/>
        <v>0</v>
      </c>
      <c r="L57" s="1623">
        <v>0</v>
      </c>
      <c r="M57" s="1623">
        <v>0</v>
      </c>
      <c r="N57" s="1623">
        <v>0</v>
      </c>
      <c r="O57" s="1623">
        <v>0</v>
      </c>
      <c r="P57" s="1623">
        <v>0</v>
      </c>
      <c r="Q57" s="1623">
        <v>0</v>
      </c>
    </row>
    <row r="58" spans="1:17">
      <c r="B58" s="856" t="s">
        <v>101</v>
      </c>
      <c r="C58" s="856">
        <v>27</v>
      </c>
      <c r="D58" s="856" t="s">
        <v>73</v>
      </c>
      <c r="E58" s="856" t="s">
        <v>100</v>
      </c>
      <c r="F58" s="1623">
        <f>+IFERROR(VLOOKUP($B58,'TB 260524'!$A:$C,2,0),0)</f>
        <v>58412480.560000002</v>
      </c>
      <c r="G58" s="1623"/>
      <c r="H58" s="1623">
        <f t="shared" si="0"/>
        <v>58412480.560000002</v>
      </c>
      <c r="I58" s="1623">
        <f>+IFERROR(VLOOKUP($B58,'TB 260524'!$A:$C,3,0),0)</f>
        <v>0</v>
      </c>
      <c r="J58" s="1623"/>
      <c r="K58" s="1623">
        <f t="shared" si="1"/>
        <v>0</v>
      </c>
      <c r="L58" s="1623">
        <v>39341063.259999998</v>
      </c>
      <c r="M58" s="1623">
        <v>0</v>
      </c>
      <c r="N58" s="1623">
        <v>39341063.259999998</v>
      </c>
      <c r="O58" s="1623">
        <v>0</v>
      </c>
      <c r="P58" s="1623">
        <v>0</v>
      </c>
      <c r="Q58" s="1623">
        <v>0</v>
      </c>
    </row>
    <row r="59" spans="1:17">
      <c r="B59" s="856" t="s">
        <v>370</v>
      </c>
      <c r="C59" s="856">
        <v>27</v>
      </c>
      <c r="D59" s="856" t="s">
        <v>28</v>
      </c>
      <c r="E59" s="856" t="s">
        <v>370</v>
      </c>
      <c r="F59" s="1623">
        <f>+IFERROR(VLOOKUP($B59,'TB 260524'!$A:$C,2,0),0)</f>
        <v>44654</v>
      </c>
      <c r="G59" s="1623"/>
      <c r="H59" s="1623">
        <f t="shared" si="0"/>
        <v>44654</v>
      </c>
      <c r="I59" s="1623">
        <f>+IFERROR(VLOOKUP($B59,'TB 260524'!$A:$C,3,0),0)</f>
        <v>0</v>
      </c>
      <c r="J59" s="1623"/>
      <c r="K59" s="1623">
        <f t="shared" si="1"/>
        <v>0</v>
      </c>
      <c r="L59" s="1623">
        <v>1585770</v>
      </c>
      <c r="M59" s="1623">
        <v>0</v>
      </c>
      <c r="N59" s="1623">
        <v>1585770</v>
      </c>
      <c r="O59" s="1623">
        <v>0</v>
      </c>
      <c r="P59" s="1623">
        <v>0</v>
      </c>
      <c r="Q59" s="1623">
        <v>0</v>
      </c>
    </row>
    <row r="60" spans="1:17">
      <c r="B60" s="856" t="s">
        <v>102</v>
      </c>
      <c r="C60" s="856">
        <v>2</v>
      </c>
      <c r="D60" s="856" t="s">
        <v>77</v>
      </c>
      <c r="E60" s="856" t="s">
        <v>78</v>
      </c>
      <c r="F60" s="1623">
        <f>+IFERROR(VLOOKUP($B60,'TB 260524'!$A:$C,2,0),0)</f>
        <v>1056621.7</v>
      </c>
      <c r="G60" s="1623"/>
      <c r="H60" s="1623">
        <f t="shared" si="0"/>
        <v>1056621.7</v>
      </c>
      <c r="I60" s="1623">
        <f>+IFERROR(VLOOKUP($B60,'TB 260524'!$A:$C,3,0),0)</f>
        <v>0</v>
      </c>
      <c r="J60" s="1623"/>
      <c r="K60" s="1623">
        <f t="shared" si="1"/>
        <v>0</v>
      </c>
      <c r="L60" s="1623">
        <v>898435.7</v>
      </c>
      <c r="M60" s="1623">
        <v>0</v>
      </c>
      <c r="N60" s="1623">
        <v>898435.7</v>
      </c>
      <c r="O60" s="1623">
        <v>0</v>
      </c>
      <c r="P60" s="1623">
        <v>0</v>
      </c>
      <c r="Q60" s="1623">
        <v>0</v>
      </c>
    </row>
    <row r="61" spans="1:17">
      <c r="B61" s="856" t="s">
        <v>103</v>
      </c>
      <c r="C61" s="856">
        <v>27</v>
      </c>
      <c r="D61" s="856" t="s">
        <v>48</v>
      </c>
      <c r="E61" s="856" t="s">
        <v>104</v>
      </c>
      <c r="F61" s="1623">
        <f>+IFERROR(VLOOKUP($B61,'TB 260524'!$A:$C,2,0),0)</f>
        <v>150000</v>
      </c>
      <c r="G61" s="1623"/>
      <c r="H61" s="1623">
        <f t="shared" si="0"/>
        <v>150000</v>
      </c>
      <c r="I61" s="1623">
        <f>+IFERROR(VLOOKUP($B61,'TB 260524'!$A:$C,3,0),0)</f>
        <v>0</v>
      </c>
      <c r="J61" s="1623"/>
      <c r="K61" s="1623">
        <f t="shared" si="1"/>
        <v>0</v>
      </c>
      <c r="L61" s="1623">
        <v>7000</v>
      </c>
      <c r="M61" s="1623">
        <v>0</v>
      </c>
      <c r="N61" s="1623">
        <v>7000</v>
      </c>
      <c r="O61" s="1623">
        <v>0</v>
      </c>
      <c r="P61" s="1623">
        <v>0</v>
      </c>
      <c r="Q61" s="1623">
        <v>0</v>
      </c>
    </row>
    <row r="62" spans="1:17">
      <c r="B62" s="856" t="s">
        <v>105</v>
      </c>
      <c r="C62" s="856">
        <v>10</v>
      </c>
      <c r="D62" s="856" t="s">
        <v>32</v>
      </c>
      <c r="E62" s="856" t="s">
        <v>33</v>
      </c>
      <c r="F62" s="1623">
        <f>+IFERROR(VLOOKUP($B62,'TB 260524'!$A:$C,2,0),0)</f>
        <v>73085</v>
      </c>
      <c r="G62" s="1623"/>
      <c r="H62" s="1623">
        <f t="shared" si="0"/>
        <v>73085</v>
      </c>
      <c r="I62" s="1623">
        <f>+IFERROR(VLOOKUP($B62,'TB 260524'!$A:$C,3,0),0)</f>
        <v>0</v>
      </c>
      <c r="J62" s="1623"/>
      <c r="K62" s="1623">
        <f t="shared" si="1"/>
        <v>0</v>
      </c>
      <c r="L62" s="1623">
        <v>302862</v>
      </c>
      <c r="M62" s="1623">
        <v>0</v>
      </c>
      <c r="N62" s="1623">
        <v>302862</v>
      </c>
      <c r="O62" s="1623">
        <v>0</v>
      </c>
      <c r="P62" s="1623">
        <v>0</v>
      </c>
      <c r="Q62" s="1623">
        <v>0</v>
      </c>
    </row>
    <row r="63" spans="1:17">
      <c r="B63" s="856" t="s">
        <v>106</v>
      </c>
      <c r="C63" s="856">
        <v>18</v>
      </c>
      <c r="D63" s="856" t="s">
        <v>214</v>
      </c>
      <c r="E63" s="856" t="s">
        <v>107</v>
      </c>
      <c r="F63" s="1623">
        <f>+IFERROR(VLOOKUP($B63,'TB 260524'!$A:$C,2,0),0)</f>
        <v>0</v>
      </c>
      <c r="G63" s="1623"/>
      <c r="H63" s="1623">
        <f t="shared" si="0"/>
        <v>0</v>
      </c>
      <c r="I63" s="1623">
        <f>+IFERROR(VLOOKUP($B63,'TB 260524'!$A:$C,3,0),0)</f>
        <v>49748</v>
      </c>
      <c r="J63" s="1623"/>
      <c r="K63" s="1623">
        <f t="shared" si="1"/>
        <v>49748</v>
      </c>
      <c r="L63" s="1623">
        <v>0</v>
      </c>
      <c r="M63" s="1623">
        <v>0</v>
      </c>
      <c r="N63" s="1623">
        <v>0</v>
      </c>
      <c r="O63" s="1623">
        <v>23072</v>
      </c>
      <c r="P63" s="1623">
        <v>0</v>
      </c>
      <c r="Q63" s="1623">
        <v>23072</v>
      </c>
    </row>
    <row r="64" spans="1:17">
      <c r="B64" s="856" t="s">
        <v>482</v>
      </c>
      <c r="C64" s="856">
        <v>18</v>
      </c>
      <c r="D64" s="856" t="s">
        <v>214</v>
      </c>
      <c r="E64" s="856" t="s">
        <v>107</v>
      </c>
      <c r="F64" s="1623">
        <f>+IFERROR(VLOOKUP($B64,'TB 260524'!$A:$C,2,0),0)</f>
        <v>0</v>
      </c>
      <c r="G64" s="1623"/>
      <c r="H64" s="1623">
        <f t="shared" si="0"/>
        <v>0</v>
      </c>
      <c r="I64" s="1623">
        <f>+IFERROR(VLOOKUP($B64,'TB 260524'!$A:$C,3,0),0)</f>
        <v>254452</v>
      </c>
      <c r="J64" s="1623"/>
      <c r="K64" s="1623">
        <f t="shared" si="1"/>
        <v>254452</v>
      </c>
      <c r="L64" s="1623">
        <v>0</v>
      </c>
      <c r="M64" s="1623">
        <v>0</v>
      </c>
      <c r="N64" s="1623">
        <v>0</v>
      </c>
      <c r="O64" s="1623">
        <v>202410</v>
      </c>
      <c r="P64" s="1623">
        <v>0</v>
      </c>
      <c r="Q64" s="1623">
        <v>202410</v>
      </c>
    </row>
    <row r="65" spans="2:17">
      <c r="B65" s="856" t="s">
        <v>483</v>
      </c>
      <c r="C65" s="856">
        <v>27</v>
      </c>
      <c r="D65" s="856" t="s">
        <v>48</v>
      </c>
      <c r="E65" s="856" t="s">
        <v>108</v>
      </c>
      <c r="F65" s="1623">
        <f>+IFERROR(VLOOKUP($B65,'TB 260524'!$A:$C,2,0),0)</f>
        <v>65874</v>
      </c>
      <c r="G65" s="1623"/>
      <c r="H65" s="1623">
        <f t="shared" si="0"/>
        <v>65874</v>
      </c>
      <c r="I65" s="1623">
        <f>+IFERROR(VLOOKUP($B65,'TB 260524'!$A:$C,3,0),0)</f>
        <v>0</v>
      </c>
      <c r="J65" s="1623"/>
      <c r="K65" s="1623">
        <f t="shared" si="1"/>
        <v>0</v>
      </c>
      <c r="L65" s="1623">
        <v>59948</v>
      </c>
      <c r="M65" s="1623">
        <v>0</v>
      </c>
      <c r="N65" s="1623">
        <v>59948</v>
      </c>
      <c r="O65" s="1623">
        <v>0</v>
      </c>
      <c r="P65" s="1623">
        <v>0</v>
      </c>
      <c r="Q65" s="1623">
        <v>0</v>
      </c>
    </row>
    <row r="66" spans="2:17">
      <c r="B66" s="856" t="s">
        <v>484</v>
      </c>
      <c r="C66" s="856">
        <v>27</v>
      </c>
      <c r="D66" s="856" t="s">
        <v>48</v>
      </c>
      <c r="E66" s="856" t="s">
        <v>49</v>
      </c>
      <c r="F66" s="1623">
        <f>+IFERROR(VLOOKUP($B66,'TB 260524'!$A:$C,2,0),0)</f>
        <v>44110.5</v>
      </c>
      <c r="G66" s="1623"/>
      <c r="H66" s="1623">
        <f t="shared" si="0"/>
        <v>44110.5</v>
      </c>
      <c r="I66" s="1623">
        <f>+IFERROR(VLOOKUP($B66,'TB 260524'!$A:$C,3,0),0)</f>
        <v>0</v>
      </c>
      <c r="J66" s="1623"/>
      <c r="K66" s="1623">
        <f t="shared" si="1"/>
        <v>0</v>
      </c>
      <c r="L66" s="1623">
        <v>64117</v>
      </c>
      <c r="M66" s="1623">
        <v>0</v>
      </c>
      <c r="N66" s="1623">
        <v>64117</v>
      </c>
      <c r="O66" s="1623">
        <v>0</v>
      </c>
      <c r="P66" s="1623">
        <v>0</v>
      </c>
      <c r="Q66" s="1623">
        <v>0</v>
      </c>
    </row>
    <row r="67" spans="2:17">
      <c r="B67" s="856" t="s">
        <v>4717</v>
      </c>
      <c r="C67" s="856">
        <v>27</v>
      </c>
      <c r="D67" s="856" t="s">
        <v>48</v>
      </c>
      <c r="E67" s="856" t="s">
        <v>3087</v>
      </c>
      <c r="F67" s="1623">
        <f>+IFERROR(VLOOKUP($B67,'TB 260524'!$A:$C,2,0),0)</f>
        <v>323224</v>
      </c>
      <c r="G67" s="1623"/>
      <c r="H67" s="1623">
        <f t="shared" si="0"/>
        <v>323224</v>
      </c>
      <c r="I67" s="1623">
        <f>+IFERROR(VLOOKUP($B67,'TB 260524'!$A:$C,3,0),0)</f>
        <v>0</v>
      </c>
      <c r="J67" s="1623"/>
      <c r="K67" s="1623"/>
      <c r="L67" s="1623"/>
      <c r="M67" s="1623"/>
      <c r="N67" s="1623"/>
      <c r="O67" s="1623"/>
      <c r="P67" s="1623"/>
      <c r="Q67" s="1623"/>
    </row>
    <row r="68" spans="2:17">
      <c r="B68" s="856" t="s">
        <v>3089</v>
      </c>
      <c r="C68" s="856">
        <v>27</v>
      </c>
      <c r="D68" s="856" t="s">
        <v>48</v>
      </c>
      <c r="E68" s="856" t="s">
        <v>3089</v>
      </c>
      <c r="F68" s="1623">
        <f>+IFERROR(VLOOKUP($B68,'TB 260524'!$A:$C,2,0),0)</f>
        <v>84364</v>
      </c>
      <c r="G68" s="1623"/>
      <c r="H68" s="1623">
        <f t="shared" si="0"/>
        <v>84364</v>
      </c>
      <c r="I68" s="1623">
        <f>+IFERROR(VLOOKUP($B68,'TB 260524'!$A:$C,3,0),0)</f>
        <v>0</v>
      </c>
      <c r="J68" s="1623"/>
      <c r="K68" s="1623"/>
      <c r="L68" s="1623"/>
      <c r="M68" s="1623"/>
      <c r="N68" s="1623"/>
      <c r="O68" s="1623"/>
      <c r="P68" s="1623"/>
      <c r="Q68" s="1623"/>
    </row>
    <row r="69" spans="2:17">
      <c r="B69" s="856" t="s">
        <v>373</v>
      </c>
      <c r="C69" s="856">
        <v>23</v>
      </c>
      <c r="D69" s="856" t="s">
        <v>96</v>
      </c>
      <c r="E69" s="856" t="s">
        <v>97</v>
      </c>
      <c r="F69" s="1623">
        <f>+IFERROR(VLOOKUP($B69,'TB 260524'!$A:$C,2,0),0)</f>
        <v>2229150</v>
      </c>
      <c r="G69" s="1623"/>
      <c r="H69" s="1623">
        <f t="shared" si="0"/>
        <v>2229150</v>
      </c>
      <c r="I69" s="1623">
        <f>+IFERROR(VLOOKUP($B69,'TB 260524'!$A:$C,3,0),0)</f>
        <v>0</v>
      </c>
      <c r="J69" s="1623"/>
      <c r="K69" s="1623">
        <f t="shared" si="1"/>
        <v>0</v>
      </c>
      <c r="L69" s="1623">
        <v>5672492</v>
      </c>
      <c r="M69" s="1623">
        <v>0</v>
      </c>
      <c r="N69" s="1623">
        <v>5672492</v>
      </c>
      <c r="O69" s="1623">
        <v>0</v>
      </c>
      <c r="P69" s="1623">
        <v>0</v>
      </c>
      <c r="Q69" s="1623">
        <v>0</v>
      </c>
    </row>
    <row r="70" spans="2:17">
      <c r="B70" s="856" t="s">
        <v>429</v>
      </c>
      <c r="C70" s="856">
        <v>17</v>
      </c>
      <c r="D70" s="856" t="s">
        <v>8</v>
      </c>
      <c r="E70" s="856" t="s">
        <v>9</v>
      </c>
      <c r="F70" s="1623">
        <f>+IFERROR(VLOOKUP($B70,'TB 260524'!$A:$C,2,0),0)</f>
        <v>0</v>
      </c>
      <c r="G70" s="1623"/>
      <c r="H70" s="1623">
        <f t="shared" si="0"/>
        <v>0</v>
      </c>
      <c r="I70" s="1623">
        <f>+IFERROR(VLOOKUP($B70,'TB 260524'!$A:$C,3,0),0)</f>
        <v>30858</v>
      </c>
      <c r="J70" s="1623"/>
      <c r="K70" s="1623">
        <f t="shared" si="1"/>
        <v>30858</v>
      </c>
      <c r="L70" s="1623">
        <v>0</v>
      </c>
      <c r="M70" s="1623">
        <v>0</v>
      </c>
      <c r="N70" s="1623">
        <v>0</v>
      </c>
      <c r="O70" s="1623">
        <v>24831</v>
      </c>
      <c r="P70" s="1623">
        <v>0</v>
      </c>
      <c r="Q70" s="1623">
        <v>24831</v>
      </c>
    </row>
    <row r="71" spans="2:17">
      <c r="B71" s="856" t="s">
        <v>113</v>
      </c>
      <c r="C71" s="856">
        <v>17</v>
      </c>
      <c r="D71" s="856" t="s">
        <v>8</v>
      </c>
      <c r="E71" s="856" t="s">
        <v>8</v>
      </c>
      <c r="F71" s="1623">
        <f>+IFERROR(VLOOKUP($B71,'TB 260524'!$A:$C,2,0),0)</f>
        <v>0</v>
      </c>
      <c r="G71" s="1623"/>
      <c r="H71" s="1623">
        <f t="shared" ref="H71:H134" si="2">+F71+G71</f>
        <v>0</v>
      </c>
      <c r="I71" s="1623">
        <f>+IFERROR(VLOOKUP($B71,'TB 260524'!$A:$C,3,0),0)</f>
        <v>25061810.07</v>
      </c>
      <c r="J71" s="1623"/>
      <c r="K71" s="1623">
        <f t="shared" ref="K71:K134" si="3">+I71+J71</f>
        <v>25061810.07</v>
      </c>
      <c r="L71" s="1623">
        <v>0</v>
      </c>
      <c r="M71" s="1623">
        <v>0</v>
      </c>
      <c r="N71" s="1623">
        <v>0</v>
      </c>
      <c r="O71" s="1623">
        <v>7452127</v>
      </c>
      <c r="P71" s="1623">
        <v>0</v>
      </c>
      <c r="Q71" s="1623">
        <v>7452127</v>
      </c>
    </row>
    <row r="72" spans="2:17">
      <c r="B72" s="856" t="s">
        <v>114</v>
      </c>
      <c r="C72" s="856">
        <v>15</v>
      </c>
      <c r="D72" s="856" t="s">
        <v>115</v>
      </c>
      <c r="E72" s="856" t="s">
        <v>116</v>
      </c>
      <c r="F72" s="1623">
        <f>+IFERROR(VLOOKUP($B72,'TB 260524'!$A:$C,2,0),0)</f>
        <v>0</v>
      </c>
      <c r="G72" s="1623"/>
      <c r="H72" s="1623">
        <f t="shared" si="2"/>
        <v>0</v>
      </c>
      <c r="I72" s="1623">
        <f>+IFERROR(VLOOKUP($B72,'TB 260524'!$A:$C,3,0),0)</f>
        <v>4105758</v>
      </c>
      <c r="J72" s="1623"/>
      <c r="K72" s="1623">
        <f t="shared" si="3"/>
        <v>4105758</v>
      </c>
      <c r="L72" s="1623">
        <v>0</v>
      </c>
      <c r="M72" s="1623">
        <v>0</v>
      </c>
      <c r="N72" s="1623">
        <v>0</v>
      </c>
      <c r="O72" s="1623">
        <v>16151130</v>
      </c>
      <c r="P72" s="1623">
        <v>0</v>
      </c>
      <c r="Q72" s="1623">
        <v>16151130</v>
      </c>
    </row>
    <row r="73" spans="2:17">
      <c r="B73" s="856" t="s">
        <v>2958</v>
      </c>
      <c r="C73" s="856">
        <v>9</v>
      </c>
      <c r="D73" s="856" t="s">
        <v>35</v>
      </c>
      <c r="E73" s="856" t="s">
        <v>3013</v>
      </c>
      <c r="F73" s="1623">
        <f>+IFERROR(VLOOKUP($B73,'TB 260524'!$A:$C,2,0),0)</f>
        <v>25000</v>
      </c>
      <c r="G73" s="1623"/>
      <c r="H73" s="1623">
        <f t="shared" si="2"/>
        <v>25000</v>
      </c>
      <c r="I73" s="1623">
        <f>+IFERROR(VLOOKUP($B73,'TB 260524'!$A:$C,3,0),0)</f>
        <v>0</v>
      </c>
      <c r="J73" s="1623"/>
      <c r="K73" s="1623">
        <f t="shared" si="3"/>
        <v>0</v>
      </c>
      <c r="L73" s="1623">
        <v>0</v>
      </c>
      <c r="M73" s="1623">
        <v>0</v>
      </c>
      <c r="N73" s="1623">
        <v>0</v>
      </c>
      <c r="O73" s="1623">
        <v>0</v>
      </c>
      <c r="P73" s="1623">
        <v>0</v>
      </c>
      <c r="Q73" s="1623">
        <v>0</v>
      </c>
    </row>
    <row r="74" spans="2:17">
      <c r="B74" s="856" t="s">
        <v>117</v>
      </c>
      <c r="C74" s="856">
        <v>4</v>
      </c>
      <c r="D74" s="856" t="s">
        <v>22</v>
      </c>
      <c r="E74" s="856" t="s">
        <v>119</v>
      </c>
      <c r="F74" s="1623">
        <f>+IFERROR(VLOOKUP($B74,'TB 260524'!$A:$C,2,0),0)</f>
        <v>1296000</v>
      </c>
      <c r="G74" s="1623"/>
      <c r="H74" s="1623">
        <f t="shared" si="2"/>
        <v>1296000</v>
      </c>
      <c r="I74" s="1623">
        <f>+IFERROR(VLOOKUP($B74,'TB 260524'!$A:$C,3,0),0)</f>
        <v>0</v>
      </c>
      <c r="J74" s="1623"/>
      <c r="K74" s="1623">
        <f t="shared" si="3"/>
        <v>0</v>
      </c>
      <c r="L74" s="1623">
        <v>1153920</v>
      </c>
      <c r="M74" s="1623">
        <v>0</v>
      </c>
      <c r="N74" s="1623">
        <v>1153920</v>
      </c>
      <c r="O74" s="1623">
        <v>0</v>
      </c>
      <c r="P74" s="1623">
        <v>0</v>
      </c>
      <c r="Q74" s="1623">
        <v>0</v>
      </c>
    </row>
    <row r="75" spans="2:17">
      <c r="B75" s="856" t="s">
        <v>118</v>
      </c>
      <c r="C75" s="856">
        <v>4</v>
      </c>
      <c r="D75" s="856" t="s">
        <v>22</v>
      </c>
      <c r="E75" s="856" t="s">
        <v>119</v>
      </c>
      <c r="F75" s="1623">
        <f>+IFERROR(VLOOKUP($B75,'TB 260524'!$A:$C,2,0),0)</f>
        <v>6800</v>
      </c>
      <c r="G75" s="1623"/>
      <c r="H75" s="1623">
        <f t="shared" si="2"/>
        <v>6800</v>
      </c>
      <c r="I75" s="1623">
        <f>+IFERROR(VLOOKUP($B75,'TB 260524'!$A:$C,3,0),0)</f>
        <v>0</v>
      </c>
      <c r="J75" s="1623"/>
      <c r="K75" s="1623">
        <f t="shared" si="3"/>
        <v>0</v>
      </c>
      <c r="L75" s="1623">
        <v>6800</v>
      </c>
      <c r="M75" s="1623">
        <v>0</v>
      </c>
      <c r="N75" s="1623">
        <v>6800</v>
      </c>
      <c r="O75" s="1623">
        <v>0</v>
      </c>
      <c r="P75" s="1623">
        <v>0</v>
      </c>
      <c r="Q75" s="1623">
        <v>0</v>
      </c>
    </row>
    <row r="76" spans="2:17">
      <c r="B76" s="856" t="s">
        <v>485</v>
      </c>
      <c r="C76" s="856">
        <v>4</v>
      </c>
      <c r="D76" s="856" t="s">
        <v>22</v>
      </c>
      <c r="E76" s="856" t="s">
        <v>119</v>
      </c>
      <c r="F76" s="1623">
        <f>+IFERROR(VLOOKUP($B76,'TB 260524'!$A:$C,2,0),0)</f>
        <v>200000</v>
      </c>
      <c r="G76" s="1623"/>
      <c r="H76" s="1623">
        <f t="shared" si="2"/>
        <v>200000</v>
      </c>
      <c r="I76" s="1623">
        <f>+IFERROR(VLOOKUP($B76,'TB 260524'!$A:$C,3,0),0)</f>
        <v>0</v>
      </c>
      <c r="J76" s="1623"/>
      <c r="K76" s="1623">
        <f t="shared" si="3"/>
        <v>0</v>
      </c>
      <c r="L76" s="1623">
        <v>200000</v>
      </c>
      <c r="M76" s="1623">
        <v>0</v>
      </c>
      <c r="N76" s="1623">
        <v>200000</v>
      </c>
      <c r="O76" s="1623">
        <v>0</v>
      </c>
      <c r="P76" s="1623">
        <v>0</v>
      </c>
      <c r="Q76" s="1623">
        <v>0</v>
      </c>
    </row>
    <row r="77" spans="2:17">
      <c r="B77" s="856" t="s">
        <v>486</v>
      </c>
      <c r="C77" s="856">
        <v>4</v>
      </c>
      <c r="D77" s="856" t="s">
        <v>22</v>
      </c>
      <c r="E77" s="856" t="s">
        <v>119</v>
      </c>
      <c r="F77" s="1623">
        <f>+IFERROR(VLOOKUP($B77,'TB 260524'!$A:$C,2,0),0)</f>
        <v>10777</v>
      </c>
      <c r="G77" s="1623"/>
      <c r="H77" s="1623">
        <f t="shared" si="2"/>
        <v>10777</v>
      </c>
      <c r="I77" s="1623">
        <f>+IFERROR(VLOOKUP($B77,'TB 260524'!$A:$C,3,0),0)</f>
        <v>0</v>
      </c>
      <c r="J77" s="1623"/>
      <c r="K77" s="1623">
        <f t="shared" si="3"/>
        <v>0</v>
      </c>
      <c r="L77" s="1623">
        <v>10777</v>
      </c>
      <c r="M77" s="1623">
        <v>0</v>
      </c>
      <c r="N77" s="1623">
        <v>10777</v>
      </c>
      <c r="O77" s="1623">
        <v>0</v>
      </c>
      <c r="P77" s="1623">
        <v>0</v>
      </c>
      <c r="Q77" s="1623">
        <v>0</v>
      </c>
    </row>
    <row r="78" spans="2:17">
      <c r="B78" s="856" t="s">
        <v>128</v>
      </c>
      <c r="C78" s="856">
        <v>14</v>
      </c>
      <c r="D78" s="856" t="s">
        <v>126</v>
      </c>
      <c r="E78" s="856" t="s">
        <v>127</v>
      </c>
      <c r="F78" s="1623">
        <f>+IFERROR(VLOOKUP($B78,'TB 260524'!$A:$C,2,0),0)</f>
        <v>619250</v>
      </c>
      <c r="G78" s="1623"/>
      <c r="H78" s="1623">
        <f t="shared" si="2"/>
        <v>619250</v>
      </c>
      <c r="I78" s="1623">
        <f>+IFERROR(VLOOKUP($B78,'TB 260524'!$A:$C,3,0),0)</f>
        <v>0</v>
      </c>
      <c r="J78" s="1623"/>
      <c r="K78" s="1623">
        <f t="shared" si="3"/>
        <v>0</v>
      </c>
      <c r="L78" s="1623">
        <v>453851</v>
      </c>
      <c r="M78" s="1623">
        <v>0</v>
      </c>
      <c r="N78" s="1623">
        <v>453851</v>
      </c>
      <c r="O78" s="1623">
        <v>0</v>
      </c>
      <c r="P78" s="1623">
        <v>0</v>
      </c>
      <c r="Q78" s="1623">
        <v>0</v>
      </c>
    </row>
    <row r="79" spans="2:17">
      <c r="B79" s="856" t="s">
        <v>129</v>
      </c>
      <c r="C79" s="856">
        <v>14</v>
      </c>
      <c r="D79" s="856" t="s">
        <v>126</v>
      </c>
      <c r="E79" s="856" t="s">
        <v>127</v>
      </c>
      <c r="F79" s="1623">
        <f>+IFERROR(VLOOKUP($B79,'TB 260524'!$A:$C,2,0),0)</f>
        <v>5042406</v>
      </c>
      <c r="G79" s="1623"/>
      <c r="H79" s="1623">
        <f t="shared" si="2"/>
        <v>5042406</v>
      </c>
      <c r="I79" s="1623">
        <f>+IFERROR(VLOOKUP($B79,'TB 260524'!$A:$C,3,0),0)</f>
        <v>0</v>
      </c>
      <c r="J79" s="1623"/>
      <c r="K79" s="1623">
        <f t="shared" si="3"/>
        <v>0</v>
      </c>
      <c r="L79" s="1623">
        <v>5073205</v>
      </c>
      <c r="M79" s="1623">
        <v>0</v>
      </c>
      <c r="N79" s="1623">
        <v>5073205</v>
      </c>
      <c r="O79" s="1623">
        <v>0</v>
      </c>
      <c r="P79" s="1623">
        <v>0</v>
      </c>
      <c r="Q79" s="1623">
        <v>0</v>
      </c>
    </row>
    <row r="80" spans="2:17">
      <c r="B80" s="856" t="s">
        <v>123</v>
      </c>
      <c r="C80" s="856">
        <v>4</v>
      </c>
      <c r="D80" s="856" t="s">
        <v>22</v>
      </c>
      <c r="E80" s="856" t="s">
        <v>119</v>
      </c>
      <c r="F80" s="1623">
        <f>+IFERROR(VLOOKUP($B80,'TB 260524'!$A:$C,2,0),0)</f>
        <v>330000</v>
      </c>
      <c r="G80" s="1623"/>
      <c r="H80" s="1623">
        <f t="shared" si="2"/>
        <v>330000</v>
      </c>
      <c r="I80" s="1623">
        <f>+IFERROR(VLOOKUP($B80,'TB 260524'!$A:$C,3,0),0)</f>
        <v>0</v>
      </c>
      <c r="J80" s="1623"/>
      <c r="K80" s="1623">
        <f t="shared" si="3"/>
        <v>0</v>
      </c>
      <c r="L80" s="1623">
        <v>250000</v>
      </c>
      <c r="M80" s="1623">
        <v>0</v>
      </c>
      <c r="N80" s="1623">
        <v>250000</v>
      </c>
      <c r="O80" s="1623">
        <v>0</v>
      </c>
      <c r="P80" s="1623">
        <v>0</v>
      </c>
      <c r="Q80" s="1623">
        <v>0</v>
      </c>
    </row>
    <row r="81" spans="2:17">
      <c r="B81" s="856" t="s">
        <v>124</v>
      </c>
      <c r="C81" s="856">
        <v>4</v>
      </c>
      <c r="D81" s="856" t="s">
        <v>22</v>
      </c>
      <c r="E81" s="856" t="s">
        <v>119</v>
      </c>
      <c r="F81" s="1623">
        <f>+IFERROR(VLOOKUP($B81,'TB 260524'!$A:$C,2,0),0)</f>
        <v>6248400</v>
      </c>
      <c r="G81" s="1623"/>
      <c r="H81" s="1623">
        <f t="shared" si="2"/>
        <v>6248400</v>
      </c>
      <c r="I81" s="1623">
        <f>+IFERROR(VLOOKUP($B81,'TB 260524'!$A:$C,3,0),0)</f>
        <v>0</v>
      </c>
      <c r="J81" s="1623"/>
      <c r="K81" s="1623">
        <f t="shared" si="3"/>
        <v>0</v>
      </c>
      <c r="L81" s="1623">
        <v>3522100</v>
      </c>
      <c r="M81" s="1623">
        <v>0</v>
      </c>
      <c r="N81" s="1623">
        <v>3522100</v>
      </c>
      <c r="O81" s="1623">
        <v>0</v>
      </c>
      <c r="P81" s="1623">
        <v>0</v>
      </c>
      <c r="Q81" s="1623">
        <v>0</v>
      </c>
    </row>
    <row r="82" spans="2:17">
      <c r="B82" s="856" t="s">
        <v>487</v>
      </c>
      <c r="C82" s="856">
        <v>3</v>
      </c>
      <c r="D82" s="856" t="s">
        <v>120</v>
      </c>
      <c r="E82" s="856" t="s">
        <v>121</v>
      </c>
      <c r="F82" s="1623">
        <f>+IFERROR(VLOOKUP($B82,'TB 260524'!$A:$C,2,0),0)</f>
        <v>900000</v>
      </c>
      <c r="G82" s="1623"/>
      <c r="H82" s="1623">
        <f t="shared" si="2"/>
        <v>900000</v>
      </c>
      <c r="I82" s="1623">
        <f>+IFERROR(VLOOKUP($B82,'TB 260524'!$A:$C,3,0),0)</f>
        <v>0</v>
      </c>
      <c r="J82" s="1623"/>
      <c r="K82" s="1623">
        <f t="shared" si="3"/>
        <v>0</v>
      </c>
      <c r="L82" s="1623">
        <v>900000</v>
      </c>
      <c r="M82" s="1623">
        <v>0</v>
      </c>
      <c r="N82" s="1623">
        <v>900000</v>
      </c>
      <c r="O82" s="1623">
        <v>0</v>
      </c>
      <c r="P82" s="1623">
        <v>0</v>
      </c>
      <c r="Q82" s="1623">
        <v>0</v>
      </c>
    </row>
    <row r="83" spans="2:17">
      <c r="B83" s="856" t="s">
        <v>122</v>
      </c>
      <c r="C83" s="856">
        <v>3</v>
      </c>
      <c r="D83" s="856" t="s">
        <v>120</v>
      </c>
      <c r="E83" s="856" t="s">
        <v>121</v>
      </c>
      <c r="F83" s="1623">
        <f>+IFERROR(VLOOKUP($B83,'TB 260524'!$A:$C,2,0),0)</f>
        <v>239987</v>
      </c>
      <c r="G83" s="1623"/>
      <c r="H83" s="1623">
        <f t="shared" si="2"/>
        <v>239987</v>
      </c>
      <c r="I83" s="1623">
        <f>+IFERROR(VLOOKUP($B83,'TB 260524'!$A:$C,3,0),0)</f>
        <v>0</v>
      </c>
      <c r="J83" s="1623"/>
      <c r="K83" s="1623">
        <f t="shared" si="3"/>
        <v>0</v>
      </c>
      <c r="L83" s="1623">
        <v>225820</v>
      </c>
      <c r="M83" s="1623">
        <v>0</v>
      </c>
      <c r="N83" s="1623">
        <v>225820</v>
      </c>
      <c r="O83" s="1623">
        <v>0</v>
      </c>
      <c r="P83" s="1623">
        <v>0</v>
      </c>
      <c r="Q83" s="1623">
        <v>0</v>
      </c>
    </row>
    <row r="84" spans="2:17">
      <c r="B84" s="856" t="s">
        <v>2959</v>
      </c>
      <c r="C84" s="856">
        <v>3</v>
      </c>
      <c r="D84" s="856" t="s">
        <v>120</v>
      </c>
      <c r="E84" s="856" t="s">
        <v>121</v>
      </c>
      <c r="F84" s="1623">
        <f>+IFERROR(VLOOKUP($B84,'TB 260524'!$A:$C,2,0),0)</f>
        <v>150294</v>
      </c>
      <c r="G84" s="1623"/>
      <c r="H84" s="1623">
        <f t="shared" si="2"/>
        <v>150294</v>
      </c>
      <c r="I84" s="1623">
        <f>+IFERROR(VLOOKUP($B84,'TB 260524'!$A:$C,3,0),0)</f>
        <v>0</v>
      </c>
      <c r="J84" s="1623"/>
      <c r="K84" s="1623">
        <f t="shared" si="3"/>
        <v>0</v>
      </c>
      <c r="L84" s="1623">
        <v>0</v>
      </c>
      <c r="M84" s="1623">
        <v>0</v>
      </c>
      <c r="N84" s="1623">
        <v>0</v>
      </c>
      <c r="O84" s="1623">
        <v>0</v>
      </c>
      <c r="P84" s="1623">
        <v>0</v>
      </c>
      <c r="Q84" s="1623">
        <v>0</v>
      </c>
    </row>
    <row r="85" spans="2:17">
      <c r="B85" s="856" t="s">
        <v>130</v>
      </c>
      <c r="C85" s="856"/>
      <c r="D85" s="856" t="s">
        <v>131</v>
      </c>
      <c r="E85" s="856" t="s">
        <v>132</v>
      </c>
      <c r="F85" s="1623">
        <f>+IFERROR(VLOOKUP($B85,'TB 260524'!$A:$C,2,0),0)</f>
        <v>2791142</v>
      </c>
      <c r="G85" s="1623"/>
      <c r="H85" s="1623">
        <f t="shared" si="2"/>
        <v>2791142</v>
      </c>
      <c r="I85" s="1623">
        <f>+IFERROR(VLOOKUP($B85,'TB 260524'!$A:$C,3,0),0)</f>
        <v>0</v>
      </c>
      <c r="J85" s="1623"/>
      <c r="K85" s="1623">
        <f t="shared" si="3"/>
        <v>0</v>
      </c>
      <c r="L85" s="1623">
        <v>1857088</v>
      </c>
      <c r="M85" s="1623">
        <v>0</v>
      </c>
      <c r="N85" s="1623">
        <v>1857088</v>
      </c>
      <c r="O85" s="1623">
        <v>0</v>
      </c>
      <c r="P85" s="1623">
        <v>0</v>
      </c>
      <c r="Q85" s="1623">
        <v>0</v>
      </c>
    </row>
    <row r="86" spans="2:17">
      <c r="B86" s="856" t="s">
        <v>488</v>
      </c>
      <c r="C86" s="856"/>
      <c r="D86" s="856" t="s">
        <v>131</v>
      </c>
      <c r="E86" s="856" t="s">
        <v>132</v>
      </c>
      <c r="F86" s="1623">
        <f>+IFERROR(VLOOKUP($B86,'TB 260524'!$A:$C,2,0),0)</f>
        <v>2104855</v>
      </c>
      <c r="G86" s="1623"/>
      <c r="H86" s="1623">
        <f t="shared" si="2"/>
        <v>2104855</v>
      </c>
      <c r="I86" s="1623">
        <f>+IFERROR(VLOOKUP($B86,'TB 260524'!$A:$C,3,0),0)</f>
        <v>0</v>
      </c>
      <c r="J86" s="1623"/>
      <c r="K86" s="1623">
        <f t="shared" si="3"/>
        <v>0</v>
      </c>
      <c r="L86" s="1623">
        <v>1989109</v>
      </c>
      <c r="M86" s="1623">
        <v>0</v>
      </c>
      <c r="N86" s="1623">
        <v>1989109</v>
      </c>
      <c r="O86" s="1623">
        <v>0</v>
      </c>
      <c r="P86" s="1623">
        <v>0</v>
      </c>
      <c r="Q86" s="1623">
        <v>0</v>
      </c>
    </row>
    <row r="87" spans="2:17">
      <c r="B87" s="856" t="s">
        <v>489</v>
      </c>
      <c r="C87" s="856"/>
      <c r="D87" s="856" t="s">
        <v>131</v>
      </c>
      <c r="E87" s="856" t="s">
        <v>132</v>
      </c>
      <c r="F87" s="1623">
        <f>+IFERROR(VLOOKUP($B87,'TB 260524'!$A:$C,2,0),0)</f>
        <v>97152</v>
      </c>
      <c r="G87" s="1623"/>
      <c r="H87" s="1623">
        <f t="shared" si="2"/>
        <v>97152</v>
      </c>
      <c r="I87" s="1623">
        <f>+IFERROR(VLOOKUP($B87,'TB 260524'!$A:$C,3,0),0)</f>
        <v>0</v>
      </c>
      <c r="J87" s="1623"/>
      <c r="K87" s="1623">
        <f t="shared" si="3"/>
        <v>0</v>
      </c>
      <c r="L87" s="1623">
        <v>45170</v>
      </c>
      <c r="M87" s="1623">
        <v>0</v>
      </c>
      <c r="N87" s="1623">
        <v>45170</v>
      </c>
      <c r="O87" s="1623">
        <v>0</v>
      </c>
      <c r="P87" s="1623">
        <v>0</v>
      </c>
      <c r="Q87" s="1623">
        <v>0</v>
      </c>
    </row>
    <row r="88" spans="2:17">
      <c r="B88" s="856" t="s">
        <v>133</v>
      </c>
      <c r="C88" s="856"/>
      <c r="D88" s="856" t="s">
        <v>131</v>
      </c>
      <c r="E88" s="856" t="s">
        <v>132</v>
      </c>
      <c r="F88" s="1623">
        <f>+IFERROR(VLOOKUP($B88,'TB 260524'!$A:$C,2,0),0)</f>
        <v>103879</v>
      </c>
      <c r="G88" s="1623"/>
      <c r="H88" s="1623">
        <f t="shared" si="2"/>
        <v>103879</v>
      </c>
      <c r="I88" s="1623">
        <f>+IFERROR(VLOOKUP($B88,'TB 260524'!$A:$C,3,0),0)</f>
        <v>0</v>
      </c>
      <c r="J88" s="1623"/>
      <c r="K88" s="1623">
        <f t="shared" si="3"/>
        <v>0</v>
      </c>
      <c r="L88" s="1623">
        <v>56194</v>
      </c>
      <c r="M88" s="1623">
        <v>0</v>
      </c>
      <c r="N88" s="1623">
        <v>56194</v>
      </c>
      <c r="O88" s="1623">
        <v>0</v>
      </c>
      <c r="P88" s="1623">
        <v>0</v>
      </c>
      <c r="Q88" s="1623">
        <v>0</v>
      </c>
    </row>
    <row r="89" spans="2:17">
      <c r="B89" s="856" t="s">
        <v>134</v>
      </c>
      <c r="C89" s="856"/>
      <c r="D89" s="856" t="s">
        <v>131</v>
      </c>
      <c r="E89" s="856" t="s">
        <v>132</v>
      </c>
      <c r="F89" s="1623">
        <f>+IFERROR(VLOOKUP($B89,'TB 260524'!$A:$C,2,0),0)</f>
        <v>109389</v>
      </c>
      <c r="G89" s="1623"/>
      <c r="H89" s="1623">
        <f t="shared" si="2"/>
        <v>109389</v>
      </c>
      <c r="I89" s="1623">
        <f>+IFERROR(VLOOKUP($B89,'TB 260524'!$A:$C,3,0),0)</f>
        <v>0</v>
      </c>
      <c r="J89" s="1623"/>
      <c r="K89" s="1623">
        <f t="shared" si="3"/>
        <v>0</v>
      </c>
      <c r="L89" s="1623">
        <v>114072</v>
      </c>
      <c r="M89" s="1623">
        <v>0</v>
      </c>
      <c r="N89" s="1623">
        <v>114072</v>
      </c>
      <c r="O89" s="1623">
        <v>0</v>
      </c>
      <c r="P89" s="1623">
        <v>0</v>
      </c>
      <c r="Q89" s="1623">
        <v>0</v>
      </c>
    </row>
    <row r="90" spans="2:17">
      <c r="B90" s="856" t="s">
        <v>490</v>
      </c>
      <c r="C90" s="856"/>
      <c r="D90" s="856" t="s">
        <v>131</v>
      </c>
      <c r="E90" s="856" t="s">
        <v>132</v>
      </c>
      <c r="F90" s="1623">
        <f>+IFERROR(VLOOKUP($B90,'TB 260524'!$A:$C,2,0),0)</f>
        <v>14032176</v>
      </c>
      <c r="G90" s="1623"/>
      <c r="H90" s="1623">
        <f t="shared" si="2"/>
        <v>14032176</v>
      </c>
      <c r="I90" s="1623">
        <f>+IFERROR(VLOOKUP($B90,'TB 260524'!$A:$C,3,0),0)</f>
        <v>0</v>
      </c>
      <c r="J90" s="1623"/>
      <c r="K90" s="1623">
        <f t="shared" si="3"/>
        <v>0</v>
      </c>
      <c r="L90" s="1623">
        <v>13650885</v>
      </c>
      <c r="M90" s="1623">
        <v>0</v>
      </c>
      <c r="N90" s="1623">
        <v>13650885</v>
      </c>
      <c r="O90" s="1623">
        <v>0</v>
      </c>
      <c r="P90" s="1623">
        <v>0</v>
      </c>
      <c r="Q90" s="1623">
        <v>0</v>
      </c>
    </row>
    <row r="91" spans="2:17">
      <c r="B91" s="856" t="s">
        <v>135</v>
      </c>
      <c r="C91" s="856"/>
      <c r="D91" s="856" t="s">
        <v>131</v>
      </c>
      <c r="E91" s="856" t="s">
        <v>132</v>
      </c>
      <c r="F91" s="1623">
        <f>+IFERROR(VLOOKUP($B91,'TB 260524'!$A:$C,2,0),0)</f>
        <v>345303</v>
      </c>
      <c r="G91" s="1623"/>
      <c r="H91" s="1623">
        <f t="shared" si="2"/>
        <v>345303</v>
      </c>
      <c r="I91" s="1623">
        <f>+IFERROR(VLOOKUP($B91,'TB 260524'!$A:$C,3,0),0)</f>
        <v>0</v>
      </c>
      <c r="J91" s="1623"/>
      <c r="K91" s="1623">
        <f t="shared" si="3"/>
        <v>0</v>
      </c>
      <c r="L91" s="1623">
        <v>369149</v>
      </c>
      <c r="M91" s="1623">
        <v>0</v>
      </c>
      <c r="N91" s="1623">
        <v>369149</v>
      </c>
      <c r="O91" s="1623">
        <v>0</v>
      </c>
      <c r="P91" s="1623">
        <v>0</v>
      </c>
      <c r="Q91" s="1623">
        <v>0</v>
      </c>
    </row>
    <row r="92" spans="2:17">
      <c r="B92" s="856" t="s">
        <v>138</v>
      </c>
      <c r="C92" s="856">
        <v>9</v>
      </c>
      <c r="D92" s="856" t="s">
        <v>35</v>
      </c>
      <c r="E92" s="856" t="s">
        <v>36</v>
      </c>
      <c r="F92" s="1623">
        <f>+IFERROR(VLOOKUP($B92,'TB 260524'!$A:$C,2,0),0)</f>
        <v>50000</v>
      </c>
      <c r="G92" s="1623"/>
      <c r="H92" s="1623">
        <f t="shared" si="2"/>
        <v>50000</v>
      </c>
      <c r="I92" s="1623">
        <f>+IFERROR(VLOOKUP($B92,'TB 260524'!$A:$C,3,0),0)</f>
        <v>0</v>
      </c>
      <c r="J92" s="1623"/>
      <c r="K92" s="1623">
        <f t="shared" si="3"/>
        <v>0</v>
      </c>
      <c r="L92" s="1623">
        <v>34000</v>
      </c>
      <c r="M92" s="1623">
        <v>0</v>
      </c>
      <c r="N92" s="1623">
        <v>34000</v>
      </c>
      <c r="O92" s="1623">
        <v>0</v>
      </c>
      <c r="P92" s="1623">
        <v>0</v>
      </c>
      <c r="Q92" s="1623">
        <v>0</v>
      </c>
    </row>
    <row r="93" spans="2:17">
      <c r="B93" s="856" t="s">
        <v>139</v>
      </c>
      <c r="C93" s="856">
        <v>25</v>
      </c>
      <c r="D93" s="856" t="s">
        <v>140</v>
      </c>
      <c r="E93" s="856" t="s">
        <v>141</v>
      </c>
      <c r="F93" s="1623">
        <f>+IFERROR(VLOOKUP($B93,'TB 260524'!$A:$C,2,0),0)</f>
        <v>34500</v>
      </c>
      <c r="G93" s="1623"/>
      <c r="H93" s="1623">
        <f t="shared" si="2"/>
        <v>34500</v>
      </c>
      <c r="I93" s="1623">
        <f>+IFERROR(VLOOKUP($B93,'TB 260524'!$A:$C,3,0),0)</f>
        <v>0</v>
      </c>
      <c r="J93" s="1623"/>
      <c r="K93" s="1623">
        <f t="shared" si="3"/>
        <v>0</v>
      </c>
      <c r="L93" s="1623">
        <v>33000</v>
      </c>
      <c r="M93" s="1623">
        <v>0</v>
      </c>
      <c r="N93" s="1623">
        <v>33000</v>
      </c>
      <c r="O93" s="1623">
        <v>0</v>
      </c>
      <c r="P93" s="1623">
        <v>0</v>
      </c>
      <c r="Q93" s="1623">
        <v>0</v>
      </c>
    </row>
    <row r="94" spans="2:17">
      <c r="B94" s="856" t="s">
        <v>142</v>
      </c>
      <c r="C94" s="856">
        <v>21</v>
      </c>
      <c r="D94" s="856" t="s">
        <v>143</v>
      </c>
      <c r="E94" s="856" t="s">
        <v>144</v>
      </c>
      <c r="F94" s="1623">
        <f>+IFERROR(VLOOKUP($B94,'TB 260524'!$A:$C,2,0),0)</f>
        <v>469</v>
      </c>
      <c r="G94" s="1623"/>
      <c r="H94" s="1623">
        <f t="shared" si="2"/>
        <v>469</v>
      </c>
      <c r="I94" s="1623">
        <f>+IFERROR(VLOOKUP($B94,'TB 260524'!$A:$C,3,0),0)</f>
        <v>0</v>
      </c>
      <c r="J94" s="1623"/>
      <c r="K94" s="1623">
        <f t="shared" si="3"/>
        <v>0</v>
      </c>
      <c r="L94" s="1623">
        <v>0</v>
      </c>
      <c r="M94" s="1623">
        <v>0</v>
      </c>
      <c r="N94" s="1623">
        <v>0</v>
      </c>
      <c r="O94" s="1623">
        <v>0</v>
      </c>
      <c r="P94" s="1623">
        <v>0</v>
      </c>
      <c r="Q94" s="1623">
        <v>0</v>
      </c>
    </row>
    <row r="95" spans="2:17">
      <c r="B95" s="856" t="s">
        <v>374</v>
      </c>
      <c r="C95" s="856">
        <v>21</v>
      </c>
      <c r="D95" s="856" t="s">
        <v>143</v>
      </c>
      <c r="E95" s="856" t="s">
        <v>144</v>
      </c>
      <c r="F95" s="1623">
        <f>+IFERROR(VLOOKUP($B95,'TB 260524'!$A:$C,2,0),0)</f>
        <v>32898534</v>
      </c>
      <c r="G95" s="1623"/>
      <c r="H95" s="1623">
        <f t="shared" si="2"/>
        <v>32898534</v>
      </c>
      <c r="I95" s="1623">
        <f>+IFERROR(VLOOKUP($B95,'TB 260524'!$A:$C,3,0),0)</f>
        <v>0</v>
      </c>
      <c r="J95" s="1623"/>
      <c r="K95" s="1623">
        <f t="shared" si="3"/>
        <v>0</v>
      </c>
      <c r="L95" s="1623">
        <v>47111095.43</v>
      </c>
      <c r="M95" s="1623">
        <v>0</v>
      </c>
      <c r="N95" s="1623">
        <v>47111095.43</v>
      </c>
      <c r="O95" s="1623">
        <v>0</v>
      </c>
      <c r="P95" s="1623">
        <v>0</v>
      </c>
      <c r="Q95" s="1623">
        <v>0</v>
      </c>
    </row>
    <row r="96" spans="2:17">
      <c r="B96" s="856" t="s">
        <v>146</v>
      </c>
      <c r="C96" s="856">
        <v>17</v>
      </c>
      <c r="D96" s="856" t="s">
        <v>8</v>
      </c>
      <c r="E96" s="856" t="s">
        <v>9</v>
      </c>
      <c r="F96" s="1623">
        <f>+IFERROR(VLOOKUP($B96,'TB 260524'!$A:$C,2,0),0)</f>
        <v>168203.84</v>
      </c>
      <c r="G96" s="1623"/>
      <c r="H96" s="1623">
        <f t="shared" si="2"/>
        <v>168203.84</v>
      </c>
      <c r="I96" s="1623">
        <f>+IFERROR(VLOOKUP($B96,'TB 260524'!$A:$C,3,0),0)</f>
        <v>0</v>
      </c>
      <c r="J96" s="1623"/>
      <c r="K96" s="1623">
        <f t="shared" si="3"/>
        <v>0</v>
      </c>
      <c r="L96" s="1623">
        <v>0</v>
      </c>
      <c r="M96" s="1623">
        <v>0</v>
      </c>
      <c r="N96" s="1623">
        <v>0</v>
      </c>
      <c r="O96" s="1623">
        <v>112909.16</v>
      </c>
      <c r="P96" s="1623">
        <v>0</v>
      </c>
      <c r="Q96" s="1623">
        <v>112909.16</v>
      </c>
    </row>
    <row r="97" spans="2:17">
      <c r="B97" s="856" t="s">
        <v>147</v>
      </c>
      <c r="C97" s="856">
        <v>27</v>
      </c>
      <c r="D97" s="856" t="s">
        <v>48</v>
      </c>
      <c r="E97" s="856" t="s">
        <v>148</v>
      </c>
      <c r="F97" s="1623">
        <f>+IFERROR(VLOOKUP($B97,'TB 260524'!$A:$C,2,0),0)</f>
        <v>2500</v>
      </c>
      <c r="G97" s="1623"/>
      <c r="H97" s="1623">
        <f t="shared" si="2"/>
        <v>2500</v>
      </c>
      <c r="I97" s="1623">
        <f>+IFERROR(VLOOKUP($B97,'TB 260524'!$A:$C,3,0),0)</f>
        <v>0</v>
      </c>
      <c r="J97" s="1623"/>
      <c r="K97" s="1623">
        <f t="shared" si="3"/>
        <v>0</v>
      </c>
      <c r="L97" s="1623">
        <v>37500</v>
      </c>
      <c r="M97" s="1623">
        <v>0</v>
      </c>
      <c r="N97" s="1623">
        <v>37500</v>
      </c>
      <c r="O97" s="1623">
        <v>0</v>
      </c>
      <c r="P97" s="1623">
        <v>0</v>
      </c>
      <c r="Q97" s="1623">
        <v>0</v>
      </c>
    </row>
    <row r="98" spans="2:17">
      <c r="B98" s="856" t="s">
        <v>150</v>
      </c>
      <c r="C98" s="856">
        <v>17</v>
      </c>
      <c r="D98" s="856" t="s">
        <v>8</v>
      </c>
      <c r="E98" s="856" t="s">
        <v>8</v>
      </c>
      <c r="F98" s="1623">
        <f>+IFERROR(VLOOKUP($B98,'TB 260524'!$A:$C,2,0),0)</f>
        <v>0</v>
      </c>
      <c r="G98" s="1623"/>
      <c r="H98" s="1623">
        <f t="shared" si="2"/>
        <v>0</v>
      </c>
      <c r="I98" s="1623">
        <f>+IFERROR(VLOOKUP($B98,'TB 260524'!$A:$C,3,0),0)</f>
        <v>66909</v>
      </c>
      <c r="J98" s="1623"/>
      <c r="K98" s="1623">
        <f t="shared" si="3"/>
        <v>66909</v>
      </c>
      <c r="L98" s="1623">
        <v>0</v>
      </c>
      <c r="M98" s="1623">
        <v>0</v>
      </c>
      <c r="N98" s="1623">
        <v>0</v>
      </c>
      <c r="O98" s="1623">
        <v>89916</v>
      </c>
      <c r="P98" s="1623">
        <v>0</v>
      </c>
      <c r="Q98" s="1623">
        <v>89916</v>
      </c>
    </row>
    <row r="99" spans="2:17">
      <c r="B99" s="856" t="s">
        <v>151</v>
      </c>
      <c r="C99" s="856">
        <v>17</v>
      </c>
      <c r="D99" s="856" t="s">
        <v>8</v>
      </c>
      <c r="E99" s="856" t="s">
        <v>8</v>
      </c>
      <c r="F99" s="1623">
        <f>+IFERROR(VLOOKUP($B99,'TB 260524'!$A:$C,2,0),0)</f>
        <v>0</v>
      </c>
      <c r="G99" s="1623"/>
      <c r="H99" s="1623">
        <f t="shared" si="2"/>
        <v>0</v>
      </c>
      <c r="I99" s="1623">
        <f>+IFERROR(VLOOKUP($B99,'TB 260524'!$A:$C,3,0),0)</f>
        <v>1502067</v>
      </c>
      <c r="J99" s="1623"/>
      <c r="K99" s="1623">
        <f t="shared" si="3"/>
        <v>1502067</v>
      </c>
      <c r="L99" s="1623">
        <v>0</v>
      </c>
      <c r="M99" s="1623">
        <v>0</v>
      </c>
      <c r="N99" s="1623">
        <v>0</v>
      </c>
      <c r="O99" s="1623">
        <v>4164978</v>
      </c>
      <c r="P99" s="1623">
        <v>0</v>
      </c>
      <c r="Q99" s="1623">
        <v>4164978</v>
      </c>
    </row>
    <row r="100" spans="2:17">
      <c r="B100" s="856" t="s">
        <v>152</v>
      </c>
      <c r="C100" s="856">
        <v>2</v>
      </c>
      <c r="D100" s="856" t="s">
        <v>77</v>
      </c>
      <c r="E100" s="856" t="s">
        <v>78</v>
      </c>
      <c r="F100" s="1623">
        <f>+IFERROR(VLOOKUP($B100,'TB 260524'!$A:$C,2,0),0)</f>
        <v>69445250.989999995</v>
      </c>
      <c r="G100" s="1623"/>
      <c r="H100" s="1623">
        <f t="shared" si="2"/>
        <v>69445250.989999995</v>
      </c>
      <c r="I100" s="1623">
        <f>+IFERROR(VLOOKUP($B100,'TB 260524'!$A:$C,3,0),0)</f>
        <v>0</v>
      </c>
      <c r="J100" s="1623"/>
      <c r="K100" s="1623">
        <f t="shared" si="3"/>
        <v>0</v>
      </c>
      <c r="L100" s="1623">
        <v>26557047.010000002</v>
      </c>
      <c r="M100" s="1623">
        <v>0</v>
      </c>
      <c r="N100" s="1623">
        <v>26557047.010000002</v>
      </c>
      <c r="O100" s="1623">
        <v>0</v>
      </c>
      <c r="P100" s="1623">
        <v>0</v>
      </c>
      <c r="Q100" s="1623">
        <v>0</v>
      </c>
    </row>
    <row r="101" spans="2:17">
      <c r="B101" s="856" t="s">
        <v>377</v>
      </c>
      <c r="C101" s="856">
        <v>17</v>
      </c>
      <c r="D101" s="856" t="s">
        <v>8</v>
      </c>
      <c r="E101" s="856" t="s">
        <v>9</v>
      </c>
      <c r="F101" s="1623">
        <f>+IFERROR(VLOOKUP($B101,'TB 260524'!$A:$C,2,0),0)</f>
        <v>0</v>
      </c>
      <c r="G101" s="1623"/>
      <c r="H101" s="1623">
        <f t="shared" si="2"/>
        <v>0</v>
      </c>
      <c r="I101" s="1623">
        <f>+IFERROR(VLOOKUP($B101,'TB 260524'!$A:$C,3,0),0)</f>
        <v>93574</v>
      </c>
      <c r="J101" s="1623"/>
      <c r="K101" s="1623">
        <f t="shared" si="3"/>
        <v>93574</v>
      </c>
      <c r="L101" s="1623">
        <v>0</v>
      </c>
      <c r="M101" s="1623">
        <v>0</v>
      </c>
      <c r="N101" s="1623">
        <v>0</v>
      </c>
      <c r="O101" s="1623">
        <v>0</v>
      </c>
      <c r="P101" s="1623">
        <v>0</v>
      </c>
      <c r="Q101" s="1623">
        <v>0</v>
      </c>
    </row>
    <row r="102" spans="2:17">
      <c r="B102" s="856" t="s">
        <v>153</v>
      </c>
      <c r="C102" s="856">
        <v>12</v>
      </c>
      <c r="D102" s="856" t="s">
        <v>154</v>
      </c>
      <c r="E102" s="856" t="s">
        <v>155</v>
      </c>
      <c r="F102" s="1623">
        <f>+IFERROR(VLOOKUP($B102,'TB 260524'!$A:$C,2,0),0)</f>
        <v>0</v>
      </c>
      <c r="G102" s="1623"/>
      <c r="H102" s="1623">
        <f t="shared" si="2"/>
        <v>0</v>
      </c>
      <c r="I102" s="1623">
        <f>+IFERROR(VLOOKUP($B102,'TB 260524'!$A:$C,3,0),0)</f>
        <v>26922650</v>
      </c>
      <c r="J102" s="1623"/>
      <c r="K102" s="1623">
        <f t="shared" si="3"/>
        <v>26922650</v>
      </c>
      <c r="L102" s="1623">
        <v>0</v>
      </c>
      <c r="M102" s="1623">
        <v>0</v>
      </c>
      <c r="N102" s="1623">
        <v>0</v>
      </c>
      <c r="O102" s="1623">
        <v>26922650</v>
      </c>
      <c r="P102" s="1623">
        <v>0</v>
      </c>
      <c r="Q102" s="1623">
        <v>26922650</v>
      </c>
    </row>
    <row r="103" spans="2:17">
      <c r="B103" s="856" t="s">
        <v>156</v>
      </c>
      <c r="C103" s="856">
        <v>25</v>
      </c>
      <c r="D103" s="856" t="s">
        <v>140</v>
      </c>
      <c r="E103" s="856" t="s">
        <v>157</v>
      </c>
      <c r="F103" s="1623">
        <f>+IFERROR(VLOOKUP($B103,'TB 260524'!$A:$C,2,0),0)</f>
        <v>267233</v>
      </c>
      <c r="G103" s="1623"/>
      <c r="H103" s="1623">
        <f t="shared" si="2"/>
        <v>267233</v>
      </c>
      <c r="I103" s="1623">
        <f>+IFERROR(VLOOKUP($B103,'TB 260524'!$A:$C,3,0),0)</f>
        <v>0</v>
      </c>
      <c r="J103" s="1623"/>
      <c r="K103" s="1623">
        <f t="shared" si="3"/>
        <v>0</v>
      </c>
      <c r="L103" s="1623">
        <v>236264</v>
      </c>
      <c r="M103" s="1623">
        <v>0</v>
      </c>
      <c r="N103" s="1623">
        <v>236264</v>
      </c>
      <c r="O103" s="1623">
        <v>0</v>
      </c>
      <c r="P103" s="1623">
        <v>0</v>
      </c>
      <c r="Q103" s="1623">
        <v>0</v>
      </c>
    </row>
    <row r="104" spans="2:17">
      <c r="B104" s="856" t="s">
        <v>158</v>
      </c>
      <c r="C104" s="856">
        <v>27</v>
      </c>
      <c r="D104" s="856" t="s">
        <v>48</v>
      </c>
      <c r="E104" s="856" t="s">
        <v>82</v>
      </c>
      <c r="F104" s="1623">
        <f>+IFERROR(VLOOKUP($B104,'TB 260524'!$A:$C,2,0),0)</f>
        <v>4167</v>
      </c>
      <c r="G104" s="1623"/>
      <c r="H104" s="1623">
        <f t="shared" si="2"/>
        <v>4167</v>
      </c>
      <c r="I104" s="1623">
        <f>+IFERROR(VLOOKUP($B104,'TB 260524'!$A:$C,3,0),0)</f>
        <v>0</v>
      </c>
      <c r="J104" s="1623"/>
      <c r="K104" s="1623">
        <f t="shared" si="3"/>
        <v>0</v>
      </c>
      <c r="L104" s="1623">
        <v>18701</v>
      </c>
      <c r="M104" s="1623">
        <v>0</v>
      </c>
      <c r="N104" s="1623">
        <v>18701</v>
      </c>
      <c r="O104" s="1623">
        <v>0</v>
      </c>
      <c r="P104" s="1623">
        <v>0</v>
      </c>
      <c r="Q104" s="1623">
        <v>0</v>
      </c>
    </row>
    <row r="105" spans="2:17">
      <c r="B105" s="856" t="s">
        <v>164</v>
      </c>
      <c r="C105" s="856">
        <v>27</v>
      </c>
      <c r="D105" s="856" t="s">
        <v>73</v>
      </c>
      <c r="E105" s="856" t="s">
        <v>74</v>
      </c>
      <c r="F105" s="1623">
        <f>+IFERROR(VLOOKUP($B105,'TB 260524'!$A:$C,2,0),0)</f>
        <v>72800</v>
      </c>
      <c r="G105" s="1623"/>
      <c r="H105" s="1623">
        <f t="shared" si="2"/>
        <v>72800</v>
      </c>
      <c r="I105" s="1623">
        <f>+IFERROR(VLOOKUP($B105,'TB 260524'!$A:$C,3,0),0)</f>
        <v>0</v>
      </c>
      <c r="J105" s="1623"/>
      <c r="K105" s="1623">
        <f t="shared" si="3"/>
        <v>0</v>
      </c>
      <c r="L105" s="1623">
        <v>75600</v>
      </c>
      <c r="M105" s="1623">
        <v>0</v>
      </c>
      <c r="N105" s="1623">
        <v>75600</v>
      </c>
      <c r="O105" s="1623">
        <v>0</v>
      </c>
      <c r="P105" s="1623">
        <v>0</v>
      </c>
      <c r="Q105" s="1623">
        <v>0</v>
      </c>
    </row>
    <row r="106" spans="2:17">
      <c r="B106" s="856" t="s">
        <v>165</v>
      </c>
      <c r="C106" s="856">
        <v>27</v>
      </c>
      <c r="D106" s="856" t="s">
        <v>73</v>
      </c>
      <c r="E106" s="856" t="s">
        <v>74</v>
      </c>
      <c r="F106" s="1623">
        <f>+IFERROR(VLOOKUP($B106,'TB 260524'!$A:$C,2,0),0)</f>
        <v>267589</v>
      </c>
      <c r="G106" s="1623"/>
      <c r="H106" s="1623">
        <f t="shared" si="2"/>
        <v>267589</v>
      </c>
      <c r="I106" s="1623">
        <f>+IFERROR(VLOOKUP($B106,'TB 260524'!$A:$C,3,0),0)</f>
        <v>0</v>
      </c>
      <c r="J106" s="1623"/>
      <c r="K106" s="1623">
        <f t="shared" si="3"/>
        <v>0</v>
      </c>
      <c r="L106" s="1623">
        <v>365711.4</v>
      </c>
      <c r="M106" s="1623">
        <v>0</v>
      </c>
      <c r="N106" s="1623">
        <v>365711.4</v>
      </c>
      <c r="O106" s="1623">
        <v>0</v>
      </c>
      <c r="P106" s="1623">
        <v>0</v>
      </c>
      <c r="Q106" s="1623">
        <v>0</v>
      </c>
    </row>
    <row r="107" spans="2:17">
      <c r="B107" s="856" t="s">
        <v>166</v>
      </c>
      <c r="C107" s="856">
        <v>27</v>
      </c>
      <c r="D107" s="856" t="s">
        <v>73</v>
      </c>
      <c r="E107" s="856" t="s">
        <v>100</v>
      </c>
      <c r="F107" s="1623">
        <f>+IFERROR(VLOOKUP($B107,'TB 260524'!$A:$C,2,0),0)</f>
        <v>53196916.659999996</v>
      </c>
      <c r="G107" s="1623"/>
      <c r="H107" s="1623">
        <f t="shared" si="2"/>
        <v>53196916.659999996</v>
      </c>
      <c r="I107" s="1623">
        <f>+IFERROR(VLOOKUP($B107,'TB 260524'!$A:$C,3,0),0)</f>
        <v>0</v>
      </c>
      <c r="J107" s="1623"/>
      <c r="K107" s="1623">
        <f t="shared" si="3"/>
        <v>0</v>
      </c>
      <c r="L107" s="1623">
        <v>83424461</v>
      </c>
      <c r="M107" s="1623">
        <v>0</v>
      </c>
      <c r="N107" s="1623">
        <v>83424461</v>
      </c>
      <c r="O107" s="1623">
        <v>0</v>
      </c>
      <c r="P107" s="1623">
        <v>0</v>
      </c>
      <c r="Q107" s="1623">
        <v>0</v>
      </c>
    </row>
    <row r="108" spans="2:17">
      <c r="B108" s="856" t="s">
        <v>167</v>
      </c>
      <c r="C108" s="856">
        <v>27</v>
      </c>
      <c r="D108" s="856" t="s">
        <v>73</v>
      </c>
      <c r="E108" s="856" t="s">
        <v>74</v>
      </c>
      <c r="F108" s="1623">
        <f>+IFERROR(VLOOKUP($B108,'TB 260524'!$A:$C,2,0),0)</f>
        <v>249410</v>
      </c>
      <c r="G108" s="1623"/>
      <c r="H108" s="1623">
        <f t="shared" si="2"/>
        <v>249410</v>
      </c>
      <c r="I108" s="1623">
        <f>+IFERROR(VLOOKUP($B108,'TB 260524'!$A:$C,3,0),0)</f>
        <v>0</v>
      </c>
      <c r="J108" s="1623"/>
      <c r="K108" s="1623">
        <f t="shared" si="3"/>
        <v>0</v>
      </c>
      <c r="L108" s="1623">
        <v>301632</v>
      </c>
      <c r="M108" s="1623">
        <v>0</v>
      </c>
      <c r="N108" s="1623">
        <v>301632</v>
      </c>
      <c r="O108" s="1623">
        <v>0</v>
      </c>
      <c r="P108" s="1623">
        <v>0</v>
      </c>
      <c r="Q108" s="1623">
        <v>0</v>
      </c>
    </row>
    <row r="109" spans="2:17">
      <c r="B109" s="856" t="s">
        <v>493</v>
      </c>
      <c r="C109" s="856">
        <v>27</v>
      </c>
      <c r="D109" s="856" t="s">
        <v>48</v>
      </c>
      <c r="E109" s="856" t="s">
        <v>82</v>
      </c>
      <c r="F109" s="1623">
        <f>+IFERROR(VLOOKUP($B109,'TB 260524'!$A:$C,2,0),0)</f>
        <v>25018</v>
      </c>
      <c r="G109" s="1623"/>
      <c r="H109" s="1623">
        <f t="shared" si="2"/>
        <v>25018</v>
      </c>
      <c r="I109" s="1623">
        <f>+IFERROR(VLOOKUP($B109,'TB 260524'!$A:$C,3,0),0)</f>
        <v>0</v>
      </c>
      <c r="J109" s="1623"/>
      <c r="K109" s="1623">
        <f t="shared" si="3"/>
        <v>0</v>
      </c>
      <c r="L109" s="1623">
        <v>50000</v>
      </c>
      <c r="M109" s="1623">
        <v>0</v>
      </c>
      <c r="N109" s="1623">
        <v>50000</v>
      </c>
      <c r="O109" s="1623">
        <v>0</v>
      </c>
      <c r="P109" s="1623">
        <v>0</v>
      </c>
      <c r="Q109" s="1623">
        <v>0</v>
      </c>
    </row>
    <row r="110" spans="2:17">
      <c r="B110" s="856" t="s">
        <v>47</v>
      </c>
      <c r="C110" s="856">
        <v>27</v>
      </c>
      <c r="D110" s="856" t="s">
        <v>48</v>
      </c>
      <c r="E110" s="856" t="s">
        <v>49</v>
      </c>
      <c r="F110" s="1623">
        <f>+IFERROR(VLOOKUP($B110,'TB 260524'!$A:$C,2,0),0)</f>
        <v>129204</v>
      </c>
      <c r="G110" s="1623"/>
      <c r="H110" s="1623">
        <f t="shared" si="2"/>
        <v>129204</v>
      </c>
      <c r="I110" s="1623">
        <f>+IFERROR(VLOOKUP($B110,'TB 260524'!$A:$C,3,0),0)</f>
        <v>0</v>
      </c>
      <c r="J110" s="1623"/>
      <c r="K110" s="1623">
        <f t="shared" si="3"/>
        <v>0</v>
      </c>
      <c r="L110" s="1623">
        <v>145333</v>
      </c>
      <c r="M110" s="1623">
        <v>0</v>
      </c>
      <c r="N110" s="1623">
        <v>145333</v>
      </c>
      <c r="O110" s="1623">
        <v>0</v>
      </c>
      <c r="P110" s="1623">
        <v>0</v>
      </c>
      <c r="Q110" s="1623">
        <v>0</v>
      </c>
    </row>
    <row r="111" spans="2:17">
      <c r="B111" s="856" t="s">
        <v>169</v>
      </c>
      <c r="C111" s="856">
        <v>27</v>
      </c>
      <c r="D111" s="856" t="s">
        <v>73</v>
      </c>
      <c r="E111" s="856" t="s">
        <v>170</v>
      </c>
      <c r="F111" s="1623">
        <f>+IFERROR(VLOOKUP($B111,'TB 260524'!$A:$C,2,0),0)</f>
        <v>3611803</v>
      </c>
      <c r="G111" s="1623"/>
      <c r="H111" s="1623">
        <f t="shared" si="2"/>
        <v>3611803</v>
      </c>
      <c r="I111" s="1623">
        <f>+IFERROR(VLOOKUP($B111,'TB 260524'!$A:$C,3,0),0)</f>
        <v>0</v>
      </c>
      <c r="J111" s="1623"/>
      <c r="K111" s="1623">
        <f t="shared" si="3"/>
        <v>0</v>
      </c>
      <c r="L111" s="1623">
        <v>2829820</v>
      </c>
      <c r="M111" s="1623">
        <v>0</v>
      </c>
      <c r="N111" s="1623">
        <v>2829820</v>
      </c>
      <c r="O111" s="1623">
        <v>0</v>
      </c>
      <c r="P111" s="1623">
        <v>0</v>
      </c>
      <c r="Q111" s="1623">
        <v>0</v>
      </c>
    </row>
    <row r="112" spans="2:17">
      <c r="B112" s="856" t="s">
        <v>494</v>
      </c>
      <c r="C112" s="856">
        <v>17</v>
      </c>
      <c r="D112" s="856" t="s">
        <v>8</v>
      </c>
      <c r="E112" s="856" t="s">
        <v>9</v>
      </c>
      <c r="F112" s="1623">
        <f>+IFERROR(VLOOKUP($B112,'TB 260524'!$A:$C,2,0),0)</f>
        <v>0</v>
      </c>
      <c r="G112" s="1623"/>
      <c r="H112" s="1623">
        <f t="shared" si="2"/>
        <v>0</v>
      </c>
      <c r="I112" s="1623">
        <f>+IFERROR(VLOOKUP($B112,'TB 260524'!$A:$C,3,0),0)</f>
        <v>387602</v>
      </c>
      <c r="J112" s="1623"/>
      <c r="K112" s="1623">
        <f t="shared" si="3"/>
        <v>387602</v>
      </c>
      <c r="L112" s="1623">
        <v>0</v>
      </c>
      <c r="M112" s="1623">
        <v>0</v>
      </c>
      <c r="N112" s="1623">
        <v>0</v>
      </c>
      <c r="O112" s="1623">
        <v>370401</v>
      </c>
      <c r="P112" s="1623">
        <v>0</v>
      </c>
      <c r="Q112" s="1623">
        <v>370401</v>
      </c>
    </row>
    <row r="113" spans="2:17">
      <c r="B113" s="856" t="s">
        <v>378</v>
      </c>
      <c r="C113" s="856">
        <v>3</v>
      </c>
      <c r="D113" s="856" t="s">
        <v>120</v>
      </c>
      <c r="E113" s="856" t="s">
        <v>121</v>
      </c>
      <c r="F113" s="1623">
        <f>+IFERROR(VLOOKUP($B113,'TB 260524'!$A:$C,2,0),0)</f>
        <v>273693</v>
      </c>
      <c r="G113" s="1623"/>
      <c r="H113" s="1623">
        <f t="shared" si="2"/>
        <v>273693</v>
      </c>
      <c r="I113" s="1623">
        <f>+IFERROR(VLOOKUP($B113,'TB 260524'!$A:$C,3,0),0)</f>
        <v>0</v>
      </c>
      <c r="J113" s="1623"/>
      <c r="K113" s="1623">
        <f t="shared" si="3"/>
        <v>0</v>
      </c>
      <c r="L113" s="1623">
        <v>261462</v>
      </c>
      <c r="M113" s="1623">
        <v>0</v>
      </c>
      <c r="N113" s="1623">
        <v>261462</v>
      </c>
      <c r="O113" s="1623">
        <v>0</v>
      </c>
      <c r="P113" s="1623">
        <v>0</v>
      </c>
      <c r="Q113" s="1623">
        <v>0</v>
      </c>
    </row>
    <row r="114" spans="2:17">
      <c r="B114" s="856" t="s">
        <v>171</v>
      </c>
      <c r="C114" s="856">
        <v>3</v>
      </c>
      <c r="D114" s="856" t="s">
        <v>120</v>
      </c>
      <c r="E114" s="856" t="s">
        <v>121</v>
      </c>
      <c r="F114" s="1623">
        <f>+IFERROR(VLOOKUP($B114,'TB 260524'!$A:$C,2,0),0)</f>
        <v>1893357</v>
      </c>
      <c r="G114" s="1623"/>
      <c r="H114" s="1623">
        <f t="shared" si="2"/>
        <v>1893357</v>
      </c>
      <c r="I114" s="1623">
        <f>+IFERROR(VLOOKUP($B114,'TB 260524'!$A:$C,3,0),0)</f>
        <v>0</v>
      </c>
      <c r="J114" s="1623"/>
      <c r="K114" s="1623">
        <f t="shared" si="3"/>
        <v>0</v>
      </c>
      <c r="L114" s="1623">
        <v>1767870</v>
      </c>
      <c r="M114" s="1623">
        <v>0</v>
      </c>
      <c r="N114" s="1623">
        <v>1767870</v>
      </c>
      <c r="O114" s="1623">
        <v>0</v>
      </c>
      <c r="P114" s="1623">
        <v>0</v>
      </c>
      <c r="Q114" s="1623">
        <v>0</v>
      </c>
    </row>
    <row r="115" spans="2:17">
      <c r="B115" s="856" t="s">
        <v>172</v>
      </c>
      <c r="C115" s="856">
        <v>22</v>
      </c>
      <c r="D115" s="856" t="s">
        <v>55</v>
      </c>
      <c r="E115" s="856" t="s">
        <v>173</v>
      </c>
      <c r="F115" s="1623">
        <f>+IFERROR(VLOOKUP($B115,'TB 260524'!$A:$C,2,0),0)</f>
        <v>0</v>
      </c>
      <c r="G115" s="1623"/>
      <c r="H115" s="1623">
        <f t="shared" si="2"/>
        <v>0</v>
      </c>
      <c r="I115" s="1623">
        <f>+IFERROR(VLOOKUP($B115,'TB 260524'!$A:$C,3,0),0)</f>
        <v>729285</v>
      </c>
      <c r="J115" s="1623"/>
      <c r="K115" s="1623">
        <f t="shared" si="3"/>
        <v>729285</v>
      </c>
      <c r="L115" s="1623">
        <v>0</v>
      </c>
      <c r="M115" s="1623">
        <v>0</v>
      </c>
      <c r="N115" s="1623">
        <v>0</v>
      </c>
      <c r="O115" s="1623">
        <v>697771</v>
      </c>
      <c r="P115" s="1623">
        <v>191396.66984900087</v>
      </c>
      <c r="Q115" s="1623">
        <v>889167.66984900087</v>
      </c>
    </row>
    <row r="116" spans="2:17">
      <c r="B116" s="856" t="s">
        <v>175</v>
      </c>
      <c r="C116" s="856">
        <v>2</v>
      </c>
      <c r="D116" s="856" t="s">
        <v>77</v>
      </c>
      <c r="E116" s="856" t="s">
        <v>78</v>
      </c>
      <c r="F116" s="1623">
        <f>+IFERROR(VLOOKUP($B116,'TB 260524'!$A:$C,2,0),0)</f>
        <v>33965000</v>
      </c>
      <c r="G116" s="1623"/>
      <c r="H116" s="1623">
        <f t="shared" si="2"/>
        <v>33965000</v>
      </c>
      <c r="I116" s="1623">
        <f>+IFERROR(VLOOKUP($B116,'TB 260524'!$A:$C,3,0),0)</f>
        <v>0</v>
      </c>
      <c r="J116" s="1623"/>
      <c r="K116" s="1623">
        <f t="shared" si="3"/>
        <v>0</v>
      </c>
      <c r="L116" s="1623">
        <v>33965000</v>
      </c>
      <c r="M116" s="1623">
        <v>0</v>
      </c>
      <c r="N116" s="1623">
        <v>33965000</v>
      </c>
      <c r="O116" s="1623">
        <v>0</v>
      </c>
      <c r="P116" s="1623">
        <v>0</v>
      </c>
      <c r="Q116" s="1623">
        <v>0</v>
      </c>
    </row>
    <row r="117" spans="2:17">
      <c r="B117" s="856" t="s">
        <v>2960</v>
      </c>
      <c r="C117" s="856">
        <v>27</v>
      </c>
      <c r="D117" s="856" t="s">
        <v>28</v>
      </c>
      <c r="E117" s="856" t="s">
        <v>366</v>
      </c>
      <c r="F117" s="1623">
        <f>+IFERROR(VLOOKUP($B117,'TB 260524'!$A:$C,2,0),0)</f>
        <v>314100</v>
      </c>
      <c r="G117" s="1623"/>
      <c r="H117" s="1623">
        <f t="shared" si="2"/>
        <v>314100</v>
      </c>
      <c r="I117" s="1623">
        <f>+IFERROR(VLOOKUP($B117,'TB 260524'!$A:$C,3,0),0)</f>
        <v>0</v>
      </c>
      <c r="J117" s="1623"/>
      <c r="K117" s="1623">
        <f t="shared" si="3"/>
        <v>0</v>
      </c>
      <c r="L117" s="1623">
        <v>0</v>
      </c>
      <c r="M117" s="1623">
        <v>0</v>
      </c>
      <c r="N117" s="1623">
        <v>0</v>
      </c>
      <c r="O117" s="1623">
        <v>0</v>
      </c>
      <c r="P117" s="1623">
        <v>0</v>
      </c>
      <c r="Q117" s="1623">
        <v>0</v>
      </c>
    </row>
    <row r="118" spans="2:17">
      <c r="B118" s="856" t="s">
        <v>2961</v>
      </c>
      <c r="C118" s="856">
        <v>17</v>
      </c>
      <c r="D118" s="856" t="s">
        <v>8</v>
      </c>
      <c r="E118" s="856" t="s">
        <v>9</v>
      </c>
      <c r="F118" s="1623">
        <f>+IFERROR(VLOOKUP($B118,'TB 260524'!$A:$C,2,0),0)</f>
        <v>0</v>
      </c>
      <c r="G118" s="1623"/>
      <c r="H118" s="1623">
        <f t="shared" si="2"/>
        <v>0</v>
      </c>
      <c r="I118" s="1623">
        <f>+IFERROR(VLOOKUP($B118,'TB 260524'!$A:$C,3,0),0)</f>
        <v>23600</v>
      </c>
      <c r="J118" s="1623"/>
      <c r="K118" s="1623">
        <f t="shared" si="3"/>
        <v>23600</v>
      </c>
      <c r="L118" s="1623">
        <v>0</v>
      </c>
      <c r="M118" s="1623">
        <v>0</v>
      </c>
      <c r="N118" s="1623">
        <v>0</v>
      </c>
      <c r="O118" s="1623">
        <v>0</v>
      </c>
      <c r="P118" s="1623">
        <v>0</v>
      </c>
      <c r="Q118" s="1623">
        <v>0</v>
      </c>
    </row>
    <row r="119" spans="2:17">
      <c r="B119" s="856" t="s">
        <v>176</v>
      </c>
      <c r="C119" s="856">
        <v>2</v>
      </c>
      <c r="D119" s="856" t="s">
        <v>77</v>
      </c>
      <c r="E119" s="856" t="s">
        <v>78</v>
      </c>
      <c r="F119" s="1623">
        <f>+IFERROR(VLOOKUP($B119,'TB 260524'!$A:$C,2,0),0)</f>
        <v>1982848.03</v>
      </c>
      <c r="G119" s="1623"/>
      <c r="H119" s="1623">
        <f t="shared" si="2"/>
        <v>1982848.03</v>
      </c>
      <c r="I119" s="1623">
        <f>+IFERROR(VLOOKUP($B119,'TB 260524'!$A:$C,3,0),0)</f>
        <v>0</v>
      </c>
      <c r="J119" s="1623"/>
      <c r="K119" s="1623">
        <f t="shared" si="3"/>
        <v>0</v>
      </c>
      <c r="L119" s="1623">
        <v>1884828.03</v>
      </c>
      <c r="M119" s="1623">
        <v>0</v>
      </c>
      <c r="N119" s="1623">
        <v>1884828.03</v>
      </c>
      <c r="O119" s="1623">
        <v>0</v>
      </c>
      <c r="P119" s="1623">
        <v>0</v>
      </c>
      <c r="Q119" s="1623">
        <v>0</v>
      </c>
    </row>
    <row r="120" spans="2:17">
      <c r="B120" s="856" t="s">
        <v>177</v>
      </c>
      <c r="C120" s="856">
        <v>17</v>
      </c>
      <c r="D120" s="856" t="s">
        <v>8</v>
      </c>
      <c r="E120" s="856" t="s">
        <v>8</v>
      </c>
      <c r="F120" s="1623">
        <f>+IFERROR(VLOOKUP($B120,'TB 260524'!$A:$C,2,0),0)</f>
        <v>0</v>
      </c>
      <c r="G120" s="1623"/>
      <c r="H120" s="1623">
        <f t="shared" si="2"/>
        <v>0</v>
      </c>
      <c r="I120" s="1623">
        <f>+IFERROR(VLOOKUP($B120,'TB 260524'!$A:$C,3,0),0)</f>
        <v>156751</v>
      </c>
      <c r="J120" s="1623"/>
      <c r="K120" s="1623">
        <f t="shared" si="3"/>
        <v>156751</v>
      </c>
      <c r="L120" s="1623">
        <v>0</v>
      </c>
      <c r="M120" s="1623">
        <v>0</v>
      </c>
      <c r="N120" s="1623">
        <v>0</v>
      </c>
      <c r="O120" s="1623">
        <v>65007</v>
      </c>
      <c r="P120" s="1623">
        <v>0</v>
      </c>
      <c r="Q120" s="1623">
        <v>65007</v>
      </c>
    </row>
    <row r="121" spans="2:17">
      <c r="B121" s="856" t="s">
        <v>380</v>
      </c>
      <c r="C121" s="856">
        <v>13</v>
      </c>
      <c r="D121" s="856" t="s">
        <v>44</v>
      </c>
      <c r="E121" s="856" t="s">
        <v>45</v>
      </c>
      <c r="F121" s="1623">
        <f>+IFERROR(VLOOKUP($B121,'TB 260524'!$A:$C,2,0),0)</f>
        <v>0</v>
      </c>
      <c r="G121" s="1623"/>
      <c r="H121" s="1623">
        <f t="shared" si="2"/>
        <v>0</v>
      </c>
      <c r="I121" s="1623">
        <f>+IFERROR(VLOOKUP($B121,'TB 260524'!$A:$C,3,0),0)</f>
        <v>1562798</v>
      </c>
      <c r="J121" s="1623"/>
      <c r="K121" s="1623">
        <f t="shared" si="3"/>
        <v>1562798</v>
      </c>
      <c r="L121" s="1623">
        <v>0</v>
      </c>
      <c r="M121" s="1623">
        <v>0</v>
      </c>
      <c r="N121" s="1623">
        <v>0</v>
      </c>
      <c r="O121" s="1623">
        <v>1896290</v>
      </c>
      <c r="P121" s="1623">
        <v>0</v>
      </c>
      <c r="Q121" s="1623">
        <v>1896290</v>
      </c>
    </row>
    <row r="122" spans="2:17">
      <c r="B122" s="856" t="s">
        <v>178</v>
      </c>
      <c r="C122" s="856"/>
      <c r="D122" s="856" t="s">
        <v>80</v>
      </c>
      <c r="E122" s="856" t="s">
        <v>179</v>
      </c>
      <c r="F122" s="1623">
        <f>+IFERROR(VLOOKUP($B122,'TB 260524'!$A:$C,2,0),0)</f>
        <v>0</v>
      </c>
      <c r="G122" s="1623"/>
      <c r="H122" s="1623">
        <f t="shared" si="2"/>
        <v>0</v>
      </c>
      <c r="I122" s="1623">
        <f>+IFERROR(VLOOKUP($B122,'TB 260524'!$A:$C,3,0),0)</f>
        <v>1800000</v>
      </c>
      <c r="J122" s="1623"/>
      <c r="K122" s="1623">
        <f t="shared" si="3"/>
        <v>1800000</v>
      </c>
      <c r="L122" s="1623">
        <v>0</v>
      </c>
      <c r="M122" s="1623">
        <v>0</v>
      </c>
      <c r="N122" s="1623">
        <v>0</v>
      </c>
      <c r="O122" s="1623">
        <v>1800000</v>
      </c>
      <c r="P122" s="1623">
        <v>0</v>
      </c>
      <c r="Q122" s="1623">
        <v>1800000</v>
      </c>
    </row>
    <row r="123" spans="2:17">
      <c r="B123" s="856" t="s">
        <v>430</v>
      </c>
      <c r="C123" s="856">
        <v>17</v>
      </c>
      <c r="D123" s="856" t="s">
        <v>8</v>
      </c>
      <c r="E123" s="856" t="s">
        <v>9</v>
      </c>
      <c r="F123" s="1623">
        <f>+IFERROR(VLOOKUP($B123,'TB 260524'!$A:$C,2,0),0)</f>
        <v>0</v>
      </c>
      <c r="G123" s="1623"/>
      <c r="H123" s="1623">
        <f t="shared" si="2"/>
        <v>0</v>
      </c>
      <c r="I123" s="1623">
        <f>+IFERROR(VLOOKUP($B123,'TB 260524'!$A:$C,3,0),0)</f>
        <v>13500</v>
      </c>
      <c r="J123" s="1623"/>
      <c r="K123" s="1623">
        <f t="shared" si="3"/>
        <v>13500</v>
      </c>
      <c r="L123" s="1623">
        <v>0</v>
      </c>
      <c r="M123" s="1623">
        <v>0</v>
      </c>
      <c r="N123" s="1623">
        <v>0</v>
      </c>
      <c r="O123" s="1623">
        <v>0</v>
      </c>
      <c r="P123" s="1623">
        <v>0</v>
      </c>
      <c r="Q123" s="1623">
        <v>0</v>
      </c>
    </row>
    <row r="124" spans="2:17">
      <c r="B124" s="856" t="s">
        <v>180</v>
      </c>
      <c r="C124" s="856">
        <v>17</v>
      </c>
      <c r="D124" s="856" t="s">
        <v>8</v>
      </c>
      <c r="E124" s="856" t="s">
        <v>8</v>
      </c>
      <c r="F124" s="1623">
        <f>+IFERROR(VLOOKUP($B124,'TB 260524'!$A:$C,2,0),0)</f>
        <v>0</v>
      </c>
      <c r="G124" s="1623"/>
      <c r="H124" s="1623">
        <f t="shared" si="2"/>
        <v>0</v>
      </c>
      <c r="I124" s="1623">
        <f>+IFERROR(VLOOKUP($B124,'TB 260524'!$A:$C,3,0),0)</f>
        <v>111510</v>
      </c>
      <c r="J124" s="1623"/>
      <c r="K124" s="1623">
        <f t="shared" si="3"/>
        <v>111510</v>
      </c>
      <c r="L124" s="1623">
        <v>0</v>
      </c>
      <c r="M124" s="1623">
        <v>0</v>
      </c>
      <c r="N124" s="1623">
        <v>0</v>
      </c>
      <c r="O124" s="1623">
        <v>242667</v>
      </c>
      <c r="P124" s="1623">
        <v>0</v>
      </c>
      <c r="Q124" s="1623">
        <v>242667</v>
      </c>
    </row>
    <row r="125" spans="2:17">
      <c r="B125" s="856" t="s">
        <v>497</v>
      </c>
      <c r="C125" s="856">
        <v>25</v>
      </c>
      <c r="D125" s="856" t="s">
        <v>140</v>
      </c>
      <c r="E125" s="856" t="s">
        <v>157</v>
      </c>
      <c r="F125" s="1623">
        <f>+IFERROR(VLOOKUP($B125,'TB 260524'!$A:$C,2,0),0)</f>
        <v>943417</v>
      </c>
      <c r="G125" s="1623">
        <v>-55667</v>
      </c>
      <c r="H125" s="1623">
        <f t="shared" si="2"/>
        <v>887750</v>
      </c>
      <c r="I125" s="1623">
        <f>+IFERROR(VLOOKUP($B125,'TB 260524'!$A:$C,3,0),0)</f>
        <v>0</v>
      </c>
      <c r="J125" s="1623"/>
      <c r="K125" s="1623">
        <f t="shared" si="3"/>
        <v>0</v>
      </c>
      <c r="L125" s="1623">
        <v>871518</v>
      </c>
      <c r="M125" s="1623">
        <v>0</v>
      </c>
      <c r="N125" s="1623">
        <v>871518</v>
      </c>
      <c r="O125" s="1623">
        <v>0</v>
      </c>
      <c r="P125" s="1623">
        <v>0</v>
      </c>
      <c r="Q125" s="1623">
        <v>0</v>
      </c>
    </row>
    <row r="126" spans="2:17">
      <c r="B126" s="856" t="s">
        <v>184</v>
      </c>
      <c r="C126" s="856">
        <v>27</v>
      </c>
      <c r="D126" s="856" t="s">
        <v>48</v>
      </c>
      <c r="E126" s="856" t="s">
        <v>49</v>
      </c>
      <c r="F126" s="1623">
        <f>+IFERROR(VLOOKUP($B126,'TB 260524'!$A:$C,2,0),0)</f>
        <v>36000</v>
      </c>
      <c r="G126" s="1623"/>
      <c r="H126" s="1623">
        <f t="shared" si="2"/>
        <v>36000</v>
      </c>
      <c r="I126" s="1623">
        <f>+IFERROR(VLOOKUP($B126,'TB 260524'!$A:$C,3,0),0)</f>
        <v>0</v>
      </c>
      <c r="J126" s="1623"/>
      <c r="K126" s="1623">
        <f t="shared" si="3"/>
        <v>0</v>
      </c>
      <c r="L126" s="1623">
        <v>36000</v>
      </c>
      <c r="M126" s="1623">
        <v>0</v>
      </c>
      <c r="N126" s="1623">
        <v>36000</v>
      </c>
      <c r="O126" s="1623">
        <v>0</v>
      </c>
      <c r="P126" s="1623">
        <v>0</v>
      </c>
      <c r="Q126" s="1623">
        <v>0</v>
      </c>
    </row>
    <row r="127" spans="2:17">
      <c r="B127" s="856" t="s">
        <v>499</v>
      </c>
      <c r="C127" s="856">
        <v>17</v>
      </c>
      <c r="D127" s="856" t="s">
        <v>8</v>
      </c>
      <c r="E127" s="856" t="s">
        <v>9</v>
      </c>
      <c r="F127" s="1623">
        <f>+IFERROR(VLOOKUP($B127,'TB 260524'!$A:$C,2,0),0)</f>
        <v>0</v>
      </c>
      <c r="G127" s="1623"/>
      <c r="H127" s="1623">
        <f t="shared" si="2"/>
        <v>0</v>
      </c>
      <c r="I127" s="1623">
        <f>+IFERROR(VLOOKUP($B127,'TB 260524'!$A:$C,3,0),0)</f>
        <v>183581</v>
      </c>
      <c r="J127" s="1623"/>
      <c r="K127" s="1623">
        <f t="shared" si="3"/>
        <v>183581</v>
      </c>
      <c r="L127" s="1623">
        <v>0</v>
      </c>
      <c r="M127" s="1623">
        <v>0</v>
      </c>
      <c r="N127" s="1623">
        <v>0</v>
      </c>
      <c r="O127" s="1623">
        <v>192781</v>
      </c>
      <c r="P127" s="1623">
        <v>0</v>
      </c>
      <c r="Q127" s="1623">
        <v>192781</v>
      </c>
    </row>
    <row r="128" spans="2:17">
      <c r="B128" s="856" t="s">
        <v>186</v>
      </c>
      <c r="C128" s="856">
        <v>13</v>
      </c>
      <c r="D128" s="856" t="s">
        <v>44</v>
      </c>
      <c r="E128" s="856" t="s">
        <v>45</v>
      </c>
      <c r="F128" s="1623">
        <f>+IFERROR(VLOOKUP($B128,'TB 260524'!$A:$C,2,0),0)</f>
        <v>0</v>
      </c>
      <c r="G128" s="1623"/>
      <c r="H128" s="1623">
        <f t="shared" si="2"/>
        <v>0</v>
      </c>
      <c r="I128" s="1623">
        <f>+IFERROR(VLOOKUP($B128,'TB 260524'!$A:$C,3,0),0)</f>
        <v>1524277</v>
      </c>
      <c r="J128" s="1623"/>
      <c r="K128" s="1623">
        <f t="shared" si="3"/>
        <v>1524277</v>
      </c>
      <c r="L128" s="1623">
        <v>0</v>
      </c>
      <c r="M128" s="1623">
        <v>0</v>
      </c>
      <c r="N128" s="1623">
        <v>0</v>
      </c>
      <c r="O128" s="1623">
        <v>1418464</v>
      </c>
      <c r="P128" s="1623">
        <v>0</v>
      </c>
      <c r="Q128" s="1623">
        <v>1418464</v>
      </c>
    </row>
    <row r="129" spans="2:17">
      <c r="B129" s="856" t="s">
        <v>500</v>
      </c>
      <c r="C129" s="856">
        <v>9</v>
      </c>
      <c r="D129" s="856" t="s">
        <v>35</v>
      </c>
      <c r="E129" s="856" t="s">
        <v>36</v>
      </c>
      <c r="F129" s="1623">
        <f>+IFERROR(VLOOKUP($B129,'TB 260524'!$A:$C,2,0),0)</f>
        <v>21000</v>
      </c>
      <c r="G129" s="1623"/>
      <c r="H129" s="1623">
        <f t="shared" si="2"/>
        <v>21000</v>
      </c>
      <c r="I129" s="1623">
        <f>+IFERROR(VLOOKUP($B129,'TB 260524'!$A:$C,3,0),0)</f>
        <v>0</v>
      </c>
      <c r="J129" s="1623"/>
      <c r="K129" s="1623">
        <f t="shared" si="3"/>
        <v>0</v>
      </c>
      <c r="L129" s="1623">
        <v>34000</v>
      </c>
      <c r="M129" s="1623">
        <v>0</v>
      </c>
      <c r="N129" s="1623">
        <v>34000</v>
      </c>
      <c r="O129" s="1623">
        <v>0</v>
      </c>
      <c r="P129" s="1623">
        <v>0</v>
      </c>
      <c r="Q129" s="1623">
        <v>0</v>
      </c>
    </row>
    <row r="130" spans="2:17">
      <c r="B130" s="856" t="s">
        <v>188</v>
      </c>
      <c r="C130" s="856">
        <v>17</v>
      </c>
      <c r="D130" s="856" t="s">
        <v>8</v>
      </c>
      <c r="E130" s="856" t="s">
        <v>8</v>
      </c>
      <c r="F130" s="1623">
        <f>+IFERROR(VLOOKUP($B130,'TB 260524'!$A:$C,2,0),0)</f>
        <v>0</v>
      </c>
      <c r="G130" s="1623"/>
      <c r="H130" s="1623">
        <f t="shared" si="2"/>
        <v>0</v>
      </c>
      <c r="I130" s="1623">
        <f>+IFERROR(VLOOKUP($B130,'TB 260524'!$A:$C,3,0),0)</f>
        <v>514599</v>
      </c>
      <c r="J130" s="1623"/>
      <c r="K130" s="1623">
        <f t="shared" si="3"/>
        <v>514599</v>
      </c>
      <c r="L130" s="1623">
        <v>0</v>
      </c>
      <c r="M130" s="1623">
        <v>0</v>
      </c>
      <c r="N130" s="1623">
        <v>0</v>
      </c>
      <c r="O130" s="1623">
        <v>238416</v>
      </c>
      <c r="P130" s="1623">
        <v>0</v>
      </c>
      <c r="Q130" s="1623">
        <v>238416</v>
      </c>
    </row>
    <row r="131" spans="2:17">
      <c r="B131" s="856" t="s">
        <v>2962</v>
      </c>
      <c r="C131" s="856">
        <v>18</v>
      </c>
      <c r="D131" s="856" t="s">
        <v>214</v>
      </c>
      <c r="E131" s="856" t="s">
        <v>90</v>
      </c>
      <c r="F131" s="1623">
        <f>+IFERROR(VLOOKUP($B131,'TB 260524'!$A:$C,2,0),0)</f>
        <v>0</v>
      </c>
      <c r="G131" s="1623"/>
      <c r="H131" s="1623">
        <f t="shared" si="2"/>
        <v>0</v>
      </c>
      <c r="I131" s="1623">
        <f>+IFERROR(VLOOKUP($B131,'TB 260524'!$A:$C,3,0),0)</f>
        <v>532764.55000000005</v>
      </c>
      <c r="J131" s="1623"/>
      <c r="K131" s="1623">
        <f t="shared" si="3"/>
        <v>532764.55000000005</v>
      </c>
      <c r="L131" s="1623">
        <v>0</v>
      </c>
      <c r="M131" s="1623">
        <v>0</v>
      </c>
      <c r="N131" s="1623">
        <v>0</v>
      </c>
      <c r="O131" s="1623">
        <v>0</v>
      </c>
      <c r="P131" s="1623">
        <v>0</v>
      </c>
      <c r="Q131" s="1623">
        <v>0</v>
      </c>
    </row>
    <row r="132" spans="2:17">
      <c r="B132" s="856" t="s">
        <v>2963</v>
      </c>
      <c r="C132" s="856">
        <v>9</v>
      </c>
      <c r="D132" s="856" t="s">
        <v>35</v>
      </c>
      <c r="E132" s="856" t="s">
        <v>112</v>
      </c>
      <c r="F132" s="1623">
        <f>+IFERROR(VLOOKUP($B132,'TB 260524'!$A:$C,2,0),0)</f>
        <v>0</v>
      </c>
      <c r="G132" s="1623"/>
      <c r="H132" s="1623">
        <f t="shared" si="2"/>
        <v>0</v>
      </c>
      <c r="I132" s="1623">
        <f>+IFERROR(VLOOKUP($B132,'TB 260524'!$A:$C,3,0),0)</f>
        <v>0</v>
      </c>
      <c r="J132" s="1623"/>
      <c r="K132" s="1623">
        <f t="shared" si="3"/>
        <v>0</v>
      </c>
      <c r="L132" s="1623">
        <v>0</v>
      </c>
      <c r="M132" s="1623">
        <v>0</v>
      </c>
      <c r="N132" s="1623">
        <v>0</v>
      </c>
      <c r="O132" s="1623">
        <v>0</v>
      </c>
      <c r="P132" s="1623">
        <v>0</v>
      </c>
      <c r="Q132" s="1623">
        <v>0</v>
      </c>
    </row>
    <row r="133" spans="2:17">
      <c r="B133" s="856" t="s">
        <v>191</v>
      </c>
      <c r="C133" s="856">
        <v>23</v>
      </c>
      <c r="D133" s="856" t="s">
        <v>96</v>
      </c>
      <c r="E133" s="856" t="s">
        <v>97</v>
      </c>
      <c r="F133" s="1623">
        <f>+IFERROR(VLOOKUP($B133,'TB 260524'!$A:$C,2,0),0)</f>
        <v>81135916.489999995</v>
      </c>
      <c r="G133" s="1623"/>
      <c r="H133" s="1623">
        <f t="shared" si="2"/>
        <v>81135916.489999995</v>
      </c>
      <c r="I133" s="1623">
        <f>+IFERROR(VLOOKUP($B133,'TB 260524'!$A:$C,3,0),0)</f>
        <v>0</v>
      </c>
      <c r="J133" s="1623"/>
      <c r="K133" s="1623">
        <f t="shared" si="3"/>
        <v>0</v>
      </c>
      <c r="L133" s="1623">
        <v>205342673</v>
      </c>
      <c r="M133" s="1623">
        <v>0</v>
      </c>
      <c r="N133" s="1623">
        <v>205342673</v>
      </c>
      <c r="O133" s="1623">
        <v>0</v>
      </c>
      <c r="P133" s="1623">
        <v>0</v>
      </c>
      <c r="Q133" s="1623">
        <v>0</v>
      </c>
    </row>
    <row r="134" spans="2:17">
      <c r="B134" s="856" t="s">
        <v>386</v>
      </c>
      <c r="C134" s="856">
        <v>27</v>
      </c>
      <c r="D134" s="856" t="s">
        <v>48</v>
      </c>
      <c r="E134" s="856" t="s">
        <v>49</v>
      </c>
      <c r="F134" s="1623">
        <f>+IFERROR(VLOOKUP($B134,'TB 260524'!$A:$C,2,0),0)</f>
        <v>192500</v>
      </c>
      <c r="G134" s="1623"/>
      <c r="H134" s="1623">
        <f t="shared" si="2"/>
        <v>192500</v>
      </c>
      <c r="I134" s="1623">
        <f>+IFERROR(VLOOKUP($B134,'TB 260524'!$A:$C,3,0),0)</f>
        <v>0</v>
      </c>
      <c r="J134" s="1623"/>
      <c r="K134" s="1623">
        <f t="shared" si="3"/>
        <v>0</v>
      </c>
      <c r="L134" s="1623">
        <v>0</v>
      </c>
      <c r="M134" s="1623">
        <v>0</v>
      </c>
      <c r="N134" s="1623">
        <v>0</v>
      </c>
      <c r="O134" s="1623">
        <v>0</v>
      </c>
      <c r="P134" s="1623">
        <v>0</v>
      </c>
      <c r="Q134" s="1623">
        <v>0</v>
      </c>
    </row>
    <row r="135" spans="2:17">
      <c r="B135" s="856" t="s">
        <v>194</v>
      </c>
      <c r="C135" s="856">
        <v>25</v>
      </c>
      <c r="D135" s="856" t="s">
        <v>140</v>
      </c>
      <c r="E135" s="856" t="s">
        <v>141</v>
      </c>
      <c r="F135" s="1623">
        <f>+IFERROR(VLOOKUP($B135,'TB 260524'!$A:$C,2,0),0)</f>
        <v>400000</v>
      </c>
      <c r="G135" s="1623"/>
      <c r="H135" s="1623">
        <f t="shared" ref="H135:H198" si="4">+F135+G135</f>
        <v>400000</v>
      </c>
      <c r="I135" s="1623">
        <f>+IFERROR(VLOOKUP($B135,'TB 260524'!$A:$C,3,0),0)</f>
        <v>0</v>
      </c>
      <c r="J135" s="1623"/>
      <c r="K135" s="1623">
        <f t="shared" ref="K135:K198" si="5">+I135+J135</f>
        <v>0</v>
      </c>
      <c r="L135" s="1623">
        <v>0</v>
      </c>
      <c r="M135" s="1623">
        <v>0</v>
      </c>
      <c r="N135" s="1623">
        <v>0</v>
      </c>
      <c r="O135" s="1623">
        <v>813182</v>
      </c>
      <c r="P135" s="1623">
        <v>0</v>
      </c>
      <c r="Q135" s="1623">
        <v>813182</v>
      </c>
    </row>
    <row r="136" spans="2:17">
      <c r="B136" s="856" t="s">
        <v>287</v>
      </c>
      <c r="C136" s="856">
        <v>11</v>
      </c>
      <c r="D136" s="856" t="s">
        <v>25</v>
      </c>
      <c r="E136" s="856" t="s">
        <v>26</v>
      </c>
      <c r="F136" s="1623">
        <f>+IFERROR(VLOOKUP($B136,'TB 260524'!$A:$C,2,0),0)</f>
        <v>17190</v>
      </c>
      <c r="G136" s="1623"/>
      <c r="H136" s="1623">
        <f t="shared" si="4"/>
        <v>17190</v>
      </c>
      <c r="I136" s="1623">
        <f>+IFERROR(VLOOKUP($B136,'TB 260524'!$A:$C,3,0),0)</f>
        <v>0</v>
      </c>
      <c r="J136" s="1623"/>
      <c r="K136" s="1623">
        <f t="shared" si="5"/>
        <v>0</v>
      </c>
      <c r="L136" s="1623">
        <v>17190</v>
      </c>
      <c r="M136" s="1623">
        <v>0</v>
      </c>
      <c r="N136" s="1623">
        <v>17190</v>
      </c>
      <c r="O136" s="1623">
        <v>0</v>
      </c>
      <c r="P136" s="1623">
        <v>0</v>
      </c>
      <c r="Q136" s="1623">
        <v>0</v>
      </c>
    </row>
    <row r="137" spans="2:17">
      <c r="B137" s="856" t="s">
        <v>503</v>
      </c>
      <c r="C137" s="856">
        <v>11</v>
      </c>
      <c r="D137" s="856" t="s">
        <v>25</v>
      </c>
      <c r="E137" s="856" t="s">
        <v>26</v>
      </c>
      <c r="F137" s="1623">
        <f>+IFERROR(VLOOKUP($B137,'TB 260524'!$A:$C,2,0),0)</f>
        <v>1891381</v>
      </c>
      <c r="G137" s="1623"/>
      <c r="H137" s="1623">
        <f t="shared" si="4"/>
        <v>1891381</v>
      </c>
      <c r="I137" s="1623">
        <f>+IFERROR(VLOOKUP($B137,'TB 260524'!$A:$C,3,0),0)</f>
        <v>0</v>
      </c>
      <c r="J137" s="1623"/>
      <c r="K137" s="1623">
        <f t="shared" si="5"/>
        <v>0</v>
      </c>
      <c r="L137" s="1623">
        <v>1891381</v>
      </c>
      <c r="M137" s="1623">
        <v>0</v>
      </c>
      <c r="N137" s="1623">
        <v>1891381</v>
      </c>
      <c r="O137" s="1623">
        <v>0</v>
      </c>
      <c r="P137" s="1623">
        <v>0</v>
      </c>
      <c r="Q137" s="1623">
        <v>0</v>
      </c>
    </row>
    <row r="138" spans="2:17">
      <c r="B138" s="856" t="s">
        <v>289</v>
      </c>
      <c r="C138" s="856">
        <v>11</v>
      </c>
      <c r="D138" s="856" t="s">
        <v>25</v>
      </c>
      <c r="E138" s="856" t="s">
        <v>26</v>
      </c>
      <c r="F138" s="1623">
        <f>+IFERROR(VLOOKUP($B138,'TB 260524'!$A:$C,2,0),0)</f>
        <v>88213</v>
      </c>
      <c r="G138" s="1623"/>
      <c r="H138" s="1623">
        <f t="shared" si="4"/>
        <v>88213</v>
      </c>
      <c r="I138" s="1623">
        <f>+IFERROR(VLOOKUP($B138,'TB 260524'!$A:$C,3,0),0)</f>
        <v>0</v>
      </c>
      <c r="J138" s="1623"/>
      <c r="K138" s="1623">
        <f t="shared" si="5"/>
        <v>0</v>
      </c>
      <c r="L138" s="1623">
        <v>88213</v>
      </c>
      <c r="M138" s="1623">
        <v>0</v>
      </c>
      <c r="N138" s="1623">
        <v>88213</v>
      </c>
      <c r="O138" s="1623">
        <v>0</v>
      </c>
      <c r="P138" s="1623">
        <v>0</v>
      </c>
      <c r="Q138" s="1623">
        <v>0</v>
      </c>
    </row>
    <row r="139" spans="2:17">
      <c r="B139" s="856" t="s">
        <v>195</v>
      </c>
      <c r="C139" s="856">
        <v>17</v>
      </c>
      <c r="D139" s="856" t="s">
        <v>8</v>
      </c>
      <c r="E139" s="856" t="s">
        <v>8</v>
      </c>
      <c r="F139" s="1623">
        <f>+IFERROR(VLOOKUP($B139,'TB 260524'!$A:$C,2,0),0)</f>
        <v>0</v>
      </c>
      <c r="G139" s="1623"/>
      <c r="H139" s="1623">
        <f t="shared" si="4"/>
        <v>0</v>
      </c>
      <c r="I139" s="1623">
        <f>+IFERROR(VLOOKUP($B139,'TB 260524'!$A:$C,3,0),0)</f>
        <v>400020</v>
      </c>
      <c r="J139" s="1623"/>
      <c r="K139" s="1623">
        <f t="shared" si="5"/>
        <v>400020</v>
      </c>
      <c r="L139" s="1623">
        <v>0</v>
      </c>
      <c r="M139" s="1623">
        <v>0</v>
      </c>
      <c r="N139" s="1623">
        <v>0</v>
      </c>
      <c r="O139" s="1623">
        <v>0</v>
      </c>
      <c r="P139" s="1623">
        <v>0</v>
      </c>
      <c r="Q139" s="1623">
        <v>0</v>
      </c>
    </row>
    <row r="140" spans="2:17">
      <c r="B140" s="856" t="s">
        <v>2964</v>
      </c>
      <c r="C140" s="856">
        <v>6</v>
      </c>
      <c r="D140" s="856" t="s">
        <v>13</v>
      </c>
      <c r="E140" s="856" t="s">
        <v>14</v>
      </c>
      <c r="F140" s="1623">
        <f>+IFERROR(VLOOKUP($B140,'TB 260524'!$A:$C,2,0),0)</f>
        <v>152598</v>
      </c>
      <c r="G140" s="1623"/>
      <c r="H140" s="1623">
        <f t="shared" si="4"/>
        <v>152598</v>
      </c>
      <c r="I140" s="1623">
        <f>+IFERROR(VLOOKUP($B140,'TB 260524'!$A:$C,3,0),0)</f>
        <v>0</v>
      </c>
      <c r="J140" s="1623"/>
      <c r="K140" s="1623">
        <f t="shared" si="5"/>
        <v>0</v>
      </c>
      <c r="L140" s="1623">
        <v>0</v>
      </c>
      <c r="M140" s="1623">
        <v>0</v>
      </c>
      <c r="N140" s="1623">
        <v>0</v>
      </c>
      <c r="O140" s="1623">
        <v>0</v>
      </c>
      <c r="P140" s="1623">
        <v>0</v>
      </c>
      <c r="Q140" s="1623">
        <v>0</v>
      </c>
    </row>
    <row r="141" spans="2:17">
      <c r="B141" s="856" t="s">
        <v>2965</v>
      </c>
      <c r="C141" s="856">
        <v>17</v>
      </c>
      <c r="D141" s="856" t="s">
        <v>8</v>
      </c>
      <c r="E141" s="856" t="s">
        <v>9</v>
      </c>
      <c r="F141" s="1623">
        <f>+IFERROR(VLOOKUP($B141,'TB 260524'!$A:$C,2,0),0)</f>
        <v>0</v>
      </c>
      <c r="G141" s="1623"/>
      <c r="H141" s="1623">
        <f t="shared" si="4"/>
        <v>0</v>
      </c>
      <c r="I141" s="1623">
        <f>+IFERROR(VLOOKUP($B141,'TB 260524'!$A:$C,3,0),0)</f>
        <v>0</v>
      </c>
      <c r="J141" s="1623"/>
      <c r="K141" s="1623">
        <f t="shared" si="5"/>
        <v>0</v>
      </c>
      <c r="L141" s="1623">
        <v>0</v>
      </c>
      <c r="M141" s="1623">
        <v>0</v>
      </c>
      <c r="N141" s="1623">
        <v>0</v>
      </c>
      <c r="O141" s="1623">
        <v>0</v>
      </c>
      <c r="P141" s="1623">
        <v>0</v>
      </c>
      <c r="Q141" s="1623">
        <v>0</v>
      </c>
    </row>
    <row r="142" spans="2:17">
      <c r="B142" s="856" t="s">
        <v>504</v>
      </c>
      <c r="C142" s="856">
        <v>27</v>
      </c>
      <c r="D142" s="856" t="s">
        <v>28</v>
      </c>
      <c r="E142" s="856" t="s">
        <v>196</v>
      </c>
      <c r="F142" s="1623">
        <f>+IFERROR(VLOOKUP($B142,'TB 260524'!$A:$C,2,0),0)</f>
        <v>170957</v>
      </c>
      <c r="G142" s="1623"/>
      <c r="H142" s="1623">
        <f t="shared" si="4"/>
        <v>170957</v>
      </c>
      <c r="I142" s="1623">
        <f>+IFERROR(VLOOKUP($B142,'TB 260524'!$A:$C,3,0),0)</f>
        <v>0</v>
      </c>
      <c r="J142" s="1623"/>
      <c r="K142" s="1623">
        <f t="shared" si="5"/>
        <v>0</v>
      </c>
      <c r="L142" s="1623">
        <v>250506</v>
      </c>
      <c r="M142" s="1623">
        <v>0</v>
      </c>
      <c r="N142" s="1623">
        <v>250506</v>
      </c>
      <c r="O142" s="1623">
        <v>0</v>
      </c>
      <c r="P142" s="1623">
        <v>0</v>
      </c>
      <c r="Q142" s="1623">
        <v>0</v>
      </c>
    </row>
    <row r="143" spans="2:17">
      <c r="B143" s="856" t="s">
        <v>505</v>
      </c>
      <c r="C143" s="856">
        <v>27</v>
      </c>
      <c r="D143" s="856" t="s">
        <v>48</v>
      </c>
      <c r="E143" s="856" t="s">
        <v>197</v>
      </c>
      <c r="F143" s="1623">
        <f>+IFERROR(VLOOKUP($B143,'TB 260524'!$A:$C,2,0),0)</f>
        <v>1196371</v>
      </c>
      <c r="G143" s="1623"/>
      <c r="H143" s="1623">
        <f t="shared" si="4"/>
        <v>1196371</v>
      </c>
      <c r="I143" s="1623">
        <f>+IFERROR(VLOOKUP($B143,'TB 260524'!$A:$C,3,0),0)</f>
        <v>0</v>
      </c>
      <c r="J143" s="1623"/>
      <c r="K143" s="1623">
        <f t="shared" si="5"/>
        <v>0</v>
      </c>
      <c r="L143" s="1623">
        <v>1422847</v>
      </c>
      <c r="M143" s="1623">
        <v>0</v>
      </c>
      <c r="N143" s="1623">
        <v>1422847</v>
      </c>
      <c r="O143" s="1623">
        <v>0</v>
      </c>
      <c r="P143" s="1623">
        <v>0</v>
      </c>
      <c r="Q143" s="1623">
        <v>0</v>
      </c>
    </row>
    <row r="144" spans="2:17">
      <c r="B144" s="856" t="s">
        <v>198</v>
      </c>
      <c r="C144" s="856">
        <v>10</v>
      </c>
      <c r="D144" s="856" t="s">
        <v>32</v>
      </c>
      <c r="E144" s="856" t="s">
        <v>199</v>
      </c>
      <c r="F144" s="1623">
        <f>+IFERROR(VLOOKUP($B144,'TB 260524'!$A:$C,2,0),0)</f>
        <v>170888</v>
      </c>
      <c r="G144" s="1623"/>
      <c r="H144" s="1623">
        <f t="shared" si="4"/>
        <v>170888</v>
      </c>
      <c r="I144" s="1623">
        <f>+IFERROR(VLOOKUP($B144,'TB 260524'!$A:$C,3,0),0)</f>
        <v>0</v>
      </c>
      <c r="J144" s="1623"/>
      <c r="K144" s="1623">
        <f t="shared" si="5"/>
        <v>0</v>
      </c>
      <c r="L144" s="1623">
        <v>176191</v>
      </c>
      <c r="M144" s="1623">
        <v>0</v>
      </c>
      <c r="N144" s="1623">
        <v>176191</v>
      </c>
      <c r="O144" s="1623">
        <v>0</v>
      </c>
      <c r="P144" s="1623">
        <v>0</v>
      </c>
      <c r="Q144" s="1623">
        <v>0</v>
      </c>
    </row>
    <row r="145" spans="2:17">
      <c r="B145" s="856" t="s">
        <v>200</v>
      </c>
      <c r="C145" s="856">
        <v>10</v>
      </c>
      <c r="D145" s="856" t="s">
        <v>32</v>
      </c>
      <c r="E145" s="856" t="s">
        <v>201</v>
      </c>
      <c r="F145" s="1623">
        <f>+IFERROR(VLOOKUP($B145,'TB 260524'!$A:$C,2,0),0)</f>
        <v>486928</v>
      </c>
      <c r="G145" s="1623"/>
      <c r="H145" s="1623">
        <f t="shared" si="4"/>
        <v>486928</v>
      </c>
      <c r="I145" s="1623">
        <f>+IFERROR(VLOOKUP($B145,'TB 260524'!$A:$C,3,0),0)</f>
        <v>0</v>
      </c>
      <c r="J145" s="1623"/>
      <c r="K145" s="1623">
        <f t="shared" si="5"/>
        <v>0</v>
      </c>
      <c r="L145" s="1623">
        <v>458043</v>
      </c>
      <c r="M145" s="1623">
        <v>0</v>
      </c>
      <c r="N145" s="1623">
        <v>458043</v>
      </c>
      <c r="O145" s="1623">
        <v>0</v>
      </c>
      <c r="P145" s="1623">
        <v>0</v>
      </c>
      <c r="Q145" s="1623">
        <v>0</v>
      </c>
    </row>
    <row r="146" spans="2:17">
      <c r="B146" s="856" t="s">
        <v>203</v>
      </c>
      <c r="C146" s="856">
        <v>22</v>
      </c>
      <c r="D146" s="856" t="s">
        <v>55</v>
      </c>
      <c r="E146" s="856" t="s">
        <v>204</v>
      </c>
      <c r="F146" s="1623">
        <f>+IFERROR(VLOOKUP($B146,'TB 260524'!$A:$C,2,0),0)</f>
        <v>0</v>
      </c>
      <c r="G146" s="1623"/>
      <c r="H146" s="1623">
        <f t="shared" si="4"/>
        <v>0</v>
      </c>
      <c r="I146" s="1623">
        <f>+IFERROR(VLOOKUP($B146,'TB 260524'!$A:$C,3,0),0)</f>
        <v>172494</v>
      </c>
      <c r="J146" s="1623"/>
      <c r="K146" s="1623">
        <f t="shared" si="5"/>
        <v>172494</v>
      </c>
      <c r="L146" s="1623">
        <v>0</v>
      </c>
      <c r="M146" s="1623">
        <v>0</v>
      </c>
      <c r="N146" s="1623">
        <v>0</v>
      </c>
      <c r="O146" s="1623">
        <v>202145.39</v>
      </c>
      <c r="P146" s="1623">
        <v>0</v>
      </c>
      <c r="Q146" s="1623">
        <v>202145.39</v>
      </c>
    </row>
    <row r="147" spans="2:17">
      <c r="B147" s="856" t="s">
        <v>208</v>
      </c>
      <c r="C147" s="856">
        <v>27</v>
      </c>
      <c r="D147" s="856" t="s">
        <v>48</v>
      </c>
      <c r="E147" s="856" t="s">
        <v>82</v>
      </c>
      <c r="F147" s="1623">
        <f>+IFERROR(VLOOKUP($B147,'TB 260524'!$A:$C,2,0),0)</f>
        <v>39606</v>
      </c>
      <c r="G147" s="1623"/>
      <c r="H147" s="1623">
        <f t="shared" si="4"/>
        <v>39606</v>
      </c>
      <c r="I147" s="1623">
        <f>+IFERROR(VLOOKUP($B147,'TB 260524'!$A:$C,3,0),0)</f>
        <v>0</v>
      </c>
      <c r="J147" s="1623"/>
      <c r="K147" s="1623">
        <f t="shared" si="5"/>
        <v>0</v>
      </c>
      <c r="L147" s="1623">
        <v>29309</v>
      </c>
      <c r="M147" s="1623">
        <v>0</v>
      </c>
      <c r="N147" s="1623">
        <v>29309</v>
      </c>
      <c r="O147" s="1623">
        <v>0</v>
      </c>
      <c r="P147" s="1623">
        <v>0</v>
      </c>
      <c r="Q147" s="1623">
        <v>0</v>
      </c>
    </row>
    <row r="148" spans="2:17">
      <c r="B148" s="856" t="s">
        <v>209</v>
      </c>
      <c r="C148" s="856">
        <v>27</v>
      </c>
      <c r="D148" s="856" t="s">
        <v>48</v>
      </c>
      <c r="E148" s="856" t="s">
        <v>82</v>
      </c>
      <c r="F148" s="1623">
        <f>+IFERROR(VLOOKUP($B148,'TB 260524'!$A:$C,2,0),0)</f>
        <v>30516</v>
      </c>
      <c r="G148" s="1623"/>
      <c r="H148" s="1623">
        <f t="shared" si="4"/>
        <v>30516</v>
      </c>
      <c r="I148" s="1623">
        <f>+IFERROR(VLOOKUP($B148,'TB 260524'!$A:$C,3,0),0)</f>
        <v>0</v>
      </c>
      <c r="J148" s="1623"/>
      <c r="K148" s="1623">
        <f t="shared" si="5"/>
        <v>0</v>
      </c>
      <c r="L148" s="1623">
        <v>61959</v>
      </c>
      <c r="M148" s="1623">
        <v>0</v>
      </c>
      <c r="N148" s="1623">
        <v>61959</v>
      </c>
      <c r="O148" s="1623">
        <v>0</v>
      </c>
      <c r="P148" s="1623">
        <v>0</v>
      </c>
      <c r="Q148" s="1623">
        <v>0</v>
      </c>
    </row>
    <row r="149" spans="2:17">
      <c r="B149" s="856" t="s">
        <v>431</v>
      </c>
      <c r="C149" s="856">
        <v>26</v>
      </c>
      <c r="D149" s="856" t="s">
        <v>67</v>
      </c>
      <c r="E149" s="856" t="s">
        <v>205</v>
      </c>
      <c r="F149" s="1623">
        <f>+IFERROR(VLOOKUP($B149,'TB 260524'!$A:$C,2,0),0)</f>
        <v>144126</v>
      </c>
      <c r="G149" s="1623"/>
      <c r="H149" s="1623">
        <f t="shared" si="4"/>
        <v>144126</v>
      </c>
      <c r="I149" s="1623">
        <f>+IFERROR(VLOOKUP($B149,'TB 260524'!$A:$C,3,0),0)</f>
        <v>0</v>
      </c>
      <c r="J149" s="1623"/>
      <c r="K149" s="1623">
        <f t="shared" si="5"/>
        <v>0</v>
      </c>
      <c r="L149" s="1623">
        <v>0</v>
      </c>
      <c r="M149" s="1623">
        <v>0</v>
      </c>
      <c r="N149" s="1623">
        <v>0</v>
      </c>
      <c r="O149" s="1623">
        <v>0</v>
      </c>
      <c r="P149" s="1623">
        <v>0</v>
      </c>
      <c r="Q149" s="1623">
        <v>0</v>
      </c>
    </row>
    <row r="150" spans="2:17">
      <c r="B150" s="856" t="s">
        <v>210</v>
      </c>
      <c r="C150" s="856">
        <v>27</v>
      </c>
      <c r="D150" s="856" t="s">
        <v>48</v>
      </c>
      <c r="E150" s="856" t="s">
        <v>82</v>
      </c>
      <c r="F150" s="1623">
        <f>+IFERROR(VLOOKUP($B150,'TB 260524'!$A:$C,2,0),0)</f>
        <v>7332</v>
      </c>
      <c r="G150" s="1623"/>
      <c r="H150" s="1623">
        <f t="shared" si="4"/>
        <v>7332</v>
      </c>
      <c r="I150" s="1623">
        <f>+IFERROR(VLOOKUP($B150,'TB 260524'!$A:$C,3,0),0)</f>
        <v>0</v>
      </c>
      <c r="J150" s="1623"/>
      <c r="K150" s="1623">
        <f t="shared" si="5"/>
        <v>0</v>
      </c>
      <c r="L150" s="1623">
        <v>668</v>
      </c>
      <c r="M150" s="1623">
        <v>0</v>
      </c>
      <c r="N150" s="1623">
        <v>668</v>
      </c>
      <c r="O150" s="1623">
        <v>0</v>
      </c>
      <c r="P150" s="1623">
        <v>0</v>
      </c>
      <c r="Q150" s="1623">
        <v>0</v>
      </c>
    </row>
    <row r="151" spans="2:17">
      <c r="B151" s="856" t="s">
        <v>213</v>
      </c>
      <c r="C151" s="856">
        <v>27</v>
      </c>
      <c r="D151" s="856" t="s">
        <v>48</v>
      </c>
      <c r="E151" s="856" t="s">
        <v>82</v>
      </c>
      <c r="F151" s="1623">
        <f>+IFERROR(VLOOKUP($B151,'TB 260524'!$A:$C,2,0),0)</f>
        <v>41084</v>
      </c>
      <c r="G151" s="1623"/>
      <c r="H151" s="1623">
        <f t="shared" si="4"/>
        <v>41084</v>
      </c>
      <c r="I151" s="1623">
        <f>+IFERROR(VLOOKUP($B151,'TB 260524'!$A:$C,3,0),0)</f>
        <v>0</v>
      </c>
      <c r="J151" s="1623"/>
      <c r="K151" s="1623">
        <f t="shared" si="5"/>
        <v>0</v>
      </c>
      <c r="L151" s="1623">
        <v>35488</v>
      </c>
      <c r="M151" s="1623">
        <v>0</v>
      </c>
      <c r="N151" s="1623">
        <v>35488</v>
      </c>
      <c r="O151" s="1623">
        <v>0</v>
      </c>
      <c r="P151" s="1623">
        <v>0</v>
      </c>
      <c r="Q151" s="1623">
        <v>0</v>
      </c>
    </row>
    <row r="152" spans="2:17">
      <c r="B152" s="856" t="s">
        <v>83</v>
      </c>
      <c r="C152" s="856">
        <v>27</v>
      </c>
      <c r="D152" s="856" t="s">
        <v>48</v>
      </c>
      <c r="E152" s="856" t="s">
        <v>82</v>
      </c>
      <c r="F152" s="1623">
        <f>+IFERROR(VLOOKUP($B152,'TB 260524'!$A:$C,2,0),0)</f>
        <v>2611</v>
      </c>
      <c r="G152" s="1623"/>
      <c r="H152" s="1623">
        <f t="shared" si="4"/>
        <v>2611</v>
      </c>
      <c r="I152" s="1623">
        <f>+IFERROR(VLOOKUP($B152,'TB 260524'!$A:$C,3,0),0)</f>
        <v>0</v>
      </c>
      <c r="J152" s="1623"/>
      <c r="K152" s="1623">
        <f t="shared" si="5"/>
        <v>0</v>
      </c>
      <c r="L152" s="1623">
        <v>800</v>
      </c>
      <c r="M152" s="1623">
        <v>0</v>
      </c>
      <c r="N152" s="1623">
        <v>800</v>
      </c>
      <c r="O152" s="1623">
        <v>0</v>
      </c>
      <c r="P152" s="1623">
        <v>0</v>
      </c>
      <c r="Q152" s="1623">
        <v>0</v>
      </c>
    </row>
    <row r="153" spans="2:17">
      <c r="B153" s="856" t="s">
        <v>507</v>
      </c>
      <c r="C153" s="856">
        <v>27</v>
      </c>
      <c r="D153" s="856" t="s">
        <v>48</v>
      </c>
      <c r="E153" s="856" t="s">
        <v>82</v>
      </c>
      <c r="F153" s="1623">
        <f>+IFERROR(VLOOKUP($B153,'TB 260524'!$A:$C,2,0),0)</f>
        <v>11646</v>
      </c>
      <c r="G153" s="1623"/>
      <c r="H153" s="1623">
        <f t="shared" si="4"/>
        <v>11646</v>
      </c>
      <c r="I153" s="1623">
        <f>+IFERROR(VLOOKUP($B153,'TB 260524'!$A:$C,3,0),0)</f>
        <v>0</v>
      </c>
      <c r="J153" s="1623"/>
      <c r="K153" s="1623">
        <f t="shared" si="5"/>
        <v>0</v>
      </c>
      <c r="L153" s="1623">
        <v>4618</v>
      </c>
      <c r="M153" s="1623">
        <v>0</v>
      </c>
      <c r="N153" s="1623">
        <v>4618</v>
      </c>
      <c r="O153" s="1623">
        <v>0</v>
      </c>
      <c r="P153" s="1623">
        <v>0</v>
      </c>
      <c r="Q153" s="1623">
        <v>0</v>
      </c>
    </row>
    <row r="154" spans="2:17">
      <c r="B154" s="856" t="s">
        <v>2966</v>
      </c>
      <c r="C154" s="856">
        <v>26</v>
      </c>
      <c r="D154" s="856" t="s">
        <v>67</v>
      </c>
      <c r="E154" s="856" t="s">
        <v>205</v>
      </c>
      <c r="F154" s="1623">
        <f>+IFERROR(VLOOKUP($B154,'TB 260524'!$A:$C,2,0),0)</f>
        <v>290224</v>
      </c>
      <c r="G154" s="1623"/>
      <c r="H154" s="1623">
        <f t="shared" si="4"/>
        <v>290224</v>
      </c>
      <c r="I154" s="1623">
        <f>+IFERROR(VLOOKUP($B154,'TB 260524'!$A:$C,3,0),0)</f>
        <v>0</v>
      </c>
      <c r="J154" s="1623"/>
      <c r="K154" s="1623">
        <f t="shared" si="5"/>
        <v>0</v>
      </c>
      <c r="L154" s="1623">
        <v>0</v>
      </c>
      <c r="M154" s="1623">
        <v>0</v>
      </c>
      <c r="N154" s="1623">
        <v>0</v>
      </c>
      <c r="O154" s="1623">
        <v>0</v>
      </c>
      <c r="P154" s="1623">
        <v>0</v>
      </c>
      <c r="Q154" s="1623">
        <v>0</v>
      </c>
    </row>
    <row r="155" spans="2:17">
      <c r="B155" s="856" t="s">
        <v>2967</v>
      </c>
      <c r="C155" s="856">
        <v>26</v>
      </c>
      <c r="D155" s="856" t="s">
        <v>67</v>
      </c>
      <c r="E155" s="856" t="s">
        <v>205</v>
      </c>
      <c r="F155" s="1623">
        <f>+IFERROR(VLOOKUP($B155,'TB 260524'!$A:$C,2,0),0)</f>
        <v>467386</v>
      </c>
      <c r="G155" s="1623"/>
      <c r="H155" s="1623">
        <f t="shared" si="4"/>
        <v>467386</v>
      </c>
      <c r="I155" s="1623">
        <f>+IFERROR(VLOOKUP($B155,'TB 260524'!$A:$C,3,0),0)</f>
        <v>0</v>
      </c>
      <c r="J155" s="1623"/>
      <c r="K155" s="1623">
        <f t="shared" si="5"/>
        <v>0</v>
      </c>
      <c r="L155" s="1623">
        <v>0</v>
      </c>
      <c r="M155" s="1623">
        <v>0</v>
      </c>
      <c r="N155" s="1623">
        <v>0</v>
      </c>
      <c r="O155" s="1623">
        <v>0</v>
      </c>
      <c r="P155" s="1623">
        <v>0</v>
      </c>
      <c r="Q155" s="1623">
        <v>0</v>
      </c>
    </row>
    <row r="156" spans="2:17">
      <c r="B156" s="856" t="s">
        <v>2968</v>
      </c>
      <c r="C156" s="856">
        <v>26</v>
      </c>
      <c r="D156" s="856" t="s">
        <v>67</v>
      </c>
      <c r="E156" s="856" t="s">
        <v>205</v>
      </c>
      <c r="F156" s="1623">
        <f>+IFERROR(VLOOKUP($B156,'TB 260524'!$A:$C,2,0),0)</f>
        <v>1199821</v>
      </c>
      <c r="G156" s="1623"/>
      <c r="H156" s="1623">
        <f t="shared" si="4"/>
        <v>1199821</v>
      </c>
      <c r="I156" s="1623">
        <f>+IFERROR(VLOOKUP($B156,'TB 260524'!$A:$C,3,0),0)</f>
        <v>0</v>
      </c>
      <c r="J156" s="1623"/>
      <c r="K156" s="1623">
        <f t="shared" si="5"/>
        <v>0</v>
      </c>
      <c r="L156" s="1623">
        <v>0</v>
      </c>
      <c r="M156" s="1623">
        <v>0</v>
      </c>
      <c r="N156" s="1623">
        <v>0</v>
      </c>
      <c r="O156" s="1623">
        <v>0</v>
      </c>
      <c r="P156" s="1623">
        <v>0</v>
      </c>
      <c r="Q156" s="1623">
        <v>0</v>
      </c>
    </row>
    <row r="157" spans="2:17">
      <c r="B157" s="856" t="s">
        <v>274</v>
      </c>
      <c r="C157" s="856">
        <v>3</v>
      </c>
      <c r="D157" s="856" t="s">
        <v>120</v>
      </c>
      <c r="E157" s="856" t="s">
        <v>121</v>
      </c>
      <c r="F157" s="1623">
        <f>+IFERROR(VLOOKUP($B157,'TB 260524'!$A:$C,2,0),0)</f>
        <v>0</v>
      </c>
      <c r="G157" s="1623"/>
      <c r="H157" s="1623">
        <f t="shared" si="4"/>
        <v>0</v>
      </c>
      <c r="I157" s="1623">
        <f>+IFERROR(VLOOKUP($B157,'TB 260524'!$A:$C,3,0),0)</f>
        <v>0</v>
      </c>
      <c r="J157" s="1623"/>
      <c r="K157" s="1623">
        <f t="shared" si="5"/>
        <v>0</v>
      </c>
      <c r="L157" s="1623">
        <v>164180</v>
      </c>
      <c r="M157" s="1623">
        <v>0</v>
      </c>
      <c r="N157" s="1623">
        <v>164180</v>
      </c>
      <c r="O157" s="1623">
        <v>0</v>
      </c>
      <c r="P157" s="1623">
        <v>0</v>
      </c>
      <c r="Q157" s="1623">
        <v>0</v>
      </c>
    </row>
    <row r="158" spans="2:17">
      <c r="B158" s="856" t="s">
        <v>508</v>
      </c>
      <c r="C158" s="856">
        <v>26</v>
      </c>
      <c r="D158" s="856" t="s">
        <v>67</v>
      </c>
      <c r="E158" s="856" t="s">
        <v>205</v>
      </c>
      <c r="F158" s="1623">
        <f>+IFERROR(VLOOKUP($B158,'TB 260524'!$A:$C,2,0),0)</f>
        <v>8855907</v>
      </c>
      <c r="G158" s="1623"/>
      <c r="H158" s="1623">
        <f t="shared" si="4"/>
        <v>8855907</v>
      </c>
      <c r="I158" s="1623">
        <f>+IFERROR(VLOOKUP($B158,'TB 260524'!$A:$C,3,0),0)</f>
        <v>0</v>
      </c>
      <c r="J158" s="1623"/>
      <c r="K158" s="1623">
        <f t="shared" si="5"/>
        <v>0</v>
      </c>
      <c r="L158" s="1623">
        <v>6463408</v>
      </c>
      <c r="M158" s="1623">
        <v>0</v>
      </c>
      <c r="N158" s="1623">
        <v>6463408</v>
      </c>
      <c r="O158" s="1623">
        <v>0</v>
      </c>
      <c r="P158" s="1623">
        <v>0</v>
      </c>
      <c r="Q158" s="1623">
        <v>0</v>
      </c>
    </row>
    <row r="159" spans="2:17">
      <c r="B159" s="856" t="s">
        <v>391</v>
      </c>
      <c r="C159" s="856">
        <v>26</v>
      </c>
      <c r="D159" s="856" t="s">
        <v>67</v>
      </c>
      <c r="E159" s="856" t="s">
        <v>205</v>
      </c>
      <c r="F159" s="1623">
        <f>+IFERROR(VLOOKUP($B159,'TB 260524'!$A:$C,2,0),0)</f>
        <v>488813</v>
      </c>
      <c r="G159" s="1623"/>
      <c r="H159" s="1623">
        <f t="shared" si="4"/>
        <v>488813</v>
      </c>
      <c r="I159" s="1623">
        <f>+IFERROR(VLOOKUP($B159,'TB 260524'!$A:$C,3,0),0)</f>
        <v>0</v>
      </c>
      <c r="J159" s="1623"/>
      <c r="K159" s="1623">
        <f t="shared" si="5"/>
        <v>0</v>
      </c>
      <c r="L159" s="1623">
        <v>0</v>
      </c>
      <c r="M159" s="1623">
        <v>0</v>
      </c>
      <c r="N159" s="1623">
        <v>0</v>
      </c>
      <c r="O159" s="1623">
        <v>0</v>
      </c>
      <c r="P159" s="1623">
        <v>0</v>
      </c>
      <c r="Q159" s="1623">
        <v>0</v>
      </c>
    </row>
    <row r="160" spans="2:17">
      <c r="B160" s="856" t="s">
        <v>509</v>
      </c>
      <c r="C160" s="856">
        <v>26</v>
      </c>
      <c r="D160" s="856" t="s">
        <v>67</v>
      </c>
      <c r="E160" s="856" t="s">
        <v>205</v>
      </c>
      <c r="F160" s="1623">
        <f>+IFERROR(VLOOKUP($B160,'TB 260524'!$A:$C,2,0),0)</f>
        <v>2953424</v>
      </c>
      <c r="G160" s="1623"/>
      <c r="H160" s="1623">
        <f t="shared" si="4"/>
        <v>2953424</v>
      </c>
      <c r="I160" s="1623">
        <f>+IFERROR(VLOOKUP($B160,'TB 260524'!$A:$C,3,0),0)</f>
        <v>0</v>
      </c>
      <c r="J160" s="1623"/>
      <c r="K160" s="1623">
        <f t="shared" si="5"/>
        <v>0</v>
      </c>
      <c r="L160" s="1623">
        <v>1926416</v>
      </c>
      <c r="M160" s="1623">
        <v>0</v>
      </c>
      <c r="N160" s="1623">
        <v>1926416</v>
      </c>
      <c r="O160" s="1623">
        <v>0</v>
      </c>
      <c r="P160" s="1623">
        <v>0</v>
      </c>
      <c r="Q160" s="1623">
        <v>0</v>
      </c>
    </row>
    <row r="161" spans="2:17">
      <c r="B161" s="856" t="s">
        <v>215</v>
      </c>
      <c r="C161" s="856">
        <v>27</v>
      </c>
      <c r="D161" s="856" t="s">
        <v>48</v>
      </c>
      <c r="E161" s="856" t="s">
        <v>216</v>
      </c>
      <c r="F161" s="1623">
        <f>+IFERROR(VLOOKUP($B161,'TB 260524'!$A:$C,2,0),0)</f>
        <v>200000</v>
      </c>
      <c r="G161" s="1623"/>
      <c r="H161" s="1623">
        <f t="shared" si="4"/>
        <v>200000</v>
      </c>
      <c r="I161" s="1623">
        <f>+IFERROR(VLOOKUP($B161,'TB 260524'!$A:$C,3,0),0)</f>
        <v>0</v>
      </c>
      <c r="J161" s="1623"/>
      <c r="K161" s="1623">
        <f t="shared" si="5"/>
        <v>0</v>
      </c>
      <c r="L161" s="1623">
        <v>200000</v>
      </c>
      <c r="M161" s="1623">
        <v>0</v>
      </c>
      <c r="N161" s="1623">
        <v>200000</v>
      </c>
      <c r="O161" s="1623">
        <v>0</v>
      </c>
      <c r="P161" s="1623">
        <v>0</v>
      </c>
      <c r="Q161" s="1623">
        <v>0</v>
      </c>
    </row>
    <row r="162" spans="2:17">
      <c r="B162" s="856" t="s">
        <v>432</v>
      </c>
      <c r="C162" s="856">
        <v>17</v>
      </c>
      <c r="D162" s="856" t="s">
        <v>8</v>
      </c>
      <c r="E162" s="856" t="s">
        <v>8</v>
      </c>
      <c r="F162" s="1623">
        <f>+IFERROR(VLOOKUP($B162,'TB 260524'!$A:$C,2,0),0)</f>
        <v>0</v>
      </c>
      <c r="G162" s="1623"/>
      <c r="H162" s="1623">
        <f t="shared" si="4"/>
        <v>0</v>
      </c>
      <c r="I162" s="1623">
        <f>+IFERROR(VLOOKUP($B162,'TB 260524'!$A:$C,3,0),0)</f>
        <v>68027</v>
      </c>
      <c r="J162" s="1623"/>
      <c r="K162" s="1623">
        <f t="shared" si="5"/>
        <v>68027</v>
      </c>
      <c r="L162" s="1623">
        <v>0</v>
      </c>
      <c r="M162" s="1623">
        <v>0</v>
      </c>
      <c r="N162" s="1623">
        <v>0</v>
      </c>
      <c r="O162" s="1623">
        <v>143488</v>
      </c>
      <c r="P162" s="1623">
        <v>0</v>
      </c>
      <c r="Q162" s="1623">
        <v>143488</v>
      </c>
    </row>
    <row r="163" spans="2:17">
      <c r="B163" s="856" t="s">
        <v>220</v>
      </c>
      <c r="C163" s="856">
        <v>13</v>
      </c>
      <c r="D163" s="856" t="s">
        <v>44</v>
      </c>
      <c r="E163" s="856" t="s">
        <v>45</v>
      </c>
      <c r="F163" s="1623">
        <f>+IFERROR(VLOOKUP($B163,'TB 260524'!$A:$C,2,0),0)</f>
        <v>0</v>
      </c>
      <c r="G163" s="1623"/>
      <c r="H163" s="1623">
        <f t="shared" si="4"/>
        <v>0</v>
      </c>
      <c r="I163" s="1623">
        <f>+IFERROR(VLOOKUP($B163,'TB 260524'!$A:$C,3,0),0)</f>
        <v>7756259</v>
      </c>
      <c r="J163" s="1623"/>
      <c r="K163" s="1623">
        <f t="shared" si="5"/>
        <v>7756259</v>
      </c>
      <c r="L163" s="1623">
        <v>0</v>
      </c>
      <c r="M163" s="1623">
        <v>0</v>
      </c>
      <c r="N163" s="1623">
        <v>0</v>
      </c>
      <c r="O163" s="1623">
        <v>6623037</v>
      </c>
      <c r="P163" s="1623">
        <v>0</v>
      </c>
      <c r="Q163" s="1623">
        <v>6623037</v>
      </c>
    </row>
    <row r="164" spans="2:17">
      <c r="B164" s="856" t="s">
        <v>2969</v>
      </c>
      <c r="C164" s="856">
        <v>18</v>
      </c>
      <c r="D164" s="856" t="s">
        <v>214</v>
      </c>
      <c r="E164" s="856" t="s">
        <v>322</v>
      </c>
      <c r="F164" s="1623">
        <f>+IFERROR(VLOOKUP($B164,'TB 260524'!$A:$C,2,0),0)</f>
        <v>0</v>
      </c>
      <c r="G164" s="1623"/>
      <c r="H164" s="1623">
        <f t="shared" si="4"/>
        <v>0</v>
      </c>
      <c r="I164" s="1623">
        <f>+IFERROR(VLOOKUP($B164,'TB 260524'!$A:$C,3,0),0)</f>
        <v>0</v>
      </c>
      <c r="J164" s="1623"/>
      <c r="K164" s="1623">
        <f t="shared" si="5"/>
        <v>0</v>
      </c>
      <c r="L164" s="1623">
        <v>0</v>
      </c>
      <c r="M164" s="1623">
        <v>0</v>
      </c>
      <c r="N164" s="1623">
        <v>0</v>
      </c>
      <c r="O164" s="1623">
        <v>0</v>
      </c>
      <c r="P164" s="1623">
        <v>0</v>
      </c>
      <c r="Q164" s="1623">
        <v>0</v>
      </c>
    </row>
    <row r="165" spans="2:17">
      <c r="B165" s="856" t="s">
        <v>433</v>
      </c>
      <c r="C165" s="856">
        <v>6</v>
      </c>
      <c r="D165" s="856" t="s">
        <v>13</v>
      </c>
      <c r="E165" s="856" t="s">
        <v>14</v>
      </c>
      <c r="F165" s="1623">
        <f>+IFERROR(VLOOKUP($B165,'TB 260524'!$A:$C,2,0),0)</f>
        <v>250430</v>
      </c>
      <c r="G165" s="1623"/>
      <c r="H165" s="1623">
        <f t="shared" si="4"/>
        <v>250430</v>
      </c>
      <c r="I165" s="1623">
        <f>+IFERROR(VLOOKUP($B165,'TB 260524'!$A:$C,3,0),0)</f>
        <v>0</v>
      </c>
      <c r="J165" s="1623"/>
      <c r="K165" s="1623">
        <f t="shared" si="5"/>
        <v>0</v>
      </c>
      <c r="L165" s="1623">
        <v>563126</v>
      </c>
      <c r="M165" s="1623">
        <v>0</v>
      </c>
      <c r="N165" s="1623">
        <v>563126</v>
      </c>
      <c r="O165" s="1623">
        <v>0</v>
      </c>
      <c r="P165" s="1623">
        <v>0</v>
      </c>
      <c r="Q165" s="1623">
        <v>0</v>
      </c>
    </row>
    <row r="166" spans="2:17">
      <c r="B166" s="856" t="s">
        <v>511</v>
      </c>
      <c r="C166" s="856">
        <v>17</v>
      </c>
      <c r="D166" s="856" t="s">
        <v>8</v>
      </c>
      <c r="E166" s="856" t="s">
        <v>8</v>
      </c>
      <c r="F166" s="1623">
        <f>+IFERROR(VLOOKUP($B166,'TB 260524'!$A:$C,2,0),0)</f>
        <v>0</v>
      </c>
      <c r="G166" s="1623"/>
      <c r="H166" s="1623">
        <f t="shared" si="4"/>
        <v>0</v>
      </c>
      <c r="I166" s="1623">
        <f>+IFERROR(VLOOKUP($B166,'TB 260524'!$A:$C,3,0),0)</f>
        <v>5453561</v>
      </c>
      <c r="J166" s="1623"/>
      <c r="K166" s="1623">
        <f t="shared" si="5"/>
        <v>5453561</v>
      </c>
      <c r="L166" s="1623">
        <v>0</v>
      </c>
      <c r="M166" s="1623">
        <v>0</v>
      </c>
      <c r="N166" s="1623">
        <v>0</v>
      </c>
      <c r="O166" s="1623">
        <v>1780152</v>
      </c>
      <c r="P166" s="1623">
        <v>0</v>
      </c>
      <c r="Q166" s="1623">
        <v>1780152</v>
      </c>
    </row>
    <row r="167" spans="2:17">
      <c r="B167" s="856" t="s">
        <v>2970</v>
      </c>
      <c r="C167" s="856">
        <v>18</v>
      </c>
      <c r="D167" s="856" t="s">
        <v>214</v>
      </c>
      <c r="E167" s="856" t="s">
        <v>322</v>
      </c>
      <c r="F167" s="1623">
        <f>+IFERROR(VLOOKUP($B167,'TB 260524'!$A:$C,2,0),0)</f>
        <v>0</v>
      </c>
      <c r="G167" s="1623"/>
      <c r="H167" s="1623">
        <f t="shared" si="4"/>
        <v>0</v>
      </c>
      <c r="I167" s="1623">
        <f>+IFERROR(VLOOKUP($B167,'TB 260524'!$A:$C,3,0),0)</f>
        <v>0</v>
      </c>
      <c r="J167" s="1623"/>
      <c r="K167" s="1623">
        <f t="shared" si="5"/>
        <v>0</v>
      </c>
      <c r="L167" s="1623">
        <v>0</v>
      </c>
      <c r="M167" s="1623">
        <v>0</v>
      </c>
      <c r="N167" s="1623">
        <v>0</v>
      </c>
      <c r="O167" s="1623">
        <v>0</v>
      </c>
      <c r="P167" s="1623">
        <v>0</v>
      </c>
      <c r="Q167" s="1623">
        <v>0</v>
      </c>
    </row>
    <row r="168" spans="2:17">
      <c r="B168" s="856" t="s">
        <v>512</v>
      </c>
      <c r="C168" s="856">
        <v>13</v>
      </c>
      <c r="D168" s="856" t="s">
        <v>44</v>
      </c>
      <c r="E168" s="856" t="s">
        <v>45</v>
      </c>
      <c r="F168" s="1623">
        <f>+IFERROR(VLOOKUP($B168,'TB 260524'!$A:$C,2,0),0)</f>
        <v>0</v>
      </c>
      <c r="G168" s="1623"/>
      <c r="H168" s="1623">
        <f t="shared" si="4"/>
        <v>0</v>
      </c>
      <c r="I168" s="1623">
        <f>+IFERROR(VLOOKUP($B168,'TB 260524'!$A:$C,3,0),0)</f>
        <v>7299688</v>
      </c>
      <c r="J168" s="1623"/>
      <c r="K168" s="1623">
        <f t="shared" si="5"/>
        <v>7299688</v>
      </c>
      <c r="L168" s="1623">
        <v>0</v>
      </c>
      <c r="M168" s="1623">
        <v>0</v>
      </c>
      <c r="N168" s="1623">
        <v>0</v>
      </c>
      <c r="O168" s="1623">
        <v>6248304</v>
      </c>
      <c r="P168" s="1623">
        <v>0</v>
      </c>
      <c r="Q168" s="1623">
        <v>6248304</v>
      </c>
    </row>
    <row r="169" spans="2:17">
      <c r="B169" s="856" t="s">
        <v>224</v>
      </c>
      <c r="C169" s="856">
        <v>13</v>
      </c>
      <c r="D169" s="856" t="s">
        <v>44</v>
      </c>
      <c r="E169" s="856" t="s">
        <v>45</v>
      </c>
      <c r="F169" s="1623">
        <f>+IFERROR(VLOOKUP($B169,'TB 260524'!$A:$C,2,0),0)</f>
        <v>0</v>
      </c>
      <c r="G169" s="1623"/>
      <c r="H169" s="1623">
        <f t="shared" si="4"/>
        <v>0</v>
      </c>
      <c r="I169" s="1623">
        <f>+IFERROR(VLOOKUP($B169,'TB 260524'!$A:$C,3,0),0)</f>
        <v>4374722</v>
      </c>
      <c r="J169" s="1623"/>
      <c r="K169" s="1623">
        <f t="shared" si="5"/>
        <v>4374722</v>
      </c>
      <c r="L169" s="1623">
        <v>0</v>
      </c>
      <c r="M169" s="1623">
        <v>0</v>
      </c>
      <c r="N169" s="1623">
        <v>0</v>
      </c>
      <c r="O169" s="1623">
        <v>4071040</v>
      </c>
      <c r="P169" s="1623">
        <v>0</v>
      </c>
      <c r="Q169" s="1623">
        <v>4071040</v>
      </c>
    </row>
    <row r="170" spans="2:17">
      <c r="B170" s="856" t="s">
        <v>225</v>
      </c>
      <c r="C170" s="856">
        <v>17</v>
      </c>
      <c r="D170" s="856" t="s">
        <v>8</v>
      </c>
      <c r="E170" s="856" t="s">
        <v>8</v>
      </c>
      <c r="F170" s="1623">
        <f>+IFERROR(VLOOKUP($B170,'TB 260524'!$A:$C,2,0),0)</f>
        <v>0</v>
      </c>
      <c r="G170" s="1623"/>
      <c r="H170" s="1623">
        <f t="shared" si="4"/>
        <v>0</v>
      </c>
      <c r="I170" s="1623">
        <f>+IFERROR(VLOOKUP($B170,'TB 260524'!$A:$C,3,0),0)</f>
        <v>0</v>
      </c>
      <c r="J170" s="1623"/>
      <c r="K170" s="1623">
        <f t="shared" si="5"/>
        <v>0</v>
      </c>
      <c r="L170" s="1623">
        <v>0</v>
      </c>
      <c r="M170" s="1623">
        <v>0</v>
      </c>
      <c r="N170" s="1623">
        <v>0</v>
      </c>
      <c r="O170" s="1623">
        <v>12525978.300000001</v>
      </c>
      <c r="P170" s="1623">
        <v>0</v>
      </c>
      <c r="Q170" s="1623">
        <v>12525978.300000001</v>
      </c>
    </row>
    <row r="171" spans="2:17">
      <c r="B171" s="856" t="s">
        <v>452</v>
      </c>
      <c r="C171" s="856">
        <v>18</v>
      </c>
      <c r="D171" s="856" t="s">
        <v>214</v>
      </c>
      <c r="E171" s="856" t="s">
        <v>2258</v>
      </c>
      <c r="F171" s="1623">
        <f>+IFERROR(VLOOKUP($B171,'TB 260524'!$A:$C,2,0),0)</f>
        <v>0</v>
      </c>
      <c r="G171" s="1623"/>
      <c r="H171" s="1623">
        <f t="shared" si="4"/>
        <v>0</v>
      </c>
      <c r="I171" s="1623">
        <f>+IFERROR(VLOOKUP($B171,'TB 260524'!$A:$C,3,0),0)</f>
        <v>220853</v>
      </c>
      <c r="J171" s="1623"/>
      <c r="K171" s="1623">
        <f t="shared" si="5"/>
        <v>220853</v>
      </c>
      <c r="L171" s="1623">
        <v>0</v>
      </c>
      <c r="M171" s="1623">
        <v>0</v>
      </c>
      <c r="N171" s="1623">
        <v>0</v>
      </c>
      <c r="O171" s="1623">
        <v>481820</v>
      </c>
      <c r="P171" s="1623">
        <v>0</v>
      </c>
      <c r="Q171" s="1623">
        <v>481820</v>
      </c>
    </row>
    <row r="172" spans="2:17">
      <c r="B172" s="856" t="s">
        <v>2971</v>
      </c>
      <c r="C172" s="856">
        <v>17</v>
      </c>
      <c r="D172" s="856" t="s">
        <v>8</v>
      </c>
      <c r="E172" s="856" t="s">
        <v>9</v>
      </c>
      <c r="F172" s="1623">
        <f>+IFERROR(VLOOKUP($B172,'TB 260524'!$A:$C,2,0),0)</f>
        <v>0</v>
      </c>
      <c r="G172" s="1623"/>
      <c r="H172" s="1623">
        <f t="shared" si="4"/>
        <v>0</v>
      </c>
      <c r="I172" s="1623">
        <f>+IFERROR(VLOOKUP($B172,'TB 260524'!$A:$C,3,0),0)</f>
        <v>135000</v>
      </c>
      <c r="J172" s="1623"/>
      <c r="K172" s="1623">
        <f t="shared" si="5"/>
        <v>135000</v>
      </c>
      <c r="L172" s="1623">
        <v>0</v>
      </c>
      <c r="M172" s="1623">
        <v>0</v>
      </c>
      <c r="N172" s="1623">
        <v>0</v>
      </c>
      <c r="O172" s="1623">
        <v>0</v>
      </c>
      <c r="P172" s="1623">
        <v>0</v>
      </c>
      <c r="Q172" s="1623">
        <v>0</v>
      </c>
    </row>
    <row r="173" spans="2:17">
      <c r="B173" s="856" t="s">
        <v>223</v>
      </c>
      <c r="C173" s="856">
        <v>17</v>
      </c>
      <c r="D173" s="856" t="s">
        <v>8</v>
      </c>
      <c r="E173" s="856" t="s">
        <v>9</v>
      </c>
      <c r="F173" s="1623">
        <f>+IFERROR(VLOOKUP($B173,'TB 260524'!$A:$C,2,0),0)</f>
        <v>0</v>
      </c>
      <c r="G173" s="1623"/>
      <c r="H173" s="1623">
        <f t="shared" si="4"/>
        <v>0</v>
      </c>
      <c r="I173" s="1623">
        <f>+IFERROR(VLOOKUP($B173,'TB 260524'!$A:$C,3,0),0)</f>
        <v>3154</v>
      </c>
      <c r="J173" s="1623"/>
      <c r="K173" s="1623">
        <f t="shared" si="5"/>
        <v>3154</v>
      </c>
      <c r="L173" s="1623">
        <v>0</v>
      </c>
      <c r="M173" s="1623">
        <v>0</v>
      </c>
      <c r="N173" s="1623">
        <v>0</v>
      </c>
      <c r="O173" s="1623">
        <v>6711</v>
      </c>
      <c r="P173" s="1623">
        <v>0</v>
      </c>
      <c r="Q173" s="1623">
        <v>6711</v>
      </c>
    </row>
    <row r="174" spans="2:17">
      <c r="B174" s="856" t="s">
        <v>229</v>
      </c>
      <c r="C174" s="856">
        <v>27</v>
      </c>
      <c r="D174" s="856" t="s">
        <v>48</v>
      </c>
      <c r="E174" s="856" t="s">
        <v>82</v>
      </c>
      <c r="F174" s="1623">
        <f>+IFERROR(VLOOKUP($B174,'TB 260524'!$A:$C,2,0),0)</f>
        <v>14544</v>
      </c>
      <c r="G174" s="1623"/>
      <c r="H174" s="1623">
        <f t="shared" si="4"/>
        <v>14544</v>
      </c>
      <c r="I174" s="1623">
        <f>+IFERROR(VLOOKUP($B174,'TB 260524'!$A:$C,3,0),0)</f>
        <v>0</v>
      </c>
      <c r="J174" s="1623"/>
      <c r="K174" s="1623">
        <f t="shared" si="5"/>
        <v>0</v>
      </c>
      <c r="L174" s="1623">
        <v>13776</v>
      </c>
      <c r="M174" s="1623">
        <v>0</v>
      </c>
      <c r="N174" s="1623">
        <v>13776</v>
      </c>
      <c r="O174" s="1623">
        <v>0</v>
      </c>
      <c r="P174" s="1623">
        <v>0</v>
      </c>
      <c r="Q174" s="1623">
        <v>0</v>
      </c>
    </row>
    <row r="175" spans="2:17">
      <c r="B175" s="856" t="s">
        <v>230</v>
      </c>
      <c r="C175" s="856">
        <v>6</v>
      </c>
      <c r="D175" s="856" t="s">
        <v>13</v>
      </c>
      <c r="E175" s="856" t="s">
        <v>14</v>
      </c>
      <c r="F175" s="1623">
        <f>+IFERROR(VLOOKUP($B175,'TB 260524'!$A:$C,2,0),0)</f>
        <v>19977798</v>
      </c>
      <c r="G175" s="1623"/>
      <c r="H175" s="1623">
        <f t="shared" si="4"/>
        <v>19977798</v>
      </c>
      <c r="I175" s="1623">
        <f>+IFERROR(VLOOKUP($B175,'TB 260524'!$A:$C,3,0),0)</f>
        <v>0</v>
      </c>
      <c r="J175" s="1623"/>
      <c r="K175" s="1623">
        <f t="shared" si="5"/>
        <v>0</v>
      </c>
      <c r="L175" s="1623">
        <v>23215022</v>
      </c>
      <c r="M175" s="1623">
        <v>0</v>
      </c>
      <c r="N175" s="1623">
        <v>23215022</v>
      </c>
      <c r="O175" s="1623">
        <v>0</v>
      </c>
      <c r="P175" s="1623">
        <v>0</v>
      </c>
      <c r="Q175" s="1623">
        <v>0</v>
      </c>
    </row>
    <row r="176" spans="2:17">
      <c r="B176" s="856" t="s">
        <v>392</v>
      </c>
      <c r="C176" s="856">
        <v>17</v>
      </c>
      <c r="D176" s="856" t="s">
        <v>8</v>
      </c>
      <c r="E176" s="856" t="s">
        <v>8</v>
      </c>
      <c r="F176" s="1623">
        <f>+IFERROR(VLOOKUP($B176,'TB 260524'!$A:$C,2,0),0)</f>
        <v>0</v>
      </c>
      <c r="G176" s="1623"/>
      <c r="H176" s="1623">
        <f t="shared" si="4"/>
        <v>0</v>
      </c>
      <c r="I176" s="1623">
        <f>+IFERROR(VLOOKUP($B176,'TB 260524'!$A:$C,3,0),0)</f>
        <v>10547882</v>
      </c>
      <c r="J176" s="1623"/>
      <c r="K176" s="1623">
        <f t="shared" si="5"/>
        <v>10547882</v>
      </c>
      <c r="L176" s="1623">
        <v>0</v>
      </c>
      <c r="M176" s="1623">
        <v>0</v>
      </c>
      <c r="N176" s="1623">
        <v>0</v>
      </c>
      <c r="O176" s="1623">
        <v>11543115</v>
      </c>
      <c r="P176" s="1623">
        <v>0</v>
      </c>
      <c r="Q176" s="1623">
        <v>11543115</v>
      </c>
    </row>
    <row r="177" spans="2:17">
      <c r="B177" s="856" t="s">
        <v>434</v>
      </c>
      <c r="C177" s="856">
        <v>17</v>
      </c>
      <c r="D177" s="856" t="s">
        <v>8</v>
      </c>
      <c r="E177" s="856" t="s">
        <v>9</v>
      </c>
      <c r="F177" s="1623">
        <f>+IFERROR(VLOOKUP($B177,'TB 260524'!$A:$C,2,0),0)</f>
        <v>0</v>
      </c>
      <c r="G177" s="1623"/>
      <c r="H177" s="1623">
        <f t="shared" si="4"/>
        <v>0</v>
      </c>
      <c r="I177" s="1623">
        <f>+IFERROR(VLOOKUP($B177,'TB 260524'!$A:$C,3,0),0)</f>
        <v>754370</v>
      </c>
      <c r="J177" s="1623"/>
      <c r="K177" s="1623">
        <f t="shared" si="5"/>
        <v>754370</v>
      </c>
      <c r="L177" s="1623">
        <v>0</v>
      </c>
      <c r="M177" s="1623">
        <v>0</v>
      </c>
      <c r="N177" s="1623">
        <v>0</v>
      </c>
      <c r="O177" s="1623">
        <v>588420</v>
      </c>
      <c r="P177" s="1623">
        <v>0</v>
      </c>
      <c r="Q177" s="1623">
        <v>588420</v>
      </c>
    </row>
    <row r="178" spans="2:17">
      <c r="B178" s="856" t="s">
        <v>2972</v>
      </c>
      <c r="C178" s="856">
        <v>6</v>
      </c>
      <c r="D178" s="856" t="s">
        <v>13</v>
      </c>
      <c r="E178" s="856" t="s">
        <v>14</v>
      </c>
      <c r="F178" s="1623">
        <f>+IFERROR(VLOOKUP($B178,'TB 260524'!$A:$C,2,0),0)</f>
        <v>781839</v>
      </c>
      <c r="G178" s="1623"/>
      <c r="H178" s="1623">
        <f t="shared" si="4"/>
        <v>781839</v>
      </c>
      <c r="I178" s="1623">
        <f>+IFERROR(VLOOKUP($B178,'TB 260524'!$A:$C,3,0),0)</f>
        <v>0</v>
      </c>
      <c r="J178" s="1623"/>
      <c r="K178" s="1623">
        <f t="shared" si="5"/>
        <v>0</v>
      </c>
      <c r="L178" s="1623">
        <v>0</v>
      </c>
      <c r="M178" s="1623">
        <v>0</v>
      </c>
      <c r="N178" s="1623">
        <v>0</v>
      </c>
      <c r="O178" s="1623">
        <v>0</v>
      </c>
      <c r="P178" s="1623">
        <v>0</v>
      </c>
      <c r="Q178" s="1623">
        <v>0</v>
      </c>
    </row>
    <row r="179" spans="2:17">
      <c r="B179" s="856" t="s">
        <v>232</v>
      </c>
      <c r="C179" s="856">
        <v>25</v>
      </c>
      <c r="D179" s="856" t="s">
        <v>140</v>
      </c>
      <c r="E179" s="856" t="s">
        <v>141</v>
      </c>
      <c r="F179" s="1623">
        <f>+IFERROR(VLOOKUP($B179,'TB 260524'!$A:$C,2,0),0)</f>
        <v>343164</v>
      </c>
      <c r="G179" s="1623"/>
      <c r="H179" s="1623">
        <f t="shared" si="4"/>
        <v>343164</v>
      </c>
      <c r="I179" s="1623">
        <f>+IFERROR(VLOOKUP($B179,'TB 260524'!$A:$C,3,0),0)</f>
        <v>0</v>
      </c>
      <c r="J179" s="1623"/>
      <c r="K179" s="1623">
        <f t="shared" si="5"/>
        <v>0</v>
      </c>
      <c r="L179" s="1623">
        <v>233275</v>
      </c>
      <c r="M179" s="1623">
        <v>0</v>
      </c>
      <c r="N179" s="1623">
        <v>233275</v>
      </c>
      <c r="O179" s="1623">
        <v>0</v>
      </c>
      <c r="P179" s="1623">
        <v>0</v>
      </c>
      <c r="Q179" s="1623">
        <v>0</v>
      </c>
    </row>
    <row r="180" spans="2:17">
      <c r="B180" s="856" t="s">
        <v>233</v>
      </c>
      <c r="C180" s="856">
        <v>20</v>
      </c>
      <c r="D180" s="856" t="s">
        <v>193</v>
      </c>
      <c r="E180" s="856" t="s">
        <v>127</v>
      </c>
      <c r="F180" s="1623">
        <f>+IFERROR(VLOOKUP($B180,'TB 260524'!$A:$C,2,0),0)</f>
        <v>0</v>
      </c>
      <c r="G180" s="1623"/>
      <c r="H180" s="1623">
        <f t="shared" si="4"/>
        <v>0</v>
      </c>
      <c r="I180" s="1623">
        <f>+IFERROR(VLOOKUP($B180,'TB 260524'!$A:$C,3,0),0)</f>
        <v>343164</v>
      </c>
      <c r="J180" s="1623"/>
      <c r="K180" s="1623">
        <f t="shared" si="5"/>
        <v>343164</v>
      </c>
      <c r="L180" s="1623">
        <v>0</v>
      </c>
      <c r="M180" s="1623">
        <v>0</v>
      </c>
      <c r="N180" s="1623">
        <v>0</v>
      </c>
      <c r="O180" s="1623">
        <v>233275</v>
      </c>
      <c r="P180" s="1623">
        <v>0</v>
      </c>
      <c r="Q180" s="1623">
        <v>233275</v>
      </c>
    </row>
    <row r="181" spans="2:17">
      <c r="B181" s="856" t="s">
        <v>234</v>
      </c>
      <c r="C181" s="856">
        <v>27</v>
      </c>
      <c r="D181" s="856" t="s">
        <v>48</v>
      </c>
      <c r="E181" s="856" t="s">
        <v>104</v>
      </c>
      <c r="F181" s="1623">
        <f>+IFERROR(VLOOKUP($B181,'TB 260524'!$A:$C,2,0),0)</f>
        <v>112800</v>
      </c>
      <c r="G181" s="1623"/>
      <c r="H181" s="1623">
        <f t="shared" si="4"/>
        <v>112800</v>
      </c>
      <c r="I181" s="1623">
        <f>+IFERROR(VLOOKUP($B181,'TB 260524'!$A:$C,3,0),0)</f>
        <v>0</v>
      </c>
      <c r="J181" s="1623"/>
      <c r="K181" s="1623">
        <f t="shared" si="5"/>
        <v>0</v>
      </c>
      <c r="L181" s="1623">
        <v>124144</v>
      </c>
      <c r="M181" s="1623">
        <v>0</v>
      </c>
      <c r="N181" s="1623">
        <v>124144</v>
      </c>
      <c r="O181" s="1623">
        <v>0</v>
      </c>
      <c r="P181" s="1623">
        <v>0</v>
      </c>
      <c r="Q181" s="1623">
        <v>0</v>
      </c>
    </row>
    <row r="182" spans="2:17">
      <c r="B182" s="856" t="s">
        <v>228</v>
      </c>
      <c r="C182" s="856">
        <v>17</v>
      </c>
      <c r="D182" s="856" t="s">
        <v>8</v>
      </c>
      <c r="E182" s="856" t="s">
        <v>9</v>
      </c>
      <c r="F182" s="1623">
        <f>+IFERROR(VLOOKUP($B182,'TB 260524'!$A:$C,2,0),0)</f>
        <v>0</v>
      </c>
      <c r="G182" s="1623"/>
      <c r="H182" s="1623">
        <f t="shared" si="4"/>
        <v>0</v>
      </c>
      <c r="I182" s="1623">
        <f>+IFERROR(VLOOKUP($B182,'TB 260524'!$A:$C,3,0),0)</f>
        <v>40147</v>
      </c>
      <c r="J182" s="1623"/>
      <c r="K182" s="1623">
        <f t="shared" si="5"/>
        <v>40147</v>
      </c>
      <c r="L182" s="1623">
        <v>0</v>
      </c>
      <c r="M182" s="1623">
        <v>0</v>
      </c>
      <c r="N182" s="1623">
        <v>0</v>
      </c>
      <c r="O182" s="1623">
        <v>42465</v>
      </c>
      <c r="P182" s="1623">
        <v>0</v>
      </c>
      <c r="Q182" s="1623">
        <v>42465</v>
      </c>
    </row>
    <row r="183" spans="2:17">
      <c r="B183" s="856" t="s">
        <v>236</v>
      </c>
      <c r="C183" s="856">
        <v>27</v>
      </c>
      <c r="D183" s="856" t="s">
        <v>73</v>
      </c>
      <c r="E183" s="856" t="s">
        <v>85</v>
      </c>
      <c r="F183" s="1623">
        <f>+IFERROR(VLOOKUP($B183,'TB 260524'!$A:$C,2,0),0)</f>
        <v>402863.5</v>
      </c>
      <c r="G183" s="1623"/>
      <c r="H183" s="1623">
        <f t="shared" si="4"/>
        <v>402863.5</v>
      </c>
      <c r="I183" s="1623">
        <f>+IFERROR(VLOOKUP($B183,'TB 260524'!$A:$C,3,0),0)</f>
        <v>0</v>
      </c>
      <c r="J183" s="1623"/>
      <c r="K183" s="1623">
        <f t="shared" si="5"/>
        <v>0</v>
      </c>
      <c r="L183" s="1623">
        <v>278137</v>
      </c>
      <c r="M183" s="1623">
        <v>0</v>
      </c>
      <c r="N183" s="1623">
        <v>278137</v>
      </c>
      <c r="O183" s="1623">
        <v>0</v>
      </c>
      <c r="P183" s="1623">
        <v>0</v>
      </c>
      <c r="Q183" s="1623">
        <v>0</v>
      </c>
    </row>
    <row r="184" spans="2:17">
      <c r="B184" s="856" t="s">
        <v>237</v>
      </c>
      <c r="C184" s="856">
        <v>27</v>
      </c>
      <c r="D184" s="856" t="s">
        <v>73</v>
      </c>
      <c r="E184" s="856" t="s">
        <v>85</v>
      </c>
      <c r="F184" s="1623">
        <f>+IFERROR(VLOOKUP($B184,'TB 260524'!$A:$C,2,0),0)</f>
        <v>1501316</v>
      </c>
      <c r="G184" s="1623"/>
      <c r="H184" s="1623">
        <f t="shared" si="4"/>
        <v>1501316</v>
      </c>
      <c r="I184" s="1623">
        <f>+IFERROR(VLOOKUP($B184,'TB 260524'!$A:$C,3,0),0)</f>
        <v>0</v>
      </c>
      <c r="J184" s="1623"/>
      <c r="K184" s="1623">
        <f t="shared" si="5"/>
        <v>0</v>
      </c>
      <c r="L184" s="1623">
        <v>2223912</v>
      </c>
      <c r="M184" s="1623">
        <v>0</v>
      </c>
      <c r="N184" s="1623">
        <v>2223912</v>
      </c>
      <c r="O184" s="1623">
        <v>0</v>
      </c>
      <c r="P184" s="1623">
        <v>0</v>
      </c>
      <c r="Q184" s="1623">
        <v>0</v>
      </c>
    </row>
    <row r="185" spans="2:17">
      <c r="B185" s="856" t="s">
        <v>238</v>
      </c>
      <c r="C185" s="856">
        <v>27</v>
      </c>
      <c r="D185" s="856" t="s">
        <v>73</v>
      </c>
      <c r="E185" s="856" t="s">
        <v>85</v>
      </c>
      <c r="F185" s="1623">
        <f>+IFERROR(VLOOKUP($B185,'TB 260524'!$A:$C,2,0),0)</f>
        <v>4136012.77</v>
      </c>
      <c r="G185" s="1623"/>
      <c r="H185" s="1623">
        <f t="shared" si="4"/>
        <v>4136012.77</v>
      </c>
      <c r="I185" s="1623">
        <f>+IFERROR(VLOOKUP($B185,'TB 260524'!$A:$C,3,0),0)</f>
        <v>0</v>
      </c>
      <c r="J185" s="1623"/>
      <c r="K185" s="1623">
        <f t="shared" si="5"/>
        <v>0</v>
      </c>
      <c r="L185" s="1623">
        <v>3638432.81</v>
      </c>
      <c r="M185" s="1623">
        <v>0</v>
      </c>
      <c r="N185" s="1623">
        <v>3638432.81</v>
      </c>
      <c r="O185" s="1623">
        <v>0</v>
      </c>
      <c r="P185" s="1623">
        <v>0</v>
      </c>
      <c r="Q185" s="1623">
        <v>0</v>
      </c>
    </row>
    <row r="186" spans="2:17">
      <c r="B186" s="856" t="s">
        <v>513</v>
      </c>
      <c r="C186" s="856">
        <v>27</v>
      </c>
      <c r="D186" s="856" t="s">
        <v>73</v>
      </c>
      <c r="E186" s="856" t="s">
        <v>85</v>
      </c>
      <c r="F186" s="1623">
        <f>+IFERROR(VLOOKUP($B186,'TB 260524'!$A:$C,2,0),0)</f>
        <v>193134.65</v>
      </c>
      <c r="G186" s="1623"/>
      <c r="H186" s="1623">
        <f t="shared" si="4"/>
        <v>193134.65</v>
      </c>
      <c r="I186" s="1623">
        <f>+IFERROR(VLOOKUP($B186,'TB 260524'!$A:$C,3,0),0)</f>
        <v>0</v>
      </c>
      <c r="J186" s="1623"/>
      <c r="K186" s="1623">
        <f t="shared" si="5"/>
        <v>0</v>
      </c>
      <c r="L186" s="1623">
        <v>225741.23</v>
      </c>
      <c r="M186" s="1623">
        <v>0</v>
      </c>
      <c r="N186" s="1623">
        <v>225741.23</v>
      </c>
      <c r="O186" s="1623">
        <v>0</v>
      </c>
      <c r="P186" s="1623">
        <v>0</v>
      </c>
      <c r="Q186" s="1623">
        <v>0</v>
      </c>
    </row>
    <row r="187" spans="2:17">
      <c r="B187" s="856" t="s">
        <v>239</v>
      </c>
      <c r="C187" s="856">
        <v>10</v>
      </c>
      <c r="D187" s="856" t="s">
        <v>32</v>
      </c>
      <c r="E187" s="856" t="s">
        <v>33</v>
      </c>
      <c r="F187" s="1623">
        <f>+IFERROR(VLOOKUP($B187,'TB 260524'!$A:$C,2,0),0)</f>
        <v>2465865</v>
      </c>
      <c r="G187" s="1623"/>
      <c r="H187" s="1623">
        <f t="shared" si="4"/>
        <v>2465865</v>
      </c>
      <c r="I187" s="1623">
        <f>+IFERROR(VLOOKUP($B187,'TB 260524'!$A:$C,3,0),0)</f>
        <v>0</v>
      </c>
      <c r="J187" s="1623"/>
      <c r="K187" s="1623">
        <f t="shared" si="5"/>
        <v>0</v>
      </c>
      <c r="L187" s="1623">
        <v>7944212</v>
      </c>
      <c r="M187" s="1623">
        <v>0</v>
      </c>
      <c r="N187" s="1623">
        <v>7944212</v>
      </c>
      <c r="O187" s="1623">
        <v>0</v>
      </c>
      <c r="P187" s="1623">
        <v>0</v>
      </c>
      <c r="Q187" s="1623">
        <v>0</v>
      </c>
    </row>
    <row r="188" spans="2:17">
      <c r="B188" s="856" t="s">
        <v>19</v>
      </c>
      <c r="C188" s="856">
        <v>17</v>
      </c>
      <c r="D188" s="856" t="s">
        <v>8</v>
      </c>
      <c r="E188" s="856" t="s">
        <v>8</v>
      </c>
      <c r="F188" s="1623">
        <f>+IFERROR(VLOOKUP($B188,'TB 260524'!$A:$C,2,0),0)</f>
        <v>0</v>
      </c>
      <c r="G188" s="1623"/>
      <c r="H188" s="1623">
        <f t="shared" si="4"/>
        <v>0</v>
      </c>
      <c r="I188" s="1623">
        <f>+IFERROR(VLOOKUP($B188,'TB 260524'!$A:$C,3,0),0)</f>
        <v>5463715</v>
      </c>
      <c r="J188" s="1623"/>
      <c r="K188" s="1623">
        <f t="shared" si="5"/>
        <v>5463715</v>
      </c>
      <c r="L188" s="1623">
        <v>0</v>
      </c>
      <c r="M188" s="1623">
        <v>0</v>
      </c>
      <c r="N188" s="1623">
        <v>0</v>
      </c>
      <c r="O188" s="1623">
        <v>3597683</v>
      </c>
      <c r="P188" s="1623">
        <v>0</v>
      </c>
      <c r="Q188" s="1623">
        <v>3597683</v>
      </c>
    </row>
    <row r="189" spans="2:17">
      <c r="B189" s="856" t="s">
        <v>515</v>
      </c>
      <c r="C189" s="856">
        <v>25</v>
      </c>
      <c r="D189" s="856" t="s">
        <v>140</v>
      </c>
      <c r="E189" s="856" t="s">
        <v>244</v>
      </c>
      <c r="F189" s="1623">
        <f>+IFERROR(VLOOKUP($B189,'TB 260524'!$A:$C,2,0),0)</f>
        <v>255943</v>
      </c>
      <c r="G189" s="1623"/>
      <c r="H189" s="1623">
        <f t="shared" si="4"/>
        <v>255943</v>
      </c>
      <c r="I189" s="1623">
        <f>+IFERROR(VLOOKUP($B189,'TB 260524'!$A:$C,3,0),0)</f>
        <v>0</v>
      </c>
      <c r="J189" s="1623"/>
      <c r="K189" s="1623">
        <f t="shared" si="5"/>
        <v>0</v>
      </c>
      <c r="L189" s="1623">
        <v>194520</v>
      </c>
      <c r="M189" s="1623">
        <v>0</v>
      </c>
      <c r="N189" s="1623">
        <v>194520</v>
      </c>
      <c r="O189" s="1623">
        <v>0</v>
      </c>
      <c r="P189" s="1623">
        <v>0</v>
      </c>
      <c r="Q189" s="1623">
        <v>0</v>
      </c>
    </row>
    <row r="190" spans="2:17">
      <c r="B190" s="856" t="s">
        <v>435</v>
      </c>
      <c r="C190" s="856">
        <v>17</v>
      </c>
      <c r="D190" s="856" t="s">
        <v>8</v>
      </c>
      <c r="E190" s="856" t="s">
        <v>9</v>
      </c>
      <c r="F190" s="1623">
        <f>+IFERROR(VLOOKUP($B190,'TB 260524'!$A:$C,2,0),0)</f>
        <v>0</v>
      </c>
      <c r="G190" s="1623"/>
      <c r="H190" s="1623">
        <f t="shared" si="4"/>
        <v>0</v>
      </c>
      <c r="I190" s="1623">
        <f>+IFERROR(VLOOKUP($B190,'TB 260524'!$A:$C,3,0),0)</f>
        <v>35044</v>
      </c>
      <c r="J190" s="1623"/>
      <c r="K190" s="1623">
        <f t="shared" si="5"/>
        <v>35044</v>
      </c>
      <c r="L190" s="1623">
        <v>0</v>
      </c>
      <c r="M190" s="1623">
        <v>0</v>
      </c>
      <c r="N190" s="1623">
        <v>0</v>
      </c>
      <c r="O190" s="1623">
        <v>32397</v>
      </c>
      <c r="P190" s="1623">
        <v>0</v>
      </c>
      <c r="Q190" s="1623">
        <v>32397</v>
      </c>
    </row>
    <row r="191" spans="2:17">
      <c r="B191" s="856" t="s">
        <v>516</v>
      </c>
      <c r="C191" s="856">
        <v>17</v>
      </c>
      <c r="D191" s="856" t="s">
        <v>8</v>
      </c>
      <c r="E191" s="856" t="s">
        <v>9</v>
      </c>
      <c r="F191" s="1623">
        <f>+IFERROR(VLOOKUP($B191,'TB 260524'!$A:$C,2,0),0)</f>
        <v>0</v>
      </c>
      <c r="G191" s="1623"/>
      <c r="H191" s="1623">
        <f t="shared" si="4"/>
        <v>0</v>
      </c>
      <c r="I191" s="1623">
        <f>+IFERROR(VLOOKUP($B191,'TB 260524'!$A:$C,3,0),0)</f>
        <v>218551</v>
      </c>
      <c r="J191" s="1623"/>
      <c r="K191" s="1623">
        <f t="shared" si="5"/>
        <v>218551</v>
      </c>
      <c r="L191" s="1623">
        <v>0</v>
      </c>
      <c r="M191" s="1623">
        <v>0</v>
      </c>
      <c r="N191" s="1623">
        <v>0</v>
      </c>
      <c r="O191" s="1623">
        <v>81650</v>
      </c>
      <c r="P191" s="1623">
        <v>0</v>
      </c>
      <c r="Q191" s="1623">
        <v>81650</v>
      </c>
    </row>
    <row r="192" spans="2:17">
      <c r="B192" s="856" t="s">
        <v>393</v>
      </c>
      <c r="C192" s="856">
        <v>9</v>
      </c>
      <c r="D192" s="856" t="s">
        <v>35</v>
      </c>
      <c r="E192" s="856" t="s">
        <v>36</v>
      </c>
      <c r="F192" s="1623">
        <f>+IFERROR(VLOOKUP($B192,'TB 260524'!$A:$C,2,0),0)</f>
        <v>3000</v>
      </c>
      <c r="G192" s="1623"/>
      <c r="H192" s="1623">
        <f t="shared" si="4"/>
        <v>3000</v>
      </c>
      <c r="I192" s="1623">
        <f>+IFERROR(VLOOKUP($B192,'TB 260524'!$A:$C,3,0),0)</f>
        <v>0</v>
      </c>
      <c r="J192" s="1623"/>
      <c r="K192" s="1623">
        <f t="shared" si="5"/>
        <v>0</v>
      </c>
      <c r="L192" s="1623">
        <v>27000</v>
      </c>
      <c r="M192" s="1623">
        <v>0</v>
      </c>
      <c r="N192" s="1623">
        <v>27000</v>
      </c>
      <c r="O192" s="1623">
        <v>0</v>
      </c>
      <c r="P192" s="1623">
        <v>0</v>
      </c>
      <c r="Q192" s="1623">
        <v>0</v>
      </c>
    </row>
    <row r="193" spans="2:17">
      <c r="B193" s="856" t="s">
        <v>21</v>
      </c>
      <c r="C193" s="856">
        <v>18</v>
      </c>
      <c r="D193" s="856" t="s">
        <v>214</v>
      </c>
      <c r="E193" s="856" t="s">
        <v>2258</v>
      </c>
      <c r="F193" s="1623">
        <f>+IFERROR(VLOOKUP($B193,'TB 260524'!$A:$C,2,0),0)</f>
        <v>0</v>
      </c>
      <c r="G193" s="1623"/>
      <c r="H193" s="1623">
        <f t="shared" si="4"/>
        <v>0</v>
      </c>
      <c r="I193" s="1623">
        <f>+IFERROR(VLOOKUP($B193,'TB 260524'!$A:$C,3,0),0)</f>
        <v>632914</v>
      </c>
      <c r="J193" s="1623"/>
      <c r="K193" s="1623">
        <f t="shared" si="5"/>
        <v>632914</v>
      </c>
      <c r="L193" s="1623">
        <v>5000</v>
      </c>
      <c r="M193" s="1623">
        <v>0</v>
      </c>
      <c r="N193" s="1623">
        <v>5000</v>
      </c>
      <c r="O193" s="1623">
        <v>0</v>
      </c>
      <c r="P193" s="1623">
        <v>0</v>
      </c>
      <c r="Q193" s="1623">
        <v>0</v>
      </c>
    </row>
    <row r="194" spans="2:17">
      <c r="B194" s="856" t="s">
        <v>248</v>
      </c>
      <c r="C194" s="856">
        <v>9</v>
      </c>
      <c r="D194" s="856" t="s">
        <v>35</v>
      </c>
      <c r="E194" s="856" t="s">
        <v>36</v>
      </c>
      <c r="F194" s="1623">
        <f>+IFERROR(VLOOKUP($B194,'TB 260524'!$A:$C,2,0),0)</f>
        <v>6000</v>
      </c>
      <c r="G194" s="1623"/>
      <c r="H194" s="1623">
        <f t="shared" si="4"/>
        <v>6000</v>
      </c>
      <c r="I194" s="1623">
        <f>+IFERROR(VLOOKUP($B194,'TB 260524'!$A:$C,3,0),0)</f>
        <v>0</v>
      </c>
      <c r="J194" s="1623"/>
      <c r="K194" s="1623">
        <f t="shared" si="5"/>
        <v>0</v>
      </c>
      <c r="L194" s="1623">
        <v>14000</v>
      </c>
      <c r="M194" s="1623">
        <v>0</v>
      </c>
      <c r="N194" s="1623">
        <v>14000</v>
      </c>
      <c r="O194" s="1623">
        <v>0</v>
      </c>
      <c r="P194" s="1623">
        <v>0</v>
      </c>
      <c r="Q194" s="1623">
        <v>0</v>
      </c>
    </row>
    <row r="195" spans="2:17">
      <c r="B195" s="856" t="s">
        <v>38</v>
      </c>
      <c r="C195" s="856">
        <v>9</v>
      </c>
      <c r="D195" s="856" t="s">
        <v>35</v>
      </c>
      <c r="E195" s="856" t="s">
        <v>36</v>
      </c>
      <c r="F195" s="1623">
        <f>+IFERROR(VLOOKUP($B195,'TB 260524'!$A:$C,2,0),0)</f>
        <v>40000</v>
      </c>
      <c r="G195" s="1623"/>
      <c r="H195" s="1623">
        <f t="shared" si="4"/>
        <v>40000</v>
      </c>
      <c r="I195" s="1623">
        <f>+IFERROR(VLOOKUP($B195,'TB 260524'!$A:$C,3,0),0)</f>
        <v>0</v>
      </c>
      <c r="J195" s="1623"/>
      <c r="K195" s="1623">
        <f t="shared" si="5"/>
        <v>0</v>
      </c>
      <c r="L195" s="1623">
        <v>7000</v>
      </c>
      <c r="M195" s="1623">
        <v>0</v>
      </c>
      <c r="N195" s="1623">
        <v>7000</v>
      </c>
      <c r="O195" s="1623">
        <v>0</v>
      </c>
      <c r="P195" s="1623">
        <v>0</v>
      </c>
      <c r="Q195" s="1623">
        <v>0</v>
      </c>
    </row>
    <row r="196" spans="2:17">
      <c r="B196" s="856" t="s">
        <v>2973</v>
      </c>
      <c r="C196" s="856">
        <v>17</v>
      </c>
      <c r="D196" s="856" t="s">
        <v>8</v>
      </c>
      <c r="E196" s="856" t="s">
        <v>9</v>
      </c>
      <c r="F196" s="1623">
        <f>+IFERROR(VLOOKUP($B196,'TB 260524'!$A:$C,2,0),0)</f>
        <v>0</v>
      </c>
      <c r="G196" s="1623"/>
      <c r="H196" s="1623">
        <f t="shared" si="4"/>
        <v>0</v>
      </c>
      <c r="I196" s="1623">
        <f>+IFERROR(VLOOKUP($B196,'TB 260524'!$A:$C,3,0),0)</f>
        <v>21830</v>
      </c>
      <c r="J196" s="1623"/>
      <c r="K196" s="1623">
        <f t="shared" si="5"/>
        <v>21830</v>
      </c>
      <c r="L196" s="1623">
        <v>0</v>
      </c>
      <c r="M196" s="1623">
        <v>0</v>
      </c>
      <c r="N196" s="1623">
        <v>0</v>
      </c>
      <c r="O196" s="1623">
        <v>0</v>
      </c>
      <c r="P196" s="1623">
        <v>0</v>
      </c>
      <c r="Q196" s="1623">
        <v>0</v>
      </c>
    </row>
    <row r="197" spans="2:17">
      <c r="B197" s="856" t="s">
        <v>517</v>
      </c>
      <c r="C197" s="856">
        <v>27</v>
      </c>
      <c r="D197" s="856" t="s">
        <v>48</v>
      </c>
      <c r="E197" s="856" t="s">
        <v>75</v>
      </c>
      <c r="F197" s="1623">
        <f>+IFERROR(VLOOKUP($B197,'TB 260524'!$A:$C,2,0),0)</f>
        <v>153600</v>
      </c>
      <c r="G197" s="1623"/>
      <c r="H197" s="1623">
        <f t="shared" si="4"/>
        <v>153600</v>
      </c>
      <c r="I197" s="1623">
        <f>+IFERROR(VLOOKUP($B197,'TB 260524'!$A:$C,3,0),0)</f>
        <v>0</v>
      </c>
      <c r="J197" s="1623"/>
      <c r="K197" s="1623">
        <f t="shared" si="5"/>
        <v>0</v>
      </c>
      <c r="L197" s="1623">
        <v>145550</v>
      </c>
      <c r="M197" s="1623">
        <v>0</v>
      </c>
      <c r="N197" s="1623">
        <v>145550</v>
      </c>
      <c r="O197" s="1623">
        <v>0</v>
      </c>
      <c r="P197" s="1623">
        <v>0</v>
      </c>
      <c r="Q197" s="1623">
        <v>0</v>
      </c>
    </row>
    <row r="198" spans="2:17">
      <c r="B198" s="856" t="s">
        <v>518</v>
      </c>
      <c r="C198" s="856">
        <v>27</v>
      </c>
      <c r="D198" s="856" t="s">
        <v>48</v>
      </c>
      <c r="E198" s="856" t="s">
        <v>75</v>
      </c>
      <c r="F198" s="1623">
        <f>+IFERROR(VLOOKUP($B198,'TB 260524'!$A:$C,2,0),0)</f>
        <v>104700</v>
      </c>
      <c r="G198" s="1623"/>
      <c r="H198" s="1623">
        <f t="shared" si="4"/>
        <v>104700</v>
      </c>
      <c r="I198" s="1623">
        <f>+IFERROR(VLOOKUP($B198,'TB 260524'!$A:$C,3,0),0)</f>
        <v>0</v>
      </c>
      <c r="J198" s="1623"/>
      <c r="K198" s="1623">
        <f t="shared" si="5"/>
        <v>0</v>
      </c>
      <c r="L198" s="1623">
        <v>106100</v>
      </c>
      <c r="M198" s="1623">
        <v>0</v>
      </c>
      <c r="N198" s="1623">
        <v>106100</v>
      </c>
      <c r="O198" s="1623">
        <v>0</v>
      </c>
      <c r="P198" s="1623">
        <v>0</v>
      </c>
      <c r="Q198" s="1623">
        <v>0</v>
      </c>
    </row>
    <row r="199" spans="2:17">
      <c r="B199" s="856" t="s">
        <v>249</v>
      </c>
      <c r="C199" s="856">
        <v>2</v>
      </c>
      <c r="D199" s="856" t="s">
        <v>77</v>
      </c>
      <c r="E199" s="856" t="s">
        <v>78</v>
      </c>
      <c r="F199" s="1623">
        <f>+IFERROR(VLOOKUP($B199,'TB 260524'!$A:$C,2,0),0)</f>
        <v>1208365.8799999999</v>
      </c>
      <c r="G199" s="1623"/>
      <c r="H199" s="1623">
        <f t="shared" ref="H199:H262" si="6">+F199+G199</f>
        <v>1208365.8799999999</v>
      </c>
      <c r="I199" s="1623">
        <f>+IFERROR(VLOOKUP($B199,'TB 260524'!$A:$C,3,0),0)</f>
        <v>0</v>
      </c>
      <c r="J199" s="1623"/>
      <c r="K199" s="1623">
        <f t="shared" ref="K199:K262" si="7">+I199+J199</f>
        <v>0</v>
      </c>
      <c r="L199" s="1623">
        <v>1123742.8799999999</v>
      </c>
      <c r="M199" s="1623">
        <v>0</v>
      </c>
      <c r="N199" s="1623">
        <v>1123742.8799999999</v>
      </c>
      <c r="O199" s="1623">
        <v>0</v>
      </c>
      <c r="P199" s="1623">
        <v>0</v>
      </c>
      <c r="Q199" s="1623">
        <v>0</v>
      </c>
    </row>
    <row r="200" spans="2:17">
      <c r="B200" s="856" t="s">
        <v>519</v>
      </c>
      <c r="C200" s="856">
        <v>27</v>
      </c>
      <c r="D200" s="856" t="s">
        <v>48</v>
      </c>
      <c r="E200" s="856" t="s">
        <v>75</v>
      </c>
      <c r="F200" s="1623">
        <f>+IFERROR(VLOOKUP($B200,'TB 260524'!$A:$C,2,0),0)</f>
        <v>54090.28</v>
      </c>
      <c r="G200" s="1623"/>
      <c r="H200" s="1623">
        <f t="shared" si="6"/>
        <v>54090.28</v>
      </c>
      <c r="I200" s="1623">
        <f>+IFERROR(VLOOKUP($B200,'TB 260524'!$A:$C,3,0),0)</f>
        <v>0</v>
      </c>
      <c r="J200" s="1623"/>
      <c r="K200" s="1623">
        <f t="shared" si="7"/>
        <v>0</v>
      </c>
      <c r="L200" s="1623">
        <v>85992.9</v>
      </c>
      <c r="M200" s="1623">
        <v>0</v>
      </c>
      <c r="N200" s="1623">
        <v>85992.9</v>
      </c>
      <c r="O200" s="1623">
        <v>0</v>
      </c>
      <c r="P200" s="1623">
        <v>0</v>
      </c>
      <c r="Q200" s="1623">
        <v>0</v>
      </c>
    </row>
    <row r="201" spans="2:17">
      <c r="B201" s="856" t="s">
        <v>520</v>
      </c>
      <c r="C201" s="856">
        <v>27</v>
      </c>
      <c r="D201" s="856" t="s">
        <v>48</v>
      </c>
      <c r="E201" s="856" t="s">
        <v>190</v>
      </c>
      <c r="F201" s="1623">
        <f>+IFERROR(VLOOKUP($B201,'TB 260524'!$A:$C,2,0),0)</f>
        <v>643125</v>
      </c>
      <c r="G201" s="1623"/>
      <c r="H201" s="1623">
        <f t="shared" si="6"/>
        <v>643125</v>
      </c>
      <c r="I201" s="1623">
        <f>+IFERROR(VLOOKUP($B201,'TB 260524'!$A:$C,3,0),0)</f>
        <v>0</v>
      </c>
      <c r="J201" s="1623"/>
      <c r="K201" s="1623">
        <f t="shared" si="7"/>
        <v>0</v>
      </c>
      <c r="L201" s="1623">
        <v>610000</v>
      </c>
      <c r="M201" s="1623">
        <v>0</v>
      </c>
      <c r="N201" s="1623">
        <v>610000</v>
      </c>
      <c r="O201" s="1623">
        <v>0</v>
      </c>
      <c r="P201" s="1623">
        <v>0</v>
      </c>
      <c r="Q201" s="1623">
        <v>0</v>
      </c>
    </row>
    <row r="202" spans="2:17">
      <c r="B202" s="856" t="s">
        <v>521</v>
      </c>
      <c r="C202" s="856">
        <v>27</v>
      </c>
      <c r="D202" s="856" t="s">
        <v>48</v>
      </c>
      <c r="E202" s="856" t="s">
        <v>75</v>
      </c>
      <c r="F202" s="1623">
        <f>+IFERROR(VLOOKUP($B202,'TB 260524'!$A:$C,2,0),0)</f>
        <v>53221</v>
      </c>
      <c r="G202" s="1623"/>
      <c r="H202" s="1623">
        <f t="shared" si="6"/>
        <v>53221</v>
      </c>
      <c r="I202" s="1623">
        <f>+IFERROR(VLOOKUP($B202,'TB 260524'!$A:$C,3,0),0)</f>
        <v>0</v>
      </c>
      <c r="J202" s="1623"/>
      <c r="K202" s="1623">
        <f t="shared" si="7"/>
        <v>0</v>
      </c>
      <c r="L202" s="1623">
        <v>50928</v>
      </c>
      <c r="M202" s="1623">
        <v>0</v>
      </c>
      <c r="N202" s="1623">
        <v>50928</v>
      </c>
      <c r="O202" s="1623">
        <v>0</v>
      </c>
      <c r="P202" s="1623">
        <v>0</v>
      </c>
      <c r="Q202" s="1623">
        <v>0</v>
      </c>
    </row>
    <row r="203" spans="2:17">
      <c r="B203" s="856" t="s">
        <v>522</v>
      </c>
      <c r="C203" s="856">
        <v>13</v>
      </c>
      <c r="D203" s="856" t="s">
        <v>44</v>
      </c>
      <c r="E203" s="856" t="s">
        <v>45</v>
      </c>
      <c r="F203" s="1623">
        <f>+IFERROR(VLOOKUP($B203,'TB 260524'!$A:$C,2,0),0)</f>
        <v>0</v>
      </c>
      <c r="G203" s="1623"/>
      <c r="H203" s="1623">
        <f t="shared" si="6"/>
        <v>0</v>
      </c>
      <c r="I203" s="1623">
        <f>+IFERROR(VLOOKUP($B203,'TB 260524'!$A:$C,3,0),0)</f>
        <v>5700468</v>
      </c>
      <c r="J203" s="1623"/>
      <c r="K203" s="1623">
        <f t="shared" si="7"/>
        <v>5700468</v>
      </c>
      <c r="L203" s="1623">
        <v>0</v>
      </c>
      <c r="M203" s="1623">
        <v>0</v>
      </c>
      <c r="N203" s="1623">
        <v>0</v>
      </c>
      <c r="O203" s="1623">
        <v>4760124</v>
      </c>
      <c r="P203" s="1623">
        <v>0</v>
      </c>
      <c r="Q203" s="1623">
        <v>4760124</v>
      </c>
    </row>
    <row r="204" spans="2:17">
      <c r="B204" s="856" t="s">
        <v>2251</v>
      </c>
      <c r="C204" s="856">
        <v>18</v>
      </c>
      <c r="D204" s="856" t="s">
        <v>214</v>
      </c>
      <c r="E204" s="856" t="s">
        <v>322</v>
      </c>
      <c r="F204" s="1623">
        <f>+IFERROR(VLOOKUP($B204,'TB 260524'!$A:$C,2,0),0)</f>
        <v>0</v>
      </c>
      <c r="G204" s="1623"/>
      <c r="H204" s="1623">
        <f t="shared" si="6"/>
        <v>0</v>
      </c>
      <c r="I204" s="1623">
        <f>+IFERROR(VLOOKUP($B204,'TB 260524'!$A:$C,3,0),0)</f>
        <v>0</v>
      </c>
      <c r="J204" s="1623"/>
      <c r="K204" s="1623">
        <f t="shared" si="7"/>
        <v>0</v>
      </c>
      <c r="L204" s="1623">
        <v>2380</v>
      </c>
      <c r="M204" s="1623">
        <v>0</v>
      </c>
      <c r="N204" s="1623">
        <v>2380</v>
      </c>
      <c r="O204" s="1623">
        <v>0</v>
      </c>
      <c r="P204" s="1623">
        <v>0</v>
      </c>
      <c r="Q204" s="1623">
        <v>0</v>
      </c>
    </row>
    <row r="205" spans="2:17">
      <c r="B205" s="856" t="s">
        <v>253</v>
      </c>
      <c r="C205" s="856">
        <v>6</v>
      </c>
      <c r="D205" s="856" t="s">
        <v>13</v>
      </c>
      <c r="E205" s="856" t="s">
        <v>14</v>
      </c>
      <c r="F205" s="1623">
        <f>+IFERROR(VLOOKUP($B205,'TB 260524'!$A:$C,2,0),0)</f>
        <v>131217.84</v>
      </c>
      <c r="G205" s="1623"/>
      <c r="H205" s="1623">
        <f t="shared" si="6"/>
        <v>131217.84</v>
      </c>
      <c r="I205" s="1623">
        <f>+IFERROR(VLOOKUP($B205,'TB 260524'!$A:$C,3,0),0)</f>
        <v>0</v>
      </c>
      <c r="J205" s="1623"/>
      <c r="K205" s="1623">
        <f t="shared" si="7"/>
        <v>0</v>
      </c>
      <c r="L205" s="1623">
        <v>311747</v>
      </c>
      <c r="M205" s="1623">
        <v>0</v>
      </c>
      <c r="N205" s="1623">
        <v>311747</v>
      </c>
      <c r="O205" s="1623">
        <v>0</v>
      </c>
      <c r="P205" s="1623">
        <v>0</v>
      </c>
      <c r="Q205" s="1623">
        <v>0</v>
      </c>
    </row>
    <row r="206" spans="2:17">
      <c r="B206" s="856" t="s">
        <v>394</v>
      </c>
      <c r="C206" s="856">
        <v>17</v>
      </c>
      <c r="D206" s="856" t="s">
        <v>8</v>
      </c>
      <c r="E206" s="856" t="s">
        <v>8</v>
      </c>
      <c r="F206" s="1623">
        <f>+IFERROR(VLOOKUP($B206,'TB 260524'!$A:$C,2,0),0)</f>
        <v>0</v>
      </c>
      <c r="G206" s="1623"/>
      <c r="H206" s="1623">
        <f t="shared" si="6"/>
        <v>0</v>
      </c>
      <c r="I206" s="1623">
        <f>+IFERROR(VLOOKUP($B206,'TB 260524'!$A:$C,3,0),0)</f>
        <v>313012</v>
      </c>
      <c r="J206" s="1623"/>
      <c r="K206" s="1623">
        <f t="shared" si="7"/>
        <v>313012</v>
      </c>
      <c r="L206" s="1623">
        <v>0</v>
      </c>
      <c r="M206" s="1623">
        <v>0</v>
      </c>
      <c r="N206" s="1623">
        <v>0</v>
      </c>
      <c r="O206" s="1623">
        <v>313013</v>
      </c>
      <c r="P206" s="1623">
        <v>0</v>
      </c>
      <c r="Q206" s="1623">
        <v>313013</v>
      </c>
    </row>
    <row r="207" spans="2:17">
      <c r="B207" s="856" t="s">
        <v>254</v>
      </c>
      <c r="C207" s="856">
        <v>23</v>
      </c>
      <c r="D207" s="856" t="s">
        <v>96</v>
      </c>
      <c r="E207" s="856" t="s">
        <v>97</v>
      </c>
      <c r="F207" s="1623">
        <f>+IFERROR(VLOOKUP($B207,'TB 260524'!$A:$C,2,0),0)</f>
        <v>56914</v>
      </c>
      <c r="G207" s="1623"/>
      <c r="H207" s="1623">
        <f t="shared" si="6"/>
        <v>56914</v>
      </c>
      <c r="I207" s="1623">
        <f>+IFERROR(VLOOKUP($B207,'TB 260524'!$A:$C,3,0),0)</f>
        <v>0</v>
      </c>
      <c r="J207" s="1623"/>
      <c r="K207" s="1623">
        <f t="shared" si="7"/>
        <v>0</v>
      </c>
      <c r="L207" s="1623">
        <v>28831</v>
      </c>
      <c r="M207" s="1623">
        <v>0</v>
      </c>
      <c r="N207" s="1623">
        <v>28831</v>
      </c>
      <c r="O207" s="1623">
        <v>0</v>
      </c>
      <c r="P207" s="1623">
        <v>0</v>
      </c>
      <c r="Q207" s="1623">
        <v>0</v>
      </c>
    </row>
    <row r="208" spans="2:17">
      <c r="B208" s="856" t="s">
        <v>256</v>
      </c>
      <c r="C208" s="856">
        <v>27</v>
      </c>
      <c r="D208" s="856" t="s">
        <v>73</v>
      </c>
      <c r="E208" s="856" t="s">
        <v>100</v>
      </c>
      <c r="F208" s="1623">
        <f>+IFERROR(VLOOKUP($B208,'TB 260524'!$A:$C,2,0),0)</f>
        <v>470140.39</v>
      </c>
      <c r="G208" s="1623"/>
      <c r="H208" s="1623">
        <f t="shared" si="6"/>
        <v>470140.39</v>
      </c>
      <c r="I208" s="1623">
        <f>+IFERROR(VLOOKUP($B208,'TB 260524'!$A:$C,3,0),0)</f>
        <v>0</v>
      </c>
      <c r="J208" s="1623"/>
      <c r="K208" s="1623">
        <f t="shared" si="7"/>
        <v>0</v>
      </c>
      <c r="L208" s="1623">
        <v>2569100</v>
      </c>
      <c r="M208" s="1623">
        <v>0</v>
      </c>
      <c r="N208" s="1623">
        <v>2569100</v>
      </c>
      <c r="O208" s="1623">
        <v>0</v>
      </c>
      <c r="P208" s="1623">
        <v>0</v>
      </c>
      <c r="Q208" s="1623">
        <v>0</v>
      </c>
    </row>
    <row r="209" spans="1:17">
      <c r="B209" s="856" t="s">
        <v>258</v>
      </c>
      <c r="C209" s="856">
        <v>27</v>
      </c>
      <c r="D209" s="856" t="s">
        <v>73</v>
      </c>
      <c r="E209" s="856" t="s">
        <v>257</v>
      </c>
      <c r="F209" s="1623">
        <f>+IFERROR(VLOOKUP($B209,'TB 260524'!$A:$C,2,0),0)</f>
        <v>12870</v>
      </c>
      <c r="G209" s="1623"/>
      <c r="H209" s="1623">
        <f t="shared" si="6"/>
        <v>12870</v>
      </c>
      <c r="I209" s="1623">
        <f>+IFERROR(VLOOKUP($B209,'TB 260524'!$A:$C,3,0),0)</f>
        <v>0</v>
      </c>
      <c r="J209" s="1623"/>
      <c r="K209" s="1623">
        <f t="shared" si="7"/>
        <v>0</v>
      </c>
      <c r="L209" s="1623">
        <v>13970</v>
      </c>
      <c r="M209" s="1623">
        <v>0</v>
      </c>
      <c r="N209" s="1623">
        <v>13970</v>
      </c>
      <c r="O209" s="1623">
        <v>0</v>
      </c>
      <c r="P209" s="1623">
        <v>0</v>
      </c>
      <c r="Q209" s="1623">
        <v>0</v>
      </c>
    </row>
    <row r="210" spans="1:17">
      <c r="B210" s="856" t="s">
        <v>260</v>
      </c>
      <c r="C210" s="856">
        <v>23</v>
      </c>
      <c r="D210" s="856" t="s">
        <v>96</v>
      </c>
      <c r="E210" s="856" t="s">
        <v>97</v>
      </c>
      <c r="F210" s="1623">
        <f>+IFERROR(VLOOKUP($B210,'TB 260524'!$A:$C,2,0),0)</f>
        <v>54676</v>
      </c>
      <c r="G210" s="1623"/>
      <c r="H210" s="1623">
        <f t="shared" si="6"/>
        <v>54676</v>
      </c>
      <c r="I210" s="1623">
        <f>+IFERROR(VLOOKUP($B210,'TB 260524'!$A:$C,3,0),0)</f>
        <v>0</v>
      </c>
      <c r="J210" s="1623"/>
      <c r="K210" s="1623">
        <f t="shared" si="7"/>
        <v>0</v>
      </c>
      <c r="L210" s="1623">
        <v>216806</v>
      </c>
      <c r="M210" s="1623">
        <v>0</v>
      </c>
      <c r="N210" s="1623">
        <v>216806</v>
      </c>
      <c r="O210" s="1623">
        <v>0</v>
      </c>
      <c r="P210" s="1623">
        <v>0</v>
      </c>
      <c r="Q210" s="1623">
        <v>0</v>
      </c>
    </row>
    <row r="211" spans="1:17">
      <c r="A211" t="s">
        <v>3014</v>
      </c>
      <c r="B211" s="856" t="s">
        <v>2974</v>
      </c>
      <c r="C211" s="856">
        <v>22</v>
      </c>
      <c r="D211" s="856" t="s">
        <v>55</v>
      </c>
      <c r="E211" s="856" t="s">
        <v>3015</v>
      </c>
      <c r="F211" s="1623">
        <f>+IFERROR(VLOOKUP($B211,'TB 260524'!$A:$C,2,0),0)</f>
        <v>0</v>
      </c>
      <c r="G211" s="1623"/>
      <c r="H211" s="1623">
        <f t="shared" si="6"/>
        <v>0</v>
      </c>
      <c r="I211" s="1623">
        <f>+IFERROR(VLOOKUP($B211,'TB 260524'!$A:$C,3,0),0)</f>
        <v>0</v>
      </c>
      <c r="J211" s="1623"/>
      <c r="K211" s="1623">
        <f t="shared" si="7"/>
        <v>0</v>
      </c>
      <c r="L211" s="1623">
        <v>0</v>
      </c>
      <c r="M211" s="1623">
        <v>0</v>
      </c>
      <c r="N211" s="1623">
        <v>0</v>
      </c>
      <c r="O211" s="1623">
        <v>0</v>
      </c>
      <c r="P211" s="1623">
        <v>0</v>
      </c>
      <c r="Q211" s="1623">
        <v>0</v>
      </c>
    </row>
    <row r="212" spans="1:17">
      <c r="B212" s="856" t="s">
        <v>261</v>
      </c>
      <c r="C212" s="856">
        <v>21</v>
      </c>
      <c r="D212" s="856" t="s">
        <v>143</v>
      </c>
      <c r="E212" s="856" t="s">
        <v>144</v>
      </c>
      <c r="F212" s="1623">
        <f>+IFERROR(VLOOKUP($B212,'TB 260524'!$A:$C,2,0),0)</f>
        <v>0</v>
      </c>
      <c r="G212" s="1623"/>
      <c r="H212" s="1623">
        <f t="shared" si="6"/>
        <v>0</v>
      </c>
      <c r="I212" s="1623">
        <f>+IFERROR(VLOOKUP($B212,'TB 260524'!$A:$C,3,0),0)</f>
        <v>354825</v>
      </c>
      <c r="J212" s="1623"/>
      <c r="K212" s="1623">
        <f t="shared" si="7"/>
        <v>354825</v>
      </c>
      <c r="L212" s="1623">
        <v>0</v>
      </c>
      <c r="M212" s="1623">
        <v>0</v>
      </c>
      <c r="N212" s="1623">
        <v>0</v>
      </c>
      <c r="O212" s="1623">
        <v>505220</v>
      </c>
      <c r="P212" s="1623">
        <v>0</v>
      </c>
      <c r="Q212" s="1623">
        <v>505220</v>
      </c>
    </row>
    <row r="213" spans="1:17">
      <c r="B213" s="856" t="s">
        <v>257</v>
      </c>
      <c r="C213" s="856">
        <v>27</v>
      </c>
      <c r="D213" s="856" t="s">
        <v>73</v>
      </c>
      <c r="E213" s="856" t="s">
        <v>257</v>
      </c>
      <c r="F213" s="1623">
        <f>+IFERROR(VLOOKUP($B213,'TB 260524'!$A:$C,2,0),0)</f>
        <v>5210528.92</v>
      </c>
      <c r="G213" s="1623"/>
      <c r="H213" s="1623">
        <f t="shared" si="6"/>
        <v>5210528.92</v>
      </c>
      <c r="I213" s="1623">
        <f>+IFERROR(VLOOKUP($B213,'TB 260524'!$A:$C,3,0),0)</f>
        <v>0</v>
      </c>
      <c r="J213" s="1623"/>
      <c r="K213" s="1623">
        <f t="shared" si="7"/>
        <v>0</v>
      </c>
      <c r="L213" s="1623">
        <v>10675054.880000001</v>
      </c>
      <c r="M213" s="1623">
        <v>0</v>
      </c>
      <c r="N213" s="1623">
        <v>10675054.880000001</v>
      </c>
      <c r="O213" s="1623">
        <v>0</v>
      </c>
      <c r="P213" s="1623">
        <v>0</v>
      </c>
      <c r="Q213" s="1623">
        <v>0</v>
      </c>
    </row>
    <row r="214" spans="1:17">
      <c r="B214" s="856" t="s">
        <v>262</v>
      </c>
      <c r="C214" s="856">
        <v>6</v>
      </c>
      <c r="D214" s="856" t="s">
        <v>13</v>
      </c>
      <c r="E214" s="856" t="s">
        <v>14</v>
      </c>
      <c r="F214" s="1623">
        <f>+IFERROR(VLOOKUP($B214,'TB 260524'!$A:$C,2,0),0)</f>
        <v>490236</v>
      </c>
      <c r="G214" s="1623"/>
      <c r="H214" s="1623">
        <f t="shared" si="6"/>
        <v>490236</v>
      </c>
      <c r="I214" s="1623">
        <f>+IFERROR(VLOOKUP($B214,'TB 260524'!$A:$C,3,0),0)</f>
        <v>0</v>
      </c>
      <c r="J214" s="1623"/>
      <c r="K214" s="1623">
        <f t="shared" si="7"/>
        <v>0</v>
      </c>
      <c r="L214" s="1623">
        <v>0</v>
      </c>
      <c r="M214" s="1623">
        <v>0</v>
      </c>
      <c r="N214" s="1623">
        <v>0</v>
      </c>
      <c r="O214" s="1623">
        <v>0</v>
      </c>
      <c r="P214" s="1623">
        <v>0</v>
      </c>
      <c r="Q214" s="1623">
        <v>0</v>
      </c>
    </row>
    <row r="215" spans="1:17">
      <c r="B215" s="856" t="s">
        <v>2975</v>
      </c>
      <c r="C215" s="856">
        <v>17</v>
      </c>
      <c r="D215" s="856" t="s">
        <v>8</v>
      </c>
      <c r="E215" s="856" t="s">
        <v>8</v>
      </c>
      <c r="F215" s="1623">
        <f>+IFERROR(VLOOKUP($B215,'TB 260524'!$A:$C,2,0),0)</f>
        <v>0</v>
      </c>
      <c r="G215" s="1623"/>
      <c r="H215" s="1623">
        <f t="shared" si="6"/>
        <v>0</v>
      </c>
      <c r="I215" s="1623">
        <f>+IFERROR(VLOOKUP($B215,'TB 260524'!$A:$C,3,0),0)</f>
        <v>0</v>
      </c>
      <c r="J215" s="1623"/>
      <c r="K215" s="1623">
        <f t="shared" si="7"/>
        <v>0</v>
      </c>
      <c r="L215" s="1623">
        <v>0</v>
      </c>
      <c r="M215" s="1623">
        <v>0</v>
      </c>
      <c r="N215" s="1623">
        <v>0</v>
      </c>
      <c r="O215" s="1623">
        <v>0</v>
      </c>
      <c r="P215" s="1623">
        <v>0</v>
      </c>
      <c r="Q215" s="1623">
        <v>0</v>
      </c>
    </row>
    <row r="216" spans="1:17">
      <c r="B216" s="856" t="s">
        <v>263</v>
      </c>
      <c r="C216" s="856">
        <v>17</v>
      </c>
      <c r="D216" s="856" t="s">
        <v>8</v>
      </c>
      <c r="E216" s="856" t="s">
        <v>8</v>
      </c>
      <c r="F216" s="1623">
        <f>+IFERROR(VLOOKUP($B216,'TB 260524'!$A:$C,2,0),0)</f>
        <v>0</v>
      </c>
      <c r="G216" s="1623"/>
      <c r="H216" s="1623">
        <f t="shared" si="6"/>
        <v>0</v>
      </c>
      <c r="I216" s="1623">
        <f>+IFERROR(VLOOKUP($B216,'TB 260524'!$A:$C,3,0),0)</f>
        <v>16497</v>
      </c>
      <c r="J216" s="1623"/>
      <c r="K216" s="1623">
        <f t="shared" si="7"/>
        <v>16497</v>
      </c>
      <c r="L216" s="1623">
        <v>0</v>
      </c>
      <c r="M216" s="1623">
        <v>0</v>
      </c>
      <c r="N216" s="1623">
        <v>0</v>
      </c>
      <c r="O216" s="1623">
        <v>56976</v>
      </c>
      <c r="P216" s="1623">
        <v>0</v>
      </c>
      <c r="Q216" s="1623">
        <v>56976</v>
      </c>
    </row>
    <row r="217" spans="1:17">
      <c r="B217" s="856" t="s">
        <v>264</v>
      </c>
      <c r="C217" s="856">
        <v>17</v>
      </c>
      <c r="D217" s="856" t="s">
        <v>8</v>
      </c>
      <c r="E217" s="856" t="s">
        <v>9</v>
      </c>
      <c r="F217" s="1623">
        <f>+IFERROR(VLOOKUP($B217,'TB 260524'!$A:$C,2,0),0)</f>
        <v>0</v>
      </c>
      <c r="G217" s="1623"/>
      <c r="H217" s="1623">
        <f t="shared" si="6"/>
        <v>0</v>
      </c>
      <c r="I217" s="1623">
        <f>+IFERROR(VLOOKUP($B217,'TB 260524'!$A:$C,3,0),0)</f>
        <v>430942</v>
      </c>
      <c r="J217" s="1623"/>
      <c r="K217" s="1623">
        <f t="shared" si="7"/>
        <v>430942</v>
      </c>
      <c r="L217" s="1623">
        <v>0</v>
      </c>
      <c r="M217" s="1623">
        <v>0</v>
      </c>
      <c r="N217" s="1623">
        <v>0</v>
      </c>
      <c r="O217" s="1623">
        <v>356852</v>
      </c>
      <c r="P217" s="1623">
        <v>0</v>
      </c>
      <c r="Q217" s="1623">
        <v>356852</v>
      </c>
    </row>
    <row r="218" spans="1:17">
      <c r="B218" s="856" t="s">
        <v>525</v>
      </c>
      <c r="C218" s="856">
        <v>17</v>
      </c>
      <c r="D218" s="856" t="s">
        <v>8</v>
      </c>
      <c r="E218" s="856" t="s">
        <v>9</v>
      </c>
      <c r="F218" s="1623">
        <f>+IFERROR(VLOOKUP($B218,'TB 260524'!$A:$C,2,0),0)</f>
        <v>0</v>
      </c>
      <c r="G218" s="1623"/>
      <c r="H218" s="1623">
        <f t="shared" si="6"/>
        <v>0</v>
      </c>
      <c r="I218" s="1623">
        <f>+IFERROR(VLOOKUP($B218,'TB 260524'!$A:$C,3,0),0)</f>
        <v>437513</v>
      </c>
      <c r="J218" s="1623"/>
      <c r="K218" s="1623">
        <f t="shared" si="7"/>
        <v>437513</v>
      </c>
      <c r="L218" s="1623">
        <v>0</v>
      </c>
      <c r="M218" s="1623">
        <v>0</v>
      </c>
      <c r="N218" s="1623">
        <v>0</v>
      </c>
      <c r="O218" s="1623">
        <v>465751</v>
      </c>
      <c r="P218" s="1623">
        <v>0</v>
      </c>
      <c r="Q218" s="1623">
        <v>465751</v>
      </c>
    </row>
    <row r="219" spans="1:17">
      <c r="B219" s="856" t="s">
        <v>265</v>
      </c>
      <c r="C219" s="856">
        <v>17</v>
      </c>
      <c r="D219" s="856" t="s">
        <v>8</v>
      </c>
      <c r="E219" s="856" t="s">
        <v>9</v>
      </c>
      <c r="F219" s="1623">
        <f>+IFERROR(VLOOKUP($B219,'TB 260524'!$A:$C,2,0),0)</f>
        <v>0</v>
      </c>
      <c r="G219" s="1623"/>
      <c r="H219" s="1623">
        <f t="shared" si="6"/>
        <v>0</v>
      </c>
      <c r="I219" s="1623">
        <f>+IFERROR(VLOOKUP($B219,'TB 260524'!$A:$C,3,0),0)</f>
        <v>544625</v>
      </c>
      <c r="J219" s="1623"/>
      <c r="K219" s="1623">
        <f t="shared" si="7"/>
        <v>544625</v>
      </c>
      <c r="L219" s="1623">
        <v>0</v>
      </c>
      <c r="M219" s="1623">
        <v>0</v>
      </c>
      <c r="N219" s="1623">
        <v>0</v>
      </c>
      <c r="O219" s="1623">
        <v>509568</v>
      </c>
      <c r="P219" s="1623">
        <v>0</v>
      </c>
      <c r="Q219" s="1623">
        <v>509568</v>
      </c>
    </row>
    <row r="220" spans="1:17">
      <c r="B220" s="856" t="s">
        <v>266</v>
      </c>
      <c r="C220" s="856">
        <v>27</v>
      </c>
      <c r="D220" s="856" t="s">
        <v>48</v>
      </c>
      <c r="E220" s="856" t="s">
        <v>82</v>
      </c>
      <c r="F220" s="1623">
        <f>+IFERROR(VLOOKUP($B220,'TB 260524'!$A:$C,2,0),0)</f>
        <v>450</v>
      </c>
      <c r="G220" s="1623"/>
      <c r="H220" s="1623">
        <f t="shared" si="6"/>
        <v>450</v>
      </c>
      <c r="I220" s="1623">
        <f>+IFERROR(VLOOKUP($B220,'TB 260524'!$A:$C,3,0),0)</f>
        <v>0</v>
      </c>
      <c r="J220" s="1623"/>
      <c r="K220" s="1623">
        <f t="shared" si="7"/>
        <v>0</v>
      </c>
      <c r="L220" s="1623">
        <v>225</v>
      </c>
      <c r="M220" s="1623">
        <v>0</v>
      </c>
      <c r="N220" s="1623">
        <v>225</v>
      </c>
      <c r="O220" s="1623">
        <v>0</v>
      </c>
      <c r="P220" s="1623">
        <v>0</v>
      </c>
      <c r="Q220" s="1623">
        <v>0</v>
      </c>
    </row>
    <row r="221" spans="1:17">
      <c r="B221" s="856" t="s">
        <v>267</v>
      </c>
      <c r="C221" s="856">
        <v>27</v>
      </c>
      <c r="D221" s="856" t="s">
        <v>48</v>
      </c>
      <c r="E221" s="856" t="s">
        <v>82</v>
      </c>
      <c r="F221" s="1623">
        <f>+IFERROR(VLOOKUP($B221,'TB 260524'!$A:$C,2,0),0)</f>
        <v>5000</v>
      </c>
      <c r="G221" s="1623"/>
      <c r="H221" s="1623">
        <f t="shared" si="6"/>
        <v>5000</v>
      </c>
      <c r="I221" s="1623">
        <f>+IFERROR(VLOOKUP($B221,'TB 260524'!$A:$C,3,0),0)</f>
        <v>0</v>
      </c>
      <c r="J221" s="1623"/>
      <c r="K221" s="1623">
        <f t="shared" si="7"/>
        <v>0</v>
      </c>
      <c r="L221" s="1623">
        <v>226000</v>
      </c>
      <c r="M221" s="1623">
        <v>0</v>
      </c>
      <c r="N221" s="1623">
        <v>226000</v>
      </c>
      <c r="O221" s="1623">
        <v>0</v>
      </c>
      <c r="P221" s="1623">
        <v>0</v>
      </c>
      <c r="Q221" s="1623">
        <v>0</v>
      </c>
    </row>
    <row r="222" spans="1:17">
      <c r="B222" s="856" t="s">
        <v>268</v>
      </c>
      <c r="C222" s="856">
        <v>27</v>
      </c>
      <c r="D222" s="856" t="s">
        <v>48</v>
      </c>
      <c r="E222" s="856" t="s">
        <v>82</v>
      </c>
      <c r="F222" s="1623">
        <f>+IFERROR(VLOOKUP($B222,'TB 260524'!$A:$C,2,0),0)</f>
        <v>450</v>
      </c>
      <c r="G222" s="1623"/>
      <c r="H222" s="1623">
        <f t="shared" si="6"/>
        <v>450</v>
      </c>
      <c r="I222" s="1623">
        <f>+IFERROR(VLOOKUP($B222,'TB 260524'!$A:$C,3,0),0)</f>
        <v>0</v>
      </c>
      <c r="J222" s="1623"/>
      <c r="K222" s="1623">
        <f t="shared" si="7"/>
        <v>0</v>
      </c>
      <c r="L222" s="1623">
        <v>225</v>
      </c>
      <c r="M222" s="1623">
        <v>0</v>
      </c>
      <c r="N222" s="1623">
        <v>225</v>
      </c>
      <c r="O222" s="1623">
        <v>0</v>
      </c>
      <c r="P222" s="1623">
        <v>0</v>
      </c>
      <c r="Q222" s="1623">
        <v>0</v>
      </c>
    </row>
    <row r="223" spans="1:17">
      <c r="B223" s="856" t="s">
        <v>2976</v>
      </c>
      <c r="C223" s="856">
        <v>27</v>
      </c>
      <c r="D223" s="856" t="s">
        <v>48</v>
      </c>
      <c r="E223" s="856" t="s">
        <v>82</v>
      </c>
      <c r="F223" s="1623">
        <f>+IFERROR(VLOOKUP($B223,'TB 260524'!$A:$C,2,0),0)</f>
        <v>217</v>
      </c>
      <c r="G223" s="1623"/>
      <c r="H223" s="1623">
        <f t="shared" si="6"/>
        <v>217</v>
      </c>
      <c r="I223" s="1623">
        <f>+IFERROR(VLOOKUP($B223,'TB 260524'!$A:$C,3,0),0)</f>
        <v>0</v>
      </c>
      <c r="J223" s="1623"/>
      <c r="K223" s="1623">
        <f t="shared" si="7"/>
        <v>0</v>
      </c>
      <c r="L223" s="1623">
        <v>0</v>
      </c>
      <c r="M223" s="1623">
        <v>0</v>
      </c>
      <c r="N223" s="1623">
        <v>0</v>
      </c>
      <c r="O223" s="1623">
        <v>0</v>
      </c>
      <c r="P223" s="1623">
        <v>0</v>
      </c>
      <c r="Q223" s="1623">
        <v>0</v>
      </c>
    </row>
    <row r="224" spans="1:17">
      <c r="B224" s="856" t="s">
        <v>270</v>
      </c>
      <c r="C224" s="856">
        <v>2</v>
      </c>
      <c r="D224" s="856" t="s">
        <v>77</v>
      </c>
      <c r="E224" s="856" t="s">
        <v>78</v>
      </c>
      <c r="F224" s="1623">
        <f>+IFERROR(VLOOKUP($B224,'TB 260524'!$A:$C,2,0),0)</f>
        <v>348624149.81</v>
      </c>
      <c r="G224" s="1623"/>
      <c r="H224" s="1623">
        <f t="shared" si="6"/>
        <v>348624149.81</v>
      </c>
      <c r="I224" s="1623">
        <f>+IFERROR(VLOOKUP($B224,'TB 260524'!$A:$C,3,0),0)</f>
        <v>0</v>
      </c>
      <c r="J224" s="1623"/>
      <c r="K224" s="1623">
        <f t="shared" si="7"/>
        <v>0</v>
      </c>
      <c r="L224" s="1623">
        <v>222167592.13999999</v>
      </c>
      <c r="M224" s="1623">
        <v>0</v>
      </c>
      <c r="N224" s="1623">
        <v>222167592.13999999</v>
      </c>
      <c r="O224" s="1623">
        <v>0</v>
      </c>
      <c r="P224" s="1623">
        <v>0</v>
      </c>
      <c r="Q224" s="1623">
        <v>0</v>
      </c>
    </row>
    <row r="225" spans="1:17">
      <c r="B225" s="856" t="s">
        <v>526</v>
      </c>
      <c r="C225" s="856">
        <v>17</v>
      </c>
      <c r="D225" s="856" t="s">
        <v>8</v>
      </c>
      <c r="E225" s="856" t="s">
        <v>9</v>
      </c>
      <c r="F225" s="1623">
        <f>+IFERROR(VLOOKUP($B225,'TB 260524'!$A:$C,2,0),0)</f>
        <v>0</v>
      </c>
      <c r="G225" s="1623"/>
      <c r="H225" s="1623">
        <f t="shared" si="6"/>
        <v>0</v>
      </c>
      <c r="I225" s="1623">
        <f>+IFERROR(VLOOKUP($B225,'TB 260524'!$A:$C,3,0),0)</f>
        <v>333000</v>
      </c>
      <c r="J225" s="1623"/>
      <c r="K225" s="1623">
        <f t="shared" si="7"/>
        <v>333000</v>
      </c>
      <c r="L225" s="1623">
        <v>0</v>
      </c>
      <c r="M225" s="1623">
        <v>0</v>
      </c>
      <c r="N225" s="1623">
        <v>0</v>
      </c>
      <c r="O225" s="1623">
        <v>374208</v>
      </c>
      <c r="P225" s="1623">
        <v>0</v>
      </c>
      <c r="Q225" s="1623">
        <v>374208</v>
      </c>
    </row>
    <row r="226" spans="1:17">
      <c r="B226" s="856" t="s">
        <v>527</v>
      </c>
      <c r="C226" s="856">
        <v>27</v>
      </c>
      <c r="D226" s="856" t="s">
        <v>48</v>
      </c>
      <c r="E226" s="856" t="s">
        <v>49</v>
      </c>
      <c r="F226" s="1623">
        <f>+IFERROR(VLOOKUP($B226,'TB 260524'!$A:$C,2,0),0)</f>
        <v>72027</v>
      </c>
      <c r="G226" s="1623"/>
      <c r="H226" s="1623">
        <f t="shared" si="6"/>
        <v>72027</v>
      </c>
      <c r="I226" s="1623">
        <f>+IFERROR(VLOOKUP($B226,'TB 260524'!$A:$C,3,0),0)</f>
        <v>0</v>
      </c>
      <c r="J226" s="1623"/>
      <c r="K226" s="1623">
        <f t="shared" si="7"/>
        <v>0</v>
      </c>
      <c r="L226" s="1623">
        <v>84492</v>
      </c>
      <c r="M226" s="1623">
        <v>0</v>
      </c>
      <c r="N226" s="1623">
        <v>84492</v>
      </c>
      <c r="O226" s="1623">
        <v>0</v>
      </c>
      <c r="P226" s="1623">
        <v>0</v>
      </c>
      <c r="Q226" s="1623">
        <v>0</v>
      </c>
    </row>
    <row r="227" spans="1:17">
      <c r="B227" s="856" t="s">
        <v>271</v>
      </c>
      <c r="C227" s="856">
        <v>17</v>
      </c>
      <c r="D227" s="856" t="s">
        <v>8</v>
      </c>
      <c r="E227" s="856" t="s">
        <v>9</v>
      </c>
      <c r="F227" s="1623">
        <f>+IFERROR(VLOOKUP($B227,'TB 260524'!$A:$C,2,0),0)</f>
        <v>0</v>
      </c>
      <c r="G227" s="1623"/>
      <c r="H227" s="1623">
        <f t="shared" si="6"/>
        <v>0</v>
      </c>
      <c r="I227" s="1623">
        <f>+IFERROR(VLOOKUP($B227,'TB 260524'!$A:$C,3,0),0)</f>
        <v>1103470</v>
      </c>
      <c r="J227" s="1623"/>
      <c r="K227" s="1623">
        <f t="shared" si="7"/>
        <v>1103470</v>
      </c>
      <c r="L227" s="1623">
        <v>0</v>
      </c>
      <c r="M227" s="1623">
        <v>0</v>
      </c>
      <c r="N227" s="1623">
        <v>0</v>
      </c>
      <c r="O227" s="1623">
        <v>7145017</v>
      </c>
      <c r="P227" s="1623">
        <v>0</v>
      </c>
      <c r="Q227" s="1623">
        <v>7145017</v>
      </c>
    </row>
    <row r="228" spans="1:17">
      <c r="A228" t="s">
        <v>3014</v>
      </c>
      <c r="B228" s="856" t="s">
        <v>2977</v>
      </c>
      <c r="C228" s="856">
        <v>9</v>
      </c>
      <c r="D228" s="856" t="s">
        <v>35</v>
      </c>
      <c r="E228" s="856" t="s">
        <v>3016</v>
      </c>
      <c r="F228" s="1623">
        <f>+IFERROR(VLOOKUP($B228,'TB 260524'!$A:$C,2,0),0)</f>
        <v>2498493</v>
      </c>
      <c r="G228" s="1623"/>
      <c r="H228" s="1623">
        <f t="shared" si="6"/>
        <v>2498493</v>
      </c>
      <c r="I228" s="1623">
        <f>+IFERROR(VLOOKUP($B228,'TB 260524'!$A:$C,3,0),0)</f>
        <v>0</v>
      </c>
      <c r="J228" s="1623"/>
      <c r="K228" s="1623">
        <f t="shared" si="7"/>
        <v>0</v>
      </c>
      <c r="L228" s="1623">
        <v>0</v>
      </c>
      <c r="M228" s="1623">
        <v>0</v>
      </c>
      <c r="N228" s="1623">
        <v>0</v>
      </c>
      <c r="O228" s="1623">
        <v>0</v>
      </c>
      <c r="P228" s="1623">
        <v>0</v>
      </c>
      <c r="Q228" s="1623">
        <v>0</v>
      </c>
    </row>
    <row r="229" spans="1:17">
      <c r="B229" s="856" t="s">
        <v>2978</v>
      </c>
      <c r="C229" s="856">
        <v>17</v>
      </c>
      <c r="D229" s="856" t="s">
        <v>8</v>
      </c>
      <c r="E229" s="856" t="s">
        <v>9</v>
      </c>
      <c r="F229" s="1623">
        <f>+IFERROR(VLOOKUP($B229,'TB 260524'!$A:$C,2,0),0)</f>
        <v>0</v>
      </c>
      <c r="G229" s="1623"/>
      <c r="H229" s="1623">
        <f t="shared" si="6"/>
        <v>0</v>
      </c>
      <c r="I229" s="1623">
        <f>+IFERROR(VLOOKUP($B229,'TB 260524'!$A:$C,3,0),0)</f>
        <v>40020</v>
      </c>
      <c r="J229" s="1623"/>
      <c r="K229" s="1623">
        <f t="shared" si="7"/>
        <v>40020</v>
      </c>
      <c r="L229" s="1623">
        <v>0</v>
      </c>
      <c r="M229" s="1623">
        <v>0</v>
      </c>
      <c r="N229" s="1623">
        <v>0</v>
      </c>
      <c r="O229" s="1623">
        <v>0</v>
      </c>
      <c r="P229" s="1623">
        <v>0</v>
      </c>
      <c r="Q229" s="1623">
        <v>0</v>
      </c>
    </row>
    <row r="230" spans="1:17">
      <c r="B230" s="856" t="s">
        <v>2979</v>
      </c>
      <c r="C230" s="856">
        <v>17</v>
      </c>
      <c r="D230" s="856" t="s">
        <v>8</v>
      </c>
      <c r="E230" s="856" t="s">
        <v>9</v>
      </c>
      <c r="F230" s="1623">
        <f>+IFERROR(VLOOKUP($B230,'TB 260524'!$A:$C,2,0),0)</f>
        <v>0</v>
      </c>
      <c r="G230" s="1623"/>
      <c r="H230" s="1623">
        <f t="shared" si="6"/>
        <v>0</v>
      </c>
      <c r="I230" s="1623">
        <f>+IFERROR(VLOOKUP($B230,'TB 260524'!$A:$C,3,0),0)</f>
        <v>93400</v>
      </c>
      <c r="J230" s="1623"/>
      <c r="K230" s="1623">
        <f t="shared" si="7"/>
        <v>93400</v>
      </c>
      <c r="L230" s="1623">
        <v>0</v>
      </c>
      <c r="M230" s="1623">
        <v>0</v>
      </c>
      <c r="N230" s="1623">
        <v>0</v>
      </c>
      <c r="O230" s="1623">
        <v>0</v>
      </c>
      <c r="P230" s="1623">
        <v>0</v>
      </c>
      <c r="Q230" s="1623">
        <v>0</v>
      </c>
    </row>
    <row r="231" spans="1:17">
      <c r="B231" s="856" t="s">
        <v>398</v>
      </c>
      <c r="C231" s="856">
        <v>2</v>
      </c>
      <c r="D231" s="856" t="s">
        <v>77</v>
      </c>
      <c r="E231" s="856" t="s">
        <v>399</v>
      </c>
      <c r="F231" s="1623">
        <f>+IFERROR(VLOOKUP($B231,'TB 260524'!$A:$C,2,0),0)</f>
        <v>0</v>
      </c>
      <c r="G231" s="1623"/>
      <c r="H231" s="1623">
        <f t="shared" si="6"/>
        <v>0</v>
      </c>
      <c r="I231" s="1623">
        <f>+IFERROR(VLOOKUP($B231,'TB 260524'!$A:$C,3,0),0)</f>
        <v>0</v>
      </c>
      <c r="J231" s="1623"/>
      <c r="K231" s="1623">
        <f t="shared" si="7"/>
        <v>0</v>
      </c>
      <c r="L231" s="1623">
        <v>1374004</v>
      </c>
      <c r="M231" s="1623">
        <v>0</v>
      </c>
      <c r="N231" s="1623">
        <v>1374004</v>
      </c>
      <c r="O231" s="1623">
        <v>0</v>
      </c>
      <c r="P231" s="1623">
        <v>0</v>
      </c>
      <c r="Q231" s="1623">
        <v>0</v>
      </c>
    </row>
    <row r="232" spans="1:17">
      <c r="B232" s="856" t="s">
        <v>400</v>
      </c>
      <c r="C232" s="856">
        <v>2</v>
      </c>
      <c r="D232" s="856" t="s">
        <v>77</v>
      </c>
      <c r="E232" s="856" t="s">
        <v>399</v>
      </c>
      <c r="F232" s="1623">
        <f>+IFERROR(VLOOKUP($B232,'TB 260524'!$A:$C,2,0),0)</f>
        <v>0</v>
      </c>
      <c r="G232" s="1623"/>
      <c r="H232" s="1623">
        <f t="shared" si="6"/>
        <v>0</v>
      </c>
      <c r="I232" s="1623">
        <f>+IFERROR(VLOOKUP($B232,'TB 260524'!$A:$C,3,0),0)</f>
        <v>0</v>
      </c>
      <c r="J232" s="1623"/>
      <c r="K232" s="1623">
        <f t="shared" si="7"/>
        <v>0</v>
      </c>
      <c r="L232" s="1623">
        <v>198800</v>
      </c>
      <c r="M232" s="1623">
        <v>0</v>
      </c>
      <c r="N232" s="1623">
        <v>198800</v>
      </c>
      <c r="O232" s="1623">
        <v>0</v>
      </c>
      <c r="P232" s="1623">
        <v>0</v>
      </c>
      <c r="Q232" s="1623">
        <v>0</v>
      </c>
    </row>
    <row r="233" spans="1:17">
      <c r="B233" s="856" t="s">
        <v>401</v>
      </c>
      <c r="C233" s="856">
        <v>2</v>
      </c>
      <c r="D233" s="856" t="s">
        <v>77</v>
      </c>
      <c r="E233" s="856" t="s">
        <v>399</v>
      </c>
      <c r="F233" s="1623">
        <f>+IFERROR(VLOOKUP($B233,'TB 260524'!$A:$C,2,0),0)</f>
        <v>0</v>
      </c>
      <c r="G233" s="1623"/>
      <c r="H233" s="1623">
        <f t="shared" si="6"/>
        <v>0</v>
      </c>
      <c r="I233" s="1623">
        <f>+IFERROR(VLOOKUP($B233,'TB 260524'!$A:$C,3,0),0)</f>
        <v>0</v>
      </c>
      <c r="J233" s="1623"/>
      <c r="K233" s="1623">
        <f t="shared" si="7"/>
        <v>0</v>
      </c>
      <c r="L233" s="1623">
        <v>9930454</v>
      </c>
      <c r="M233" s="1623">
        <v>0</v>
      </c>
      <c r="N233" s="1623">
        <v>9930454</v>
      </c>
      <c r="O233" s="1623">
        <v>0</v>
      </c>
      <c r="P233" s="1623">
        <v>0</v>
      </c>
      <c r="Q233" s="1623">
        <v>0</v>
      </c>
    </row>
    <row r="234" spans="1:17">
      <c r="B234" s="856" t="s">
        <v>402</v>
      </c>
      <c r="C234" s="856">
        <v>2</v>
      </c>
      <c r="D234" s="856" t="s">
        <v>77</v>
      </c>
      <c r="E234" s="856" t="s">
        <v>399</v>
      </c>
      <c r="F234" s="1623">
        <f>+IFERROR(VLOOKUP($B234,'TB 260524'!$A:$C,2,0),0)</f>
        <v>0</v>
      </c>
      <c r="G234" s="1623"/>
      <c r="H234" s="1623">
        <f t="shared" si="6"/>
        <v>0</v>
      </c>
      <c r="I234" s="1623">
        <f>+IFERROR(VLOOKUP($B234,'TB 260524'!$A:$C,3,0),0)</f>
        <v>0</v>
      </c>
      <c r="J234" s="1623"/>
      <c r="K234" s="1623">
        <f t="shared" si="7"/>
        <v>0</v>
      </c>
      <c r="L234" s="1623">
        <v>491595</v>
      </c>
      <c r="M234" s="1623">
        <v>0</v>
      </c>
      <c r="N234" s="1623">
        <v>491595</v>
      </c>
      <c r="O234" s="1623">
        <v>0</v>
      </c>
      <c r="P234" s="1623">
        <v>0</v>
      </c>
      <c r="Q234" s="1623">
        <v>0</v>
      </c>
    </row>
    <row r="235" spans="1:17">
      <c r="B235" s="856" t="s">
        <v>273</v>
      </c>
      <c r="C235" s="856">
        <v>10</v>
      </c>
      <c r="D235" s="856" t="s">
        <v>32</v>
      </c>
      <c r="E235" s="856" t="s">
        <v>201</v>
      </c>
      <c r="F235" s="1623">
        <f>+IFERROR(VLOOKUP($B235,'TB 260524'!$A:$C,2,0),0)</f>
        <v>990425</v>
      </c>
      <c r="G235" s="1623"/>
      <c r="H235" s="1623">
        <f t="shared" si="6"/>
        <v>990425</v>
      </c>
      <c r="I235" s="1623">
        <f>+IFERROR(VLOOKUP($B235,'TB 260524'!$A:$C,3,0),0)</f>
        <v>0</v>
      </c>
      <c r="J235" s="1623"/>
      <c r="K235" s="1623">
        <f t="shared" si="7"/>
        <v>0</v>
      </c>
      <c r="L235" s="1623">
        <v>758892</v>
      </c>
      <c r="M235" s="1623">
        <v>0</v>
      </c>
      <c r="N235" s="1623">
        <v>758892</v>
      </c>
      <c r="O235" s="1623">
        <v>0</v>
      </c>
      <c r="P235" s="1623">
        <v>0</v>
      </c>
      <c r="Q235" s="1623">
        <v>0</v>
      </c>
    </row>
    <row r="236" spans="1:17">
      <c r="B236" s="856" t="s">
        <v>2980</v>
      </c>
      <c r="C236" s="856">
        <v>6</v>
      </c>
      <c r="D236" s="856" t="s">
        <v>13</v>
      </c>
      <c r="E236" s="856" t="s">
        <v>14</v>
      </c>
      <c r="F236" s="1623">
        <f>+IFERROR(VLOOKUP($B236,'TB 260524'!$A:$C,2,0),0)</f>
        <v>515309</v>
      </c>
      <c r="G236" s="1623"/>
      <c r="H236" s="1623">
        <f t="shared" si="6"/>
        <v>515309</v>
      </c>
      <c r="I236" s="1623">
        <f>+IFERROR(VLOOKUP($B236,'TB 260524'!$A:$C,3,0),0)</f>
        <v>0</v>
      </c>
      <c r="J236" s="1623"/>
      <c r="K236" s="1623">
        <f t="shared" si="7"/>
        <v>0</v>
      </c>
      <c r="L236" s="1623">
        <v>0</v>
      </c>
      <c r="M236" s="1623">
        <v>0</v>
      </c>
      <c r="N236" s="1623">
        <v>0</v>
      </c>
      <c r="O236" s="1623">
        <v>0</v>
      </c>
      <c r="P236" s="1623">
        <v>0</v>
      </c>
      <c r="Q236" s="1623">
        <v>0</v>
      </c>
    </row>
    <row r="237" spans="1:17">
      <c r="B237" s="856" t="s">
        <v>275</v>
      </c>
      <c r="C237" s="856">
        <v>27</v>
      </c>
      <c r="D237" s="856" t="s">
        <v>48</v>
      </c>
      <c r="E237" s="856" t="s">
        <v>104</v>
      </c>
      <c r="F237" s="1623">
        <f>+IFERROR(VLOOKUP($B237,'TB 260524'!$A:$C,2,0),0)</f>
        <v>774063</v>
      </c>
      <c r="G237" s="1623"/>
      <c r="H237" s="1623">
        <f t="shared" si="6"/>
        <v>774063</v>
      </c>
      <c r="I237" s="1623">
        <f>+IFERROR(VLOOKUP($B237,'TB 260524'!$A:$C,3,0),0)</f>
        <v>0</v>
      </c>
      <c r="J237" s="1623"/>
      <c r="K237" s="1623">
        <f t="shared" si="7"/>
        <v>0</v>
      </c>
      <c r="L237" s="1623">
        <v>671000</v>
      </c>
      <c r="M237" s="1623">
        <v>0</v>
      </c>
      <c r="N237" s="1623">
        <v>671000</v>
      </c>
      <c r="O237" s="1623">
        <v>0</v>
      </c>
      <c r="P237" s="1623">
        <v>0</v>
      </c>
      <c r="Q237" s="1623">
        <v>0</v>
      </c>
    </row>
    <row r="238" spans="1:17">
      <c r="B238" s="856" t="s">
        <v>276</v>
      </c>
      <c r="C238" s="856">
        <v>27</v>
      </c>
      <c r="D238" s="856" t="s">
        <v>48</v>
      </c>
      <c r="E238" s="856" t="s">
        <v>82</v>
      </c>
      <c r="F238" s="1623">
        <f>+IFERROR(VLOOKUP($B238,'TB 260524'!$A:$C,2,0),0)</f>
        <v>2500</v>
      </c>
      <c r="G238" s="1623"/>
      <c r="H238" s="1623">
        <f t="shared" si="6"/>
        <v>2500</v>
      </c>
      <c r="I238" s="1623">
        <f>+IFERROR(VLOOKUP($B238,'TB 260524'!$A:$C,3,0),0)</f>
        <v>0</v>
      </c>
      <c r="J238" s="1623"/>
      <c r="K238" s="1623">
        <f t="shared" si="7"/>
        <v>0</v>
      </c>
      <c r="L238" s="1623">
        <v>10000</v>
      </c>
      <c r="M238" s="1623">
        <v>0</v>
      </c>
      <c r="N238" s="1623">
        <v>10000</v>
      </c>
      <c r="O238" s="1623">
        <v>0</v>
      </c>
      <c r="P238" s="1623">
        <v>0</v>
      </c>
      <c r="Q238" s="1623">
        <v>0</v>
      </c>
    </row>
    <row r="239" spans="1:17">
      <c r="B239" s="856" t="s">
        <v>529</v>
      </c>
      <c r="C239" s="856"/>
      <c r="D239" s="856" t="s">
        <v>80</v>
      </c>
      <c r="E239" s="856" t="s">
        <v>277</v>
      </c>
      <c r="F239" s="1623">
        <f>+IFERROR(VLOOKUP($B239,'TB 260524'!$A:$C,2,0),0)</f>
        <v>0</v>
      </c>
      <c r="G239" s="1623"/>
      <c r="H239" s="1623">
        <f t="shared" si="6"/>
        <v>0</v>
      </c>
      <c r="I239" s="1623">
        <f>+IFERROR(VLOOKUP($B239,'TB 260524'!$A:$C,3,0),0)</f>
        <v>127241303.03</v>
      </c>
      <c r="J239" s="1623"/>
      <c r="K239" s="1623">
        <f t="shared" si="7"/>
        <v>127241303.03</v>
      </c>
      <c r="L239" s="1623">
        <v>0</v>
      </c>
      <c r="M239" s="1623">
        <v>0</v>
      </c>
      <c r="N239" s="1623">
        <v>0</v>
      </c>
      <c r="O239" s="1623">
        <v>164517556.99000001</v>
      </c>
      <c r="P239" s="1623">
        <v>0</v>
      </c>
      <c r="Q239" s="1623">
        <v>164517556.99000001</v>
      </c>
    </row>
    <row r="240" spans="1:17">
      <c r="B240" s="856" t="s">
        <v>279</v>
      </c>
      <c r="C240" s="856">
        <v>21</v>
      </c>
      <c r="D240" s="856" t="s">
        <v>143</v>
      </c>
      <c r="E240" s="856" t="s">
        <v>280</v>
      </c>
      <c r="F240" s="1623">
        <f>+IFERROR(VLOOKUP($B240,'TB 260524'!$A:$C,2,0),0)</f>
        <v>0</v>
      </c>
      <c r="G240" s="1623"/>
      <c r="H240" s="1623">
        <f t="shared" si="6"/>
        <v>0</v>
      </c>
      <c r="I240" s="1623">
        <f>+IFERROR(VLOOKUP($B240,'TB 260524'!$A:$C,3,0),0)</f>
        <v>9444000</v>
      </c>
      <c r="J240" s="1623"/>
      <c r="K240" s="1623">
        <f t="shared" si="7"/>
        <v>9444000</v>
      </c>
      <c r="L240" s="1623">
        <v>0</v>
      </c>
      <c r="M240" s="1623">
        <v>0</v>
      </c>
      <c r="N240" s="1623">
        <v>0</v>
      </c>
      <c r="O240" s="1623">
        <v>9443500</v>
      </c>
      <c r="P240" s="1623">
        <v>0</v>
      </c>
      <c r="Q240" s="1623">
        <v>9443500</v>
      </c>
    </row>
    <row r="241" spans="2:17">
      <c r="B241" s="856" t="s">
        <v>530</v>
      </c>
      <c r="C241" s="856">
        <v>25</v>
      </c>
      <c r="D241" s="856" t="s">
        <v>140</v>
      </c>
      <c r="E241" s="856" t="s">
        <v>157</v>
      </c>
      <c r="F241" s="1623">
        <f>+IFERROR(VLOOKUP($B241,'TB 260524'!$A:$C,2,0),0)</f>
        <v>1547993</v>
      </c>
      <c r="G241" s="1623"/>
      <c r="H241" s="1623">
        <f t="shared" si="6"/>
        <v>1547993</v>
      </c>
      <c r="I241" s="1623">
        <f>+IFERROR(VLOOKUP($B241,'TB 260524'!$A:$C,3,0),0)</f>
        <v>0</v>
      </c>
      <c r="J241" s="1623"/>
      <c r="K241" s="1623">
        <f t="shared" si="7"/>
        <v>0</v>
      </c>
      <c r="L241" s="1623">
        <v>1309161</v>
      </c>
      <c r="M241" s="1623">
        <v>0</v>
      </c>
      <c r="N241" s="1623">
        <v>1309161</v>
      </c>
      <c r="O241" s="1623">
        <v>0</v>
      </c>
      <c r="P241" s="1623">
        <v>0</v>
      </c>
      <c r="Q241" s="1623">
        <v>0</v>
      </c>
    </row>
    <row r="242" spans="2:17">
      <c r="B242" s="856" t="s">
        <v>281</v>
      </c>
      <c r="C242" s="856">
        <v>14</v>
      </c>
      <c r="D242" s="856" t="s">
        <v>126</v>
      </c>
      <c r="E242" s="856" t="s">
        <v>127</v>
      </c>
      <c r="F242" s="1623">
        <f>+IFERROR(VLOOKUP($B242,'TB 260524'!$A:$C,2,0),0)</f>
        <v>0</v>
      </c>
      <c r="G242" s="1623"/>
      <c r="H242" s="1623">
        <f t="shared" si="6"/>
        <v>0</v>
      </c>
      <c r="I242" s="1623">
        <f>+IFERROR(VLOOKUP($B242,'TB 260524'!$A:$C,3,0),0)</f>
        <v>5971965</v>
      </c>
      <c r="J242" s="1623">
        <v>-55667</v>
      </c>
      <c r="K242" s="1623">
        <f t="shared" si="7"/>
        <v>5916298</v>
      </c>
      <c r="L242" s="1623">
        <v>0</v>
      </c>
      <c r="M242" s="1623">
        <v>0</v>
      </c>
      <c r="N242" s="1623">
        <v>0</v>
      </c>
      <c r="O242" s="1623">
        <v>5028548</v>
      </c>
      <c r="P242" s="1623">
        <v>0</v>
      </c>
      <c r="Q242" s="1623">
        <v>5028548</v>
      </c>
    </row>
    <row r="243" spans="2:17">
      <c r="B243" s="856" t="s">
        <v>282</v>
      </c>
      <c r="C243" s="856">
        <v>2</v>
      </c>
      <c r="D243" s="856" t="s">
        <v>77</v>
      </c>
      <c r="E243" s="856" t="s">
        <v>283</v>
      </c>
      <c r="F243" s="1623">
        <f>+IFERROR(VLOOKUP($B243,'TB 260524'!$A:$C,2,0),0)</f>
        <v>0</v>
      </c>
      <c r="G243" s="1623"/>
      <c r="H243" s="1623">
        <f t="shared" si="6"/>
        <v>0</v>
      </c>
      <c r="I243" s="1623">
        <f>+IFERROR(VLOOKUP($B243,'TB 260524'!$A:$C,3,0),0)</f>
        <v>10989233.91</v>
      </c>
      <c r="J243" s="1623"/>
      <c r="K243" s="1623">
        <f t="shared" si="7"/>
        <v>10989233.91</v>
      </c>
      <c r="L243" s="1623">
        <v>0</v>
      </c>
      <c r="M243" s="1623">
        <v>0</v>
      </c>
      <c r="N243" s="1623">
        <v>0</v>
      </c>
      <c r="O243" s="1623">
        <v>8886648</v>
      </c>
      <c r="P243" s="1623">
        <v>0</v>
      </c>
      <c r="Q243" s="1623">
        <v>8886648</v>
      </c>
    </row>
    <row r="244" spans="2:17">
      <c r="B244" s="856" t="s">
        <v>531</v>
      </c>
      <c r="C244" s="856">
        <v>2</v>
      </c>
      <c r="D244" s="856" t="s">
        <v>77</v>
      </c>
      <c r="E244" s="856" t="s">
        <v>283</v>
      </c>
      <c r="F244" s="1623">
        <f>+IFERROR(VLOOKUP($B244,'TB 260524'!$A:$C,2,0),0)</f>
        <v>0</v>
      </c>
      <c r="G244" s="1623"/>
      <c r="H244" s="1623">
        <f t="shared" si="6"/>
        <v>0</v>
      </c>
      <c r="I244" s="1623">
        <f>+IFERROR(VLOOKUP($B244,'TB 260524'!$A:$C,3,0),0)</f>
        <v>869014.41</v>
      </c>
      <c r="J244" s="1623"/>
      <c r="K244" s="1623">
        <f t="shared" si="7"/>
        <v>869014.41</v>
      </c>
      <c r="L244" s="1623">
        <v>0</v>
      </c>
      <c r="M244" s="1623">
        <v>0</v>
      </c>
      <c r="N244" s="1623">
        <v>0</v>
      </c>
      <c r="O244" s="1623">
        <v>771454</v>
      </c>
      <c r="P244" s="1623">
        <v>0</v>
      </c>
      <c r="Q244" s="1623">
        <v>771454</v>
      </c>
    </row>
    <row r="245" spans="2:17">
      <c r="B245" s="856" t="s">
        <v>532</v>
      </c>
      <c r="C245" s="856">
        <v>2</v>
      </c>
      <c r="D245" s="856" t="s">
        <v>77</v>
      </c>
      <c r="E245" s="856" t="s">
        <v>283</v>
      </c>
      <c r="F245" s="1623">
        <f>+IFERROR(VLOOKUP($B245,'TB 260524'!$A:$C,2,0),0)</f>
        <v>0</v>
      </c>
      <c r="G245" s="1623"/>
      <c r="H245" s="1623">
        <f t="shared" si="6"/>
        <v>0</v>
      </c>
      <c r="I245" s="1623">
        <f>+IFERROR(VLOOKUP($B245,'TB 260524'!$A:$C,3,0),0)</f>
        <v>17269944.850000001</v>
      </c>
      <c r="J245" s="1623"/>
      <c r="K245" s="1623">
        <f t="shared" si="7"/>
        <v>17269944.850000001</v>
      </c>
      <c r="L245" s="1623">
        <v>0</v>
      </c>
      <c r="M245" s="1623">
        <v>0</v>
      </c>
      <c r="N245" s="1623">
        <v>0</v>
      </c>
      <c r="O245" s="1623">
        <v>19886895</v>
      </c>
      <c r="P245" s="1623">
        <v>0</v>
      </c>
      <c r="Q245" s="1623">
        <v>19886895</v>
      </c>
    </row>
    <row r="246" spans="2:17">
      <c r="B246" s="856" t="s">
        <v>284</v>
      </c>
      <c r="C246" s="856">
        <v>2</v>
      </c>
      <c r="D246" s="856" t="s">
        <v>77</v>
      </c>
      <c r="E246" s="856" t="s">
        <v>283</v>
      </c>
      <c r="F246" s="1623">
        <f>+IFERROR(VLOOKUP($B246,'TB 260524'!$A:$C,2,0),0)</f>
        <v>0</v>
      </c>
      <c r="G246" s="1623"/>
      <c r="H246" s="1623">
        <f t="shared" si="6"/>
        <v>0</v>
      </c>
      <c r="I246" s="1623">
        <f>+IFERROR(VLOOKUP($B246,'TB 260524'!$A:$C,3,0),0)</f>
        <v>379192</v>
      </c>
      <c r="J246" s="1623"/>
      <c r="K246" s="1623">
        <f t="shared" si="7"/>
        <v>379192</v>
      </c>
      <c r="L246" s="1623">
        <v>0</v>
      </c>
      <c r="M246" s="1623">
        <v>0</v>
      </c>
      <c r="N246" s="1623">
        <v>0</v>
      </c>
      <c r="O246" s="1623">
        <v>379192</v>
      </c>
      <c r="P246" s="1623">
        <v>0</v>
      </c>
      <c r="Q246" s="1623">
        <v>379192</v>
      </c>
    </row>
    <row r="247" spans="2:17">
      <c r="B247" s="856" t="s">
        <v>533</v>
      </c>
      <c r="C247" s="856">
        <v>2</v>
      </c>
      <c r="D247" s="856" t="s">
        <v>77</v>
      </c>
      <c r="E247" s="856" t="s">
        <v>283</v>
      </c>
      <c r="F247" s="1623">
        <f>+IFERROR(VLOOKUP($B247,'TB 260524'!$A:$C,2,0),0)</f>
        <v>0</v>
      </c>
      <c r="G247" s="1623"/>
      <c r="H247" s="1623">
        <f t="shared" si="6"/>
        <v>0</v>
      </c>
      <c r="I247" s="1623">
        <f>+IFERROR(VLOOKUP($B247,'TB 260524'!$A:$C,3,0),0)</f>
        <v>1218124.6399999999</v>
      </c>
      <c r="J247" s="1623"/>
      <c r="K247" s="1623">
        <f t="shared" si="7"/>
        <v>1218124.6399999999</v>
      </c>
      <c r="L247" s="1623">
        <v>0</v>
      </c>
      <c r="M247" s="1623">
        <v>0</v>
      </c>
      <c r="N247" s="1623">
        <v>0</v>
      </c>
      <c r="O247" s="1623">
        <v>1114747</v>
      </c>
      <c r="P247" s="1623">
        <v>0</v>
      </c>
      <c r="Q247" s="1623">
        <v>1114747</v>
      </c>
    </row>
    <row r="248" spans="2:17">
      <c r="B248" s="856" t="s">
        <v>534</v>
      </c>
      <c r="C248" s="856">
        <v>2</v>
      </c>
      <c r="D248" s="856" t="s">
        <v>77</v>
      </c>
      <c r="E248" s="856" t="s">
        <v>283</v>
      </c>
      <c r="F248" s="1623">
        <f>+IFERROR(VLOOKUP($B248,'TB 260524'!$A:$C,2,0),0)</f>
        <v>0</v>
      </c>
      <c r="G248" s="1623"/>
      <c r="H248" s="1623">
        <f t="shared" si="6"/>
        <v>0</v>
      </c>
      <c r="I248" s="1623">
        <f>+IFERROR(VLOOKUP($B248,'TB 260524'!$A:$C,3,0),0)</f>
        <v>926478.12</v>
      </c>
      <c r="J248" s="1623"/>
      <c r="K248" s="1623">
        <f t="shared" si="7"/>
        <v>926478.12</v>
      </c>
      <c r="L248" s="1623">
        <v>0</v>
      </c>
      <c r="M248" s="1623">
        <v>0</v>
      </c>
      <c r="N248" s="1623">
        <v>0</v>
      </c>
      <c r="O248" s="1623">
        <v>817411</v>
      </c>
      <c r="P248" s="1623">
        <v>0</v>
      </c>
      <c r="Q248" s="1623">
        <v>817411</v>
      </c>
    </row>
    <row r="249" spans="2:17">
      <c r="B249" s="856" t="s">
        <v>535</v>
      </c>
      <c r="C249" s="856">
        <v>2</v>
      </c>
      <c r="D249" s="856" t="s">
        <v>77</v>
      </c>
      <c r="E249" s="856" t="s">
        <v>283</v>
      </c>
      <c r="F249" s="1623">
        <f>+IFERROR(VLOOKUP($B249,'TB 260524'!$A:$C,2,0),0)</f>
        <v>0</v>
      </c>
      <c r="G249" s="1623"/>
      <c r="H249" s="1623">
        <f t="shared" si="6"/>
        <v>0</v>
      </c>
      <c r="I249" s="1623">
        <f>+IFERROR(VLOOKUP($B249,'TB 260524'!$A:$C,3,0),0)</f>
        <v>130154367.81999999</v>
      </c>
      <c r="J249" s="1623"/>
      <c r="K249" s="1623">
        <f t="shared" si="7"/>
        <v>130154367.81999999</v>
      </c>
      <c r="L249" s="1623">
        <v>0</v>
      </c>
      <c r="M249" s="1623">
        <v>0</v>
      </c>
      <c r="N249" s="1623">
        <v>0</v>
      </c>
      <c r="O249" s="1623">
        <v>127155757</v>
      </c>
      <c r="P249" s="1623">
        <v>0</v>
      </c>
      <c r="Q249" s="1623">
        <v>127155757</v>
      </c>
    </row>
    <row r="250" spans="2:17">
      <c r="B250" s="856" t="s">
        <v>536</v>
      </c>
      <c r="C250" s="856">
        <v>2</v>
      </c>
      <c r="D250" s="856" t="s">
        <v>77</v>
      </c>
      <c r="E250" s="856" t="s">
        <v>283</v>
      </c>
      <c r="F250" s="1623">
        <f>+IFERROR(VLOOKUP($B250,'TB 260524'!$A:$C,2,0),0)</f>
        <v>0</v>
      </c>
      <c r="G250" s="1623"/>
      <c r="H250" s="1623">
        <f t="shared" si="6"/>
        <v>0</v>
      </c>
      <c r="I250" s="1623">
        <f>+IFERROR(VLOOKUP($B250,'TB 260524'!$A:$C,3,0),0)</f>
        <v>1611557.77</v>
      </c>
      <c r="J250" s="1623"/>
      <c r="K250" s="1623">
        <f t="shared" si="7"/>
        <v>1611557.77</v>
      </c>
      <c r="L250" s="1623">
        <v>0</v>
      </c>
      <c r="M250" s="1623">
        <v>0</v>
      </c>
      <c r="N250" s="1623">
        <v>0</v>
      </c>
      <c r="O250" s="1623">
        <v>1264103</v>
      </c>
      <c r="P250" s="1623">
        <v>0</v>
      </c>
      <c r="Q250" s="1623">
        <v>1264103</v>
      </c>
    </row>
    <row r="251" spans="2:17">
      <c r="B251" s="856" t="s">
        <v>288</v>
      </c>
      <c r="C251" s="856">
        <v>11</v>
      </c>
      <c r="D251" s="856" t="s">
        <v>25</v>
      </c>
      <c r="E251" s="856" t="s">
        <v>26</v>
      </c>
      <c r="F251" s="1623">
        <f>+IFERROR(VLOOKUP($B251,'TB 260524'!$A:$C,2,0),0)</f>
        <v>122153</v>
      </c>
      <c r="G251" s="1623"/>
      <c r="H251" s="1623">
        <f t="shared" si="6"/>
        <v>122153</v>
      </c>
      <c r="I251" s="1623">
        <f>+IFERROR(VLOOKUP($B251,'TB 260524'!$A:$C,3,0),0)</f>
        <v>0</v>
      </c>
      <c r="J251" s="1623"/>
      <c r="K251" s="1623">
        <f t="shared" si="7"/>
        <v>0</v>
      </c>
      <c r="L251" s="1623">
        <v>122153</v>
      </c>
      <c r="M251" s="1623">
        <v>0</v>
      </c>
      <c r="N251" s="1623">
        <v>122153</v>
      </c>
      <c r="O251" s="1623">
        <v>0</v>
      </c>
      <c r="P251" s="1623">
        <v>0</v>
      </c>
      <c r="Q251" s="1623">
        <v>0</v>
      </c>
    </row>
    <row r="252" spans="2:17">
      <c r="B252" s="856" t="s">
        <v>291</v>
      </c>
      <c r="C252" s="856">
        <v>11</v>
      </c>
      <c r="D252" s="856" t="s">
        <v>25</v>
      </c>
      <c r="E252" s="856" t="s">
        <v>26</v>
      </c>
      <c r="F252" s="1623">
        <f>+IFERROR(VLOOKUP($B252,'TB 260524'!$A:$C,2,0),0)</f>
        <v>271788</v>
      </c>
      <c r="G252" s="1623"/>
      <c r="H252" s="1623">
        <f t="shared" si="6"/>
        <v>271788</v>
      </c>
      <c r="I252" s="1623">
        <f>+IFERROR(VLOOKUP($B252,'TB 260524'!$A:$C,3,0),0)</f>
        <v>0</v>
      </c>
      <c r="J252" s="1623"/>
      <c r="K252" s="1623">
        <f t="shared" si="7"/>
        <v>0</v>
      </c>
      <c r="L252" s="1623">
        <v>271788</v>
      </c>
      <c r="M252" s="1623">
        <v>0</v>
      </c>
      <c r="N252" s="1623">
        <v>271788</v>
      </c>
      <c r="O252" s="1623">
        <v>0</v>
      </c>
      <c r="P252" s="1623">
        <v>0</v>
      </c>
      <c r="Q252" s="1623">
        <v>0</v>
      </c>
    </row>
    <row r="253" spans="2:17">
      <c r="B253" s="856" t="s">
        <v>290</v>
      </c>
      <c r="C253" s="856">
        <v>11</v>
      </c>
      <c r="D253" s="856" t="s">
        <v>25</v>
      </c>
      <c r="E253" s="856" t="s">
        <v>26</v>
      </c>
      <c r="F253" s="1623">
        <f>+IFERROR(VLOOKUP($B253,'TB 260524'!$A:$C,2,0),0)</f>
        <v>139678</v>
      </c>
      <c r="G253" s="1623"/>
      <c r="H253" s="1623">
        <f t="shared" si="6"/>
        <v>139678</v>
      </c>
      <c r="I253" s="1623">
        <f>+IFERROR(VLOOKUP($B253,'TB 260524'!$A:$C,3,0),0)</f>
        <v>0</v>
      </c>
      <c r="J253" s="1623"/>
      <c r="K253" s="1623">
        <f t="shared" si="7"/>
        <v>0</v>
      </c>
      <c r="L253" s="1623">
        <v>139678</v>
      </c>
      <c r="M253" s="1623">
        <v>0</v>
      </c>
      <c r="N253" s="1623">
        <v>139678</v>
      </c>
      <c r="O253" s="1623">
        <v>0</v>
      </c>
      <c r="P253" s="1623">
        <v>0</v>
      </c>
      <c r="Q253" s="1623">
        <v>0</v>
      </c>
    </row>
    <row r="254" spans="2:17">
      <c r="B254" s="856" t="s">
        <v>285</v>
      </c>
      <c r="C254" s="856">
        <v>11</v>
      </c>
      <c r="D254" s="856" t="s">
        <v>25</v>
      </c>
      <c r="E254" s="856" t="s">
        <v>26</v>
      </c>
      <c r="F254" s="1623">
        <f>+IFERROR(VLOOKUP($B254,'TB 260524'!$A:$C,2,0),0)</f>
        <v>34285</v>
      </c>
      <c r="G254" s="1623"/>
      <c r="H254" s="1623">
        <f t="shared" si="6"/>
        <v>34285</v>
      </c>
      <c r="I254" s="1623">
        <f>+IFERROR(VLOOKUP($B254,'TB 260524'!$A:$C,3,0),0)</f>
        <v>0</v>
      </c>
      <c r="J254" s="1623"/>
      <c r="K254" s="1623">
        <f t="shared" si="7"/>
        <v>0</v>
      </c>
      <c r="L254" s="1623">
        <v>34285</v>
      </c>
      <c r="M254" s="1623">
        <v>0</v>
      </c>
      <c r="N254" s="1623">
        <v>34285</v>
      </c>
      <c r="O254" s="1623">
        <v>0</v>
      </c>
      <c r="P254" s="1623">
        <v>0</v>
      </c>
      <c r="Q254" s="1623">
        <v>0</v>
      </c>
    </row>
    <row r="255" spans="2:17">
      <c r="B255" s="856" t="s">
        <v>537</v>
      </c>
      <c r="C255" s="856">
        <v>14</v>
      </c>
      <c r="D255" s="856" t="s">
        <v>126</v>
      </c>
      <c r="E255" s="856" t="s">
        <v>127</v>
      </c>
      <c r="F255" s="1623">
        <f>+IFERROR(VLOOKUP($B255,'TB 260524'!$A:$C,2,0),0)</f>
        <v>0</v>
      </c>
      <c r="G255" s="1623"/>
      <c r="H255" s="1623">
        <f t="shared" si="6"/>
        <v>0</v>
      </c>
      <c r="I255" s="1623">
        <f>+IFERROR(VLOOKUP($B255,'TB 260524'!$A:$C,3,0),0)</f>
        <v>3020979.7</v>
      </c>
      <c r="J255" s="1623"/>
      <c r="K255" s="1623">
        <f t="shared" si="7"/>
        <v>3020979.7</v>
      </c>
      <c r="L255" s="1623">
        <v>0</v>
      </c>
      <c r="M255" s="1623">
        <v>0</v>
      </c>
      <c r="N255" s="1623">
        <v>0</v>
      </c>
      <c r="O255" s="1623">
        <v>3113797.7</v>
      </c>
      <c r="P255" s="1623">
        <v>0</v>
      </c>
      <c r="Q255" s="1623">
        <v>3113797.7</v>
      </c>
    </row>
    <row r="256" spans="2:17">
      <c r="B256" s="856" t="s">
        <v>292</v>
      </c>
      <c r="C256" s="856">
        <v>9</v>
      </c>
      <c r="D256" s="856" t="s">
        <v>35</v>
      </c>
      <c r="E256" s="856" t="s">
        <v>112</v>
      </c>
      <c r="F256" s="1623">
        <f>+IFERROR(VLOOKUP($B256,'TB 260524'!$A:$C,2,0),0)</f>
        <v>11114075</v>
      </c>
      <c r="G256" s="1623"/>
      <c r="H256" s="1623">
        <f t="shared" si="6"/>
        <v>11114075</v>
      </c>
      <c r="I256" s="1623">
        <f>+IFERROR(VLOOKUP($B256,'TB 260524'!$A:$C,3,0),0)</f>
        <v>0</v>
      </c>
      <c r="J256" s="1623"/>
      <c r="K256" s="1623">
        <f t="shared" si="7"/>
        <v>0</v>
      </c>
      <c r="L256" s="1623">
        <v>17722075</v>
      </c>
      <c r="M256" s="1623">
        <v>0</v>
      </c>
      <c r="N256" s="1623">
        <v>17722075</v>
      </c>
      <c r="O256" s="1623">
        <v>0</v>
      </c>
      <c r="P256" s="1623">
        <v>0</v>
      </c>
      <c r="Q256" s="1623">
        <v>0</v>
      </c>
    </row>
    <row r="257" spans="2:17">
      <c r="B257" s="856" t="s">
        <v>2981</v>
      </c>
      <c r="C257" s="856">
        <v>17</v>
      </c>
      <c r="D257" s="856" t="s">
        <v>8</v>
      </c>
      <c r="E257" s="856" t="s">
        <v>9</v>
      </c>
      <c r="F257" s="1623">
        <f>+IFERROR(VLOOKUP($B257,'TB 260524'!$A:$C,2,0),0)</f>
        <v>0</v>
      </c>
      <c r="G257" s="1623"/>
      <c r="H257" s="1623">
        <f t="shared" si="6"/>
        <v>0</v>
      </c>
      <c r="I257" s="1623">
        <f>+IFERROR(VLOOKUP($B257,'TB 260524'!$A:$C,3,0),0)</f>
        <v>39629</v>
      </c>
      <c r="J257" s="1623"/>
      <c r="K257" s="1623">
        <f t="shared" si="7"/>
        <v>39629</v>
      </c>
      <c r="L257" s="1623">
        <v>0</v>
      </c>
      <c r="M257" s="1623">
        <v>0</v>
      </c>
      <c r="N257" s="1623">
        <v>0</v>
      </c>
      <c r="O257" s="1623">
        <v>0</v>
      </c>
      <c r="P257" s="1623">
        <v>0</v>
      </c>
      <c r="Q257" s="1623">
        <v>0</v>
      </c>
    </row>
    <row r="258" spans="2:17">
      <c r="B258" s="856" t="s">
        <v>538</v>
      </c>
      <c r="C258" s="856">
        <v>17</v>
      </c>
      <c r="D258" s="856" t="s">
        <v>8</v>
      </c>
      <c r="E258" s="856" t="s">
        <v>8</v>
      </c>
      <c r="F258" s="1623">
        <f>+IFERROR(VLOOKUP($B258,'TB 260524'!$A:$C,2,0),0)</f>
        <v>0</v>
      </c>
      <c r="G258" s="1623"/>
      <c r="H258" s="1623">
        <f t="shared" si="6"/>
        <v>0</v>
      </c>
      <c r="I258" s="1623">
        <f>+IFERROR(VLOOKUP($B258,'TB 260524'!$A:$C,3,0),0)</f>
        <v>570460</v>
      </c>
      <c r="J258" s="1623"/>
      <c r="K258" s="1623">
        <f t="shared" si="7"/>
        <v>570460</v>
      </c>
      <c r="L258" s="1623">
        <v>0</v>
      </c>
      <c r="M258" s="1623">
        <v>0</v>
      </c>
      <c r="N258" s="1623">
        <v>0</v>
      </c>
      <c r="O258" s="1623">
        <v>251180</v>
      </c>
      <c r="P258" s="1623">
        <v>0</v>
      </c>
      <c r="Q258" s="1623">
        <v>251180</v>
      </c>
    </row>
    <row r="259" spans="2:17">
      <c r="B259" s="856" t="s">
        <v>293</v>
      </c>
      <c r="C259" s="856">
        <v>23</v>
      </c>
      <c r="D259" s="856" t="s">
        <v>96</v>
      </c>
      <c r="E259" s="856" t="s">
        <v>97</v>
      </c>
      <c r="F259" s="1623">
        <f>+IFERROR(VLOOKUP($B259,'TB 260524'!$A:$C,2,0),0)</f>
        <v>248584</v>
      </c>
      <c r="G259" s="1623"/>
      <c r="H259" s="1623">
        <f t="shared" si="6"/>
        <v>248584</v>
      </c>
      <c r="I259" s="1623">
        <f>+IFERROR(VLOOKUP($B259,'TB 260524'!$A:$C,3,0),0)</f>
        <v>0</v>
      </c>
      <c r="J259" s="1623"/>
      <c r="K259" s="1623">
        <f t="shared" si="7"/>
        <v>0</v>
      </c>
      <c r="L259" s="1623">
        <v>293050</v>
      </c>
      <c r="M259" s="1623">
        <v>0</v>
      </c>
      <c r="N259" s="1623">
        <v>293050</v>
      </c>
      <c r="O259" s="1623">
        <v>0</v>
      </c>
      <c r="P259" s="1623">
        <v>0</v>
      </c>
      <c r="Q259" s="1623">
        <v>0</v>
      </c>
    </row>
    <row r="260" spans="2:17">
      <c r="B260" s="856" t="s">
        <v>294</v>
      </c>
      <c r="C260" s="856">
        <v>27</v>
      </c>
      <c r="D260" s="856" t="s">
        <v>73</v>
      </c>
      <c r="E260" s="856" t="s">
        <v>100</v>
      </c>
      <c r="F260" s="1623">
        <f>+IFERROR(VLOOKUP($B260,'TB 260524'!$A:$C,2,0),0)</f>
        <v>8366598</v>
      </c>
      <c r="G260" s="1623"/>
      <c r="H260" s="1623">
        <f t="shared" si="6"/>
        <v>8366598</v>
      </c>
      <c r="I260" s="1623">
        <f>+IFERROR(VLOOKUP($B260,'TB 260524'!$A:$C,3,0),0)</f>
        <v>0</v>
      </c>
      <c r="J260" s="1623"/>
      <c r="K260" s="1623">
        <f t="shared" si="7"/>
        <v>0</v>
      </c>
      <c r="L260" s="1623">
        <v>3360110.98</v>
      </c>
      <c r="M260" s="1623">
        <v>0</v>
      </c>
      <c r="N260" s="1623">
        <v>3360110.98</v>
      </c>
      <c r="O260" s="1623">
        <v>0</v>
      </c>
      <c r="P260" s="1623">
        <v>0</v>
      </c>
      <c r="Q260" s="1623">
        <v>0</v>
      </c>
    </row>
    <row r="261" spans="2:17">
      <c r="B261" s="856" t="s">
        <v>295</v>
      </c>
      <c r="C261" s="856">
        <v>27</v>
      </c>
      <c r="D261" s="856" t="s">
        <v>73</v>
      </c>
      <c r="E261" s="856" t="s">
        <v>257</v>
      </c>
      <c r="F261" s="1623">
        <f>+IFERROR(VLOOKUP($B261,'TB 260524'!$A:$C,2,0),0)</f>
        <v>210</v>
      </c>
      <c r="G261" s="1623"/>
      <c r="H261" s="1623">
        <f t="shared" si="6"/>
        <v>210</v>
      </c>
      <c r="I261" s="1623">
        <f>+IFERROR(VLOOKUP($B261,'TB 260524'!$A:$C,3,0),0)</f>
        <v>0</v>
      </c>
      <c r="J261" s="1623"/>
      <c r="K261" s="1623">
        <f t="shared" si="7"/>
        <v>0</v>
      </c>
      <c r="L261" s="1623">
        <v>300</v>
      </c>
      <c r="M261" s="1623">
        <v>0</v>
      </c>
      <c r="N261" s="1623">
        <v>300</v>
      </c>
      <c r="O261" s="1623">
        <v>0</v>
      </c>
      <c r="P261" s="1623">
        <v>0</v>
      </c>
      <c r="Q261" s="1623">
        <v>0</v>
      </c>
    </row>
    <row r="262" spans="2:17">
      <c r="B262" s="856" t="s">
        <v>540</v>
      </c>
      <c r="C262" s="856">
        <v>27</v>
      </c>
      <c r="D262" s="856" t="s">
        <v>73</v>
      </c>
      <c r="E262" s="856" t="s">
        <v>297</v>
      </c>
      <c r="F262" s="1623">
        <f>+IFERROR(VLOOKUP($B262,'TB 260524'!$A:$C,2,0),0)</f>
        <v>11174515.4</v>
      </c>
      <c r="G262" s="1623"/>
      <c r="H262" s="1623">
        <f t="shared" si="6"/>
        <v>11174515.4</v>
      </c>
      <c r="I262" s="1623">
        <f>+IFERROR(VLOOKUP($B262,'TB 260524'!$A:$C,3,0),0)</f>
        <v>0</v>
      </c>
      <c r="J262" s="1623"/>
      <c r="K262" s="1623">
        <f t="shared" si="7"/>
        <v>0</v>
      </c>
      <c r="L262" s="1623">
        <v>13738207.939999999</v>
      </c>
      <c r="M262" s="1623">
        <v>0</v>
      </c>
      <c r="N262" s="1623">
        <v>13738207.939999999</v>
      </c>
      <c r="O262" s="1623">
        <v>0</v>
      </c>
      <c r="P262" s="1623">
        <v>0</v>
      </c>
      <c r="Q262" s="1623">
        <v>0</v>
      </c>
    </row>
    <row r="263" spans="2:17">
      <c r="B263" s="856" t="s">
        <v>2982</v>
      </c>
      <c r="C263" s="856">
        <v>6</v>
      </c>
      <c r="D263" s="856" t="s">
        <v>13</v>
      </c>
      <c r="E263" s="856" t="s">
        <v>14</v>
      </c>
      <c r="F263" s="1623">
        <f>+IFERROR(VLOOKUP($B263,'TB 260524'!$A:$C,2,0),0)</f>
        <v>11449790</v>
      </c>
      <c r="G263" s="1623"/>
      <c r="H263" s="1623">
        <f t="shared" ref="H263:H326" si="8">+F263+G263</f>
        <v>11449790</v>
      </c>
      <c r="I263" s="1623">
        <f>+IFERROR(VLOOKUP($B263,'TB 260524'!$A:$C,3,0),0)</f>
        <v>0</v>
      </c>
      <c r="J263" s="1623"/>
      <c r="K263" s="1623">
        <f t="shared" ref="K263:K326" si="9">+I263+J263</f>
        <v>0</v>
      </c>
      <c r="L263" s="1623">
        <v>0</v>
      </c>
      <c r="M263" s="1623">
        <v>0</v>
      </c>
      <c r="N263" s="1623">
        <v>0</v>
      </c>
      <c r="O263" s="1623">
        <v>0</v>
      </c>
      <c r="P263" s="1623">
        <v>0</v>
      </c>
      <c r="Q263" s="1623">
        <v>0</v>
      </c>
    </row>
    <row r="264" spans="2:17">
      <c r="B264" s="856" t="s">
        <v>2983</v>
      </c>
      <c r="C264" s="856">
        <v>17</v>
      </c>
      <c r="D264" s="856" t="s">
        <v>8</v>
      </c>
      <c r="E264" s="856" t="s">
        <v>8</v>
      </c>
      <c r="F264" s="1623">
        <f>+IFERROR(VLOOKUP($B264,'TB 260524'!$A:$C,2,0),0)</f>
        <v>0</v>
      </c>
      <c r="G264" s="1623"/>
      <c r="H264" s="1623">
        <f t="shared" si="8"/>
        <v>0</v>
      </c>
      <c r="I264" s="1623">
        <f>+IFERROR(VLOOKUP($B264,'TB 260524'!$A:$C,3,0),0)</f>
        <v>328373</v>
      </c>
      <c r="J264" s="1623"/>
      <c r="K264" s="1623">
        <f t="shared" si="9"/>
        <v>328373</v>
      </c>
      <c r="L264" s="1623">
        <v>0</v>
      </c>
      <c r="M264" s="1623">
        <v>0</v>
      </c>
      <c r="N264" s="1623">
        <v>0</v>
      </c>
      <c r="O264" s="1623">
        <v>0</v>
      </c>
      <c r="P264" s="1623">
        <v>0</v>
      </c>
      <c r="Q264" s="1623">
        <v>0</v>
      </c>
    </row>
    <row r="265" spans="2:17">
      <c r="B265" s="856" t="s">
        <v>301</v>
      </c>
      <c r="C265" s="856">
        <v>17</v>
      </c>
      <c r="D265" s="856" t="s">
        <v>8</v>
      </c>
      <c r="E265" s="856" t="s">
        <v>8</v>
      </c>
      <c r="F265" s="1623">
        <f>+IFERROR(VLOOKUP($B265,'TB 260524'!$A:$C,2,0),0)</f>
        <v>0</v>
      </c>
      <c r="G265" s="1623"/>
      <c r="H265" s="1623">
        <f t="shared" si="8"/>
        <v>0</v>
      </c>
      <c r="I265" s="1623">
        <f>+IFERROR(VLOOKUP($B265,'TB 260524'!$A:$C,3,0),0)</f>
        <v>3493498</v>
      </c>
      <c r="J265" s="1623"/>
      <c r="K265" s="1623">
        <f t="shared" si="9"/>
        <v>3493498</v>
      </c>
      <c r="L265" s="1623">
        <v>0</v>
      </c>
      <c r="M265" s="1623">
        <v>0</v>
      </c>
      <c r="N265" s="1623">
        <v>0</v>
      </c>
      <c r="O265" s="1623">
        <v>1212197</v>
      </c>
      <c r="P265" s="1623">
        <v>0</v>
      </c>
      <c r="Q265" s="1623">
        <v>1212197</v>
      </c>
    </row>
    <row r="266" spans="2:17">
      <c r="B266" s="856" t="s">
        <v>2984</v>
      </c>
      <c r="C266" s="856">
        <v>17</v>
      </c>
      <c r="D266" s="856" t="s">
        <v>8</v>
      </c>
      <c r="E266" s="856" t="s">
        <v>9</v>
      </c>
      <c r="F266" s="1623">
        <f>+IFERROR(VLOOKUP($B266,'TB 260524'!$A:$C,2,0),0)</f>
        <v>846</v>
      </c>
      <c r="G266" s="1623"/>
      <c r="H266" s="1623">
        <f t="shared" si="8"/>
        <v>846</v>
      </c>
      <c r="I266" s="1623">
        <f>+IFERROR(VLOOKUP($B266,'TB 260524'!$A:$C,3,0),0)</f>
        <v>0</v>
      </c>
      <c r="J266" s="1623"/>
      <c r="K266" s="1623">
        <f t="shared" si="9"/>
        <v>0</v>
      </c>
      <c r="L266" s="1623">
        <v>0</v>
      </c>
      <c r="M266" s="1623">
        <v>0</v>
      </c>
      <c r="N266" s="1623">
        <v>0</v>
      </c>
      <c r="O266" s="1623">
        <v>0</v>
      </c>
      <c r="P266" s="1623">
        <v>0</v>
      </c>
      <c r="Q266" s="1623">
        <v>0</v>
      </c>
    </row>
    <row r="267" spans="2:17">
      <c r="B267" s="856" t="s">
        <v>82</v>
      </c>
      <c r="C267" s="856">
        <v>27</v>
      </c>
      <c r="D267" s="856" t="s">
        <v>48</v>
      </c>
      <c r="E267" s="856" t="s">
        <v>82</v>
      </c>
      <c r="F267" s="1623">
        <f>+IFERROR(VLOOKUP($B267,'TB 260524'!$A:$C,2,0),0)</f>
        <v>248399</v>
      </c>
      <c r="G267" s="1623"/>
      <c r="H267" s="1623">
        <f t="shared" si="8"/>
        <v>248399</v>
      </c>
      <c r="I267" s="1623">
        <f>+IFERROR(VLOOKUP($B267,'TB 260524'!$A:$C,3,0),0)</f>
        <v>0</v>
      </c>
      <c r="J267" s="1623"/>
      <c r="K267" s="1623">
        <f t="shared" si="9"/>
        <v>0</v>
      </c>
      <c r="L267" s="1623">
        <v>248701</v>
      </c>
      <c r="M267" s="1623">
        <v>0</v>
      </c>
      <c r="N267" s="1623">
        <v>248701</v>
      </c>
      <c r="O267" s="1623">
        <v>0</v>
      </c>
      <c r="P267" s="1623">
        <v>0</v>
      </c>
      <c r="Q267" s="1623">
        <v>0</v>
      </c>
    </row>
    <row r="268" spans="2:17">
      <c r="B268" s="856" t="s">
        <v>2565</v>
      </c>
      <c r="C268" s="856">
        <v>9</v>
      </c>
      <c r="D268" s="856" t="s">
        <v>35</v>
      </c>
      <c r="E268" s="856" t="s">
        <v>36</v>
      </c>
      <c r="F268" s="1623">
        <f>+IFERROR(VLOOKUP($B268,'TB 260524'!$A:$C,2,0),0)</f>
        <v>15000</v>
      </c>
      <c r="G268" s="1623"/>
      <c r="H268" s="1623">
        <f t="shared" si="8"/>
        <v>15000</v>
      </c>
      <c r="I268" s="1623">
        <f>+IFERROR(VLOOKUP($B268,'TB 260524'!$A:$C,3,0),0)</f>
        <v>0</v>
      </c>
      <c r="J268" s="1623"/>
      <c r="K268" s="1623">
        <f t="shared" si="9"/>
        <v>0</v>
      </c>
      <c r="L268" s="1623">
        <v>0</v>
      </c>
      <c r="M268" s="1623">
        <v>0</v>
      </c>
      <c r="N268" s="1623">
        <v>0</v>
      </c>
      <c r="O268" s="1623">
        <v>0</v>
      </c>
      <c r="P268" s="1623">
        <v>0</v>
      </c>
      <c r="Q268" s="1623">
        <v>0</v>
      </c>
    </row>
    <row r="269" spans="2:17">
      <c r="B269" s="856" t="s">
        <v>303</v>
      </c>
      <c r="C269" s="856">
        <v>27</v>
      </c>
      <c r="D269" s="856" t="s">
        <v>73</v>
      </c>
      <c r="E269" s="856" t="s">
        <v>303</v>
      </c>
      <c r="F269" s="1623">
        <f>+IFERROR(VLOOKUP($B269,'TB 260524'!$A:$C,2,0),0)</f>
        <v>3685087.84</v>
      </c>
      <c r="G269" s="1623"/>
      <c r="H269" s="1623">
        <f t="shared" si="8"/>
        <v>3685087.84</v>
      </c>
      <c r="I269" s="1623">
        <f>+IFERROR(VLOOKUP($B269,'TB 260524'!$A:$C,3,0),0)</f>
        <v>0</v>
      </c>
      <c r="J269" s="1623"/>
      <c r="K269" s="1623">
        <f t="shared" si="9"/>
        <v>0</v>
      </c>
      <c r="L269" s="1623">
        <v>3368785</v>
      </c>
      <c r="M269" s="1623">
        <v>0</v>
      </c>
      <c r="N269" s="1623">
        <v>3368785</v>
      </c>
      <c r="O269" s="1623">
        <v>0</v>
      </c>
      <c r="P269" s="1623">
        <v>0</v>
      </c>
      <c r="Q269" s="1623">
        <v>0</v>
      </c>
    </row>
    <row r="270" spans="2:17">
      <c r="B270" s="856" t="s">
        <v>299</v>
      </c>
      <c r="C270" s="856">
        <v>6</v>
      </c>
      <c r="D270" s="856" t="s">
        <v>13</v>
      </c>
      <c r="E270" s="856" t="s">
        <v>14</v>
      </c>
      <c r="F270" s="1623">
        <f>+IFERROR(VLOOKUP($B270,'TB 260524'!$A:$C,2,0),0)</f>
        <v>1924603.5</v>
      </c>
      <c r="G270" s="1623"/>
      <c r="H270" s="1623">
        <f t="shared" si="8"/>
        <v>1924603.5</v>
      </c>
      <c r="I270" s="1623">
        <f>+IFERROR(VLOOKUP($B270,'TB 260524'!$A:$C,3,0),0)</f>
        <v>0</v>
      </c>
      <c r="J270" s="1623"/>
      <c r="K270" s="1623">
        <f t="shared" si="9"/>
        <v>0</v>
      </c>
      <c r="L270" s="1623">
        <v>960861.5</v>
      </c>
      <c r="M270" s="1623">
        <v>0</v>
      </c>
      <c r="N270" s="1623">
        <v>960861.5</v>
      </c>
      <c r="O270" s="1623">
        <v>0</v>
      </c>
      <c r="P270" s="1623">
        <v>0</v>
      </c>
      <c r="Q270" s="1623">
        <v>0</v>
      </c>
    </row>
    <row r="271" spans="2:17">
      <c r="B271" s="856" t="s">
        <v>304</v>
      </c>
      <c r="C271" s="856">
        <v>18</v>
      </c>
      <c r="D271" s="856" t="s">
        <v>214</v>
      </c>
      <c r="E271" s="856" t="s">
        <v>90</v>
      </c>
      <c r="F271" s="1623">
        <f>+IFERROR(VLOOKUP($B271,'TB 260524'!$A:$C,2,0),0)</f>
        <v>0</v>
      </c>
      <c r="G271" s="1623"/>
      <c r="H271" s="1623">
        <f t="shared" si="8"/>
        <v>0</v>
      </c>
      <c r="I271" s="1623">
        <f>+IFERROR(VLOOKUP($B271,'TB 260524'!$A:$C,3,0),0)</f>
        <v>29783</v>
      </c>
      <c r="J271" s="1623"/>
      <c r="K271" s="1623">
        <f t="shared" si="9"/>
        <v>29783</v>
      </c>
      <c r="L271" s="1623">
        <v>0</v>
      </c>
      <c r="M271" s="1623">
        <v>0</v>
      </c>
      <c r="N271" s="1623">
        <v>0</v>
      </c>
      <c r="O271" s="1623">
        <v>40975</v>
      </c>
      <c r="P271" s="1623">
        <v>0</v>
      </c>
      <c r="Q271" s="1623">
        <v>40975</v>
      </c>
    </row>
    <row r="272" spans="2:17">
      <c r="B272" s="856" t="s">
        <v>305</v>
      </c>
      <c r="C272" s="856">
        <v>18</v>
      </c>
      <c r="D272" s="856" t="s">
        <v>214</v>
      </c>
      <c r="E272" s="856" t="s">
        <v>90</v>
      </c>
      <c r="F272" s="1623">
        <f>+IFERROR(VLOOKUP($B272,'TB 260524'!$A:$C,2,0),0)</f>
        <v>0</v>
      </c>
      <c r="G272" s="1623"/>
      <c r="H272" s="1623">
        <f t="shared" si="8"/>
        <v>0</v>
      </c>
      <c r="I272" s="1623">
        <f>+IFERROR(VLOOKUP($B272,'TB 260524'!$A:$C,3,0),0)</f>
        <v>27120</v>
      </c>
      <c r="J272" s="1623"/>
      <c r="K272" s="1623">
        <f t="shared" si="9"/>
        <v>27120</v>
      </c>
      <c r="L272" s="1623">
        <v>0</v>
      </c>
      <c r="M272" s="1623">
        <v>0</v>
      </c>
      <c r="N272" s="1623">
        <v>0</v>
      </c>
      <c r="O272" s="1623">
        <v>84100</v>
      </c>
      <c r="P272" s="1623">
        <v>0</v>
      </c>
      <c r="Q272" s="1623">
        <v>84100</v>
      </c>
    </row>
    <row r="273" spans="2:17">
      <c r="B273" s="856" t="s">
        <v>306</v>
      </c>
      <c r="C273" s="856">
        <v>18</v>
      </c>
      <c r="D273" s="856" t="s">
        <v>214</v>
      </c>
      <c r="E273" s="856" t="s">
        <v>90</v>
      </c>
      <c r="F273" s="1623">
        <f>+IFERROR(VLOOKUP($B273,'TB 260524'!$A:$C,2,0),0)</f>
        <v>0</v>
      </c>
      <c r="G273" s="1623"/>
      <c r="H273" s="1623">
        <f t="shared" si="8"/>
        <v>0</v>
      </c>
      <c r="I273" s="1623">
        <f>+IFERROR(VLOOKUP($B273,'TB 260524'!$A:$C,3,0),0)</f>
        <v>29783</v>
      </c>
      <c r="J273" s="1623"/>
      <c r="K273" s="1623">
        <f t="shared" si="9"/>
        <v>29783</v>
      </c>
      <c r="L273" s="1623">
        <v>0</v>
      </c>
      <c r="M273" s="1623">
        <v>0</v>
      </c>
      <c r="N273" s="1623">
        <v>0</v>
      </c>
      <c r="O273" s="1623">
        <v>40975</v>
      </c>
      <c r="P273" s="1623">
        <v>0</v>
      </c>
      <c r="Q273" s="1623">
        <v>40975</v>
      </c>
    </row>
    <row r="274" spans="2:17">
      <c r="B274" s="856" t="s">
        <v>545</v>
      </c>
      <c r="C274" s="856">
        <v>25</v>
      </c>
      <c r="D274" s="856" t="s">
        <v>140</v>
      </c>
      <c r="E274" s="856" t="s">
        <v>141</v>
      </c>
      <c r="F274" s="1623">
        <f>+IFERROR(VLOOKUP($B274,'TB 260524'!$A:$C,2,0),0)</f>
        <v>1916000</v>
      </c>
      <c r="G274" s="1623"/>
      <c r="H274" s="1623">
        <f t="shared" si="8"/>
        <v>1916000</v>
      </c>
      <c r="I274" s="1623">
        <f>+IFERROR(VLOOKUP($B274,'TB 260524'!$A:$C,3,0),0)</f>
        <v>0</v>
      </c>
      <c r="J274" s="1623"/>
      <c r="K274" s="1623">
        <f t="shared" si="9"/>
        <v>0</v>
      </c>
      <c r="L274" s="1623">
        <v>3072000</v>
      </c>
      <c r="M274" s="1623">
        <v>0</v>
      </c>
      <c r="N274" s="1623">
        <v>3072000</v>
      </c>
      <c r="O274" s="1623">
        <v>0</v>
      </c>
      <c r="P274" s="1623">
        <v>0</v>
      </c>
      <c r="Q274" s="1623">
        <v>0</v>
      </c>
    </row>
    <row r="275" spans="2:17">
      <c r="B275" s="856" t="s">
        <v>309</v>
      </c>
      <c r="C275" s="856">
        <v>27</v>
      </c>
      <c r="D275" s="856" t="s">
        <v>48</v>
      </c>
      <c r="E275" s="856" t="s">
        <v>49</v>
      </c>
      <c r="F275" s="1623">
        <f>+IFERROR(VLOOKUP($B275,'TB 260524'!$A:$C,2,0),0)</f>
        <v>400168</v>
      </c>
      <c r="G275" s="1623"/>
      <c r="H275" s="1623">
        <f t="shared" si="8"/>
        <v>400168</v>
      </c>
      <c r="I275" s="1623">
        <f>+IFERROR(VLOOKUP($B275,'TB 260524'!$A:$C,3,0),0)</f>
        <v>0</v>
      </c>
      <c r="J275" s="1623"/>
      <c r="K275" s="1623">
        <f t="shared" si="9"/>
        <v>0</v>
      </c>
      <c r="L275" s="1623">
        <v>296207.59999999998</v>
      </c>
      <c r="M275" s="1623">
        <v>0</v>
      </c>
      <c r="N275" s="1623">
        <v>296207.59999999998</v>
      </c>
      <c r="O275" s="1623">
        <v>0</v>
      </c>
      <c r="P275" s="1623">
        <v>0</v>
      </c>
      <c r="Q275" s="1623">
        <v>0</v>
      </c>
    </row>
    <row r="276" spans="2:17">
      <c r="B276" s="856" t="s">
        <v>2985</v>
      </c>
      <c r="C276" s="856">
        <v>6</v>
      </c>
      <c r="D276" s="856" t="s">
        <v>13</v>
      </c>
      <c r="E276" s="856" t="s">
        <v>14</v>
      </c>
      <c r="F276" s="1623">
        <f>+IFERROR(VLOOKUP($B276,'TB 260524'!$A:$C,2,0),0)</f>
        <v>51534</v>
      </c>
      <c r="G276" s="1623"/>
      <c r="H276" s="1623">
        <f t="shared" si="8"/>
        <v>51534</v>
      </c>
      <c r="I276" s="1623">
        <f>+IFERROR(VLOOKUP($B276,'TB 260524'!$A:$C,3,0),0)</f>
        <v>0</v>
      </c>
      <c r="J276" s="1623"/>
      <c r="K276" s="1623">
        <f t="shared" si="9"/>
        <v>0</v>
      </c>
      <c r="L276" s="1623">
        <v>0</v>
      </c>
      <c r="M276" s="1623">
        <v>0</v>
      </c>
      <c r="N276" s="1623">
        <v>0</v>
      </c>
      <c r="O276" s="1623">
        <v>0</v>
      </c>
      <c r="P276" s="1623">
        <v>0</v>
      </c>
      <c r="Q276" s="1623">
        <v>0</v>
      </c>
    </row>
    <row r="277" spans="2:17">
      <c r="B277" s="856" t="s">
        <v>311</v>
      </c>
      <c r="C277" s="856">
        <v>27</v>
      </c>
      <c r="D277" s="856" t="s">
        <v>48</v>
      </c>
      <c r="E277" s="856" t="s">
        <v>259</v>
      </c>
      <c r="F277" s="1623">
        <f>+IFERROR(VLOOKUP($B277,'TB 260524'!$A:$C,2,0),0)</f>
        <v>357129.36</v>
      </c>
      <c r="G277" s="1623"/>
      <c r="H277" s="1623">
        <f t="shared" si="8"/>
        <v>357129.36</v>
      </c>
      <c r="I277" s="1623">
        <f>+IFERROR(VLOOKUP($B277,'TB 260524'!$A:$C,3,0),0)</f>
        <v>0</v>
      </c>
      <c r="J277" s="1623"/>
      <c r="K277" s="1623">
        <f t="shared" si="9"/>
        <v>0</v>
      </c>
      <c r="L277" s="1623">
        <v>268584</v>
      </c>
      <c r="M277" s="1623">
        <v>0</v>
      </c>
      <c r="N277" s="1623">
        <v>268584</v>
      </c>
      <c r="O277" s="1623">
        <v>0</v>
      </c>
      <c r="P277" s="1623">
        <v>0</v>
      </c>
      <c r="Q277" s="1623">
        <v>0</v>
      </c>
    </row>
    <row r="278" spans="2:17">
      <c r="B278" s="856" t="s">
        <v>546</v>
      </c>
      <c r="C278" s="856">
        <v>27</v>
      </c>
      <c r="D278" s="856" t="s">
        <v>73</v>
      </c>
      <c r="E278" s="856" t="s">
        <v>310</v>
      </c>
      <c r="F278" s="1623">
        <f>+IFERROR(VLOOKUP($B278,'TB 260524'!$A:$C,2,0),0)</f>
        <v>263090.43</v>
      </c>
      <c r="G278" s="1623"/>
      <c r="H278" s="1623">
        <f t="shared" si="8"/>
        <v>263090.43</v>
      </c>
      <c r="I278" s="1623">
        <f>+IFERROR(VLOOKUP($B278,'TB 260524'!$A:$C,3,0),0)</f>
        <v>0</v>
      </c>
      <c r="J278" s="1623"/>
      <c r="K278" s="1623">
        <f t="shared" si="9"/>
        <v>0</v>
      </c>
      <c r="L278" s="1623">
        <v>93430.13</v>
      </c>
      <c r="M278" s="1623">
        <v>0</v>
      </c>
      <c r="N278" s="1623">
        <v>93430.13</v>
      </c>
      <c r="O278" s="1623">
        <v>0</v>
      </c>
      <c r="P278" s="1623">
        <v>0</v>
      </c>
      <c r="Q278" s="1623">
        <v>0</v>
      </c>
    </row>
    <row r="279" spans="2:17">
      <c r="B279" s="856" t="s">
        <v>2986</v>
      </c>
      <c r="C279" s="856">
        <v>17</v>
      </c>
      <c r="D279" s="856" t="s">
        <v>8</v>
      </c>
      <c r="E279" s="856" t="s">
        <v>9</v>
      </c>
      <c r="F279" s="1623">
        <f>+IFERROR(VLOOKUP($B279,'TB 260524'!$A:$C,2,0),0)</f>
        <v>58000</v>
      </c>
      <c r="G279" s="1623"/>
      <c r="H279" s="1623">
        <f t="shared" si="8"/>
        <v>58000</v>
      </c>
      <c r="I279" s="1623">
        <f>+IFERROR(VLOOKUP($B279,'TB 260524'!$A:$C,3,0),0)</f>
        <v>0</v>
      </c>
      <c r="J279" s="1623"/>
      <c r="K279" s="1623">
        <f t="shared" si="9"/>
        <v>0</v>
      </c>
      <c r="L279" s="1623">
        <v>0</v>
      </c>
      <c r="M279" s="1623">
        <v>0</v>
      </c>
      <c r="N279" s="1623">
        <v>0</v>
      </c>
      <c r="O279" s="1623">
        <v>0</v>
      </c>
      <c r="P279" s="1623">
        <v>0</v>
      </c>
      <c r="Q279" s="1623">
        <v>0</v>
      </c>
    </row>
    <row r="280" spans="2:17">
      <c r="B280" s="856" t="s">
        <v>312</v>
      </c>
      <c r="C280" s="856">
        <v>12</v>
      </c>
      <c r="D280" s="856" t="s">
        <v>80</v>
      </c>
      <c r="E280" s="856" t="s">
        <v>81</v>
      </c>
      <c r="F280" s="1623">
        <f>+IFERROR(VLOOKUP($B280,'TB 260524'!$A:$C,2,0),0)</f>
        <v>0</v>
      </c>
      <c r="G280" s="1623"/>
      <c r="H280" s="1623">
        <f t="shared" si="8"/>
        <v>0</v>
      </c>
      <c r="I280" s="1623">
        <f>+IFERROR(VLOOKUP($B280,'TB 260524'!$A:$C,3,0),0)</f>
        <v>50905004</v>
      </c>
      <c r="J280" s="1623"/>
      <c r="K280" s="1623">
        <f t="shared" si="9"/>
        <v>50905004</v>
      </c>
      <c r="L280" s="1623">
        <v>0</v>
      </c>
      <c r="M280" s="1623">
        <v>0</v>
      </c>
      <c r="N280" s="1623">
        <v>0</v>
      </c>
      <c r="O280" s="1623">
        <v>50905004</v>
      </c>
      <c r="P280" s="1623">
        <v>0</v>
      </c>
      <c r="Q280" s="1623">
        <v>50905004</v>
      </c>
    </row>
    <row r="281" spans="2:17">
      <c r="B281" s="856" t="s">
        <v>549</v>
      </c>
      <c r="C281" s="856">
        <v>18</v>
      </c>
      <c r="D281" s="856" t="s">
        <v>214</v>
      </c>
      <c r="E281" s="856" t="s">
        <v>2258</v>
      </c>
      <c r="F281" s="1623">
        <f>+IFERROR(VLOOKUP($B281,'TB 260524'!$A:$C,2,0),0)</f>
        <v>0</v>
      </c>
      <c r="G281" s="1623"/>
      <c r="H281" s="1623">
        <f t="shared" si="8"/>
        <v>0</v>
      </c>
      <c r="I281" s="1623">
        <f>+IFERROR(VLOOKUP($B281,'TB 260524'!$A:$C,3,0),0)</f>
        <v>54000</v>
      </c>
      <c r="J281" s="1623"/>
      <c r="K281" s="1623">
        <f t="shared" si="9"/>
        <v>54000</v>
      </c>
      <c r="L281" s="1623">
        <v>0</v>
      </c>
      <c r="M281" s="1623">
        <v>0</v>
      </c>
      <c r="N281" s="1623">
        <v>0</v>
      </c>
      <c r="O281" s="1623">
        <v>243000</v>
      </c>
      <c r="P281" s="1623">
        <v>0</v>
      </c>
      <c r="Q281" s="1623">
        <v>243000</v>
      </c>
    </row>
    <row r="282" spans="2:17">
      <c r="B282" s="856" t="s">
        <v>313</v>
      </c>
      <c r="C282" s="856">
        <v>27</v>
      </c>
      <c r="D282" s="856" t="s">
        <v>48</v>
      </c>
      <c r="E282" s="856" t="s">
        <v>82</v>
      </c>
      <c r="F282" s="1623">
        <f>+IFERROR(VLOOKUP($B282,'TB 260524'!$A:$C,2,0),0)</f>
        <v>4800</v>
      </c>
      <c r="G282" s="1623"/>
      <c r="H282" s="1623">
        <f t="shared" si="8"/>
        <v>4800</v>
      </c>
      <c r="I282" s="1623">
        <f>+IFERROR(VLOOKUP($B282,'TB 260524'!$A:$C,3,0),0)</f>
        <v>0</v>
      </c>
      <c r="J282" s="1623"/>
      <c r="K282" s="1623">
        <f t="shared" si="9"/>
        <v>0</v>
      </c>
      <c r="L282" s="1623">
        <v>7900</v>
      </c>
      <c r="M282" s="1623">
        <v>0</v>
      </c>
      <c r="N282" s="1623">
        <v>7900</v>
      </c>
      <c r="O282" s="1623">
        <v>0</v>
      </c>
      <c r="P282" s="1623">
        <v>0</v>
      </c>
      <c r="Q282" s="1623">
        <v>0</v>
      </c>
    </row>
    <row r="283" spans="2:17">
      <c r="B283" s="856" t="s">
        <v>405</v>
      </c>
      <c r="C283" s="856">
        <v>10</v>
      </c>
      <c r="D283" s="856" t="s">
        <v>32</v>
      </c>
      <c r="E283" s="856" t="s">
        <v>406</v>
      </c>
      <c r="F283" s="1623">
        <f>+IFERROR(VLOOKUP($B283,'TB 260524'!$A:$C,2,0),0)</f>
        <v>221984</v>
      </c>
      <c r="G283" s="1623"/>
      <c r="H283" s="1623">
        <f t="shared" si="8"/>
        <v>221984</v>
      </c>
      <c r="I283" s="1623">
        <f>+IFERROR(VLOOKUP($B283,'TB 260524'!$A:$C,3,0),0)</f>
        <v>0</v>
      </c>
      <c r="J283" s="1623"/>
      <c r="K283" s="1623">
        <f t="shared" si="9"/>
        <v>0</v>
      </c>
      <c r="L283" s="1623">
        <v>221984</v>
      </c>
      <c r="M283" s="1623">
        <v>0</v>
      </c>
      <c r="N283" s="1623">
        <v>221984</v>
      </c>
      <c r="O283" s="1623">
        <v>0</v>
      </c>
      <c r="P283" s="1623">
        <v>0</v>
      </c>
      <c r="Q283" s="1623">
        <v>0</v>
      </c>
    </row>
    <row r="284" spans="2:17">
      <c r="B284" s="856" t="s">
        <v>314</v>
      </c>
      <c r="C284" s="856">
        <v>17</v>
      </c>
      <c r="D284" s="856" t="s">
        <v>8</v>
      </c>
      <c r="E284" s="856" t="s">
        <v>8</v>
      </c>
      <c r="F284" s="1623">
        <f>+IFERROR(VLOOKUP($B284,'TB 260524'!$A:$C,2,0),0)</f>
        <v>0</v>
      </c>
      <c r="G284" s="1623"/>
      <c r="H284" s="1623">
        <f t="shared" si="8"/>
        <v>0</v>
      </c>
      <c r="I284" s="1623">
        <f>+IFERROR(VLOOKUP($B284,'TB 260524'!$A:$C,3,0),0)</f>
        <v>3110810</v>
      </c>
      <c r="J284" s="1623"/>
      <c r="K284" s="1623">
        <f t="shared" si="9"/>
        <v>3110810</v>
      </c>
      <c r="L284" s="1623">
        <v>0</v>
      </c>
      <c r="M284" s="1623">
        <v>0</v>
      </c>
      <c r="N284" s="1623">
        <v>0</v>
      </c>
      <c r="O284" s="1623">
        <v>3597964</v>
      </c>
      <c r="P284" s="1623">
        <v>0</v>
      </c>
      <c r="Q284" s="1623">
        <v>3597964</v>
      </c>
    </row>
    <row r="285" spans="2:17">
      <c r="B285" s="856" t="s">
        <v>315</v>
      </c>
      <c r="C285" s="856">
        <v>27</v>
      </c>
      <c r="D285" s="856" t="s">
        <v>48</v>
      </c>
      <c r="E285" s="856" t="s">
        <v>49</v>
      </c>
      <c r="F285" s="1623">
        <f>+IFERROR(VLOOKUP($B285,'TB 260524'!$A:$C,2,0),0)</f>
        <v>0</v>
      </c>
      <c r="G285" s="1623"/>
      <c r="H285" s="1623">
        <f t="shared" si="8"/>
        <v>0</v>
      </c>
      <c r="I285" s="1623">
        <f>+IFERROR(VLOOKUP($B285,'TB 260524'!$A:$C,3,0),0)</f>
        <v>245.71</v>
      </c>
      <c r="J285" s="1623"/>
      <c r="K285" s="1623">
        <f t="shared" si="9"/>
        <v>245.71</v>
      </c>
      <c r="L285" s="1623">
        <v>0</v>
      </c>
      <c r="M285" s="1623">
        <v>0</v>
      </c>
      <c r="N285" s="1623">
        <v>0</v>
      </c>
      <c r="O285" s="1623">
        <v>676.59</v>
      </c>
      <c r="P285" s="1623">
        <v>0</v>
      </c>
      <c r="Q285" s="1623">
        <v>676.59</v>
      </c>
    </row>
    <row r="286" spans="2:17">
      <c r="B286" s="856" t="s">
        <v>407</v>
      </c>
      <c r="C286" s="856">
        <v>6</v>
      </c>
      <c r="D286" s="856" t="s">
        <v>13</v>
      </c>
      <c r="E286" s="856" t="s">
        <v>14</v>
      </c>
      <c r="F286" s="1623">
        <f>+IFERROR(VLOOKUP($B286,'TB 260524'!$A:$C,2,0),0)</f>
        <v>15353091</v>
      </c>
      <c r="G286" s="1623"/>
      <c r="H286" s="1623">
        <f t="shared" si="8"/>
        <v>15353091</v>
      </c>
      <c r="I286" s="1623">
        <f>+IFERROR(VLOOKUP($B286,'TB 260524'!$A:$C,3,0),0)</f>
        <v>0</v>
      </c>
      <c r="J286" s="1623"/>
      <c r="K286" s="1623">
        <f t="shared" si="9"/>
        <v>0</v>
      </c>
      <c r="L286" s="1623">
        <v>28916252</v>
      </c>
      <c r="M286" s="1623">
        <v>0</v>
      </c>
      <c r="N286" s="1623">
        <v>28916252</v>
      </c>
      <c r="O286" s="1623">
        <v>0</v>
      </c>
      <c r="P286" s="1623">
        <v>0</v>
      </c>
      <c r="Q286" s="1623">
        <v>0</v>
      </c>
    </row>
    <row r="287" spans="2:17">
      <c r="B287" s="856" t="s">
        <v>550</v>
      </c>
      <c r="C287" s="856">
        <v>6</v>
      </c>
      <c r="D287" s="856" t="s">
        <v>13</v>
      </c>
      <c r="E287" s="856" t="s">
        <v>14</v>
      </c>
      <c r="F287" s="1623">
        <f>+IFERROR(VLOOKUP($B287,'TB 260524'!$A:$C,2,0),0)</f>
        <v>231709</v>
      </c>
      <c r="G287" s="1623"/>
      <c r="H287" s="1623">
        <f t="shared" si="8"/>
        <v>231709</v>
      </c>
      <c r="I287" s="1623">
        <f>+IFERROR(VLOOKUP($B287,'TB 260524'!$A:$C,3,0),0)</f>
        <v>0</v>
      </c>
      <c r="J287" s="1623"/>
      <c r="K287" s="1623">
        <f t="shared" si="9"/>
        <v>0</v>
      </c>
      <c r="L287" s="1623">
        <v>515492</v>
      </c>
      <c r="M287" s="1623">
        <v>0</v>
      </c>
      <c r="N287" s="1623">
        <v>515492</v>
      </c>
      <c r="O287" s="1623">
        <v>0</v>
      </c>
      <c r="P287" s="1623">
        <v>0</v>
      </c>
      <c r="Q287" s="1623">
        <v>0</v>
      </c>
    </row>
    <row r="288" spans="2:17">
      <c r="B288" s="856" t="s">
        <v>320</v>
      </c>
      <c r="C288" s="856">
        <v>17</v>
      </c>
      <c r="D288" s="856" t="s">
        <v>8</v>
      </c>
      <c r="E288" s="856" t="s">
        <v>8</v>
      </c>
      <c r="F288" s="1623">
        <f>+IFERROR(VLOOKUP($B288,'TB 260524'!$A:$C,2,0),0)</f>
        <v>0</v>
      </c>
      <c r="G288" s="1623"/>
      <c r="H288" s="1623">
        <f t="shared" si="8"/>
        <v>0</v>
      </c>
      <c r="I288" s="1623">
        <f>+IFERROR(VLOOKUP($B288,'TB 260524'!$A:$C,3,0),0)</f>
        <v>2400131</v>
      </c>
      <c r="J288" s="1623"/>
      <c r="K288" s="1623">
        <f t="shared" si="9"/>
        <v>2400131</v>
      </c>
      <c r="L288" s="1623">
        <v>0</v>
      </c>
      <c r="M288" s="1623">
        <v>0</v>
      </c>
      <c r="N288" s="1623">
        <v>0</v>
      </c>
      <c r="O288" s="1623">
        <v>1561707</v>
      </c>
      <c r="P288" s="1623">
        <v>0</v>
      </c>
      <c r="Q288" s="1623">
        <v>1561707</v>
      </c>
    </row>
    <row r="289" spans="1:17">
      <c r="B289" s="856" t="s">
        <v>321</v>
      </c>
      <c r="C289" s="856">
        <v>18</v>
      </c>
      <c r="D289" s="856" t="s">
        <v>214</v>
      </c>
      <c r="E289" s="856" t="s">
        <v>322</v>
      </c>
      <c r="F289" s="1623">
        <f>+IFERROR(VLOOKUP($B289,'TB 260524'!$A:$C,2,0),0)</f>
        <v>0</v>
      </c>
      <c r="G289" s="1623"/>
      <c r="H289" s="1623">
        <f t="shared" si="8"/>
        <v>0</v>
      </c>
      <c r="I289" s="1623">
        <f>+IFERROR(VLOOKUP($B289,'TB 260524'!$A:$C,3,0),0)</f>
        <v>1508372</v>
      </c>
      <c r="J289" s="1623"/>
      <c r="K289" s="1623">
        <f t="shared" si="9"/>
        <v>1508372</v>
      </c>
      <c r="L289" s="1623">
        <v>0</v>
      </c>
      <c r="M289" s="1623">
        <v>0</v>
      </c>
      <c r="N289" s="1623">
        <v>0</v>
      </c>
      <c r="O289" s="1623">
        <v>1087441</v>
      </c>
      <c r="P289" s="1623">
        <v>0</v>
      </c>
      <c r="Q289" s="1623">
        <v>1087441</v>
      </c>
    </row>
    <row r="290" spans="1:17">
      <c r="B290" s="856" t="s">
        <v>323</v>
      </c>
      <c r="C290" s="856">
        <v>25</v>
      </c>
      <c r="D290" s="856" t="s">
        <v>140</v>
      </c>
      <c r="E290" s="856" t="s">
        <v>141</v>
      </c>
      <c r="F290" s="1623">
        <f>+IFERROR(VLOOKUP($B290,'TB 260524'!$A:$C,2,0),0)</f>
        <v>252000</v>
      </c>
      <c r="G290" s="1623"/>
      <c r="H290" s="1623">
        <f t="shared" si="8"/>
        <v>252000</v>
      </c>
      <c r="I290" s="1623">
        <f>+IFERROR(VLOOKUP($B290,'TB 260524'!$A:$C,3,0),0)</f>
        <v>0</v>
      </c>
      <c r="J290" s="1623"/>
      <c r="K290" s="1623">
        <f t="shared" si="9"/>
        <v>0</v>
      </c>
      <c r="L290" s="1623">
        <v>237000</v>
      </c>
      <c r="M290" s="1623">
        <v>0</v>
      </c>
      <c r="N290" s="1623">
        <v>237000</v>
      </c>
      <c r="O290" s="1623">
        <v>0</v>
      </c>
      <c r="P290" s="1623">
        <v>0</v>
      </c>
      <c r="Q290" s="1623">
        <v>0</v>
      </c>
    </row>
    <row r="291" spans="1:17">
      <c r="B291" s="856" t="s">
        <v>552</v>
      </c>
      <c r="C291" s="856">
        <v>25</v>
      </c>
      <c r="D291" s="856" t="s">
        <v>140</v>
      </c>
      <c r="E291" s="856" t="s">
        <v>141</v>
      </c>
      <c r="F291" s="1623">
        <f>+IFERROR(VLOOKUP($B291,'TB 260524'!$A:$C,2,0),0)</f>
        <v>1930419</v>
      </c>
      <c r="G291" s="1623"/>
      <c r="H291" s="1623">
        <f t="shared" si="8"/>
        <v>1930419</v>
      </c>
      <c r="I291" s="1623">
        <f>+IFERROR(VLOOKUP($B291,'TB 260524'!$A:$C,3,0),0)</f>
        <v>0</v>
      </c>
      <c r="J291" s="1623"/>
      <c r="K291" s="1623">
        <f t="shared" si="9"/>
        <v>0</v>
      </c>
      <c r="L291" s="1623">
        <v>2732000</v>
      </c>
      <c r="M291" s="1623">
        <v>0</v>
      </c>
      <c r="N291" s="1623">
        <v>2732000</v>
      </c>
      <c r="O291" s="1623">
        <v>0</v>
      </c>
      <c r="P291" s="1623">
        <v>0</v>
      </c>
      <c r="Q291" s="1623">
        <v>0</v>
      </c>
    </row>
    <row r="292" spans="1:17">
      <c r="B292" s="856" t="s">
        <v>553</v>
      </c>
      <c r="C292" s="856">
        <v>25</v>
      </c>
      <c r="D292" s="856" t="s">
        <v>140</v>
      </c>
      <c r="E292" s="856" t="s">
        <v>141</v>
      </c>
      <c r="F292" s="1623">
        <f>+IFERROR(VLOOKUP($B292,'TB 260524'!$A:$C,2,0),0)</f>
        <v>2844200</v>
      </c>
      <c r="G292" s="1623"/>
      <c r="H292" s="1623">
        <f t="shared" si="8"/>
        <v>2844200</v>
      </c>
      <c r="I292" s="1623">
        <f>+IFERROR(VLOOKUP($B292,'TB 260524'!$A:$C,3,0),0)</f>
        <v>0</v>
      </c>
      <c r="J292" s="1623"/>
      <c r="K292" s="1623">
        <f t="shared" si="9"/>
        <v>0</v>
      </c>
      <c r="L292" s="1623">
        <v>2857400</v>
      </c>
      <c r="M292" s="1623">
        <v>0</v>
      </c>
      <c r="N292" s="1623">
        <v>2857400</v>
      </c>
      <c r="O292" s="1623">
        <v>0</v>
      </c>
      <c r="P292" s="1623">
        <v>0</v>
      </c>
      <c r="Q292" s="1623">
        <v>0</v>
      </c>
    </row>
    <row r="293" spans="1:17">
      <c r="B293" s="856" t="s">
        <v>554</v>
      </c>
      <c r="C293" s="856">
        <v>25</v>
      </c>
      <c r="D293" s="856" t="s">
        <v>140</v>
      </c>
      <c r="E293" s="856" t="s">
        <v>141</v>
      </c>
      <c r="F293" s="1623">
        <f>+IFERROR(VLOOKUP($B293,'TB 260524'!$A:$C,2,0),0)</f>
        <v>9905920</v>
      </c>
      <c r="G293" s="1623"/>
      <c r="H293" s="1623">
        <f t="shared" si="8"/>
        <v>9905920</v>
      </c>
      <c r="I293" s="1623">
        <f>+IFERROR(VLOOKUP($B293,'TB 260524'!$A:$C,3,0),0)</f>
        <v>0</v>
      </c>
      <c r="J293" s="1623"/>
      <c r="K293" s="1623">
        <f t="shared" si="9"/>
        <v>0</v>
      </c>
      <c r="L293" s="1623">
        <v>7499801</v>
      </c>
      <c r="M293" s="1623">
        <v>0</v>
      </c>
      <c r="N293" s="1623">
        <v>7499801</v>
      </c>
      <c r="O293" s="1623">
        <v>0</v>
      </c>
      <c r="P293" s="1623">
        <v>0</v>
      </c>
      <c r="Q293" s="1623">
        <v>0</v>
      </c>
    </row>
    <row r="294" spans="1:17">
      <c r="B294" s="856" t="s">
        <v>2987</v>
      </c>
      <c r="C294" s="856">
        <v>17</v>
      </c>
      <c r="D294" s="856" t="s">
        <v>8</v>
      </c>
      <c r="E294" s="856" t="s">
        <v>9</v>
      </c>
      <c r="F294" s="1623">
        <f>+IFERROR(VLOOKUP($B294,'TB 260524'!$A:$C,2,0),0)</f>
        <v>0</v>
      </c>
      <c r="G294" s="1623"/>
      <c r="H294" s="1623">
        <f t="shared" si="8"/>
        <v>0</v>
      </c>
      <c r="I294" s="1623">
        <f>+IFERROR(VLOOKUP($B294,'TB 260524'!$A:$C,3,0),0)</f>
        <v>1300144</v>
      </c>
      <c r="J294" s="1623"/>
      <c r="K294" s="1623">
        <f t="shared" si="9"/>
        <v>1300144</v>
      </c>
      <c r="L294" s="1623">
        <v>0</v>
      </c>
      <c r="M294" s="1623">
        <v>0</v>
      </c>
      <c r="N294" s="1623">
        <v>0</v>
      </c>
      <c r="O294" s="1623">
        <v>0</v>
      </c>
      <c r="P294" s="1623">
        <v>0</v>
      </c>
      <c r="Q294" s="1623">
        <v>0</v>
      </c>
    </row>
    <row r="295" spans="1:17">
      <c r="B295" s="856" t="s">
        <v>324</v>
      </c>
      <c r="C295" s="856">
        <v>21</v>
      </c>
      <c r="D295" s="856" t="s">
        <v>143</v>
      </c>
      <c r="E295" s="856" t="s">
        <v>144</v>
      </c>
      <c r="F295" s="1623">
        <f>+IFERROR(VLOOKUP($B295,'TB 260524'!$A:$C,2,0),0)</f>
        <v>0</v>
      </c>
      <c r="G295" s="1623"/>
      <c r="H295" s="1623">
        <f t="shared" si="8"/>
        <v>0</v>
      </c>
      <c r="I295" s="1623">
        <f>+IFERROR(VLOOKUP($B295,'TB 260524'!$A:$C,3,0),0)</f>
        <v>512311311.10000002</v>
      </c>
      <c r="J295" s="1623"/>
      <c r="K295" s="1623">
        <f t="shared" si="9"/>
        <v>512311311.10000002</v>
      </c>
      <c r="L295" s="1623">
        <v>0</v>
      </c>
      <c r="M295" s="1623">
        <v>0</v>
      </c>
      <c r="N295" s="1623">
        <v>0</v>
      </c>
      <c r="O295" s="1623">
        <v>930626444.45000005</v>
      </c>
      <c r="P295" s="1623">
        <v>0</v>
      </c>
      <c r="Q295" s="1623">
        <v>930626444.45000005</v>
      </c>
    </row>
    <row r="296" spans="1:17">
      <c r="B296" s="856" t="s">
        <v>145</v>
      </c>
      <c r="C296" s="856">
        <v>21</v>
      </c>
      <c r="D296" s="856" t="s">
        <v>143</v>
      </c>
      <c r="E296" s="856" t="s">
        <v>144</v>
      </c>
      <c r="F296" s="1623">
        <f>+IFERROR(VLOOKUP($B296,'TB 260524'!$A:$C,2,0),0)</f>
        <v>0</v>
      </c>
      <c r="G296" s="1623"/>
      <c r="H296" s="1623">
        <f t="shared" si="8"/>
        <v>0</v>
      </c>
      <c r="I296" s="1623">
        <f>+IFERROR(VLOOKUP($B296,'TB 260524'!$A:$C,3,0),0)</f>
        <v>99943120.799999997</v>
      </c>
      <c r="J296" s="1623"/>
      <c r="K296" s="1623">
        <f t="shared" si="9"/>
        <v>99943120.799999997</v>
      </c>
      <c r="L296" s="1623">
        <v>0</v>
      </c>
      <c r="M296" s="1623">
        <v>0</v>
      </c>
      <c r="N296" s="1623">
        <v>0</v>
      </c>
      <c r="O296" s="1623">
        <v>138935526.5</v>
      </c>
      <c r="P296" s="1623">
        <v>0</v>
      </c>
      <c r="Q296" s="1623">
        <v>138935526.5</v>
      </c>
    </row>
    <row r="297" spans="1:17">
      <c r="A297" t="s">
        <v>3017</v>
      </c>
      <c r="B297" s="856" t="s">
        <v>2988</v>
      </c>
      <c r="C297" s="856">
        <v>21</v>
      </c>
      <c r="D297" s="856" t="s">
        <v>143</v>
      </c>
      <c r="E297" s="856" t="s">
        <v>144</v>
      </c>
      <c r="F297" s="1623">
        <f>+IFERROR(VLOOKUP($B297,'TB 260524'!$A:$C,2,0),0)</f>
        <v>322707</v>
      </c>
      <c r="G297" s="1623"/>
      <c r="H297" s="1623">
        <f t="shared" si="8"/>
        <v>322707</v>
      </c>
      <c r="I297" s="1623">
        <f>+IFERROR(VLOOKUP($B297,'TB 260524'!$A:$C,3,0),0)</f>
        <v>0</v>
      </c>
      <c r="J297" s="1623"/>
      <c r="K297" s="1623">
        <f t="shared" si="9"/>
        <v>0</v>
      </c>
      <c r="L297" s="1623">
        <v>0</v>
      </c>
      <c r="M297" s="1623">
        <v>0</v>
      </c>
      <c r="N297" s="1623">
        <v>0</v>
      </c>
      <c r="O297" s="1623">
        <v>0</v>
      </c>
      <c r="P297" s="1623">
        <v>0</v>
      </c>
      <c r="Q297" s="1623">
        <v>0</v>
      </c>
    </row>
    <row r="298" spans="1:17">
      <c r="B298" s="856" t="s">
        <v>556</v>
      </c>
      <c r="C298" s="856">
        <v>21</v>
      </c>
      <c r="D298" s="856" t="s">
        <v>143</v>
      </c>
      <c r="E298" s="856" t="s">
        <v>144</v>
      </c>
      <c r="F298" s="1623">
        <f>+IFERROR(VLOOKUP($B298,'TB 260524'!$A:$C,2,0),0)</f>
        <v>0</v>
      </c>
      <c r="G298" s="1623"/>
      <c r="H298" s="1623">
        <f t="shared" si="8"/>
        <v>0</v>
      </c>
      <c r="I298" s="1623">
        <f>+IFERROR(VLOOKUP($B298,'TB 260524'!$A:$C,3,0),0)</f>
        <v>409917</v>
      </c>
      <c r="J298" s="1623"/>
      <c r="K298" s="1623">
        <f t="shared" si="9"/>
        <v>409917</v>
      </c>
      <c r="L298" s="1623">
        <v>0</v>
      </c>
      <c r="M298" s="1623">
        <v>0</v>
      </c>
      <c r="N298" s="1623">
        <v>0</v>
      </c>
      <c r="O298" s="1623">
        <v>603566</v>
      </c>
      <c r="P298" s="1623">
        <v>0</v>
      </c>
      <c r="Q298" s="1623">
        <v>603566</v>
      </c>
    </row>
    <row r="299" spans="1:17">
      <c r="B299" s="856" t="s">
        <v>325</v>
      </c>
      <c r="C299" s="856">
        <v>13</v>
      </c>
      <c r="D299" s="856" t="s">
        <v>44</v>
      </c>
      <c r="E299" s="856" t="s">
        <v>45</v>
      </c>
      <c r="F299" s="1623">
        <f>+IFERROR(VLOOKUP($B299,'TB 260524'!$A:$C,2,0),0)</f>
        <v>0</v>
      </c>
      <c r="G299" s="1623"/>
      <c r="H299" s="1623">
        <f t="shared" si="8"/>
        <v>0</v>
      </c>
      <c r="I299" s="1623">
        <f>+IFERROR(VLOOKUP($B299,'TB 260524'!$A:$C,3,0),0)</f>
        <v>1406203</v>
      </c>
      <c r="J299" s="1623"/>
      <c r="K299" s="1623">
        <f t="shared" si="9"/>
        <v>1406203</v>
      </c>
      <c r="L299" s="1623">
        <v>0</v>
      </c>
      <c r="M299" s="1623">
        <v>0</v>
      </c>
      <c r="N299" s="1623">
        <v>0</v>
      </c>
      <c r="O299" s="1623">
        <v>1308589</v>
      </c>
      <c r="P299" s="1623">
        <v>0</v>
      </c>
      <c r="Q299" s="1623">
        <v>1308589</v>
      </c>
    </row>
    <row r="300" spans="1:17">
      <c r="B300" s="856" t="s">
        <v>2989</v>
      </c>
      <c r="C300" s="856">
        <v>17</v>
      </c>
      <c r="D300" s="856" t="s">
        <v>8</v>
      </c>
      <c r="E300" s="856" t="s">
        <v>9</v>
      </c>
      <c r="F300" s="1623">
        <f>+IFERROR(VLOOKUP($B300,'TB 260524'!$A:$C,2,0),0)</f>
        <v>0</v>
      </c>
      <c r="G300" s="1623"/>
      <c r="H300" s="1623">
        <f t="shared" si="8"/>
        <v>0</v>
      </c>
      <c r="I300" s="1623">
        <f>+IFERROR(VLOOKUP($B300,'TB 260524'!$A:$C,3,0),0)</f>
        <v>5290</v>
      </c>
      <c r="J300" s="1623"/>
      <c r="K300" s="1623">
        <f t="shared" si="9"/>
        <v>5290</v>
      </c>
      <c r="L300" s="1623">
        <v>0</v>
      </c>
      <c r="M300" s="1623">
        <v>0</v>
      </c>
      <c r="N300" s="1623">
        <v>0</v>
      </c>
      <c r="O300" s="1623">
        <v>0</v>
      </c>
      <c r="P300" s="1623">
        <v>0</v>
      </c>
      <c r="Q300" s="1623">
        <v>0</v>
      </c>
    </row>
    <row r="301" spans="1:17">
      <c r="B301" s="856" t="s">
        <v>557</v>
      </c>
      <c r="C301" s="856">
        <v>13</v>
      </c>
      <c r="D301" s="856" t="s">
        <v>44</v>
      </c>
      <c r="E301" s="856" t="s">
        <v>45</v>
      </c>
      <c r="F301" s="1623">
        <f>+IFERROR(VLOOKUP($B301,'TB 260524'!$A:$C,2,0),0)</f>
        <v>0</v>
      </c>
      <c r="G301" s="1623"/>
      <c r="H301" s="1623">
        <f t="shared" si="8"/>
        <v>0</v>
      </c>
      <c r="I301" s="1623">
        <f>+IFERROR(VLOOKUP($B301,'TB 260524'!$A:$C,3,0),0)</f>
        <v>2187364</v>
      </c>
      <c r="J301" s="1623"/>
      <c r="K301" s="1623">
        <f t="shared" si="9"/>
        <v>2187364</v>
      </c>
      <c r="L301" s="1623">
        <v>0</v>
      </c>
      <c r="M301" s="1623">
        <v>0</v>
      </c>
      <c r="N301" s="1623">
        <v>0</v>
      </c>
      <c r="O301" s="1623">
        <v>2035521</v>
      </c>
      <c r="P301" s="1623">
        <v>0</v>
      </c>
      <c r="Q301" s="1623">
        <v>2035521</v>
      </c>
    </row>
    <row r="302" spans="1:17">
      <c r="B302" s="856" t="s">
        <v>2990</v>
      </c>
      <c r="C302" s="856">
        <v>17</v>
      </c>
      <c r="D302" s="856" t="s">
        <v>8</v>
      </c>
      <c r="E302" s="856" t="s">
        <v>9</v>
      </c>
      <c r="F302" s="1623">
        <f>+IFERROR(VLOOKUP($B302,'TB 260524'!$A:$C,2,0),0)</f>
        <v>1094</v>
      </c>
      <c r="G302" s="1623"/>
      <c r="H302" s="1623">
        <f t="shared" si="8"/>
        <v>1094</v>
      </c>
      <c r="I302" s="1623">
        <f>+IFERROR(VLOOKUP($B302,'TB 260524'!$A:$C,3,0),0)</f>
        <v>0</v>
      </c>
      <c r="J302" s="1623"/>
      <c r="K302" s="1623">
        <f t="shared" si="9"/>
        <v>0</v>
      </c>
      <c r="L302" s="1623">
        <v>0</v>
      </c>
      <c r="M302" s="1623">
        <v>0</v>
      </c>
      <c r="N302" s="1623">
        <v>0</v>
      </c>
      <c r="O302" s="1623">
        <v>0</v>
      </c>
      <c r="P302" s="1623">
        <v>0</v>
      </c>
      <c r="Q302" s="1623">
        <v>0</v>
      </c>
    </row>
    <row r="303" spans="1:17">
      <c r="B303" s="856" t="s">
        <v>42</v>
      </c>
      <c r="C303" s="856">
        <v>6</v>
      </c>
      <c r="D303" s="856" t="s">
        <v>13</v>
      </c>
      <c r="E303" s="856" t="s">
        <v>14</v>
      </c>
      <c r="F303" s="1623">
        <f>+IFERROR(VLOOKUP($B303,'TB 260524'!$A:$C,2,0),0)</f>
        <v>8712571</v>
      </c>
      <c r="G303" s="1623"/>
      <c r="H303" s="1623">
        <f t="shared" si="8"/>
        <v>8712571</v>
      </c>
      <c r="I303" s="1623">
        <f>+IFERROR(VLOOKUP($B303,'TB 260524'!$A:$C,3,0),0)</f>
        <v>0</v>
      </c>
      <c r="J303" s="1623"/>
      <c r="K303" s="1623">
        <f t="shared" si="9"/>
        <v>0</v>
      </c>
      <c r="L303" s="1623">
        <v>5613955</v>
      </c>
      <c r="M303" s="1623">
        <v>0</v>
      </c>
      <c r="N303" s="1623">
        <v>5613955</v>
      </c>
      <c r="O303" s="1623">
        <v>0</v>
      </c>
      <c r="P303" s="1623">
        <v>0</v>
      </c>
      <c r="Q303" s="1623">
        <v>0</v>
      </c>
    </row>
    <row r="304" spans="1:17">
      <c r="B304" s="856" t="s">
        <v>558</v>
      </c>
      <c r="C304" s="856">
        <v>13</v>
      </c>
      <c r="D304" s="856" t="s">
        <v>44</v>
      </c>
      <c r="E304" s="856" t="s">
        <v>318</v>
      </c>
      <c r="F304" s="1623">
        <f>+IFERROR(VLOOKUP($B304,'TB 260524'!$A:$C,2,0),0)</f>
        <v>0</v>
      </c>
      <c r="G304" s="1623"/>
      <c r="H304" s="1623">
        <f t="shared" si="8"/>
        <v>0</v>
      </c>
      <c r="I304" s="1623">
        <f>+IFERROR(VLOOKUP($B304,'TB 260524'!$A:$C,3,0),0)</f>
        <v>11159826</v>
      </c>
      <c r="J304" s="1623"/>
      <c r="K304" s="1623">
        <f t="shared" si="9"/>
        <v>11159826</v>
      </c>
      <c r="L304" s="1623">
        <v>0</v>
      </c>
      <c r="M304" s="1623">
        <v>0</v>
      </c>
      <c r="N304" s="1623">
        <v>0</v>
      </c>
      <c r="O304" s="1623">
        <v>10184018</v>
      </c>
      <c r="P304" s="1623">
        <v>0</v>
      </c>
      <c r="Q304" s="1623">
        <v>10184018</v>
      </c>
    </row>
    <row r="305" spans="2:17">
      <c r="B305" s="856" t="s">
        <v>409</v>
      </c>
      <c r="C305" s="856">
        <v>13</v>
      </c>
      <c r="D305" s="856" t="s">
        <v>44</v>
      </c>
      <c r="E305" s="856" t="s">
        <v>318</v>
      </c>
      <c r="F305" s="1623">
        <f>+IFERROR(VLOOKUP($B305,'TB 260524'!$A:$C,2,0),0)</f>
        <v>0</v>
      </c>
      <c r="G305" s="1623"/>
      <c r="H305" s="1623">
        <f t="shared" si="8"/>
        <v>0</v>
      </c>
      <c r="I305" s="1623">
        <f>+IFERROR(VLOOKUP($B305,'TB 260524'!$A:$C,3,0),0)</f>
        <v>6263137</v>
      </c>
      <c r="J305" s="1623"/>
      <c r="K305" s="1623">
        <f t="shared" si="9"/>
        <v>6263137</v>
      </c>
      <c r="L305" s="1623">
        <v>0</v>
      </c>
      <c r="M305" s="1623">
        <v>0</v>
      </c>
      <c r="N305" s="1623">
        <v>0</v>
      </c>
      <c r="O305" s="1623">
        <v>7221052.2300000004</v>
      </c>
      <c r="P305" s="1623">
        <v>0</v>
      </c>
      <c r="Q305" s="1623">
        <v>7221052.2300000004</v>
      </c>
    </row>
    <row r="306" spans="2:17">
      <c r="B306" s="856" t="s">
        <v>437</v>
      </c>
      <c r="C306" s="856">
        <v>13</v>
      </c>
      <c r="D306" s="856" t="s">
        <v>44</v>
      </c>
      <c r="E306" s="856" t="s">
        <v>318</v>
      </c>
      <c r="F306" s="1623">
        <f>+IFERROR(VLOOKUP($B306,'TB 260524'!$A:$C,2,0),0)</f>
        <v>0</v>
      </c>
      <c r="G306" s="1623"/>
      <c r="H306" s="1623">
        <f t="shared" si="8"/>
        <v>0</v>
      </c>
      <c r="I306" s="1623">
        <f>+IFERROR(VLOOKUP($B306,'TB 260524'!$A:$C,3,0),0)</f>
        <v>68723.86</v>
      </c>
      <c r="J306" s="1623"/>
      <c r="K306" s="1623">
        <f t="shared" si="9"/>
        <v>68723.86</v>
      </c>
      <c r="L306" s="1623">
        <v>0</v>
      </c>
      <c r="M306" s="1623">
        <v>0</v>
      </c>
      <c r="N306" s="1623">
        <v>0</v>
      </c>
      <c r="O306" s="1623">
        <v>4745540.8600000003</v>
      </c>
      <c r="P306" s="1623">
        <v>0</v>
      </c>
      <c r="Q306" s="1623">
        <v>4745540.8600000003</v>
      </c>
    </row>
    <row r="307" spans="2:17">
      <c r="B307" s="856" t="s">
        <v>316</v>
      </c>
      <c r="C307" s="856">
        <v>7</v>
      </c>
      <c r="D307" s="856" t="s">
        <v>88</v>
      </c>
      <c r="E307" s="856" t="s">
        <v>317</v>
      </c>
      <c r="F307" s="1623">
        <f>+IFERROR(VLOOKUP($B307,'TB 260524'!$A:$C,2,0),0)</f>
        <v>8810.64</v>
      </c>
      <c r="G307" s="1623"/>
      <c r="H307" s="1623">
        <f t="shared" si="8"/>
        <v>8810.64</v>
      </c>
      <c r="I307" s="1623">
        <f>+IFERROR(VLOOKUP($B307,'TB 260524'!$A:$C,3,0),0)</f>
        <v>0</v>
      </c>
      <c r="J307" s="1623"/>
      <c r="K307" s="1623">
        <f t="shared" si="9"/>
        <v>0</v>
      </c>
      <c r="L307" s="1623">
        <v>9459.64</v>
      </c>
      <c r="M307" s="1623">
        <v>0</v>
      </c>
      <c r="N307" s="1623">
        <v>9459.64</v>
      </c>
      <c r="O307" s="1623">
        <v>0</v>
      </c>
      <c r="P307" s="1623">
        <v>0</v>
      </c>
      <c r="Q307" s="1623">
        <v>0</v>
      </c>
    </row>
    <row r="308" spans="2:17">
      <c r="B308" s="856" t="s">
        <v>2991</v>
      </c>
      <c r="C308" s="856">
        <v>13</v>
      </c>
      <c r="D308" s="856" t="s">
        <v>44</v>
      </c>
      <c r="E308" s="856" t="s">
        <v>318</v>
      </c>
      <c r="F308" s="1623">
        <f>+IFERROR(VLOOKUP($B308,'TB 260524'!$A:$C,2,0),0)</f>
        <v>0</v>
      </c>
      <c r="G308" s="1623"/>
      <c r="H308" s="1623">
        <f t="shared" si="8"/>
        <v>0</v>
      </c>
      <c r="I308" s="1623">
        <f>+IFERROR(VLOOKUP($B308,'TB 260524'!$A:$C,3,0),0)</f>
        <v>28972386</v>
      </c>
      <c r="J308" s="1623"/>
      <c r="K308" s="1623">
        <f t="shared" si="9"/>
        <v>28972386</v>
      </c>
      <c r="L308" s="1623">
        <v>0</v>
      </c>
      <c r="M308" s="1623">
        <v>0</v>
      </c>
      <c r="N308" s="1623">
        <v>0</v>
      </c>
      <c r="O308" s="1623">
        <v>0</v>
      </c>
      <c r="P308" s="1623">
        <v>0</v>
      </c>
      <c r="Q308" s="1623">
        <v>0</v>
      </c>
    </row>
    <row r="309" spans="2:17">
      <c r="B309" s="856" t="s">
        <v>410</v>
      </c>
      <c r="C309" s="856">
        <v>13</v>
      </c>
      <c r="D309" s="856" t="s">
        <v>44</v>
      </c>
      <c r="E309" s="856" t="s">
        <v>318</v>
      </c>
      <c r="F309" s="1623">
        <f>+IFERROR(VLOOKUP($B309,'TB 260524'!$A:$C,2,0),0)</f>
        <v>0</v>
      </c>
      <c r="G309" s="1623"/>
      <c r="H309" s="1623">
        <f t="shared" si="8"/>
        <v>0</v>
      </c>
      <c r="I309" s="1623">
        <f>+IFERROR(VLOOKUP($B309,'TB 260524'!$A:$C,3,0),0)</f>
        <v>46199076</v>
      </c>
      <c r="J309" s="1623"/>
      <c r="K309" s="1623">
        <f t="shared" si="9"/>
        <v>46199076</v>
      </c>
      <c r="L309" s="1623">
        <v>0</v>
      </c>
      <c r="M309" s="1623">
        <v>0</v>
      </c>
      <c r="N309" s="1623">
        <v>0</v>
      </c>
      <c r="O309" s="1623">
        <v>62630931</v>
      </c>
      <c r="P309" s="1623">
        <v>0</v>
      </c>
      <c r="Q309" s="1623">
        <v>62630931</v>
      </c>
    </row>
    <row r="310" spans="2:17">
      <c r="B310" s="856" t="s">
        <v>326</v>
      </c>
      <c r="C310" s="856"/>
      <c r="D310" s="856" t="s">
        <v>80</v>
      </c>
      <c r="E310" s="856" t="s">
        <v>327</v>
      </c>
      <c r="F310" s="1623">
        <f>+IFERROR(VLOOKUP($B310,'TB 260524'!$A:$C,2,0),0)</f>
        <v>0</v>
      </c>
      <c r="G310" s="1623"/>
      <c r="H310" s="1623">
        <f t="shared" si="8"/>
        <v>0</v>
      </c>
      <c r="I310" s="1623">
        <f>+IFERROR(VLOOKUP($B310,'TB 260524'!$A:$C,3,0),0)</f>
        <v>8664946</v>
      </c>
      <c r="J310" s="1623"/>
      <c r="K310" s="1623">
        <f t="shared" si="9"/>
        <v>8664946</v>
      </c>
      <c r="L310" s="1623">
        <v>0</v>
      </c>
      <c r="M310" s="1623">
        <v>0</v>
      </c>
      <c r="N310" s="1623">
        <v>0</v>
      </c>
      <c r="O310" s="1623">
        <v>8664946</v>
      </c>
      <c r="P310" s="1623">
        <v>0</v>
      </c>
      <c r="Q310" s="1623">
        <v>8664946</v>
      </c>
    </row>
    <row r="311" spans="2:17">
      <c r="B311" s="856" t="s">
        <v>328</v>
      </c>
      <c r="C311" s="856">
        <v>27</v>
      </c>
      <c r="D311" s="856" t="s">
        <v>73</v>
      </c>
      <c r="E311" s="856" t="s">
        <v>328</v>
      </c>
      <c r="F311" s="1623">
        <f>+IFERROR(VLOOKUP($B311,'TB 260524'!$A:$C,2,0),0)</f>
        <v>827794</v>
      </c>
      <c r="G311" s="1623"/>
      <c r="H311" s="1623">
        <f t="shared" si="8"/>
        <v>827794</v>
      </c>
      <c r="I311" s="1623">
        <f>+IFERROR(VLOOKUP($B311,'TB 260524'!$A:$C,3,0),0)</f>
        <v>0</v>
      </c>
      <c r="J311" s="1623"/>
      <c r="K311" s="1623">
        <f t="shared" si="9"/>
        <v>0</v>
      </c>
      <c r="L311" s="1623">
        <v>905691</v>
      </c>
      <c r="M311" s="1623">
        <v>0</v>
      </c>
      <c r="N311" s="1623">
        <v>905691</v>
      </c>
      <c r="O311" s="1623">
        <v>0</v>
      </c>
      <c r="P311" s="1623">
        <v>0</v>
      </c>
      <c r="Q311" s="1623">
        <v>0</v>
      </c>
    </row>
    <row r="312" spans="2:17">
      <c r="B312" s="856" t="s">
        <v>411</v>
      </c>
      <c r="C312" s="856">
        <v>17</v>
      </c>
      <c r="D312" s="856" t="s">
        <v>8</v>
      </c>
      <c r="E312" s="856" t="s">
        <v>8</v>
      </c>
      <c r="F312" s="1623">
        <f>+IFERROR(VLOOKUP($B312,'TB 260524'!$A:$C,2,0),0)</f>
        <v>0</v>
      </c>
      <c r="G312" s="1623"/>
      <c r="H312" s="1623">
        <f t="shared" si="8"/>
        <v>0</v>
      </c>
      <c r="I312" s="1623">
        <f>+IFERROR(VLOOKUP($B312,'TB 260524'!$A:$C,3,0),0)</f>
        <v>1397710</v>
      </c>
      <c r="J312" s="1623"/>
      <c r="K312" s="1623">
        <f t="shared" si="9"/>
        <v>1397710</v>
      </c>
      <c r="L312" s="1623">
        <v>0</v>
      </c>
      <c r="M312" s="1623">
        <v>0</v>
      </c>
      <c r="N312" s="1623">
        <v>0</v>
      </c>
      <c r="O312" s="1623">
        <v>632079</v>
      </c>
      <c r="P312" s="1623">
        <v>0</v>
      </c>
      <c r="Q312" s="1623">
        <v>632079</v>
      </c>
    </row>
    <row r="313" spans="2:17">
      <c r="B313" s="856" t="s">
        <v>16</v>
      </c>
      <c r="C313" s="856">
        <v>17</v>
      </c>
      <c r="D313" s="856" t="s">
        <v>8</v>
      </c>
      <c r="E313" s="856" t="s">
        <v>8</v>
      </c>
      <c r="F313" s="1623">
        <f>+IFERROR(VLOOKUP($B313,'TB 260524'!$A:$C,2,0),0)</f>
        <v>0</v>
      </c>
      <c r="G313" s="1623"/>
      <c r="H313" s="1623">
        <f t="shared" si="8"/>
        <v>0</v>
      </c>
      <c r="I313" s="1623">
        <f>+IFERROR(VLOOKUP($B313,'TB 260524'!$A:$C,3,0),0)</f>
        <v>210890</v>
      </c>
      <c r="J313" s="1623"/>
      <c r="K313" s="1623">
        <f t="shared" si="9"/>
        <v>210890</v>
      </c>
      <c r="L313" s="1623">
        <v>0</v>
      </c>
      <c r="M313" s="1623">
        <v>0</v>
      </c>
      <c r="N313" s="1623">
        <v>0</v>
      </c>
      <c r="O313" s="1623">
        <v>0</v>
      </c>
      <c r="P313" s="1623">
        <v>0</v>
      </c>
      <c r="Q313" s="1623">
        <v>0</v>
      </c>
    </row>
    <row r="314" spans="2:17">
      <c r="B314" s="856" t="s">
        <v>2992</v>
      </c>
      <c r="C314" s="856">
        <v>18</v>
      </c>
      <c r="D314" s="856" t="s">
        <v>214</v>
      </c>
      <c r="E314" s="856" t="s">
        <v>90</v>
      </c>
      <c r="F314" s="1623">
        <f>+IFERROR(VLOOKUP($B314,'TB 260524'!$A:$C,2,0),0)</f>
        <v>0</v>
      </c>
      <c r="G314" s="1623"/>
      <c r="H314" s="1623">
        <f t="shared" si="8"/>
        <v>0</v>
      </c>
      <c r="I314" s="1623">
        <f>+IFERROR(VLOOKUP($B314,'TB 260524'!$A:$C,3,0),0)</f>
        <v>633932.32999999996</v>
      </c>
      <c r="J314" s="1623"/>
      <c r="K314" s="1623">
        <f t="shared" si="9"/>
        <v>633932.32999999996</v>
      </c>
      <c r="L314" s="1623">
        <v>0</v>
      </c>
      <c r="M314" s="1623">
        <v>0</v>
      </c>
      <c r="N314" s="1623">
        <v>0</v>
      </c>
      <c r="O314" s="1623">
        <v>0</v>
      </c>
      <c r="P314" s="1623">
        <v>0</v>
      </c>
      <c r="Q314" s="1623">
        <v>0</v>
      </c>
    </row>
    <row r="315" spans="2:17">
      <c r="B315" s="856" t="s">
        <v>2993</v>
      </c>
      <c r="C315" s="856">
        <v>18</v>
      </c>
      <c r="D315" s="856" t="s">
        <v>214</v>
      </c>
      <c r="E315" s="856" t="s">
        <v>90</v>
      </c>
      <c r="F315" s="1623">
        <f>+IFERROR(VLOOKUP($B315,'TB 260524'!$A:$C,2,0),0)</f>
        <v>0</v>
      </c>
      <c r="G315" s="1623"/>
      <c r="H315" s="1623">
        <f t="shared" si="8"/>
        <v>0</v>
      </c>
      <c r="I315" s="1623">
        <f>+IFERROR(VLOOKUP($B315,'TB 260524'!$A:$C,3,0),0)</f>
        <v>41335.42</v>
      </c>
      <c r="J315" s="1623"/>
      <c r="K315" s="1623">
        <f t="shared" si="9"/>
        <v>41335.42</v>
      </c>
      <c r="L315" s="1623">
        <v>0</v>
      </c>
      <c r="M315" s="1623">
        <v>0</v>
      </c>
      <c r="N315" s="1623">
        <v>0</v>
      </c>
      <c r="O315" s="1623">
        <v>0</v>
      </c>
      <c r="P315" s="1623">
        <v>0</v>
      </c>
      <c r="Q315" s="1623">
        <v>0</v>
      </c>
    </row>
    <row r="316" spans="2:17">
      <c r="B316" s="856" t="s">
        <v>217</v>
      </c>
      <c r="C316" s="856">
        <v>17</v>
      </c>
      <c r="D316" s="856" t="s">
        <v>8</v>
      </c>
      <c r="E316" s="856" t="s">
        <v>8</v>
      </c>
      <c r="F316" s="1623">
        <f>+IFERROR(VLOOKUP($B316,'TB 260524'!$A:$C,2,0),0)</f>
        <v>0</v>
      </c>
      <c r="G316" s="1623"/>
      <c r="H316" s="1623">
        <f t="shared" si="8"/>
        <v>0</v>
      </c>
      <c r="I316" s="1623">
        <f>+IFERROR(VLOOKUP($B316,'TB 260524'!$A:$C,3,0),0)</f>
        <v>474189</v>
      </c>
      <c r="J316" s="1623"/>
      <c r="K316" s="1623">
        <f t="shared" si="9"/>
        <v>474189</v>
      </c>
      <c r="L316" s="1623">
        <v>0</v>
      </c>
      <c r="M316" s="1623">
        <v>0</v>
      </c>
      <c r="N316" s="1623">
        <v>0</v>
      </c>
      <c r="O316" s="1623">
        <v>2129493</v>
      </c>
      <c r="P316" s="1623">
        <v>0</v>
      </c>
      <c r="Q316" s="1623">
        <v>2129493</v>
      </c>
    </row>
    <row r="317" spans="2:17">
      <c r="B317" s="856" t="s">
        <v>332</v>
      </c>
      <c r="C317" s="856">
        <v>6</v>
      </c>
      <c r="D317" s="856" t="s">
        <v>13</v>
      </c>
      <c r="E317" s="856" t="s">
        <v>14</v>
      </c>
      <c r="F317" s="1623">
        <f>+IFERROR(VLOOKUP($B317,'TB 260524'!$A:$C,2,0),0)</f>
        <v>719897</v>
      </c>
      <c r="G317" s="1623"/>
      <c r="H317" s="1623">
        <f t="shared" si="8"/>
        <v>719897</v>
      </c>
      <c r="I317" s="1623">
        <f>+IFERROR(VLOOKUP($B317,'TB 260524'!$A:$C,3,0),0)</f>
        <v>0</v>
      </c>
      <c r="J317" s="1623"/>
      <c r="K317" s="1623">
        <f t="shared" si="9"/>
        <v>0</v>
      </c>
      <c r="L317" s="1623">
        <v>886344</v>
      </c>
      <c r="M317" s="1623">
        <v>0</v>
      </c>
      <c r="N317" s="1623">
        <v>886344</v>
      </c>
      <c r="O317" s="1623">
        <v>0</v>
      </c>
      <c r="P317" s="1623">
        <v>0</v>
      </c>
      <c r="Q317" s="1623">
        <v>0</v>
      </c>
    </row>
    <row r="318" spans="2:17">
      <c r="B318" s="856" t="s">
        <v>2994</v>
      </c>
      <c r="C318" s="856">
        <v>6</v>
      </c>
      <c r="D318" s="856" t="s">
        <v>13</v>
      </c>
      <c r="E318" s="856" t="s">
        <v>14</v>
      </c>
      <c r="F318" s="1623">
        <f>+IFERROR(VLOOKUP($B318,'TB 260524'!$A:$C,2,0),0)</f>
        <v>1651.44</v>
      </c>
      <c r="G318" s="1623"/>
      <c r="H318" s="1623">
        <f t="shared" si="8"/>
        <v>1651.44</v>
      </c>
      <c r="I318" s="1623">
        <f>+IFERROR(VLOOKUP($B318,'TB 260524'!$A:$C,3,0),0)</f>
        <v>0</v>
      </c>
      <c r="J318" s="1623"/>
      <c r="K318" s="1623">
        <f t="shared" si="9"/>
        <v>0</v>
      </c>
      <c r="L318" s="1623">
        <v>0</v>
      </c>
      <c r="M318" s="1623">
        <v>0</v>
      </c>
      <c r="N318" s="1623">
        <v>0</v>
      </c>
      <c r="O318" s="1623">
        <v>0</v>
      </c>
      <c r="P318" s="1623">
        <v>0</v>
      </c>
      <c r="Q318" s="1623">
        <v>0</v>
      </c>
    </row>
    <row r="319" spans="2:17">
      <c r="B319" s="856" t="s">
        <v>333</v>
      </c>
      <c r="C319" s="856">
        <v>17</v>
      </c>
      <c r="D319" s="856" t="s">
        <v>8</v>
      </c>
      <c r="E319" s="856" t="s">
        <v>8</v>
      </c>
      <c r="F319" s="1623">
        <f>+IFERROR(VLOOKUP($B319,'TB 260524'!$A:$C,2,0),0)</f>
        <v>0</v>
      </c>
      <c r="G319" s="1623"/>
      <c r="H319" s="1623">
        <f t="shared" si="8"/>
        <v>0</v>
      </c>
      <c r="I319" s="1623">
        <f>+IFERROR(VLOOKUP($B319,'TB 260524'!$A:$C,3,0),0)</f>
        <v>1449699.7</v>
      </c>
      <c r="J319" s="1623"/>
      <c r="K319" s="1623">
        <f t="shared" si="9"/>
        <v>1449699.7</v>
      </c>
      <c r="L319" s="1623">
        <v>0</v>
      </c>
      <c r="M319" s="1623">
        <v>0</v>
      </c>
      <c r="N319" s="1623">
        <v>0</v>
      </c>
      <c r="O319" s="1623">
        <v>1668161.7</v>
      </c>
      <c r="P319" s="1623">
        <v>0</v>
      </c>
      <c r="Q319" s="1623">
        <v>1668161.7</v>
      </c>
    </row>
    <row r="320" spans="2:17">
      <c r="B320" s="856" t="s">
        <v>414</v>
      </c>
      <c r="C320" s="856">
        <v>6</v>
      </c>
      <c r="D320" s="856" t="s">
        <v>13</v>
      </c>
      <c r="E320" s="856" t="s">
        <v>14</v>
      </c>
      <c r="F320" s="1623">
        <f>+IFERROR(VLOOKUP($B320,'TB 260524'!$A:$C,2,0),0)</f>
        <v>221637</v>
      </c>
      <c r="G320" s="1623"/>
      <c r="H320" s="1623">
        <f t="shared" si="8"/>
        <v>221637</v>
      </c>
      <c r="I320" s="1623">
        <f>+IFERROR(VLOOKUP($B320,'TB 260524'!$A:$C,3,0),0)</f>
        <v>0</v>
      </c>
      <c r="J320" s="1623"/>
      <c r="K320" s="1623">
        <f t="shared" si="9"/>
        <v>0</v>
      </c>
      <c r="L320" s="1623">
        <v>0</v>
      </c>
      <c r="M320" s="1623">
        <v>0</v>
      </c>
      <c r="N320" s="1623">
        <v>0</v>
      </c>
      <c r="O320" s="1623">
        <v>0</v>
      </c>
      <c r="P320" s="1623">
        <v>0</v>
      </c>
      <c r="Q320" s="1623">
        <v>0</v>
      </c>
    </row>
    <row r="321" spans="2:17">
      <c r="B321" s="856" t="s">
        <v>336</v>
      </c>
      <c r="C321" s="856">
        <v>21</v>
      </c>
      <c r="D321" s="856" t="s">
        <v>143</v>
      </c>
      <c r="E321" s="856" t="s">
        <v>144</v>
      </c>
      <c r="F321" s="1623">
        <f>+IFERROR(VLOOKUP($B321,'TB 260524'!$A:$C,2,0),0)</f>
        <v>125</v>
      </c>
      <c r="G321" s="1623"/>
      <c r="H321" s="1623">
        <f t="shared" si="8"/>
        <v>125</v>
      </c>
      <c r="I321" s="1623">
        <f>+IFERROR(VLOOKUP($B321,'TB 260524'!$A:$C,3,0),0)</f>
        <v>0</v>
      </c>
      <c r="J321" s="1623"/>
      <c r="K321" s="1623">
        <f t="shared" si="9"/>
        <v>0</v>
      </c>
      <c r="L321" s="1623">
        <v>0</v>
      </c>
      <c r="M321" s="1623">
        <v>0</v>
      </c>
      <c r="N321" s="1623">
        <v>0</v>
      </c>
      <c r="O321" s="1623">
        <v>0</v>
      </c>
      <c r="P321" s="1623">
        <v>0</v>
      </c>
      <c r="Q321" s="1623">
        <v>0</v>
      </c>
    </row>
    <row r="322" spans="2:17">
      <c r="B322" s="856" t="s">
        <v>2995</v>
      </c>
      <c r="C322" s="856">
        <v>17</v>
      </c>
      <c r="D322" s="856" t="s">
        <v>8</v>
      </c>
      <c r="E322" s="856" t="s">
        <v>9</v>
      </c>
      <c r="F322" s="1623">
        <f>+IFERROR(VLOOKUP($B322,'TB 260524'!$A:$C,2,0),0)</f>
        <v>0</v>
      </c>
      <c r="G322" s="1623"/>
      <c r="H322" s="1623">
        <f t="shared" si="8"/>
        <v>0</v>
      </c>
      <c r="I322" s="1623">
        <f>+IFERROR(VLOOKUP($B322,'TB 260524'!$A:$C,3,0),0)</f>
        <v>258302</v>
      </c>
      <c r="J322" s="1623"/>
      <c r="K322" s="1623">
        <f t="shared" si="9"/>
        <v>258302</v>
      </c>
      <c r="L322" s="1623">
        <v>0</v>
      </c>
      <c r="M322" s="1623">
        <v>0</v>
      </c>
      <c r="N322" s="1623">
        <v>0</v>
      </c>
      <c r="O322" s="1623">
        <v>0</v>
      </c>
      <c r="P322" s="1623">
        <v>0</v>
      </c>
      <c r="Q322" s="1623">
        <v>0</v>
      </c>
    </row>
    <row r="323" spans="2:17">
      <c r="B323" s="856" t="s">
        <v>2996</v>
      </c>
      <c r="C323" s="856">
        <v>17</v>
      </c>
      <c r="D323" s="856" t="s">
        <v>8</v>
      </c>
      <c r="E323" s="856" t="s">
        <v>9</v>
      </c>
      <c r="F323" s="1623">
        <f>+IFERROR(VLOOKUP($B323,'TB 260524'!$A:$C,2,0),0)</f>
        <v>0</v>
      </c>
      <c r="G323" s="1623"/>
      <c r="H323" s="1623">
        <f t="shared" si="8"/>
        <v>0</v>
      </c>
      <c r="I323" s="1623">
        <f>+IFERROR(VLOOKUP($B323,'TB 260524'!$A:$C,3,0),0)</f>
        <v>114628</v>
      </c>
      <c r="J323" s="1623"/>
      <c r="K323" s="1623">
        <f t="shared" si="9"/>
        <v>114628</v>
      </c>
      <c r="L323" s="1623">
        <v>0</v>
      </c>
      <c r="M323" s="1623">
        <v>0</v>
      </c>
      <c r="N323" s="1623">
        <v>0</v>
      </c>
      <c r="O323" s="1623">
        <v>0</v>
      </c>
      <c r="P323" s="1623">
        <v>0</v>
      </c>
      <c r="Q323" s="1623">
        <v>0</v>
      </c>
    </row>
    <row r="324" spans="2:17">
      <c r="B324" s="856" t="s">
        <v>337</v>
      </c>
      <c r="C324" s="856">
        <v>13</v>
      </c>
      <c r="D324" s="856" t="s">
        <v>44</v>
      </c>
      <c r="E324" s="856" t="s">
        <v>45</v>
      </c>
      <c r="F324" s="1623">
        <f>+IFERROR(VLOOKUP($B324,'TB 260524'!$A:$C,2,0),0)</f>
        <v>0</v>
      </c>
      <c r="G324" s="1623"/>
      <c r="H324" s="1623">
        <f t="shared" si="8"/>
        <v>0</v>
      </c>
      <c r="I324" s="1623">
        <f>+IFERROR(VLOOKUP($B324,'TB 260524'!$A:$C,3,0),0)</f>
        <v>559911</v>
      </c>
      <c r="J324" s="1623"/>
      <c r="K324" s="1623">
        <f t="shared" si="9"/>
        <v>559911</v>
      </c>
      <c r="L324" s="1623">
        <v>0</v>
      </c>
      <c r="M324" s="1623">
        <v>0</v>
      </c>
      <c r="N324" s="1623">
        <v>0</v>
      </c>
      <c r="O324" s="1623">
        <v>2253400</v>
      </c>
      <c r="P324" s="1623">
        <v>0</v>
      </c>
      <c r="Q324" s="1623">
        <v>2253400</v>
      </c>
    </row>
    <row r="325" spans="2:17">
      <c r="B325" s="856" t="s">
        <v>338</v>
      </c>
      <c r="C325" s="856">
        <v>18</v>
      </c>
      <c r="D325" s="856" t="s">
        <v>214</v>
      </c>
      <c r="E325" s="856" t="s">
        <v>107</v>
      </c>
      <c r="F325" s="1623">
        <f>+IFERROR(VLOOKUP($B325,'TB 260524'!$A:$C,2,0),0)</f>
        <v>0</v>
      </c>
      <c r="G325" s="1623"/>
      <c r="H325" s="1623">
        <f t="shared" si="8"/>
        <v>0</v>
      </c>
      <c r="I325" s="1623">
        <f>+IFERROR(VLOOKUP($B325,'TB 260524'!$A:$C,3,0),0)</f>
        <v>14175</v>
      </c>
      <c r="J325" s="1623"/>
      <c r="K325" s="1623">
        <f t="shared" si="9"/>
        <v>14175</v>
      </c>
      <c r="L325" s="1623">
        <v>0</v>
      </c>
      <c r="M325" s="1623">
        <v>0</v>
      </c>
      <c r="N325" s="1623">
        <v>0</v>
      </c>
      <c r="O325" s="1623">
        <v>11575</v>
      </c>
      <c r="P325" s="1623">
        <v>0</v>
      </c>
      <c r="Q325" s="1623">
        <v>11575</v>
      </c>
    </row>
    <row r="326" spans="2:17">
      <c r="B326" s="856" t="s">
        <v>416</v>
      </c>
      <c r="C326" s="856">
        <v>27</v>
      </c>
      <c r="D326" s="856" t="s">
        <v>48</v>
      </c>
      <c r="E326" s="856" t="s">
        <v>104</v>
      </c>
      <c r="F326" s="1623">
        <f>+IFERROR(VLOOKUP($B326,'TB 260524'!$A:$C,2,0),0)</f>
        <v>12900</v>
      </c>
      <c r="G326" s="1623"/>
      <c r="H326" s="1623">
        <f t="shared" si="8"/>
        <v>12900</v>
      </c>
      <c r="I326" s="1623">
        <f>+IFERROR(VLOOKUP($B326,'TB 260524'!$A:$C,3,0),0)</f>
        <v>0</v>
      </c>
      <c r="J326" s="1623"/>
      <c r="K326" s="1623">
        <f t="shared" si="9"/>
        <v>0</v>
      </c>
      <c r="L326" s="1623">
        <v>6640</v>
      </c>
      <c r="M326" s="1623">
        <v>0</v>
      </c>
      <c r="N326" s="1623">
        <v>6640</v>
      </c>
      <c r="O326" s="1623">
        <v>0</v>
      </c>
      <c r="P326" s="1623">
        <v>0</v>
      </c>
      <c r="Q326" s="1623">
        <v>0</v>
      </c>
    </row>
    <row r="327" spans="2:17">
      <c r="B327" s="856" t="s">
        <v>562</v>
      </c>
      <c r="C327" s="856">
        <v>16</v>
      </c>
      <c r="D327" s="856" t="s">
        <v>339</v>
      </c>
      <c r="E327" s="856" t="s">
        <v>340</v>
      </c>
      <c r="F327" s="1623">
        <f>+IFERROR(VLOOKUP($B327,'TB 260524'!$A:$C,2,0),0)</f>
        <v>0</v>
      </c>
      <c r="G327" s="1623"/>
      <c r="H327" s="1623">
        <f t="shared" ref="H327:H390" si="10">+F327+G327</f>
        <v>0</v>
      </c>
      <c r="I327" s="1623">
        <f>+IFERROR(VLOOKUP($B327,'TB 260524'!$A:$C,3,0),0)</f>
        <v>89643931.159999996</v>
      </c>
      <c r="J327" s="1623"/>
      <c r="K327" s="1623">
        <f t="shared" ref="K327:K390" si="11">+I327+J327</f>
        <v>89643931.159999996</v>
      </c>
      <c r="L327" s="1623">
        <v>0</v>
      </c>
      <c r="M327" s="1623">
        <v>0</v>
      </c>
      <c r="N327" s="1623">
        <v>0</v>
      </c>
      <c r="O327" s="1623">
        <v>78274677.280000001</v>
      </c>
      <c r="P327" s="1623">
        <v>0</v>
      </c>
      <c r="Q327" s="1623">
        <v>78274677.280000001</v>
      </c>
    </row>
    <row r="328" spans="2:17">
      <c r="B328" s="856" t="s">
        <v>341</v>
      </c>
      <c r="C328" s="856">
        <v>27</v>
      </c>
      <c r="D328" s="856" t="s">
        <v>73</v>
      </c>
      <c r="E328" s="856" t="s">
        <v>100</v>
      </c>
      <c r="F328" s="1623">
        <f>+IFERROR(VLOOKUP($B328,'TB 260524'!$A:$C,2,0),0)</f>
        <v>5149248</v>
      </c>
      <c r="G328" s="1623"/>
      <c r="H328" s="1623">
        <f t="shared" si="10"/>
        <v>5149248</v>
      </c>
      <c r="I328" s="1623">
        <f>+IFERROR(VLOOKUP($B328,'TB 260524'!$A:$C,3,0),0)</f>
        <v>0</v>
      </c>
      <c r="J328" s="1623"/>
      <c r="K328" s="1623">
        <f t="shared" si="11"/>
        <v>0</v>
      </c>
      <c r="L328" s="1623">
        <v>2485856</v>
      </c>
      <c r="M328" s="1623">
        <v>0</v>
      </c>
      <c r="N328" s="1623">
        <v>2485856</v>
      </c>
      <c r="O328" s="1623">
        <v>0</v>
      </c>
      <c r="P328" s="1623">
        <v>0</v>
      </c>
      <c r="Q328" s="1623">
        <v>0</v>
      </c>
    </row>
    <row r="329" spans="2:17">
      <c r="B329" s="856" t="s">
        <v>563</v>
      </c>
      <c r="C329" s="856">
        <v>27</v>
      </c>
      <c r="D329" s="856" t="s">
        <v>48</v>
      </c>
      <c r="E329" s="856" t="s">
        <v>342</v>
      </c>
      <c r="F329" s="1623">
        <f>+IFERROR(VLOOKUP($B329,'TB 260524'!$A:$C,2,0),0)</f>
        <v>217506.58</v>
      </c>
      <c r="G329" s="1623"/>
      <c r="H329" s="1623">
        <f t="shared" si="10"/>
        <v>217506.58</v>
      </c>
      <c r="I329" s="1623">
        <f>+IFERROR(VLOOKUP($B329,'TB 260524'!$A:$C,3,0),0)</f>
        <v>0</v>
      </c>
      <c r="J329" s="1623"/>
      <c r="K329" s="1623">
        <f t="shared" si="11"/>
        <v>0</v>
      </c>
      <c r="L329" s="1623">
        <v>269184.78000000003</v>
      </c>
      <c r="M329" s="1623">
        <v>0</v>
      </c>
      <c r="N329" s="1623">
        <v>269184.78000000003</v>
      </c>
      <c r="O329" s="1623">
        <v>0</v>
      </c>
      <c r="P329" s="1623">
        <v>0</v>
      </c>
      <c r="Q329" s="1623">
        <v>0</v>
      </c>
    </row>
    <row r="330" spans="2:17">
      <c r="B330" s="856" t="s">
        <v>343</v>
      </c>
      <c r="C330" s="856">
        <v>27</v>
      </c>
      <c r="D330" s="856" t="s">
        <v>48</v>
      </c>
      <c r="E330" s="856" t="s">
        <v>344</v>
      </c>
      <c r="F330" s="1623">
        <f>+IFERROR(VLOOKUP($B330,'TB 260524'!$A:$C,2,0),0)</f>
        <v>275000</v>
      </c>
      <c r="G330" s="1623"/>
      <c r="H330" s="1623">
        <f t="shared" si="10"/>
        <v>275000</v>
      </c>
      <c r="I330" s="1623">
        <f>+IFERROR(VLOOKUP($B330,'TB 260524'!$A:$C,3,0),0)</f>
        <v>0</v>
      </c>
      <c r="J330" s="1623"/>
      <c r="K330" s="1623">
        <f t="shared" si="11"/>
        <v>0</v>
      </c>
      <c r="L330" s="1623">
        <v>275000</v>
      </c>
      <c r="M330" s="1623">
        <v>0</v>
      </c>
      <c r="N330" s="1623">
        <v>275000</v>
      </c>
      <c r="O330" s="1623">
        <v>0</v>
      </c>
      <c r="P330" s="1623">
        <v>0</v>
      </c>
      <c r="Q330" s="1623">
        <v>0</v>
      </c>
    </row>
    <row r="331" spans="2:17">
      <c r="B331" s="856" t="s">
        <v>345</v>
      </c>
      <c r="C331" s="856">
        <v>26</v>
      </c>
      <c r="D331" s="856" t="s">
        <v>67</v>
      </c>
      <c r="E331" s="856" t="s">
        <v>68</v>
      </c>
      <c r="F331" s="1623">
        <f>+IFERROR(VLOOKUP($B331,'TB 260524'!$A:$C,2,0),0)</f>
        <v>46000</v>
      </c>
      <c r="G331" s="1623"/>
      <c r="H331" s="1623">
        <f t="shared" si="10"/>
        <v>46000</v>
      </c>
      <c r="I331" s="1623">
        <f>+IFERROR(VLOOKUP($B331,'TB 260524'!$A:$C,3,0),0)</f>
        <v>0</v>
      </c>
      <c r="J331" s="1623"/>
      <c r="K331" s="1623">
        <f t="shared" si="11"/>
        <v>0</v>
      </c>
      <c r="L331" s="1623">
        <v>22500</v>
      </c>
      <c r="M331" s="1623">
        <v>0</v>
      </c>
      <c r="N331" s="1623">
        <v>22500</v>
      </c>
      <c r="O331" s="1623">
        <v>0</v>
      </c>
      <c r="P331" s="1623">
        <v>0</v>
      </c>
      <c r="Q331" s="1623">
        <v>0</v>
      </c>
    </row>
    <row r="332" spans="2:17">
      <c r="B332" s="856" t="s">
        <v>564</v>
      </c>
      <c r="C332" s="856">
        <v>17</v>
      </c>
      <c r="D332" s="856" t="s">
        <v>8</v>
      </c>
      <c r="E332" s="856" t="s">
        <v>8</v>
      </c>
      <c r="F332" s="1623">
        <f>+IFERROR(VLOOKUP($B332,'TB 260524'!$A:$C,2,0),0)</f>
        <v>0</v>
      </c>
      <c r="G332" s="1623"/>
      <c r="H332" s="1623">
        <f t="shared" si="10"/>
        <v>0</v>
      </c>
      <c r="I332" s="1623">
        <f>+IFERROR(VLOOKUP($B332,'TB 260524'!$A:$C,3,0),0)</f>
        <v>548430</v>
      </c>
      <c r="J332" s="1623"/>
      <c r="K332" s="1623">
        <f t="shared" si="11"/>
        <v>548430</v>
      </c>
      <c r="L332" s="1623">
        <v>0</v>
      </c>
      <c r="M332" s="1623">
        <v>0</v>
      </c>
      <c r="N332" s="1623">
        <v>0</v>
      </c>
      <c r="O332" s="1623">
        <v>101563</v>
      </c>
      <c r="P332" s="1623">
        <v>0</v>
      </c>
      <c r="Q332" s="1623">
        <v>101563</v>
      </c>
    </row>
    <row r="333" spans="2:17">
      <c r="B333" s="856" t="s">
        <v>565</v>
      </c>
      <c r="C333" s="856">
        <v>27</v>
      </c>
      <c r="D333" s="856" t="s">
        <v>48</v>
      </c>
      <c r="E333" s="856" t="s">
        <v>49</v>
      </c>
      <c r="F333" s="1623">
        <f>+IFERROR(VLOOKUP($B333,'TB 260524'!$A:$C,2,0),0)</f>
        <v>188020.5</v>
      </c>
      <c r="G333" s="1623"/>
      <c r="H333" s="1623">
        <f t="shared" si="10"/>
        <v>188020.5</v>
      </c>
      <c r="I333" s="1623">
        <f>+IFERROR(VLOOKUP($B333,'TB 260524'!$A:$C,3,0),0)</f>
        <v>0</v>
      </c>
      <c r="J333" s="1623"/>
      <c r="K333" s="1623">
        <f t="shared" si="11"/>
        <v>0</v>
      </c>
      <c r="L333" s="1623">
        <v>0</v>
      </c>
      <c r="M333" s="1623">
        <v>0</v>
      </c>
      <c r="N333" s="1623">
        <v>0</v>
      </c>
      <c r="O333" s="1623">
        <v>5.61</v>
      </c>
      <c r="P333" s="1623">
        <v>0</v>
      </c>
      <c r="Q333" s="1623">
        <v>5.61</v>
      </c>
    </row>
    <row r="334" spans="2:17">
      <c r="B334" s="856" t="s">
        <v>349</v>
      </c>
      <c r="C334" s="856">
        <v>9</v>
      </c>
      <c r="D334" s="856" t="s">
        <v>35</v>
      </c>
      <c r="E334" s="856" t="s">
        <v>36</v>
      </c>
      <c r="F334" s="1623">
        <f>+IFERROR(VLOOKUP($B334,'TB 260524'!$A:$C,2,0),0)</f>
        <v>30000</v>
      </c>
      <c r="G334" s="1623"/>
      <c r="H334" s="1623">
        <f t="shared" si="10"/>
        <v>30000</v>
      </c>
      <c r="I334" s="1623">
        <f>+IFERROR(VLOOKUP($B334,'TB 260524'!$A:$C,3,0),0)</f>
        <v>0</v>
      </c>
      <c r="J334" s="1623"/>
      <c r="K334" s="1623">
        <f t="shared" si="11"/>
        <v>0</v>
      </c>
      <c r="L334" s="1623">
        <v>67000</v>
      </c>
      <c r="M334" s="1623">
        <v>0</v>
      </c>
      <c r="N334" s="1623">
        <v>67000</v>
      </c>
      <c r="O334" s="1623">
        <v>0</v>
      </c>
      <c r="P334" s="1623">
        <v>0</v>
      </c>
      <c r="Q334" s="1623">
        <v>0</v>
      </c>
    </row>
    <row r="335" spans="2:17">
      <c r="B335" s="856" t="s">
        <v>2997</v>
      </c>
      <c r="C335" s="856">
        <v>17</v>
      </c>
      <c r="D335" s="856" t="s">
        <v>8</v>
      </c>
      <c r="E335" s="856" t="s">
        <v>8</v>
      </c>
      <c r="F335" s="1623">
        <f>+IFERROR(VLOOKUP($B335,'TB 260524'!$A:$C,2,0),0)</f>
        <v>0</v>
      </c>
      <c r="G335" s="1623"/>
      <c r="H335" s="1623">
        <f t="shared" si="10"/>
        <v>0</v>
      </c>
      <c r="I335" s="1623">
        <f>+IFERROR(VLOOKUP($B335,'TB 260524'!$A:$C,3,0),0)</f>
        <v>122997</v>
      </c>
      <c r="J335" s="1623"/>
      <c r="K335" s="1623">
        <f t="shared" si="11"/>
        <v>122997</v>
      </c>
      <c r="L335" s="1623">
        <v>0</v>
      </c>
      <c r="M335" s="1623">
        <v>0</v>
      </c>
      <c r="N335" s="1623">
        <v>0</v>
      </c>
      <c r="O335" s="1623">
        <v>0</v>
      </c>
      <c r="P335" s="1623">
        <v>0</v>
      </c>
      <c r="Q335" s="1623">
        <v>0</v>
      </c>
    </row>
    <row r="336" spans="2:17">
      <c r="B336" s="856" t="s">
        <v>2998</v>
      </c>
      <c r="C336" s="856">
        <v>17</v>
      </c>
      <c r="D336" s="856" t="s">
        <v>8</v>
      </c>
      <c r="E336" s="856" t="s">
        <v>8</v>
      </c>
      <c r="F336" s="1623">
        <f>+IFERROR(VLOOKUP($B336,'TB 260524'!$A:$C,2,0),0)</f>
        <v>0</v>
      </c>
      <c r="G336" s="1623"/>
      <c r="H336" s="1623">
        <f t="shared" si="10"/>
        <v>0</v>
      </c>
      <c r="I336" s="1623">
        <f>+IFERROR(VLOOKUP($B336,'TB 260524'!$A:$C,3,0),0)</f>
        <v>423547</v>
      </c>
      <c r="J336" s="1623"/>
      <c r="K336" s="1623">
        <f t="shared" si="11"/>
        <v>423547</v>
      </c>
      <c r="L336" s="1623">
        <v>0</v>
      </c>
      <c r="M336" s="1623">
        <v>0</v>
      </c>
      <c r="N336" s="1623">
        <v>0</v>
      </c>
      <c r="O336" s="1623">
        <v>0</v>
      </c>
      <c r="P336" s="1623">
        <v>0</v>
      </c>
      <c r="Q336" s="1623">
        <v>0</v>
      </c>
    </row>
    <row r="337" spans="2:17">
      <c r="B337" s="856" t="s">
        <v>350</v>
      </c>
      <c r="C337" s="856">
        <v>17</v>
      </c>
      <c r="D337" s="856" t="s">
        <v>8</v>
      </c>
      <c r="E337" s="856" t="s">
        <v>8</v>
      </c>
      <c r="F337" s="1623">
        <f>+IFERROR(VLOOKUP($B337,'TB 260524'!$A:$C,2,0),0)</f>
        <v>0</v>
      </c>
      <c r="G337" s="1623"/>
      <c r="H337" s="1623">
        <f t="shared" si="10"/>
        <v>0</v>
      </c>
      <c r="I337" s="1623">
        <f>+IFERROR(VLOOKUP($B337,'TB 260524'!$A:$C,3,0),0)</f>
        <v>1046424</v>
      </c>
      <c r="J337" s="1623"/>
      <c r="K337" s="1623">
        <f t="shared" si="11"/>
        <v>1046424</v>
      </c>
      <c r="L337" s="1623">
        <v>0</v>
      </c>
      <c r="M337" s="1623">
        <v>0</v>
      </c>
      <c r="N337" s="1623">
        <v>0</v>
      </c>
      <c r="O337" s="1623">
        <v>830720</v>
      </c>
      <c r="P337" s="1623">
        <v>0</v>
      </c>
      <c r="Q337" s="1623">
        <v>830720</v>
      </c>
    </row>
    <row r="338" spans="2:17">
      <c r="B338" s="856" t="s">
        <v>2999</v>
      </c>
      <c r="C338" s="856">
        <v>17</v>
      </c>
      <c r="D338" s="856" t="s">
        <v>8</v>
      </c>
      <c r="E338" s="856" t="s">
        <v>8</v>
      </c>
      <c r="F338" s="1623">
        <f>+IFERROR(VLOOKUP($B338,'TB 260524'!$A:$C,2,0),0)</f>
        <v>0</v>
      </c>
      <c r="G338" s="1623"/>
      <c r="H338" s="1623">
        <f t="shared" si="10"/>
        <v>0</v>
      </c>
      <c r="I338" s="1623">
        <f>+IFERROR(VLOOKUP($B338,'TB 260524'!$A:$C,3,0),0)</f>
        <v>103673</v>
      </c>
      <c r="J338" s="1623"/>
      <c r="K338" s="1623">
        <f t="shared" si="11"/>
        <v>103673</v>
      </c>
      <c r="L338" s="1623">
        <v>0</v>
      </c>
      <c r="M338" s="1623">
        <v>0</v>
      </c>
      <c r="N338" s="1623">
        <v>0</v>
      </c>
      <c r="O338" s="1623">
        <v>0</v>
      </c>
      <c r="P338" s="1623">
        <v>0</v>
      </c>
      <c r="Q338" s="1623">
        <v>0</v>
      </c>
    </row>
    <row r="339" spans="2:17">
      <c r="B339" s="856" t="s">
        <v>568</v>
      </c>
      <c r="C339" s="856">
        <v>11</v>
      </c>
      <c r="D339" s="856" t="s">
        <v>25</v>
      </c>
      <c r="E339" s="856" t="s">
        <v>26</v>
      </c>
      <c r="F339" s="1623">
        <f>+IFERROR(VLOOKUP($B339,'TB 260524'!$A:$C,2,0),0)</f>
        <v>11611</v>
      </c>
      <c r="G339" s="1623"/>
      <c r="H339" s="1623">
        <f t="shared" si="10"/>
        <v>11611</v>
      </c>
      <c r="I339" s="1623">
        <f>+IFERROR(VLOOKUP($B339,'TB 260524'!$A:$C,3,0),0)</f>
        <v>0</v>
      </c>
      <c r="J339" s="1623"/>
      <c r="K339" s="1623">
        <f t="shared" si="11"/>
        <v>0</v>
      </c>
      <c r="L339" s="1623">
        <v>11611</v>
      </c>
      <c r="M339" s="1623">
        <v>0</v>
      </c>
      <c r="N339" s="1623">
        <v>11611</v>
      </c>
      <c r="O339" s="1623">
        <v>0</v>
      </c>
      <c r="P339" s="1623">
        <v>0</v>
      </c>
      <c r="Q339" s="1623">
        <v>0</v>
      </c>
    </row>
    <row r="340" spans="2:17">
      <c r="B340" s="856" t="s">
        <v>3000</v>
      </c>
      <c r="C340" s="856">
        <v>11</v>
      </c>
      <c r="D340" s="856" t="s">
        <v>25</v>
      </c>
      <c r="E340" s="856" t="s">
        <v>26</v>
      </c>
      <c r="F340" s="1623">
        <f>+IFERROR(VLOOKUP($B340,'TB 260524'!$A:$C,2,0),0)</f>
        <v>52979.92</v>
      </c>
      <c r="G340" s="1623"/>
      <c r="H340" s="1623">
        <f t="shared" si="10"/>
        <v>52979.92</v>
      </c>
      <c r="I340" s="1623">
        <f>+IFERROR(VLOOKUP($B340,'TB 260524'!$A:$C,3,0),0)</f>
        <v>0</v>
      </c>
      <c r="J340" s="1623"/>
      <c r="K340" s="1623">
        <f t="shared" si="11"/>
        <v>0</v>
      </c>
      <c r="L340" s="1623">
        <v>0</v>
      </c>
      <c r="M340" s="1623">
        <v>0</v>
      </c>
      <c r="N340" s="1623">
        <v>0</v>
      </c>
      <c r="O340" s="1623">
        <v>0</v>
      </c>
      <c r="P340" s="1623">
        <v>0</v>
      </c>
      <c r="Q340" s="1623">
        <v>0</v>
      </c>
    </row>
    <row r="341" spans="2:17">
      <c r="B341" s="856" t="s">
        <v>351</v>
      </c>
      <c r="C341" s="856">
        <v>18</v>
      </c>
      <c r="D341" s="856" t="s">
        <v>214</v>
      </c>
      <c r="E341" s="856" t="s">
        <v>107</v>
      </c>
      <c r="F341" s="1623">
        <f>+IFERROR(VLOOKUP($B341,'TB 260524'!$A:$C,2,0),0)</f>
        <v>0</v>
      </c>
      <c r="G341" s="1623"/>
      <c r="H341" s="1623">
        <f t="shared" si="10"/>
        <v>0</v>
      </c>
      <c r="I341" s="1623">
        <f>+IFERROR(VLOOKUP($B341,'TB 260524'!$A:$C,3,0),0)</f>
        <v>14885.01</v>
      </c>
      <c r="J341" s="1623"/>
      <c r="K341" s="1623">
        <f t="shared" si="11"/>
        <v>14885.01</v>
      </c>
      <c r="L341" s="1623">
        <v>0</v>
      </c>
      <c r="M341" s="1623">
        <v>0</v>
      </c>
      <c r="N341" s="1623">
        <v>0</v>
      </c>
      <c r="O341" s="1623">
        <v>9325.82</v>
      </c>
      <c r="P341" s="1623">
        <v>0</v>
      </c>
      <c r="Q341" s="1623">
        <v>9325.82</v>
      </c>
    </row>
    <row r="342" spans="2:17">
      <c r="B342" s="856" t="s">
        <v>420</v>
      </c>
      <c r="C342" s="856">
        <v>11</v>
      </c>
      <c r="D342" s="856" t="s">
        <v>25</v>
      </c>
      <c r="E342" s="856" t="s">
        <v>26</v>
      </c>
      <c r="F342" s="1623">
        <f>+IFERROR(VLOOKUP($B342,'TB 260524'!$A:$C,2,0),0)</f>
        <v>24886</v>
      </c>
      <c r="G342" s="1623"/>
      <c r="H342" s="1623">
        <f t="shared" si="10"/>
        <v>24886</v>
      </c>
      <c r="I342" s="1623">
        <f>+IFERROR(VLOOKUP($B342,'TB 260524'!$A:$C,3,0),0)</f>
        <v>0</v>
      </c>
      <c r="J342" s="1623"/>
      <c r="K342" s="1623">
        <f t="shared" si="11"/>
        <v>0</v>
      </c>
      <c r="L342" s="1623">
        <v>24886</v>
      </c>
      <c r="M342" s="1623">
        <v>0</v>
      </c>
      <c r="N342" s="1623">
        <v>24886</v>
      </c>
      <c r="O342" s="1623">
        <v>0</v>
      </c>
      <c r="P342" s="1623">
        <v>0</v>
      </c>
      <c r="Q342" s="1623">
        <v>0</v>
      </c>
    </row>
    <row r="343" spans="2:17">
      <c r="B343" s="856" t="s">
        <v>569</v>
      </c>
      <c r="C343" s="856">
        <v>11</v>
      </c>
      <c r="D343" s="856" t="s">
        <v>25</v>
      </c>
      <c r="E343" s="856" t="s">
        <v>26</v>
      </c>
      <c r="F343" s="1623">
        <f>+IFERROR(VLOOKUP($B343,'TB 260524'!$A:$C,2,0),0)</f>
        <v>15998</v>
      </c>
      <c r="G343" s="1623"/>
      <c r="H343" s="1623">
        <f t="shared" si="10"/>
        <v>15998</v>
      </c>
      <c r="I343" s="1623">
        <f>+IFERROR(VLOOKUP($B343,'TB 260524'!$A:$C,3,0),0)</f>
        <v>0</v>
      </c>
      <c r="J343" s="1623"/>
      <c r="K343" s="1623">
        <f t="shared" si="11"/>
        <v>0</v>
      </c>
      <c r="L343" s="1623">
        <v>15998</v>
      </c>
      <c r="M343" s="1623">
        <v>0</v>
      </c>
      <c r="N343" s="1623">
        <v>15998</v>
      </c>
      <c r="O343" s="1623">
        <v>0</v>
      </c>
      <c r="P343" s="1623">
        <v>0</v>
      </c>
      <c r="Q343" s="1623">
        <v>0</v>
      </c>
    </row>
    <row r="344" spans="2:17">
      <c r="B344" s="856" t="s">
        <v>3001</v>
      </c>
      <c r="C344" s="856">
        <v>11</v>
      </c>
      <c r="D344" s="856" t="s">
        <v>25</v>
      </c>
      <c r="E344" s="856" t="s">
        <v>26</v>
      </c>
      <c r="F344" s="1623">
        <f>+IFERROR(VLOOKUP($B344,'TB 260524'!$A:$C,2,0),0)</f>
        <v>435758</v>
      </c>
      <c r="G344" s="1623"/>
      <c r="H344" s="1623">
        <f t="shared" si="10"/>
        <v>435758</v>
      </c>
      <c r="I344" s="1623">
        <f>+IFERROR(VLOOKUP($B344,'TB 260524'!$A:$C,3,0),0)</f>
        <v>0</v>
      </c>
      <c r="J344" s="1623"/>
      <c r="K344" s="1623">
        <f t="shared" si="11"/>
        <v>0</v>
      </c>
      <c r="L344" s="1623">
        <v>0</v>
      </c>
      <c r="M344" s="1623">
        <v>0</v>
      </c>
      <c r="N344" s="1623">
        <v>0</v>
      </c>
      <c r="O344" s="1623">
        <v>0</v>
      </c>
      <c r="P344" s="1623">
        <v>0</v>
      </c>
      <c r="Q344" s="1623">
        <v>0</v>
      </c>
    </row>
    <row r="345" spans="2:17">
      <c r="B345" s="856" t="s">
        <v>571</v>
      </c>
      <c r="C345" s="856">
        <v>18</v>
      </c>
      <c r="D345" s="856" t="s">
        <v>214</v>
      </c>
      <c r="E345" s="856" t="s">
        <v>107</v>
      </c>
      <c r="F345" s="1623">
        <f>+IFERROR(VLOOKUP($B345,'TB 260524'!$A:$C,2,0),0)</f>
        <v>0</v>
      </c>
      <c r="G345" s="1623"/>
      <c r="H345" s="1623">
        <f t="shared" si="10"/>
        <v>0</v>
      </c>
      <c r="I345" s="1623">
        <f>+IFERROR(VLOOKUP($B345,'TB 260524'!$A:$C,3,0),0)</f>
        <v>18590.04</v>
      </c>
      <c r="J345" s="1623"/>
      <c r="K345" s="1623">
        <f t="shared" si="11"/>
        <v>18590.04</v>
      </c>
      <c r="L345" s="1623">
        <v>0</v>
      </c>
      <c r="M345" s="1623">
        <v>0</v>
      </c>
      <c r="N345" s="1623">
        <v>0</v>
      </c>
      <c r="O345" s="1623">
        <v>61052.04</v>
      </c>
      <c r="P345" s="1623">
        <v>0</v>
      </c>
      <c r="Q345" s="1623">
        <v>61052.04</v>
      </c>
    </row>
    <row r="346" spans="2:17">
      <c r="B346" s="856" t="s">
        <v>572</v>
      </c>
      <c r="C346" s="856">
        <v>18</v>
      </c>
      <c r="D346" s="856" t="s">
        <v>214</v>
      </c>
      <c r="E346" s="856" t="s">
        <v>107</v>
      </c>
      <c r="F346" s="1623">
        <f>+IFERROR(VLOOKUP($B346,'TB 260524'!$A:$C,2,0),0)</f>
        <v>0</v>
      </c>
      <c r="G346" s="1623"/>
      <c r="H346" s="1623">
        <f t="shared" si="10"/>
        <v>0</v>
      </c>
      <c r="I346" s="1623">
        <f>+IFERROR(VLOOKUP($B346,'TB 260524'!$A:$C,3,0),0)</f>
        <v>31456</v>
      </c>
      <c r="J346" s="1623"/>
      <c r="K346" s="1623">
        <f t="shared" si="11"/>
        <v>31456</v>
      </c>
      <c r="L346" s="1623">
        <v>0</v>
      </c>
      <c r="M346" s="1623">
        <v>0</v>
      </c>
      <c r="N346" s="1623">
        <v>0</v>
      </c>
      <c r="O346" s="1623">
        <v>60934</v>
      </c>
      <c r="P346" s="1623">
        <v>0</v>
      </c>
      <c r="Q346" s="1623">
        <v>60934</v>
      </c>
    </row>
    <row r="347" spans="2:17">
      <c r="B347" s="856" t="s">
        <v>573</v>
      </c>
      <c r="C347" s="856">
        <v>18</v>
      </c>
      <c r="D347" s="856" t="s">
        <v>214</v>
      </c>
      <c r="E347" s="856" t="s">
        <v>107</v>
      </c>
      <c r="F347" s="1623">
        <f>+IFERROR(VLOOKUP($B347,'TB 260524'!$A:$C,2,0),0)</f>
        <v>0</v>
      </c>
      <c r="G347" s="1623"/>
      <c r="H347" s="1623">
        <f t="shared" si="10"/>
        <v>0</v>
      </c>
      <c r="I347" s="1623">
        <f>+IFERROR(VLOOKUP($B347,'TB 260524'!$A:$C,3,0),0)</f>
        <v>5513</v>
      </c>
      <c r="J347" s="1623"/>
      <c r="K347" s="1623">
        <f t="shared" si="11"/>
        <v>5513</v>
      </c>
      <c r="L347" s="1623">
        <v>0</v>
      </c>
      <c r="M347" s="1623">
        <v>0</v>
      </c>
      <c r="N347" s="1623">
        <v>0</v>
      </c>
      <c r="O347" s="1623">
        <v>5250</v>
      </c>
      <c r="P347" s="1623">
        <v>0</v>
      </c>
      <c r="Q347" s="1623">
        <v>5250</v>
      </c>
    </row>
    <row r="348" spans="2:17">
      <c r="B348" s="856" t="s">
        <v>574</v>
      </c>
      <c r="C348" s="856">
        <v>18</v>
      </c>
      <c r="D348" s="856" t="s">
        <v>214</v>
      </c>
      <c r="E348" s="856" t="s">
        <v>107</v>
      </c>
      <c r="F348" s="1623">
        <f>+IFERROR(VLOOKUP($B348,'TB 260524'!$A:$C,2,0),0)</f>
        <v>0</v>
      </c>
      <c r="G348" s="1623"/>
      <c r="H348" s="1623">
        <f t="shared" si="10"/>
        <v>0</v>
      </c>
      <c r="I348" s="1623">
        <f>+IFERROR(VLOOKUP($B348,'TB 260524'!$A:$C,3,0),0)</f>
        <v>48309</v>
      </c>
      <c r="J348" s="1623"/>
      <c r="K348" s="1623">
        <f t="shared" si="11"/>
        <v>48309</v>
      </c>
      <c r="L348" s="1623">
        <v>0</v>
      </c>
      <c r="M348" s="1623">
        <v>0</v>
      </c>
      <c r="N348" s="1623">
        <v>0</v>
      </c>
      <c r="O348" s="1623">
        <v>141960</v>
      </c>
      <c r="P348" s="1623">
        <v>0</v>
      </c>
      <c r="Q348" s="1623">
        <v>141960</v>
      </c>
    </row>
    <row r="349" spans="2:17">
      <c r="B349" s="856" t="s">
        <v>421</v>
      </c>
      <c r="C349" s="856">
        <v>18</v>
      </c>
      <c r="D349" s="856" t="s">
        <v>214</v>
      </c>
      <c r="E349" s="856" t="s">
        <v>107</v>
      </c>
      <c r="F349" s="1623">
        <f>+IFERROR(VLOOKUP($B349,'TB 260524'!$A:$C,2,0),0)</f>
        <v>0</v>
      </c>
      <c r="G349" s="1623"/>
      <c r="H349" s="1623">
        <f t="shared" si="10"/>
        <v>0</v>
      </c>
      <c r="I349" s="1623">
        <f>+IFERROR(VLOOKUP($B349,'TB 260524'!$A:$C,3,0),0)</f>
        <v>33692</v>
      </c>
      <c r="J349" s="1623"/>
      <c r="K349" s="1623">
        <f t="shared" si="11"/>
        <v>33692</v>
      </c>
      <c r="L349" s="1623">
        <v>0</v>
      </c>
      <c r="M349" s="1623">
        <v>0</v>
      </c>
      <c r="N349" s="1623">
        <v>0</v>
      </c>
      <c r="O349" s="1623">
        <v>49527</v>
      </c>
      <c r="P349" s="1623">
        <v>0</v>
      </c>
      <c r="Q349" s="1623">
        <v>49527</v>
      </c>
    </row>
    <row r="350" spans="2:17">
      <c r="B350" s="856" t="s">
        <v>354</v>
      </c>
      <c r="C350" s="856">
        <v>18</v>
      </c>
      <c r="D350" s="856" t="s">
        <v>214</v>
      </c>
      <c r="E350" s="856" t="s">
        <v>107</v>
      </c>
      <c r="F350" s="1623">
        <f>+IFERROR(VLOOKUP($B350,'TB 260524'!$A:$C,2,0),0)</f>
        <v>0</v>
      </c>
      <c r="G350" s="1623"/>
      <c r="H350" s="1623">
        <f t="shared" si="10"/>
        <v>0</v>
      </c>
      <c r="I350" s="1623">
        <f>+IFERROR(VLOOKUP($B350,'TB 260524'!$A:$C,3,0),0)</f>
        <v>34000</v>
      </c>
      <c r="J350" s="1623"/>
      <c r="K350" s="1623">
        <f t="shared" si="11"/>
        <v>34000</v>
      </c>
      <c r="L350" s="1623">
        <v>0</v>
      </c>
      <c r="M350" s="1623">
        <v>0</v>
      </c>
      <c r="N350" s="1623">
        <v>0</v>
      </c>
      <c r="O350" s="1623">
        <v>61380</v>
      </c>
      <c r="P350" s="1623">
        <v>0</v>
      </c>
      <c r="Q350" s="1623">
        <v>61380</v>
      </c>
    </row>
    <row r="351" spans="2:17">
      <c r="B351" s="856" t="s">
        <v>575</v>
      </c>
      <c r="C351" s="856">
        <v>18</v>
      </c>
      <c r="D351" s="856" t="s">
        <v>214</v>
      </c>
      <c r="E351" s="856" t="s">
        <v>107</v>
      </c>
      <c r="F351" s="1623">
        <f>+IFERROR(VLOOKUP($B351,'TB 260524'!$A:$C,2,0),0)</f>
        <v>0</v>
      </c>
      <c r="G351" s="1623"/>
      <c r="H351" s="1623">
        <f t="shared" si="10"/>
        <v>0</v>
      </c>
      <c r="I351" s="1623">
        <f>+IFERROR(VLOOKUP($B351,'TB 260524'!$A:$C,3,0),0)</f>
        <v>8000</v>
      </c>
      <c r="J351" s="1623"/>
      <c r="K351" s="1623">
        <f t="shared" si="11"/>
        <v>8000</v>
      </c>
      <c r="L351" s="1623">
        <v>0</v>
      </c>
      <c r="M351" s="1623">
        <v>0</v>
      </c>
      <c r="N351" s="1623">
        <v>0</v>
      </c>
      <c r="O351" s="1623">
        <v>5000</v>
      </c>
      <c r="P351" s="1623">
        <v>0</v>
      </c>
      <c r="Q351" s="1623">
        <v>5000</v>
      </c>
    </row>
    <row r="352" spans="2:17">
      <c r="B352" s="856" t="s">
        <v>353</v>
      </c>
      <c r="C352" s="856">
        <v>18</v>
      </c>
      <c r="D352" s="856" t="s">
        <v>214</v>
      </c>
      <c r="E352" s="856" t="s">
        <v>107</v>
      </c>
      <c r="F352" s="1623">
        <f>+IFERROR(VLOOKUP($B352,'TB 260524'!$A:$C,2,0),0)</f>
        <v>0</v>
      </c>
      <c r="G352" s="1623"/>
      <c r="H352" s="1623">
        <f t="shared" si="10"/>
        <v>0</v>
      </c>
      <c r="I352" s="1623">
        <f>+IFERROR(VLOOKUP($B352,'TB 260524'!$A:$C,3,0),0)</f>
        <v>23905</v>
      </c>
      <c r="J352" s="1623"/>
      <c r="K352" s="1623">
        <f t="shared" si="11"/>
        <v>23905</v>
      </c>
      <c r="L352" s="1623">
        <v>0</v>
      </c>
      <c r="M352" s="1623">
        <v>0</v>
      </c>
      <c r="N352" s="1623">
        <v>0</v>
      </c>
      <c r="O352" s="1623">
        <v>27071</v>
      </c>
      <c r="P352" s="1623">
        <v>0</v>
      </c>
      <c r="Q352" s="1623">
        <v>27071</v>
      </c>
    </row>
    <row r="353" spans="2:17">
      <c r="B353" s="856" t="s">
        <v>576</v>
      </c>
      <c r="C353" s="856">
        <v>11</v>
      </c>
      <c r="D353" s="856" t="s">
        <v>25</v>
      </c>
      <c r="E353" s="856" t="s">
        <v>26</v>
      </c>
      <c r="F353" s="1623">
        <f>+IFERROR(VLOOKUP($B353,'TB 260524'!$A:$C,2,0),0)</f>
        <v>933217.36</v>
      </c>
      <c r="G353" s="1623"/>
      <c r="H353" s="1623">
        <f t="shared" si="10"/>
        <v>933217.36</v>
      </c>
      <c r="I353" s="1623">
        <f>+IFERROR(VLOOKUP($B353,'TB 260524'!$A:$C,3,0),0)</f>
        <v>0</v>
      </c>
      <c r="J353" s="1623"/>
      <c r="K353" s="1623">
        <f t="shared" si="11"/>
        <v>0</v>
      </c>
      <c r="L353" s="1623">
        <v>933217.36</v>
      </c>
      <c r="M353" s="1623">
        <v>0</v>
      </c>
      <c r="N353" s="1623">
        <v>933217.36</v>
      </c>
      <c r="O353" s="1623">
        <v>0</v>
      </c>
      <c r="P353" s="1623">
        <v>0</v>
      </c>
      <c r="Q353" s="1623">
        <v>0</v>
      </c>
    </row>
    <row r="354" spans="2:17">
      <c r="B354" s="856" t="s">
        <v>577</v>
      </c>
      <c r="C354" s="856">
        <v>27</v>
      </c>
      <c r="D354" s="856" t="s">
        <v>48</v>
      </c>
      <c r="E354" s="856" t="s">
        <v>356</v>
      </c>
      <c r="F354" s="1623">
        <f>+IFERROR(VLOOKUP($B354,'TB 260524'!$A:$C,2,0),0)</f>
        <v>72945</v>
      </c>
      <c r="G354" s="1623"/>
      <c r="H354" s="1623">
        <f t="shared" si="10"/>
        <v>72945</v>
      </c>
      <c r="I354" s="1623">
        <f>+IFERROR(VLOOKUP($B354,'TB 260524'!$A:$C,3,0),0)</f>
        <v>0</v>
      </c>
      <c r="J354" s="1623"/>
      <c r="K354" s="1623">
        <f t="shared" si="11"/>
        <v>0</v>
      </c>
      <c r="L354" s="1623">
        <v>67429</v>
      </c>
      <c r="M354" s="1623">
        <v>0</v>
      </c>
      <c r="N354" s="1623">
        <v>67429</v>
      </c>
      <c r="O354" s="1623">
        <v>0</v>
      </c>
      <c r="P354" s="1623">
        <v>0</v>
      </c>
      <c r="Q354" s="1623">
        <v>0</v>
      </c>
    </row>
    <row r="355" spans="2:17">
      <c r="B355" s="856" t="s">
        <v>358</v>
      </c>
      <c r="C355" s="856">
        <v>27</v>
      </c>
      <c r="D355" s="856" t="s">
        <v>73</v>
      </c>
      <c r="E355" s="856" t="s">
        <v>74</v>
      </c>
      <c r="F355" s="1623">
        <f>+IFERROR(VLOOKUP($B355,'TB 260524'!$A:$C,2,0),0)</f>
        <v>99717</v>
      </c>
      <c r="G355" s="1623"/>
      <c r="H355" s="1623">
        <f t="shared" si="10"/>
        <v>99717</v>
      </c>
      <c r="I355" s="1623">
        <f>+IFERROR(VLOOKUP($B355,'TB 260524'!$A:$C,3,0),0)</f>
        <v>0</v>
      </c>
      <c r="J355" s="1623"/>
      <c r="K355" s="1623">
        <f t="shared" si="11"/>
        <v>0</v>
      </c>
      <c r="L355" s="1623">
        <v>123242</v>
      </c>
      <c r="M355" s="1623">
        <v>0</v>
      </c>
      <c r="N355" s="1623">
        <v>123242</v>
      </c>
      <c r="O355" s="1623">
        <v>0</v>
      </c>
      <c r="P355" s="1623">
        <v>0</v>
      </c>
      <c r="Q355" s="1623">
        <v>0</v>
      </c>
    </row>
    <row r="356" spans="2:17">
      <c r="B356" s="856" t="s">
        <v>3002</v>
      </c>
      <c r="C356" s="856">
        <v>17</v>
      </c>
      <c r="D356" s="856" t="s">
        <v>8</v>
      </c>
      <c r="E356" s="856" t="s">
        <v>9</v>
      </c>
      <c r="F356" s="1623">
        <f>+IFERROR(VLOOKUP($B356,'TB 260524'!$A:$C,2,0),0)</f>
        <v>0</v>
      </c>
      <c r="G356" s="1623"/>
      <c r="H356" s="1623">
        <f t="shared" si="10"/>
        <v>0</v>
      </c>
      <c r="I356" s="1623">
        <f>+IFERROR(VLOOKUP($B356,'TB 260524'!$A:$C,3,0),0)</f>
        <v>197478</v>
      </c>
      <c r="J356" s="1623"/>
      <c r="K356" s="1623">
        <f t="shared" si="11"/>
        <v>197478</v>
      </c>
      <c r="L356" s="1623">
        <v>0</v>
      </c>
      <c r="M356" s="1623">
        <v>0</v>
      </c>
      <c r="N356" s="1623">
        <v>0</v>
      </c>
      <c r="O356" s="1623">
        <v>0</v>
      </c>
      <c r="P356" s="1623">
        <v>0</v>
      </c>
      <c r="Q356" s="1623">
        <v>0</v>
      </c>
    </row>
    <row r="357" spans="2:17">
      <c r="B357" s="856" t="s">
        <v>578</v>
      </c>
      <c r="C357" s="856">
        <v>21</v>
      </c>
      <c r="D357" s="856" t="s">
        <v>143</v>
      </c>
      <c r="E357" s="856" t="s">
        <v>144</v>
      </c>
      <c r="F357" s="1623">
        <f>+IFERROR(VLOOKUP($B357,'TB 260524'!$A:$C,2,0),0)</f>
        <v>59132.5</v>
      </c>
      <c r="G357" s="1623"/>
      <c r="H357" s="1623">
        <f t="shared" si="10"/>
        <v>59132.5</v>
      </c>
      <c r="I357" s="1623">
        <f>+IFERROR(VLOOKUP($B357,'TB 260524'!$A:$C,3,0),0)</f>
        <v>0</v>
      </c>
      <c r="J357" s="1623"/>
      <c r="K357" s="1623">
        <f t="shared" si="11"/>
        <v>0</v>
      </c>
      <c r="L357" s="1623">
        <v>124881.5</v>
      </c>
      <c r="M357" s="1623">
        <v>0</v>
      </c>
      <c r="N357" s="1623">
        <v>124881.5</v>
      </c>
      <c r="O357" s="1623">
        <v>0</v>
      </c>
      <c r="P357" s="1623">
        <v>0</v>
      </c>
      <c r="Q357" s="1623">
        <v>0</v>
      </c>
    </row>
    <row r="358" spans="2:17">
      <c r="B358" s="856" t="s">
        <v>359</v>
      </c>
      <c r="C358" s="856">
        <v>27</v>
      </c>
      <c r="D358" s="856" t="s">
        <v>48</v>
      </c>
      <c r="E358" s="856" t="s">
        <v>108</v>
      </c>
      <c r="F358" s="1623">
        <f>+IFERROR(VLOOKUP($B358,'TB 260524'!$A:$C,2,0),0)</f>
        <v>368810</v>
      </c>
      <c r="G358" s="1623"/>
      <c r="H358" s="1623">
        <f t="shared" si="10"/>
        <v>368810</v>
      </c>
      <c r="I358" s="1623">
        <f>+IFERROR(VLOOKUP($B358,'TB 260524'!$A:$C,3,0),0)</f>
        <v>0</v>
      </c>
      <c r="J358" s="1623"/>
      <c r="K358" s="1623">
        <f t="shared" si="11"/>
        <v>0</v>
      </c>
      <c r="L358" s="1623">
        <v>447976</v>
      </c>
      <c r="M358" s="1623">
        <v>0</v>
      </c>
      <c r="N358" s="1623">
        <v>447976</v>
      </c>
      <c r="O358" s="1623">
        <v>0</v>
      </c>
      <c r="P358" s="1623">
        <v>0</v>
      </c>
      <c r="Q358" s="1623">
        <v>0</v>
      </c>
    </row>
    <row r="359" spans="2:17">
      <c r="B359" s="856" t="s">
        <v>582</v>
      </c>
      <c r="C359" s="856">
        <v>27</v>
      </c>
      <c r="D359" s="856" t="s">
        <v>73</v>
      </c>
      <c r="E359" s="856" t="s">
        <v>257</v>
      </c>
      <c r="F359" s="1623">
        <f>+IFERROR(VLOOKUP($B359,'TB 260524'!$A:$C,2,0),0)</f>
        <v>313340</v>
      </c>
      <c r="G359" s="1623"/>
      <c r="H359" s="1623">
        <f t="shared" si="10"/>
        <v>313340</v>
      </c>
      <c r="I359" s="1623">
        <f>+IFERROR(VLOOKUP($B359,'TB 260524'!$A:$C,3,0),0)</f>
        <v>0</v>
      </c>
      <c r="J359" s="1623"/>
      <c r="K359" s="1623">
        <f t="shared" si="11"/>
        <v>0</v>
      </c>
      <c r="L359" s="1623">
        <v>193000</v>
      </c>
      <c r="M359" s="1623">
        <v>0</v>
      </c>
      <c r="N359" s="1623">
        <v>193000</v>
      </c>
      <c r="O359" s="1623">
        <v>0</v>
      </c>
      <c r="P359" s="1623">
        <v>0</v>
      </c>
      <c r="Q359" s="1623">
        <v>0</v>
      </c>
    </row>
    <row r="360" spans="2:17">
      <c r="B360" s="856" t="s">
        <v>583</v>
      </c>
      <c r="C360" s="856">
        <v>23</v>
      </c>
      <c r="D360" s="856" t="s">
        <v>96</v>
      </c>
      <c r="E360" s="856" t="s">
        <v>97</v>
      </c>
      <c r="F360" s="1623">
        <f>+IFERROR(VLOOKUP($B360,'TB 260524'!$A:$C,2,0),0)</f>
        <v>1977842</v>
      </c>
      <c r="G360" s="1623"/>
      <c r="H360" s="1623">
        <f t="shared" si="10"/>
        <v>1977842</v>
      </c>
      <c r="I360" s="1623">
        <f>+IFERROR(VLOOKUP($B360,'TB 260524'!$A:$C,3,0),0)</f>
        <v>0</v>
      </c>
      <c r="J360" s="1623"/>
      <c r="K360" s="1623">
        <f t="shared" si="11"/>
        <v>0</v>
      </c>
      <c r="L360" s="1623">
        <v>487412</v>
      </c>
      <c r="M360" s="1623">
        <v>0</v>
      </c>
      <c r="N360" s="1623">
        <v>487412</v>
      </c>
      <c r="O360" s="1623">
        <v>0</v>
      </c>
      <c r="P360" s="1623">
        <v>0</v>
      </c>
      <c r="Q360" s="1623">
        <v>0</v>
      </c>
    </row>
    <row r="361" spans="2:17">
      <c r="B361" s="856" t="s">
        <v>427</v>
      </c>
      <c r="C361" s="856">
        <v>17</v>
      </c>
      <c r="D361" s="856" t="s">
        <v>8</v>
      </c>
      <c r="E361" s="856" t="s">
        <v>9</v>
      </c>
      <c r="F361" s="1623">
        <f>+IFERROR(VLOOKUP($B361,'TB 260524'!$A:$C,2,0),0)</f>
        <v>0</v>
      </c>
      <c r="G361" s="1623"/>
      <c r="H361" s="1623">
        <f t="shared" si="10"/>
        <v>0</v>
      </c>
      <c r="I361" s="1623">
        <f>+IFERROR(VLOOKUP($B361,'TB 260524'!$A:$C,3,0),0)</f>
        <v>27540</v>
      </c>
      <c r="J361" s="1623"/>
      <c r="K361" s="1623">
        <f t="shared" si="11"/>
        <v>27540</v>
      </c>
      <c r="L361" s="1623">
        <v>0</v>
      </c>
      <c r="M361" s="1623">
        <v>0</v>
      </c>
      <c r="N361" s="1623">
        <v>0</v>
      </c>
      <c r="O361" s="1623">
        <v>55080</v>
      </c>
      <c r="P361" s="1623">
        <v>0</v>
      </c>
      <c r="Q361" s="1623">
        <v>55080</v>
      </c>
    </row>
    <row r="362" spans="2:17">
      <c r="B362" s="856" t="s">
        <v>10</v>
      </c>
      <c r="C362" s="856">
        <v>17</v>
      </c>
      <c r="D362" s="856" t="s">
        <v>8</v>
      </c>
      <c r="E362" s="856" t="s">
        <v>8</v>
      </c>
      <c r="F362" s="1623">
        <f>+IFERROR(VLOOKUP($B362,'TB 260524'!$A:$C,2,0),0)</f>
        <v>0</v>
      </c>
      <c r="G362" s="1623"/>
      <c r="H362" s="1623">
        <f t="shared" si="10"/>
        <v>0</v>
      </c>
      <c r="I362" s="1623">
        <f>+IFERROR(VLOOKUP($B362,'TB 260524'!$A:$C,3,0),0)</f>
        <v>1018930</v>
      </c>
      <c r="J362" s="1623"/>
      <c r="K362" s="1623">
        <f t="shared" si="11"/>
        <v>1018930</v>
      </c>
      <c r="L362" s="1623">
        <v>0</v>
      </c>
      <c r="M362" s="1623">
        <v>0</v>
      </c>
      <c r="N362" s="1623">
        <v>0</v>
      </c>
      <c r="O362" s="1623">
        <v>0</v>
      </c>
      <c r="P362" s="1623">
        <v>0</v>
      </c>
      <c r="Q362" s="1623">
        <v>0</v>
      </c>
    </row>
    <row r="363" spans="2:17">
      <c r="B363" s="856" t="s">
        <v>3003</v>
      </c>
      <c r="C363" s="856">
        <v>17</v>
      </c>
      <c r="D363" s="856" t="s">
        <v>8</v>
      </c>
      <c r="E363" s="856" t="s">
        <v>8</v>
      </c>
      <c r="F363" s="1623">
        <f>+IFERROR(VLOOKUP($B363,'TB 260524'!$A:$C,2,0),0)</f>
        <v>0</v>
      </c>
      <c r="G363" s="1623"/>
      <c r="H363" s="1623">
        <f t="shared" si="10"/>
        <v>0</v>
      </c>
      <c r="I363" s="1623">
        <f>+IFERROR(VLOOKUP($B363,'TB 260524'!$A:$C,3,0),0)</f>
        <v>18125083</v>
      </c>
      <c r="J363" s="1623"/>
      <c r="K363" s="1623">
        <f t="shared" si="11"/>
        <v>18125083</v>
      </c>
      <c r="L363" s="1623">
        <v>0</v>
      </c>
      <c r="M363" s="1623">
        <v>0</v>
      </c>
      <c r="N363" s="1623">
        <v>0</v>
      </c>
      <c r="O363" s="1623">
        <v>0</v>
      </c>
      <c r="P363" s="1623">
        <v>0</v>
      </c>
      <c r="Q363" s="1623">
        <v>0</v>
      </c>
    </row>
    <row r="364" spans="2:17">
      <c r="B364" s="856" t="s">
        <v>3004</v>
      </c>
      <c r="C364" s="856">
        <v>17</v>
      </c>
      <c r="D364" s="856" t="s">
        <v>8</v>
      </c>
      <c r="E364" s="856" t="s">
        <v>9</v>
      </c>
      <c r="F364" s="1623">
        <f>+IFERROR(VLOOKUP($B364,'TB 260524'!$A:$C,2,0),0)</f>
        <v>0</v>
      </c>
      <c r="G364" s="1623"/>
      <c r="H364" s="1623">
        <f t="shared" si="10"/>
        <v>0</v>
      </c>
      <c r="I364" s="1623">
        <f>+IFERROR(VLOOKUP($B364,'TB 260524'!$A:$C,3,0),0)</f>
        <v>162657.20000000001</v>
      </c>
      <c r="J364" s="1623"/>
      <c r="K364" s="1623">
        <f t="shared" si="11"/>
        <v>162657.20000000001</v>
      </c>
      <c r="L364" s="1623">
        <v>0</v>
      </c>
      <c r="M364" s="1623">
        <v>0</v>
      </c>
      <c r="N364" s="1623">
        <v>0</v>
      </c>
      <c r="O364" s="1623">
        <v>0</v>
      </c>
      <c r="P364" s="1623">
        <v>0</v>
      </c>
      <c r="Q364" s="1623">
        <v>0</v>
      </c>
    </row>
    <row r="365" spans="2:17">
      <c r="B365" s="856" t="s">
        <v>3005</v>
      </c>
      <c r="C365" s="856">
        <v>6</v>
      </c>
      <c r="D365" s="856" t="s">
        <v>13</v>
      </c>
      <c r="E365" s="856" t="s">
        <v>14</v>
      </c>
      <c r="F365" s="1623">
        <f>+IFERROR(VLOOKUP($B365,'TB 260524'!$A:$C,2,0),0)</f>
        <v>306572</v>
      </c>
      <c r="G365" s="1623"/>
      <c r="H365" s="1623">
        <f t="shared" si="10"/>
        <v>306572</v>
      </c>
      <c r="I365" s="1623">
        <f>+IFERROR(VLOOKUP($B365,'TB 260524'!$A:$C,3,0),0)</f>
        <v>0</v>
      </c>
      <c r="J365" s="1623"/>
      <c r="K365" s="1623">
        <f t="shared" si="11"/>
        <v>0</v>
      </c>
      <c r="L365" s="1623">
        <v>0</v>
      </c>
      <c r="M365" s="1623">
        <v>0</v>
      </c>
      <c r="N365" s="1623">
        <v>0</v>
      </c>
      <c r="O365" s="1623">
        <v>0</v>
      </c>
      <c r="P365" s="1623">
        <v>0</v>
      </c>
      <c r="Q365" s="1623">
        <v>0</v>
      </c>
    </row>
    <row r="366" spans="2:17">
      <c r="B366" s="856" t="s">
        <v>438</v>
      </c>
      <c r="C366" s="856">
        <v>2</v>
      </c>
      <c r="D366" s="856" t="s">
        <v>77</v>
      </c>
      <c r="E366" s="856" t="s">
        <v>78</v>
      </c>
      <c r="F366" s="1623">
        <f>+IFERROR(VLOOKUP($B366,'TB 260524'!$A:$C,2,0),0)</f>
        <v>2991111</v>
      </c>
      <c r="G366" s="1623"/>
      <c r="H366" s="1623">
        <f t="shared" si="10"/>
        <v>2991111</v>
      </c>
      <c r="I366" s="1623">
        <f>+IFERROR(VLOOKUP($B366,'TB 260524'!$A:$C,3,0),0)</f>
        <v>0</v>
      </c>
      <c r="J366" s="1623"/>
      <c r="K366" s="1623">
        <f t="shared" si="11"/>
        <v>0</v>
      </c>
      <c r="L366" s="1623">
        <v>2991111</v>
      </c>
      <c r="M366" s="1623">
        <v>0</v>
      </c>
      <c r="N366" s="1623">
        <v>2991111</v>
      </c>
      <c r="O366" s="1623">
        <v>0</v>
      </c>
      <c r="P366" s="1623">
        <v>0</v>
      </c>
      <c r="Q366" s="1623">
        <v>0</v>
      </c>
    </row>
    <row r="367" spans="2:17">
      <c r="B367" s="856" t="s">
        <v>584</v>
      </c>
      <c r="C367" s="856">
        <v>27</v>
      </c>
      <c r="D367" s="856" t="s">
        <v>48</v>
      </c>
      <c r="E367" s="856" t="s">
        <v>439</v>
      </c>
      <c r="F367" s="1623">
        <f>+IFERROR(VLOOKUP($B367,'TB 260524'!$A:$C,2,0),0)</f>
        <v>765698</v>
      </c>
      <c r="G367" s="1623"/>
      <c r="H367" s="1623">
        <f t="shared" si="10"/>
        <v>765698</v>
      </c>
      <c r="I367" s="1623">
        <f>+IFERROR(VLOOKUP($B367,'TB 260524'!$A:$C,3,0),0)</f>
        <v>0</v>
      </c>
      <c r="J367" s="1623"/>
      <c r="K367" s="1623">
        <f t="shared" si="11"/>
        <v>0</v>
      </c>
      <c r="L367" s="1623">
        <v>676300</v>
      </c>
      <c r="M367" s="1623">
        <v>0</v>
      </c>
      <c r="N367" s="1623">
        <v>676300</v>
      </c>
      <c r="O367" s="1623">
        <v>0</v>
      </c>
      <c r="P367" s="1623">
        <v>0</v>
      </c>
      <c r="Q367" s="1623">
        <v>0</v>
      </c>
    </row>
    <row r="368" spans="2:17">
      <c r="B368" s="856" t="s">
        <v>440</v>
      </c>
      <c r="C368" s="856">
        <v>27</v>
      </c>
      <c r="D368" s="856" t="s">
        <v>48</v>
      </c>
      <c r="E368" s="856" t="s">
        <v>439</v>
      </c>
      <c r="F368" s="1623">
        <f>+IFERROR(VLOOKUP($B368,'TB 260524'!$A:$C,2,0),0)</f>
        <v>253880</v>
      </c>
      <c r="G368" s="1623"/>
      <c r="H368" s="1623">
        <f t="shared" si="10"/>
        <v>253880</v>
      </c>
      <c r="I368" s="1623">
        <f>+IFERROR(VLOOKUP($B368,'TB 260524'!$A:$C,3,0),0)</f>
        <v>0</v>
      </c>
      <c r="J368" s="1623"/>
      <c r="K368" s="1623">
        <f t="shared" si="11"/>
        <v>0</v>
      </c>
      <c r="L368" s="1623">
        <v>319936.52</v>
      </c>
      <c r="M368" s="1623">
        <v>0</v>
      </c>
      <c r="N368" s="1623">
        <v>319936.52</v>
      </c>
      <c r="O368" s="1623">
        <v>0</v>
      </c>
      <c r="P368" s="1623">
        <v>0</v>
      </c>
      <c r="Q368" s="1623">
        <v>0</v>
      </c>
    </row>
    <row r="369" spans="1:17">
      <c r="B369" s="856" t="s">
        <v>441</v>
      </c>
      <c r="C369" s="856">
        <v>17</v>
      </c>
      <c r="D369" s="856" t="s">
        <v>8</v>
      </c>
      <c r="E369" s="856" t="s">
        <v>8</v>
      </c>
      <c r="F369" s="1623">
        <f>+IFERROR(VLOOKUP($B369,'TB 260524'!$A:$C,2,0),0)</f>
        <v>0</v>
      </c>
      <c r="G369" s="1623"/>
      <c r="H369" s="1623">
        <f t="shared" si="10"/>
        <v>0</v>
      </c>
      <c r="I369" s="1623">
        <f>+IFERROR(VLOOKUP($B369,'TB 260524'!$A:$C,3,0),0)</f>
        <v>9434468</v>
      </c>
      <c r="J369" s="1623"/>
      <c r="K369" s="1623">
        <f t="shared" si="11"/>
        <v>9434468</v>
      </c>
      <c r="L369" s="1623">
        <v>0</v>
      </c>
      <c r="M369" s="1623">
        <v>0</v>
      </c>
      <c r="N369" s="1623">
        <v>0</v>
      </c>
      <c r="O369" s="1623">
        <v>3500894</v>
      </c>
      <c r="P369" s="1623">
        <v>0</v>
      </c>
      <c r="Q369" s="1623">
        <v>3500894</v>
      </c>
    </row>
    <row r="370" spans="1:17">
      <c r="B370" s="856" t="s">
        <v>442</v>
      </c>
      <c r="C370" s="856">
        <v>17</v>
      </c>
      <c r="D370" s="856" t="s">
        <v>8</v>
      </c>
      <c r="E370" s="856" t="s">
        <v>8</v>
      </c>
      <c r="F370" s="1623">
        <f>+IFERROR(VLOOKUP($B370,'TB 260524'!$A:$C,2,0),0)</f>
        <v>0</v>
      </c>
      <c r="G370" s="1623"/>
      <c r="H370" s="1623">
        <f t="shared" si="10"/>
        <v>0</v>
      </c>
      <c r="I370" s="1623">
        <f>+IFERROR(VLOOKUP($B370,'TB 260524'!$A:$C,3,0),0)</f>
        <v>560256</v>
      </c>
      <c r="J370" s="1623"/>
      <c r="K370" s="1623">
        <f t="shared" si="11"/>
        <v>560256</v>
      </c>
      <c r="L370" s="1623">
        <v>0</v>
      </c>
      <c r="M370" s="1623">
        <v>0</v>
      </c>
      <c r="N370" s="1623">
        <v>0</v>
      </c>
      <c r="O370" s="1623">
        <v>750593</v>
      </c>
      <c r="P370" s="1623">
        <v>0</v>
      </c>
      <c r="Q370" s="1623">
        <v>750593</v>
      </c>
    </row>
    <row r="371" spans="1:17">
      <c r="B371" s="856" t="s">
        <v>587</v>
      </c>
      <c r="C371" s="856">
        <v>13</v>
      </c>
      <c r="D371" s="856" t="s">
        <v>44</v>
      </c>
      <c r="E371" s="856" t="s">
        <v>592</v>
      </c>
      <c r="F371" s="1623">
        <f>+IFERROR(VLOOKUP($B371,'TB 260524'!$A:$C,2,0),0)</f>
        <v>0</v>
      </c>
      <c r="G371" s="1623"/>
      <c r="H371" s="1623">
        <f t="shared" si="10"/>
        <v>0</v>
      </c>
      <c r="I371" s="1623">
        <f>+IFERROR(VLOOKUP($B371,'TB 260524'!$A:$C,3,0),0)</f>
        <v>7622054</v>
      </c>
      <c r="J371" s="1623"/>
      <c r="K371" s="1623">
        <f t="shared" si="11"/>
        <v>7622054</v>
      </c>
      <c r="L371" s="1623">
        <v>0</v>
      </c>
      <c r="M371" s="1623">
        <v>0</v>
      </c>
      <c r="N371" s="1623">
        <v>0</v>
      </c>
      <c r="O371" s="1623">
        <v>7500000</v>
      </c>
      <c r="P371" s="1623">
        <v>0</v>
      </c>
      <c r="Q371" s="1623">
        <v>7500000</v>
      </c>
    </row>
    <row r="372" spans="1:17">
      <c r="A372" t="s">
        <v>3014</v>
      </c>
      <c r="B372" s="856" t="s">
        <v>3006</v>
      </c>
      <c r="C372" s="856">
        <v>27</v>
      </c>
      <c r="D372" s="856" t="s">
        <v>73</v>
      </c>
      <c r="E372" s="856" t="s">
        <v>3018</v>
      </c>
      <c r="F372" s="1623">
        <f>+IFERROR(VLOOKUP($B372,'TB 260524'!$A:$C,2,0),0)</f>
        <v>30768</v>
      </c>
      <c r="G372" s="1623"/>
      <c r="H372" s="1623">
        <f t="shared" si="10"/>
        <v>30768</v>
      </c>
      <c r="I372" s="1623">
        <f>+IFERROR(VLOOKUP($B372,'TB 260524'!$A:$C,3,0),0)</f>
        <v>0</v>
      </c>
      <c r="J372" s="1623"/>
      <c r="K372" s="1623">
        <f t="shared" si="11"/>
        <v>0</v>
      </c>
      <c r="L372" s="1623">
        <v>0</v>
      </c>
      <c r="M372" s="1623">
        <v>0</v>
      </c>
      <c r="N372" s="1623">
        <v>0</v>
      </c>
      <c r="O372" s="1623">
        <v>0</v>
      </c>
      <c r="P372" s="1623">
        <v>0</v>
      </c>
      <c r="Q372" s="1623">
        <v>0</v>
      </c>
    </row>
    <row r="373" spans="1:17">
      <c r="A373" t="s">
        <v>3014</v>
      </c>
      <c r="B373" s="856" t="s">
        <v>3007</v>
      </c>
      <c r="C373" s="856">
        <v>27</v>
      </c>
      <c r="D373" s="856" t="s">
        <v>73</v>
      </c>
      <c r="E373" s="856" t="s">
        <v>3018</v>
      </c>
      <c r="F373" s="1623">
        <f>+IFERROR(VLOOKUP($B373,'TB 260524'!$A:$C,2,0),0)</f>
        <v>246345</v>
      </c>
      <c r="G373" s="1623"/>
      <c r="H373" s="1623">
        <f t="shared" si="10"/>
        <v>246345</v>
      </c>
      <c r="I373" s="1623">
        <f>+IFERROR(VLOOKUP($B373,'TB 260524'!$A:$C,3,0),0)</f>
        <v>0</v>
      </c>
      <c r="J373" s="1623"/>
      <c r="K373" s="1623">
        <f t="shared" si="11"/>
        <v>0</v>
      </c>
      <c r="L373" s="1623">
        <v>0</v>
      </c>
      <c r="M373" s="1623">
        <v>0</v>
      </c>
      <c r="N373" s="1623">
        <v>0</v>
      </c>
      <c r="O373" s="1623">
        <v>0</v>
      </c>
      <c r="P373" s="1623">
        <v>0</v>
      </c>
      <c r="Q373" s="1623">
        <v>0</v>
      </c>
    </row>
    <row r="374" spans="1:17">
      <c r="A374" t="s">
        <v>3014</v>
      </c>
      <c r="B374" s="856" t="s">
        <v>3008</v>
      </c>
      <c r="C374" s="856">
        <v>27</v>
      </c>
      <c r="D374" s="856" t="s">
        <v>73</v>
      </c>
      <c r="E374" s="856" t="s">
        <v>3018</v>
      </c>
      <c r="F374" s="1623">
        <f>+IFERROR(VLOOKUP($B374,'TB 260524'!$A:$C,2,0),0)</f>
        <v>42376</v>
      </c>
      <c r="G374" s="1623"/>
      <c r="H374" s="1623">
        <f t="shared" si="10"/>
        <v>42376</v>
      </c>
      <c r="I374" s="1623">
        <f>+IFERROR(VLOOKUP($B374,'TB 260524'!$A:$C,3,0),0)</f>
        <v>0</v>
      </c>
      <c r="J374" s="1623"/>
      <c r="K374" s="1623">
        <f t="shared" si="11"/>
        <v>0</v>
      </c>
      <c r="L374" s="1623">
        <v>0</v>
      </c>
      <c r="M374" s="1623">
        <v>0</v>
      </c>
      <c r="N374" s="1623">
        <v>0</v>
      </c>
      <c r="O374" s="1623">
        <v>0</v>
      </c>
      <c r="P374" s="1623">
        <v>0</v>
      </c>
      <c r="Q374" s="1623">
        <v>0</v>
      </c>
    </row>
    <row r="375" spans="1:17">
      <c r="B375" s="856" t="s">
        <v>445</v>
      </c>
      <c r="C375" s="856">
        <v>27</v>
      </c>
      <c r="D375" s="856" t="s">
        <v>73</v>
      </c>
      <c r="E375" s="856" t="s">
        <v>446</v>
      </c>
      <c r="F375" s="1623">
        <f>+IFERROR(VLOOKUP($B375,'TB 260524'!$A:$C,2,0),0)</f>
        <v>4714336.38</v>
      </c>
      <c r="G375" s="1623"/>
      <c r="H375" s="1623">
        <f t="shared" si="10"/>
        <v>4714336.38</v>
      </c>
      <c r="I375" s="1623">
        <f>+IFERROR(VLOOKUP($B375,'TB 260524'!$A:$C,3,0),0)</f>
        <v>0</v>
      </c>
      <c r="J375" s="1623"/>
      <c r="K375" s="1623">
        <f t="shared" si="11"/>
        <v>0</v>
      </c>
      <c r="L375" s="1623">
        <v>4829408</v>
      </c>
      <c r="M375" s="1623">
        <v>0</v>
      </c>
      <c r="N375" s="1623">
        <v>4829408</v>
      </c>
      <c r="O375" s="1623">
        <v>0</v>
      </c>
      <c r="P375" s="1623">
        <v>0</v>
      </c>
      <c r="Q375" s="1623">
        <v>0</v>
      </c>
    </row>
    <row r="376" spans="1:17">
      <c r="B376" s="856" t="s">
        <v>447</v>
      </c>
      <c r="C376" s="856">
        <v>23</v>
      </c>
      <c r="D376" s="856" t="s">
        <v>96</v>
      </c>
      <c r="E376" s="856" t="s">
        <v>97</v>
      </c>
      <c r="F376" s="1623">
        <f>+IFERROR(VLOOKUP($B376,'TB 260524'!$A:$C,2,0),0)</f>
        <v>239312224.5</v>
      </c>
      <c r="G376" s="1623"/>
      <c r="H376" s="1623">
        <f t="shared" si="10"/>
        <v>239312224.5</v>
      </c>
      <c r="I376" s="1623">
        <f>+IFERROR(VLOOKUP($B376,'TB 260524'!$A:$C,3,0),0)</f>
        <v>0</v>
      </c>
      <c r="J376" s="1623"/>
      <c r="K376" s="1623">
        <f t="shared" si="11"/>
        <v>0</v>
      </c>
      <c r="L376" s="1623">
        <v>501477134.5</v>
      </c>
      <c r="M376" s="1623">
        <v>0</v>
      </c>
      <c r="N376" s="1623">
        <v>501477134.5</v>
      </c>
      <c r="O376" s="1623">
        <v>0</v>
      </c>
      <c r="P376" s="1623">
        <v>0</v>
      </c>
      <c r="Q376" s="1623">
        <v>0</v>
      </c>
    </row>
    <row r="377" spans="1:17">
      <c r="B377" s="856" t="s">
        <v>448</v>
      </c>
      <c r="C377" s="856">
        <v>10</v>
      </c>
      <c r="D377" s="856" t="s">
        <v>32</v>
      </c>
      <c r="E377" s="856" t="s">
        <v>33</v>
      </c>
      <c r="F377" s="1623">
        <f>+IFERROR(VLOOKUP($B377,'TB 260524'!$A:$C,2,0),0)</f>
        <v>2933800.43</v>
      </c>
      <c r="G377" s="1623"/>
      <c r="H377" s="1623">
        <f t="shared" si="10"/>
        <v>2933800.43</v>
      </c>
      <c r="I377" s="1623">
        <f>+IFERROR(VLOOKUP($B377,'TB 260524'!$A:$C,3,0),0)</f>
        <v>0</v>
      </c>
      <c r="J377" s="1623"/>
      <c r="K377" s="1623">
        <f t="shared" si="11"/>
        <v>0</v>
      </c>
      <c r="L377" s="1623">
        <v>0</v>
      </c>
      <c r="M377" s="1623">
        <v>0</v>
      </c>
      <c r="N377" s="1623">
        <v>0</v>
      </c>
      <c r="O377" s="1623">
        <v>0</v>
      </c>
      <c r="P377" s="1623">
        <v>0</v>
      </c>
      <c r="Q377" s="1623">
        <v>0</v>
      </c>
    </row>
    <row r="378" spans="1:17">
      <c r="B378" s="856" t="s">
        <v>3009</v>
      </c>
      <c r="C378" s="856">
        <v>17</v>
      </c>
      <c r="D378" s="856" t="s">
        <v>8</v>
      </c>
      <c r="E378" s="856" t="s">
        <v>9</v>
      </c>
      <c r="F378" s="1623">
        <f>+IFERROR(VLOOKUP($B378,'TB 260524'!$A:$C,2,0),0)</f>
        <v>0</v>
      </c>
      <c r="G378" s="1623"/>
      <c r="H378" s="1623">
        <f t="shared" si="10"/>
        <v>0</v>
      </c>
      <c r="I378" s="1623">
        <f>+IFERROR(VLOOKUP($B378,'TB 260524'!$A:$C,3,0),0)</f>
        <v>714051</v>
      </c>
      <c r="J378" s="1623"/>
      <c r="K378" s="1623">
        <f t="shared" si="11"/>
        <v>714051</v>
      </c>
      <c r="L378" s="1623">
        <v>0</v>
      </c>
      <c r="M378" s="1623">
        <v>0</v>
      </c>
      <c r="N378" s="1623">
        <v>0</v>
      </c>
      <c r="O378" s="1623">
        <v>0</v>
      </c>
      <c r="P378" s="1623">
        <v>0</v>
      </c>
      <c r="Q378" s="1623">
        <v>0</v>
      </c>
    </row>
    <row r="379" spans="1:17">
      <c r="B379" s="856" t="s">
        <v>449</v>
      </c>
      <c r="C379" s="856">
        <v>2</v>
      </c>
      <c r="D379" s="856" t="s">
        <v>77</v>
      </c>
      <c r="E379" s="856" t="s">
        <v>399</v>
      </c>
      <c r="F379" s="1623">
        <f>+IFERROR(VLOOKUP($B379,'TB 260524'!$A:$C,2,0),0)</f>
        <v>0</v>
      </c>
      <c r="G379" s="1623"/>
      <c r="H379" s="1623">
        <f t="shared" si="10"/>
        <v>0</v>
      </c>
      <c r="I379" s="1623">
        <f>+IFERROR(VLOOKUP($B379,'TB 260524'!$A:$C,3,0),0)</f>
        <v>0</v>
      </c>
      <c r="J379" s="1623"/>
      <c r="K379" s="1623">
        <f t="shared" si="11"/>
        <v>0</v>
      </c>
      <c r="L379" s="1623">
        <v>6416446.9100000001</v>
      </c>
      <c r="M379" s="1623">
        <v>0</v>
      </c>
      <c r="N379" s="1623">
        <v>6416446.9100000001</v>
      </c>
      <c r="O379" s="1623">
        <v>0</v>
      </c>
      <c r="P379" s="1623">
        <v>0</v>
      </c>
      <c r="Q379" s="1623">
        <v>0</v>
      </c>
    </row>
    <row r="380" spans="1:17">
      <c r="B380" s="856" t="s">
        <v>425</v>
      </c>
      <c r="C380" s="856">
        <v>2</v>
      </c>
      <c r="D380" s="856" t="s">
        <v>77</v>
      </c>
      <c r="E380" s="856" t="s">
        <v>399</v>
      </c>
      <c r="F380" s="1623">
        <f>+IFERROR(VLOOKUP($B380,'TB 260524'!$A:$C,2,0),0)</f>
        <v>0</v>
      </c>
      <c r="G380" s="1623"/>
      <c r="H380" s="1623">
        <f t="shared" si="10"/>
        <v>0</v>
      </c>
      <c r="I380" s="1623">
        <f>+IFERROR(VLOOKUP($B380,'TB 260524'!$A:$C,3,0),0)</f>
        <v>0</v>
      </c>
      <c r="J380" s="1623"/>
      <c r="K380" s="1623">
        <f t="shared" si="11"/>
        <v>0</v>
      </c>
      <c r="L380" s="1623">
        <v>26642149.920000002</v>
      </c>
      <c r="M380" s="1623">
        <v>0</v>
      </c>
      <c r="N380" s="1623">
        <v>26642149.920000002</v>
      </c>
      <c r="O380" s="1623">
        <v>0</v>
      </c>
      <c r="P380" s="1623">
        <v>0</v>
      </c>
      <c r="Q380" s="1623">
        <v>0</v>
      </c>
    </row>
    <row r="381" spans="1:17">
      <c r="B381" s="856" t="s">
        <v>2614</v>
      </c>
      <c r="C381" s="856">
        <v>2</v>
      </c>
      <c r="D381" s="856" t="s">
        <v>77</v>
      </c>
      <c r="E381" s="856" t="s">
        <v>399</v>
      </c>
      <c r="F381" s="1623">
        <f>+IFERROR(VLOOKUP($B381,'TB 260524'!$A:$C,2,0),0)</f>
        <v>0</v>
      </c>
      <c r="G381" s="1623"/>
      <c r="H381" s="1623">
        <f t="shared" si="10"/>
        <v>0</v>
      </c>
      <c r="I381" s="1623">
        <f>+IFERROR(VLOOKUP($B381,'TB 260524'!$A:$C,3,0),0)</f>
        <v>0</v>
      </c>
      <c r="J381" s="1623"/>
      <c r="K381" s="1623">
        <f t="shared" si="11"/>
        <v>0</v>
      </c>
      <c r="L381" s="1623">
        <v>300000</v>
      </c>
      <c r="M381" s="1623">
        <v>0</v>
      </c>
      <c r="N381" s="1623">
        <v>300000</v>
      </c>
      <c r="O381" s="1623">
        <v>0</v>
      </c>
      <c r="P381" s="1623">
        <v>0</v>
      </c>
      <c r="Q381" s="1623">
        <v>0</v>
      </c>
    </row>
    <row r="382" spans="1:17">
      <c r="B382" s="856" t="s">
        <v>450</v>
      </c>
      <c r="C382" s="856">
        <v>2</v>
      </c>
      <c r="D382" s="856" t="s">
        <v>77</v>
      </c>
      <c r="E382" s="856" t="s">
        <v>399</v>
      </c>
      <c r="F382" s="1623">
        <f>+IFERROR(VLOOKUP($B382,'TB 260524'!$A:$C,2,0),0)</f>
        <v>0</v>
      </c>
      <c r="G382" s="1623"/>
      <c r="H382" s="1623">
        <f t="shared" si="10"/>
        <v>0</v>
      </c>
      <c r="I382" s="1623">
        <f>+IFERROR(VLOOKUP($B382,'TB 260524'!$A:$C,3,0),0)</f>
        <v>0</v>
      </c>
      <c r="J382" s="1623"/>
      <c r="K382" s="1623">
        <f t="shared" si="11"/>
        <v>0</v>
      </c>
      <c r="L382" s="1623">
        <v>83731782.780000001</v>
      </c>
      <c r="M382" s="1623">
        <v>0</v>
      </c>
      <c r="N382" s="1623">
        <v>83731782.780000001</v>
      </c>
      <c r="O382" s="1623">
        <v>0</v>
      </c>
      <c r="P382" s="1623">
        <v>0</v>
      </c>
      <c r="Q382" s="1623">
        <v>0</v>
      </c>
    </row>
    <row r="383" spans="1:17">
      <c r="B383" s="856" t="s">
        <v>426</v>
      </c>
      <c r="C383" s="856">
        <v>2</v>
      </c>
      <c r="D383" s="856" t="s">
        <v>77</v>
      </c>
      <c r="E383" s="856" t="s">
        <v>399</v>
      </c>
      <c r="F383" s="1623">
        <f>+IFERROR(VLOOKUP($B383,'TB 260524'!$A:$C,2,0),0)</f>
        <v>0</v>
      </c>
      <c r="G383" s="1623"/>
      <c r="H383" s="1623">
        <f t="shared" si="10"/>
        <v>0</v>
      </c>
      <c r="I383" s="1623">
        <f>+IFERROR(VLOOKUP($B383,'TB 260524'!$A:$C,3,0),0)</f>
        <v>0</v>
      </c>
      <c r="J383" s="1623"/>
      <c r="K383" s="1623">
        <f t="shared" si="11"/>
        <v>0</v>
      </c>
      <c r="L383" s="1623">
        <v>17362000</v>
      </c>
      <c r="M383" s="1623">
        <v>0</v>
      </c>
      <c r="N383" s="1623">
        <v>17362000</v>
      </c>
      <c r="O383" s="1623">
        <v>0</v>
      </c>
      <c r="P383" s="1623">
        <v>0</v>
      </c>
      <c r="Q383" s="1623">
        <v>0</v>
      </c>
    </row>
    <row r="384" spans="1:17">
      <c r="B384" s="856" t="s">
        <v>3010</v>
      </c>
      <c r="C384" s="856">
        <v>17</v>
      </c>
      <c r="D384" s="856" t="s">
        <v>8</v>
      </c>
      <c r="E384" s="856" t="s">
        <v>9</v>
      </c>
      <c r="F384" s="1623">
        <f>+IFERROR(VLOOKUP($B384,'TB 260524'!$A:$C,2,0),0)</f>
        <v>0</v>
      </c>
      <c r="G384" s="1623"/>
      <c r="H384" s="1623">
        <f t="shared" si="10"/>
        <v>0</v>
      </c>
      <c r="I384" s="1623">
        <f>+IFERROR(VLOOKUP($B384,'TB 260524'!$A:$C,3,0),0)</f>
        <v>351471</v>
      </c>
      <c r="J384" s="1623"/>
      <c r="K384" s="1623">
        <f t="shared" si="11"/>
        <v>351471</v>
      </c>
      <c r="L384" s="1623">
        <v>0</v>
      </c>
      <c r="M384" s="1623">
        <v>0</v>
      </c>
      <c r="N384" s="1623">
        <v>0</v>
      </c>
      <c r="O384" s="1623">
        <v>0</v>
      </c>
      <c r="P384" s="1623">
        <v>0</v>
      </c>
      <c r="Q384" s="1623">
        <v>0</v>
      </c>
    </row>
    <row r="385" spans="2:17">
      <c r="B385" s="856" t="s">
        <v>590</v>
      </c>
      <c r="C385" s="856">
        <v>27</v>
      </c>
      <c r="D385" s="856" t="s">
        <v>48</v>
      </c>
      <c r="E385" s="856" t="s">
        <v>49</v>
      </c>
      <c r="F385" s="1623">
        <f>+IFERROR(VLOOKUP($B385,'TB 260524'!$A:$C,2,0),0)</f>
        <v>8923</v>
      </c>
      <c r="G385" s="1623"/>
      <c r="H385" s="1623">
        <f t="shared" si="10"/>
        <v>8923</v>
      </c>
      <c r="I385" s="1623">
        <f>+IFERROR(VLOOKUP($B385,'TB 260524'!$A:$C,3,0),0)</f>
        <v>0</v>
      </c>
      <c r="J385" s="1623"/>
      <c r="K385" s="1623">
        <f t="shared" si="11"/>
        <v>0</v>
      </c>
      <c r="L385" s="1623">
        <v>11164</v>
      </c>
      <c r="M385" s="1623">
        <v>0</v>
      </c>
      <c r="N385" s="1623">
        <v>11164</v>
      </c>
      <c r="O385" s="1623">
        <v>0</v>
      </c>
      <c r="P385" s="1623">
        <v>0</v>
      </c>
      <c r="Q385" s="1623">
        <v>0</v>
      </c>
    </row>
    <row r="386" spans="2:17">
      <c r="B386" s="856" t="s">
        <v>451</v>
      </c>
      <c r="C386" s="856">
        <v>6</v>
      </c>
      <c r="D386" s="856" t="s">
        <v>13</v>
      </c>
      <c r="E386" s="856" t="s">
        <v>14</v>
      </c>
      <c r="F386" s="1623">
        <f>+IFERROR(VLOOKUP($B386,'TB 260524'!$A:$C,2,0),0)</f>
        <v>14904501.640000001</v>
      </c>
      <c r="G386" s="1623"/>
      <c r="H386" s="1623">
        <f t="shared" si="10"/>
        <v>14904501.640000001</v>
      </c>
      <c r="I386" s="1623">
        <f>+IFERROR(VLOOKUP($B386,'TB 260524'!$A:$C,3,0),0)</f>
        <v>0</v>
      </c>
      <c r="J386" s="1623"/>
      <c r="K386" s="1623">
        <f t="shared" si="11"/>
        <v>0</v>
      </c>
      <c r="L386" s="1623">
        <v>22024573.640000001</v>
      </c>
      <c r="M386" s="1623">
        <v>0</v>
      </c>
      <c r="N386" s="1623">
        <v>22024573.640000001</v>
      </c>
      <c r="O386" s="1623">
        <v>0</v>
      </c>
      <c r="P386" s="1623">
        <v>0</v>
      </c>
      <c r="Q386" s="1623">
        <v>0</v>
      </c>
    </row>
    <row r="387" spans="2:17">
      <c r="B387" s="856" t="s">
        <v>467</v>
      </c>
      <c r="C387" s="856">
        <v>10</v>
      </c>
      <c r="D387" s="856" t="s">
        <v>32</v>
      </c>
      <c r="E387" s="856" t="s">
        <v>33</v>
      </c>
      <c r="F387" s="1623">
        <f>+IFERROR(VLOOKUP($B387,'TB 260524'!$A:$C,2,0),0)</f>
        <v>0</v>
      </c>
      <c r="G387" s="1623"/>
      <c r="H387" s="1623">
        <f t="shared" si="10"/>
        <v>0</v>
      </c>
      <c r="I387" s="1623">
        <f>+IFERROR(VLOOKUP($B387,'TB 260524'!$A:$C,3,0),0)</f>
        <v>0</v>
      </c>
      <c r="J387" s="1623"/>
      <c r="K387" s="1623">
        <f t="shared" si="11"/>
        <v>0</v>
      </c>
      <c r="L387" s="1623">
        <v>0</v>
      </c>
      <c r="M387" s="1623">
        <v>0</v>
      </c>
      <c r="N387" s="1623">
        <v>0</v>
      </c>
      <c r="O387" s="1623">
        <v>0</v>
      </c>
      <c r="P387" s="1623">
        <v>0</v>
      </c>
      <c r="Q387" s="1623">
        <v>0</v>
      </c>
    </row>
    <row r="388" spans="2:17">
      <c r="B388" s="856" t="s">
        <v>468</v>
      </c>
      <c r="C388" s="856">
        <v>17</v>
      </c>
      <c r="D388" s="856" t="s">
        <v>8</v>
      </c>
      <c r="E388" s="856" t="s">
        <v>8</v>
      </c>
      <c r="F388" s="1623">
        <f>+IFERROR(VLOOKUP($B388,'TB 260524'!$A:$C,2,0),0)</f>
        <v>0</v>
      </c>
      <c r="G388" s="1623"/>
      <c r="H388" s="1623">
        <f t="shared" si="10"/>
        <v>0</v>
      </c>
      <c r="I388" s="1623">
        <f>+IFERROR(VLOOKUP($B388,'TB 260524'!$A:$C,3,0),0)</f>
        <v>0</v>
      </c>
      <c r="J388" s="1623"/>
      <c r="K388" s="1623">
        <f t="shared" si="11"/>
        <v>0</v>
      </c>
      <c r="L388" s="1623">
        <v>0</v>
      </c>
      <c r="M388" s="1623">
        <v>0</v>
      </c>
      <c r="N388" s="1623">
        <v>0</v>
      </c>
      <c r="O388" s="1623">
        <v>2033181</v>
      </c>
      <c r="P388" s="1623">
        <v>-36025.617030000081</v>
      </c>
      <c r="Q388" s="1623">
        <v>1997155.3829699999</v>
      </c>
    </row>
    <row r="389" spans="2:17">
      <c r="B389" s="856" t="s">
        <v>470</v>
      </c>
      <c r="C389" s="856">
        <v>6</v>
      </c>
      <c r="D389" s="856" t="s">
        <v>13</v>
      </c>
      <c r="E389" s="856" t="s">
        <v>14</v>
      </c>
      <c r="F389" s="1623">
        <f>+IFERROR(VLOOKUP($B389,'TB 260524'!$A:$C,2,0),0)</f>
        <v>0</v>
      </c>
      <c r="G389" s="1623"/>
      <c r="H389" s="1623">
        <f t="shared" si="10"/>
        <v>0</v>
      </c>
      <c r="I389" s="1623">
        <f>+IFERROR(VLOOKUP($B389,'TB 260524'!$A:$C,3,0),0)</f>
        <v>0</v>
      </c>
      <c r="J389" s="1623"/>
      <c r="K389" s="1623">
        <f t="shared" si="11"/>
        <v>0</v>
      </c>
      <c r="L389" s="1623">
        <v>1442225</v>
      </c>
      <c r="M389" s="1623">
        <v>0</v>
      </c>
      <c r="N389" s="1623">
        <v>1442225</v>
      </c>
      <c r="O389" s="1623">
        <v>0</v>
      </c>
      <c r="P389" s="1623">
        <v>0</v>
      </c>
      <c r="Q389" s="1623">
        <v>0</v>
      </c>
    </row>
    <row r="390" spans="2:17">
      <c r="B390" s="856" t="s">
        <v>471</v>
      </c>
      <c r="C390" s="856">
        <v>13</v>
      </c>
      <c r="D390" s="856" t="s">
        <v>44</v>
      </c>
      <c r="E390" s="856" t="s">
        <v>592</v>
      </c>
      <c r="F390" s="1623">
        <f>+IFERROR(VLOOKUP($B390,'TB 260524'!$A:$C,2,0),0)</f>
        <v>0</v>
      </c>
      <c r="G390" s="1623"/>
      <c r="H390" s="1623">
        <f t="shared" si="10"/>
        <v>0</v>
      </c>
      <c r="I390" s="1623">
        <f>+IFERROR(VLOOKUP($B390,'TB 260524'!$A:$C,3,0),0)</f>
        <v>0</v>
      </c>
      <c r="J390" s="1623"/>
      <c r="K390" s="1623">
        <f t="shared" si="11"/>
        <v>0</v>
      </c>
      <c r="L390" s="1623">
        <v>0</v>
      </c>
      <c r="M390" s="1623">
        <v>0</v>
      </c>
      <c r="N390" s="1623">
        <v>0</v>
      </c>
      <c r="O390" s="1623">
        <v>7500000</v>
      </c>
      <c r="P390" s="1623">
        <v>0</v>
      </c>
      <c r="Q390" s="1623">
        <v>7500000</v>
      </c>
    </row>
    <row r="391" spans="2:17">
      <c r="B391" s="856" t="s">
        <v>474</v>
      </c>
      <c r="C391" s="856">
        <v>17</v>
      </c>
      <c r="D391" s="856" t="s">
        <v>8</v>
      </c>
      <c r="E391" s="856" t="s">
        <v>8</v>
      </c>
      <c r="F391" s="1623">
        <f>+IFERROR(VLOOKUP($B391,'TB 260524'!$A:$C,2,0),0)</f>
        <v>0</v>
      </c>
      <c r="G391" s="1623"/>
      <c r="H391" s="1623">
        <f t="shared" ref="H391:H454" si="12">+F391+G391</f>
        <v>0</v>
      </c>
      <c r="I391" s="1623">
        <f>+IFERROR(VLOOKUP($B391,'TB 260524'!$A:$C,3,0),0)</f>
        <v>0</v>
      </c>
      <c r="J391" s="1623"/>
      <c r="K391" s="1623">
        <f t="shared" ref="K391:K454" si="13">+I391+J391</f>
        <v>0</v>
      </c>
      <c r="L391" s="1623">
        <v>0</v>
      </c>
      <c r="M391" s="1623">
        <v>0</v>
      </c>
      <c r="N391" s="1623">
        <v>0</v>
      </c>
      <c r="O391" s="1623">
        <v>0</v>
      </c>
      <c r="P391" s="1623">
        <v>0</v>
      </c>
      <c r="Q391" s="1623">
        <v>0</v>
      </c>
    </row>
    <row r="392" spans="2:17">
      <c r="B392" s="856" t="s">
        <v>477</v>
      </c>
      <c r="C392" s="856">
        <v>21</v>
      </c>
      <c r="D392" s="856" t="s">
        <v>143</v>
      </c>
      <c r="E392" s="856" t="s">
        <v>144</v>
      </c>
      <c r="F392" s="1623">
        <f>+IFERROR(VLOOKUP($B392,'TB 260524'!$A:$C,2,0),0)</f>
        <v>0</v>
      </c>
      <c r="G392" s="1623"/>
      <c r="H392" s="1623">
        <f t="shared" si="12"/>
        <v>0</v>
      </c>
      <c r="I392" s="1623">
        <f>+IFERROR(VLOOKUP($B392,'TB 260524'!$A:$C,3,0),0)</f>
        <v>0</v>
      </c>
      <c r="J392" s="1623"/>
      <c r="K392" s="1623">
        <f t="shared" si="13"/>
        <v>0</v>
      </c>
      <c r="L392" s="1623">
        <v>577328.1</v>
      </c>
      <c r="M392" s="1623">
        <v>0</v>
      </c>
      <c r="N392" s="1623">
        <v>577328.1</v>
      </c>
      <c r="O392" s="1623">
        <v>0</v>
      </c>
      <c r="P392" s="1623">
        <v>0</v>
      </c>
      <c r="Q392" s="1623">
        <v>0</v>
      </c>
    </row>
    <row r="393" spans="2:17">
      <c r="B393" s="856" t="s">
        <v>479</v>
      </c>
      <c r="C393" s="856">
        <v>18</v>
      </c>
      <c r="D393" s="856" t="s">
        <v>214</v>
      </c>
      <c r="E393" s="856" t="s">
        <v>90</v>
      </c>
      <c r="F393" s="1623">
        <f>+IFERROR(VLOOKUP($B393,'TB 260524'!$A:$C,2,0),0)</f>
        <v>0</v>
      </c>
      <c r="G393" s="1623"/>
      <c r="H393" s="1623">
        <f t="shared" si="12"/>
        <v>0</v>
      </c>
      <c r="I393" s="1623">
        <f>+IFERROR(VLOOKUP($B393,'TB 260524'!$A:$C,3,0),0)</f>
        <v>0</v>
      </c>
      <c r="J393" s="1623"/>
      <c r="K393" s="1623">
        <f t="shared" si="13"/>
        <v>0</v>
      </c>
      <c r="L393" s="1623">
        <v>0</v>
      </c>
      <c r="M393" s="1623">
        <v>0</v>
      </c>
      <c r="N393" s="1623">
        <v>0</v>
      </c>
      <c r="O393" s="1623">
        <v>3388226.94</v>
      </c>
      <c r="P393" s="1623">
        <v>0</v>
      </c>
      <c r="Q393" s="1623">
        <v>3388226.94</v>
      </c>
    </row>
    <row r="394" spans="2:17">
      <c r="B394" s="856" t="s">
        <v>480</v>
      </c>
      <c r="C394" s="856">
        <v>18</v>
      </c>
      <c r="D394" s="856" t="s">
        <v>214</v>
      </c>
      <c r="E394" s="856" t="s">
        <v>90</v>
      </c>
      <c r="F394" s="1623">
        <f>+IFERROR(VLOOKUP($B394,'TB 260524'!$A:$C,2,0),0)</f>
        <v>0</v>
      </c>
      <c r="G394" s="1623"/>
      <c r="H394" s="1623">
        <f t="shared" si="12"/>
        <v>0</v>
      </c>
      <c r="I394" s="1623">
        <f>+IFERROR(VLOOKUP($B394,'TB 260524'!$A:$C,3,0),0)</f>
        <v>0</v>
      </c>
      <c r="J394" s="1623"/>
      <c r="K394" s="1623">
        <f t="shared" si="13"/>
        <v>0</v>
      </c>
      <c r="L394" s="1623">
        <v>2263811.12</v>
      </c>
      <c r="M394" s="1623">
        <v>0</v>
      </c>
      <c r="N394" s="1623">
        <v>2263811.12</v>
      </c>
      <c r="O394" s="1623">
        <v>0</v>
      </c>
      <c r="P394" s="1623">
        <v>0</v>
      </c>
      <c r="Q394" s="1623">
        <v>0</v>
      </c>
    </row>
    <row r="395" spans="2:17">
      <c r="B395" s="856" t="s">
        <v>491</v>
      </c>
      <c r="C395" s="856">
        <v>17</v>
      </c>
      <c r="D395" s="856" t="s">
        <v>8</v>
      </c>
      <c r="E395" s="856" t="s">
        <v>9</v>
      </c>
      <c r="F395" s="1623">
        <f>+IFERROR(VLOOKUP($B395,'TB 260524'!$A:$C,2,0),0)</f>
        <v>0</v>
      </c>
      <c r="G395" s="1623"/>
      <c r="H395" s="1623">
        <f t="shared" si="12"/>
        <v>0</v>
      </c>
      <c r="I395" s="1623">
        <f>+IFERROR(VLOOKUP($B395,'TB 260524'!$A:$C,3,0),0)</f>
        <v>0</v>
      </c>
      <c r="J395" s="1623"/>
      <c r="K395" s="1623">
        <f t="shared" si="13"/>
        <v>0</v>
      </c>
      <c r="L395" s="1623">
        <v>0</v>
      </c>
      <c r="M395" s="1623">
        <v>0</v>
      </c>
      <c r="N395" s="1623">
        <v>0</v>
      </c>
      <c r="O395" s="1623">
        <v>62499</v>
      </c>
      <c r="P395" s="1623">
        <v>0</v>
      </c>
      <c r="Q395" s="1623">
        <v>62499</v>
      </c>
    </row>
    <row r="396" spans="2:17">
      <c r="B396" s="856" t="s">
        <v>492</v>
      </c>
      <c r="C396" s="856">
        <v>18</v>
      </c>
      <c r="D396" s="856" t="s">
        <v>214</v>
      </c>
      <c r="E396" s="856" t="s">
        <v>2258</v>
      </c>
      <c r="F396" s="1623">
        <f>+IFERROR(VLOOKUP($B396,'TB 260524'!$A:$C,2,0),0)</f>
        <v>0</v>
      </c>
      <c r="G396" s="1623"/>
      <c r="H396" s="1623">
        <f t="shared" si="12"/>
        <v>0</v>
      </c>
      <c r="I396" s="1623">
        <f>+IFERROR(VLOOKUP($B396,'TB 260524'!$A:$C,3,0),0)</f>
        <v>0</v>
      </c>
      <c r="J396" s="1623"/>
      <c r="K396" s="1623">
        <f t="shared" si="13"/>
        <v>0</v>
      </c>
      <c r="L396" s="1623">
        <v>0</v>
      </c>
      <c r="M396" s="1623">
        <v>0</v>
      </c>
      <c r="N396" s="1623">
        <v>0</v>
      </c>
      <c r="O396" s="1623">
        <v>37052</v>
      </c>
      <c r="P396" s="1623">
        <v>0</v>
      </c>
      <c r="Q396" s="1623">
        <v>37052</v>
      </c>
    </row>
    <row r="397" spans="2:17">
      <c r="B397" s="856" t="s">
        <v>495</v>
      </c>
      <c r="C397" s="856">
        <v>27</v>
      </c>
      <c r="D397" s="856" t="s">
        <v>73</v>
      </c>
      <c r="E397" s="856" t="s">
        <v>74</v>
      </c>
      <c r="F397" s="1623">
        <f>+IFERROR(VLOOKUP($B397,'TB 260524'!$A:$C,2,0),0)</f>
        <v>0</v>
      </c>
      <c r="G397" s="1623"/>
      <c r="H397" s="1623">
        <f t="shared" si="12"/>
        <v>0</v>
      </c>
      <c r="I397" s="1623">
        <f>+IFERROR(VLOOKUP($B397,'TB 260524'!$A:$C,3,0),0)</f>
        <v>0</v>
      </c>
      <c r="J397" s="1623"/>
      <c r="K397" s="1623">
        <f t="shared" si="13"/>
        <v>0</v>
      </c>
      <c r="L397" s="1623">
        <v>500</v>
      </c>
      <c r="M397" s="1623">
        <v>0</v>
      </c>
      <c r="N397" s="1623">
        <v>500</v>
      </c>
      <c r="O397" s="1623">
        <v>0</v>
      </c>
      <c r="P397" s="1623">
        <v>0</v>
      </c>
      <c r="Q397" s="1623">
        <v>0</v>
      </c>
    </row>
    <row r="398" spans="2:17">
      <c r="B398" s="856" t="s">
        <v>496</v>
      </c>
      <c r="C398" s="856">
        <v>13</v>
      </c>
      <c r="D398" s="856" t="s">
        <v>44</v>
      </c>
      <c r="E398" s="856" t="s">
        <v>45</v>
      </c>
      <c r="F398" s="1623">
        <f>+IFERROR(VLOOKUP($B398,'TB 260524'!$A:$C,2,0),0)</f>
        <v>0</v>
      </c>
      <c r="G398" s="1623"/>
      <c r="H398" s="1623">
        <f t="shared" si="12"/>
        <v>0</v>
      </c>
      <c r="I398" s="1623">
        <f>+IFERROR(VLOOKUP($B398,'TB 260524'!$A:$C,3,0),0)</f>
        <v>0</v>
      </c>
      <c r="J398" s="1623"/>
      <c r="K398" s="1623">
        <f t="shared" si="13"/>
        <v>0</v>
      </c>
      <c r="L398" s="1623">
        <v>0</v>
      </c>
      <c r="M398" s="1623">
        <v>0</v>
      </c>
      <c r="N398" s="1623">
        <v>0</v>
      </c>
      <c r="O398" s="1623">
        <v>2529925</v>
      </c>
      <c r="P398" s="1623">
        <v>0</v>
      </c>
      <c r="Q398" s="1623">
        <v>2529925</v>
      </c>
    </row>
    <row r="399" spans="2:17">
      <c r="B399" s="856" t="s">
        <v>498</v>
      </c>
      <c r="C399" s="856">
        <v>27</v>
      </c>
      <c r="D399" s="856" t="s">
        <v>48</v>
      </c>
      <c r="E399" s="856" t="s">
        <v>49</v>
      </c>
      <c r="F399" s="1623">
        <f>+IFERROR(VLOOKUP($B399,'TB 260524'!$A:$C,2,0),0)</f>
        <v>0</v>
      </c>
      <c r="G399" s="1623"/>
      <c r="H399" s="1623">
        <f t="shared" si="12"/>
        <v>0</v>
      </c>
      <c r="I399" s="1623">
        <f>+IFERROR(VLOOKUP($B399,'TB 260524'!$A:$C,3,0),0)</f>
        <v>0</v>
      </c>
      <c r="J399" s="1623"/>
      <c r="K399" s="1623">
        <f t="shared" si="13"/>
        <v>0</v>
      </c>
      <c r="L399" s="1623">
        <v>85698</v>
      </c>
      <c r="M399" s="1623">
        <v>0</v>
      </c>
      <c r="N399" s="1623">
        <v>85698</v>
      </c>
      <c r="O399" s="1623">
        <v>0</v>
      </c>
      <c r="P399" s="1623">
        <v>0</v>
      </c>
      <c r="Q399" s="1623">
        <v>0</v>
      </c>
    </row>
    <row r="400" spans="2:17">
      <c r="B400" s="856" t="s">
        <v>501</v>
      </c>
      <c r="C400" s="856">
        <v>18</v>
      </c>
      <c r="D400" s="856" t="s">
        <v>214</v>
      </c>
      <c r="E400" s="856" t="s">
        <v>90</v>
      </c>
      <c r="F400" s="1623">
        <f>+IFERROR(VLOOKUP($B400,'TB 260524'!$A:$C,2,0),0)</f>
        <v>0</v>
      </c>
      <c r="G400" s="1623"/>
      <c r="H400" s="1623">
        <f t="shared" si="12"/>
        <v>0</v>
      </c>
      <c r="I400" s="1623">
        <f>+IFERROR(VLOOKUP($B400,'TB 260524'!$A:$C,3,0),0)</f>
        <v>0</v>
      </c>
      <c r="J400" s="1623"/>
      <c r="K400" s="1623">
        <f t="shared" si="13"/>
        <v>0</v>
      </c>
      <c r="L400" s="1623">
        <v>0</v>
      </c>
      <c r="M400" s="1623">
        <v>0</v>
      </c>
      <c r="N400" s="1623">
        <v>0</v>
      </c>
      <c r="O400" s="1623">
        <v>1402087</v>
      </c>
      <c r="P400" s="1623">
        <v>0</v>
      </c>
      <c r="Q400" s="1623">
        <v>1402087</v>
      </c>
    </row>
    <row r="401" spans="2:17">
      <c r="B401" s="856" t="s">
        <v>502</v>
      </c>
      <c r="C401" s="856">
        <v>18</v>
      </c>
      <c r="D401" s="856" t="s">
        <v>214</v>
      </c>
      <c r="E401" s="856" t="s">
        <v>90</v>
      </c>
      <c r="F401" s="1623">
        <f>+IFERROR(VLOOKUP($B401,'TB 260524'!$A:$C,2,0),0)</f>
        <v>0</v>
      </c>
      <c r="G401" s="1623"/>
      <c r="H401" s="1623">
        <f t="shared" si="12"/>
        <v>0</v>
      </c>
      <c r="I401" s="1623">
        <f>+IFERROR(VLOOKUP($B401,'TB 260524'!$A:$C,3,0),0)</f>
        <v>0</v>
      </c>
      <c r="J401" s="1623"/>
      <c r="K401" s="1623">
        <f t="shared" si="13"/>
        <v>0</v>
      </c>
      <c r="L401" s="1623">
        <v>1932482.82</v>
      </c>
      <c r="M401" s="1623">
        <v>0</v>
      </c>
      <c r="N401" s="1623">
        <v>1932482.82</v>
      </c>
      <c r="O401" s="1623">
        <v>0</v>
      </c>
      <c r="P401" s="1623">
        <v>0</v>
      </c>
      <c r="Q401" s="1623">
        <v>0</v>
      </c>
    </row>
    <row r="402" spans="2:17">
      <c r="B402" s="856" t="s">
        <v>506</v>
      </c>
      <c r="C402" s="856">
        <v>27</v>
      </c>
      <c r="D402" s="856" t="s">
        <v>48</v>
      </c>
      <c r="E402" s="856" t="s">
        <v>49</v>
      </c>
      <c r="F402" s="1623">
        <f>+IFERROR(VLOOKUP($B402,'TB 260524'!$A:$C,2,0),0)</f>
        <v>0</v>
      </c>
      <c r="G402" s="1623"/>
      <c r="H402" s="1623">
        <f t="shared" si="12"/>
        <v>0</v>
      </c>
      <c r="I402" s="1623">
        <f>+IFERROR(VLOOKUP($B402,'TB 260524'!$A:$C,3,0),0)</f>
        <v>0</v>
      </c>
      <c r="J402" s="1623"/>
      <c r="K402" s="1623">
        <f t="shared" si="13"/>
        <v>0</v>
      </c>
      <c r="L402" s="1623">
        <v>200</v>
      </c>
      <c r="M402" s="1623">
        <v>0</v>
      </c>
      <c r="N402" s="1623">
        <v>200</v>
      </c>
      <c r="O402" s="1623">
        <v>0</v>
      </c>
      <c r="P402" s="1623">
        <v>0</v>
      </c>
      <c r="Q402" s="1623">
        <v>0</v>
      </c>
    </row>
    <row r="403" spans="2:17">
      <c r="B403" s="856" t="s">
        <v>510</v>
      </c>
      <c r="C403" s="856">
        <v>9</v>
      </c>
      <c r="D403" s="856" t="s">
        <v>35</v>
      </c>
      <c r="E403" s="856" t="s">
        <v>36</v>
      </c>
      <c r="F403" s="1623">
        <f>+IFERROR(VLOOKUP($B403,'TB 260524'!$A:$C,2,0),0)</f>
        <v>0</v>
      </c>
      <c r="G403" s="1623"/>
      <c r="H403" s="1623">
        <f t="shared" si="12"/>
        <v>0</v>
      </c>
      <c r="I403" s="1623">
        <f>+IFERROR(VLOOKUP($B403,'TB 260524'!$A:$C,3,0),0)</f>
        <v>0</v>
      </c>
      <c r="J403" s="1623"/>
      <c r="K403" s="1623">
        <f t="shared" si="13"/>
        <v>0</v>
      </c>
      <c r="L403" s="1623">
        <v>1000</v>
      </c>
      <c r="M403" s="1623">
        <v>0</v>
      </c>
      <c r="N403" s="1623">
        <v>1000</v>
      </c>
      <c r="O403" s="1623">
        <v>0</v>
      </c>
      <c r="P403" s="1623">
        <v>0</v>
      </c>
      <c r="Q403" s="1623">
        <v>0</v>
      </c>
    </row>
    <row r="404" spans="2:17">
      <c r="B404" s="856" t="s">
        <v>514</v>
      </c>
      <c r="C404" s="856">
        <v>9</v>
      </c>
      <c r="D404" s="856" t="s">
        <v>35</v>
      </c>
      <c r="E404" s="856" t="s">
        <v>36</v>
      </c>
      <c r="F404" s="1623">
        <f>+IFERROR(VLOOKUP($B404,'TB 260524'!$A:$C,2,0),0)</f>
        <v>0</v>
      </c>
      <c r="G404" s="1623"/>
      <c r="H404" s="1623">
        <f t="shared" si="12"/>
        <v>0</v>
      </c>
      <c r="I404" s="1623">
        <f>+IFERROR(VLOOKUP($B404,'TB 260524'!$A:$C,3,0),0)</f>
        <v>0</v>
      </c>
      <c r="J404" s="1623"/>
      <c r="K404" s="1623">
        <f t="shared" si="13"/>
        <v>0</v>
      </c>
      <c r="L404" s="1623">
        <v>3000</v>
      </c>
      <c r="M404" s="1623">
        <v>0</v>
      </c>
      <c r="N404" s="1623">
        <v>3000</v>
      </c>
      <c r="O404" s="1623">
        <v>0</v>
      </c>
      <c r="P404" s="1623">
        <v>0</v>
      </c>
      <c r="Q404" s="1623">
        <v>0</v>
      </c>
    </row>
    <row r="405" spans="2:17">
      <c r="B405" s="856" t="s">
        <v>523</v>
      </c>
      <c r="C405" s="856">
        <v>17</v>
      </c>
      <c r="D405" s="856" t="s">
        <v>8</v>
      </c>
      <c r="E405" s="856" t="s">
        <v>9</v>
      </c>
      <c r="F405" s="1623">
        <f>+IFERROR(VLOOKUP($B405,'TB 260524'!$A:$C,2,0),0)</f>
        <v>0</v>
      </c>
      <c r="G405" s="1623"/>
      <c r="H405" s="1623">
        <f t="shared" si="12"/>
        <v>0</v>
      </c>
      <c r="I405" s="1623">
        <f>+IFERROR(VLOOKUP($B405,'TB 260524'!$A:$C,3,0),0)</f>
        <v>0</v>
      </c>
      <c r="J405" s="1623"/>
      <c r="K405" s="1623">
        <f t="shared" si="13"/>
        <v>0</v>
      </c>
      <c r="L405" s="1623">
        <v>0</v>
      </c>
      <c r="M405" s="1623">
        <v>0</v>
      </c>
      <c r="N405" s="1623">
        <v>0</v>
      </c>
      <c r="O405" s="1623">
        <v>84960</v>
      </c>
      <c r="P405" s="1623">
        <v>0</v>
      </c>
      <c r="Q405" s="1623">
        <v>84960</v>
      </c>
    </row>
    <row r="406" spans="2:17">
      <c r="B406" s="856" t="s">
        <v>524</v>
      </c>
      <c r="C406" s="856">
        <v>17</v>
      </c>
      <c r="D406" s="856" t="s">
        <v>8</v>
      </c>
      <c r="E406" s="856" t="s">
        <v>9</v>
      </c>
      <c r="F406" s="1623">
        <f>+IFERROR(VLOOKUP($B406,'TB 260524'!$A:$C,2,0),0)</f>
        <v>0</v>
      </c>
      <c r="G406" s="1623"/>
      <c r="H406" s="1623">
        <f t="shared" si="12"/>
        <v>0</v>
      </c>
      <c r="I406" s="1623">
        <f>+IFERROR(VLOOKUP($B406,'TB 260524'!$A:$C,3,0),0)</f>
        <v>0</v>
      </c>
      <c r="J406" s="1623"/>
      <c r="K406" s="1623">
        <f t="shared" si="13"/>
        <v>0</v>
      </c>
      <c r="L406" s="1623">
        <v>0</v>
      </c>
      <c r="M406" s="1623">
        <v>0</v>
      </c>
      <c r="N406" s="1623">
        <v>0</v>
      </c>
      <c r="O406" s="1623">
        <v>21000</v>
      </c>
      <c r="P406" s="1623">
        <v>0</v>
      </c>
      <c r="Q406" s="1623">
        <v>21000</v>
      </c>
    </row>
    <row r="407" spans="2:17">
      <c r="B407" s="856" t="s">
        <v>528</v>
      </c>
      <c r="C407" s="856">
        <v>19</v>
      </c>
      <c r="D407" s="856" t="s">
        <v>54</v>
      </c>
      <c r="E407" s="856" t="s">
        <v>593</v>
      </c>
      <c r="F407" s="1623">
        <f>+IFERROR(VLOOKUP($B407,'TB 260524'!$A:$C,2,0),0)</f>
        <v>0</v>
      </c>
      <c r="G407" s="1623"/>
      <c r="H407" s="1623">
        <f t="shared" si="12"/>
        <v>0</v>
      </c>
      <c r="I407" s="1623">
        <f>+IFERROR(VLOOKUP($B407,'TB 260524'!$A:$C,3,0),0)</f>
        <v>0</v>
      </c>
      <c r="J407" s="1623"/>
      <c r="K407" s="1623">
        <f t="shared" si="13"/>
        <v>0</v>
      </c>
      <c r="L407" s="1623">
        <v>0</v>
      </c>
      <c r="M407" s="1623">
        <v>0</v>
      </c>
      <c r="N407" s="1623">
        <v>0</v>
      </c>
      <c r="O407" s="1623">
        <v>2500</v>
      </c>
      <c r="P407" s="1623">
        <v>0</v>
      </c>
      <c r="Q407" s="1623">
        <v>2500</v>
      </c>
    </row>
    <row r="408" spans="2:17">
      <c r="B408" s="856" t="s">
        <v>539</v>
      </c>
      <c r="C408" s="856">
        <v>27</v>
      </c>
      <c r="D408" s="856" t="s">
        <v>73</v>
      </c>
      <c r="E408" s="856" t="s">
        <v>100</v>
      </c>
      <c r="F408" s="1623">
        <f>+IFERROR(VLOOKUP($B408,'TB 260524'!$A:$C,2,0),0)</f>
        <v>0</v>
      </c>
      <c r="G408" s="1623"/>
      <c r="H408" s="1623">
        <f t="shared" si="12"/>
        <v>0</v>
      </c>
      <c r="I408" s="1623">
        <f>+IFERROR(VLOOKUP($B408,'TB 260524'!$A:$C,3,0),0)</f>
        <v>0</v>
      </c>
      <c r="J408" s="1623"/>
      <c r="K408" s="1623">
        <f t="shared" si="13"/>
        <v>0</v>
      </c>
      <c r="L408" s="1623">
        <v>920985</v>
      </c>
      <c r="M408" s="1623">
        <v>0</v>
      </c>
      <c r="N408" s="1623">
        <v>920985</v>
      </c>
      <c r="O408" s="1623">
        <v>0</v>
      </c>
      <c r="P408" s="1623">
        <v>0</v>
      </c>
      <c r="Q408" s="1623">
        <v>0</v>
      </c>
    </row>
    <row r="409" spans="2:17">
      <c r="B409" s="856" t="s">
        <v>541</v>
      </c>
      <c r="C409" s="856">
        <v>9</v>
      </c>
      <c r="D409" s="856" t="s">
        <v>35</v>
      </c>
      <c r="E409" s="856" t="s">
        <v>36</v>
      </c>
      <c r="F409" s="1623">
        <f>+IFERROR(VLOOKUP($B409,'TB 260524'!$A:$C,2,0),0)</f>
        <v>0</v>
      </c>
      <c r="G409" s="1623"/>
      <c r="H409" s="1623">
        <f t="shared" si="12"/>
        <v>0</v>
      </c>
      <c r="I409" s="1623">
        <f>+IFERROR(VLOOKUP($B409,'TB 260524'!$A:$C,3,0),0)</f>
        <v>0</v>
      </c>
      <c r="J409" s="1623"/>
      <c r="K409" s="1623">
        <f t="shared" si="13"/>
        <v>0</v>
      </c>
      <c r="L409" s="1623">
        <v>7500</v>
      </c>
      <c r="M409" s="1623">
        <v>0</v>
      </c>
      <c r="N409" s="1623">
        <v>7500</v>
      </c>
      <c r="O409" s="1623">
        <v>0</v>
      </c>
      <c r="P409" s="1623">
        <v>0</v>
      </c>
      <c r="Q409" s="1623">
        <v>0</v>
      </c>
    </row>
    <row r="410" spans="2:17">
      <c r="B410" s="856" t="s">
        <v>542</v>
      </c>
      <c r="C410" s="856">
        <v>17</v>
      </c>
      <c r="D410" s="856" t="s">
        <v>8</v>
      </c>
      <c r="E410" s="856" t="s">
        <v>9</v>
      </c>
      <c r="F410" s="1623">
        <f>+IFERROR(VLOOKUP($B410,'TB 260524'!$A:$C,2,0),0)</f>
        <v>0</v>
      </c>
      <c r="G410" s="1623"/>
      <c r="H410" s="1623">
        <f t="shared" si="12"/>
        <v>0</v>
      </c>
      <c r="I410" s="1623">
        <f>+IFERROR(VLOOKUP($B410,'TB 260524'!$A:$C,3,0),0)</f>
        <v>0</v>
      </c>
      <c r="J410" s="1623"/>
      <c r="K410" s="1623">
        <f t="shared" si="13"/>
        <v>0</v>
      </c>
      <c r="L410" s="1623">
        <v>0</v>
      </c>
      <c r="M410" s="1623">
        <v>0</v>
      </c>
      <c r="N410" s="1623">
        <v>0</v>
      </c>
      <c r="O410" s="1623">
        <v>192958</v>
      </c>
      <c r="P410" s="1623">
        <v>0</v>
      </c>
      <c r="Q410" s="1623">
        <v>192958</v>
      </c>
    </row>
    <row r="411" spans="2:17">
      <c r="B411" s="856" t="s">
        <v>543</v>
      </c>
      <c r="C411" s="856">
        <v>17</v>
      </c>
      <c r="D411" s="856" t="s">
        <v>8</v>
      </c>
      <c r="E411" s="856" t="s">
        <v>8</v>
      </c>
      <c r="F411" s="1623">
        <f>+IFERROR(VLOOKUP($B411,'TB 260524'!$A:$C,2,0),0)</f>
        <v>0</v>
      </c>
      <c r="G411" s="1623"/>
      <c r="H411" s="1623">
        <f t="shared" si="12"/>
        <v>0</v>
      </c>
      <c r="I411" s="1623">
        <f>+IFERROR(VLOOKUP($B411,'TB 260524'!$A:$C,3,0),0)</f>
        <v>0</v>
      </c>
      <c r="J411" s="1623"/>
      <c r="K411" s="1623">
        <f t="shared" si="13"/>
        <v>0</v>
      </c>
      <c r="L411" s="1623">
        <v>0</v>
      </c>
      <c r="M411" s="1623">
        <v>0</v>
      </c>
      <c r="N411" s="1623">
        <v>0</v>
      </c>
      <c r="O411" s="1623">
        <v>1296380</v>
      </c>
      <c r="P411" s="1623">
        <v>0</v>
      </c>
      <c r="Q411" s="1623">
        <v>1296380</v>
      </c>
    </row>
    <row r="412" spans="2:17">
      <c r="B412" s="856" t="s">
        <v>544</v>
      </c>
      <c r="C412" s="856">
        <v>17</v>
      </c>
      <c r="D412" s="856" t="s">
        <v>8</v>
      </c>
      <c r="E412" s="856" t="s">
        <v>8</v>
      </c>
      <c r="F412" s="1623">
        <f>+IFERROR(VLOOKUP($B412,'TB 260524'!$A:$C,2,0),0)</f>
        <v>0</v>
      </c>
      <c r="G412" s="1623"/>
      <c r="H412" s="1623">
        <f t="shared" si="12"/>
        <v>0</v>
      </c>
      <c r="I412" s="1623">
        <f>+IFERROR(VLOOKUP($B412,'TB 260524'!$A:$C,3,0),0)</f>
        <v>0</v>
      </c>
      <c r="J412" s="1623"/>
      <c r="K412" s="1623">
        <f t="shared" si="13"/>
        <v>0</v>
      </c>
      <c r="L412" s="1623">
        <v>0</v>
      </c>
      <c r="M412" s="1623">
        <v>0</v>
      </c>
      <c r="N412" s="1623">
        <v>0</v>
      </c>
      <c r="O412" s="1623">
        <v>3794288</v>
      </c>
      <c r="P412" s="1623">
        <v>-67231.489200000186</v>
      </c>
      <c r="Q412" s="1623">
        <v>3727056.5107999998</v>
      </c>
    </row>
    <row r="413" spans="2:17">
      <c r="B413" s="856" t="s">
        <v>547</v>
      </c>
      <c r="C413" s="856">
        <v>17</v>
      </c>
      <c r="D413" s="856" t="s">
        <v>8</v>
      </c>
      <c r="E413" s="856" t="s">
        <v>8</v>
      </c>
      <c r="F413" s="1623">
        <f>+IFERROR(VLOOKUP($B413,'TB 260524'!$A:$C,2,0),0)</f>
        <v>0</v>
      </c>
      <c r="G413" s="1623"/>
      <c r="H413" s="1623">
        <f t="shared" si="12"/>
        <v>0</v>
      </c>
      <c r="I413" s="1623">
        <f>+IFERROR(VLOOKUP($B413,'TB 260524'!$A:$C,3,0),0)</f>
        <v>0</v>
      </c>
      <c r="J413" s="1623"/>
      <c r="K413" s="1623">
        <f t="shared" si="13"/>
        <v>0</v>
      </c>
      <c r="L413" s="1623">
        <v>0</v>
      </c>
      <c r="M413" s="1623">
        <v>0</v>
      </c>
      <c r="N413" s="1623">
        <v>0</v>
      </c>
      <c r="O413" s="1623">
        <v>1115100</v>
      </c>
      <c r="P413" s="1623">
        <v>0</v>
      </c>
      <c r="Q413" s="1623">
        <v>1115100</v>
      </c>
    </row>
    <row r="414" spans="2:17">
      <c r="B414" s="856" t="s">
        <v>548</v>
      </c>
      <c r="C414" s="856">
        <v>27</v>
      </c>
      <c r="D414" s="856" t="s">
        <v>48</v>
      </c>
      <c r="E414" s="856" t="s">
        <v>49</v>
      </c>
      <c r="F414" s="1623">
        <f>+IFERROR(VLOOKUP($B414,'TB 260524'!$A:$C,2,0),0)</f>
        <v>0</v>
      </c>
      <c r="G414" s="1623"/>
      <c r="H414" s="1623">
        <f t="shared" si="12"/>
        <v>0</v>
      </c>
      <c r="I414" s="1623">
        <f>+IFERROR(VLOOKUP($B414,'TB 260524'!$A:$C,3,0),0)</f>
        <v>0</v>
      </c>
      <c r="J414" s="1623"/>
      <c r="K414" s="1623">
        <f t="shared" si="13"/>
        <v>0</v>
      </c>
      <c r="L414" s="1623">
        <v>217500</v>
      </c>
      <c r="M414" s="1623">
        <v>0</v>
      </c>
      <c r="N414" s="1623">
        <v>217500</v>
      </c>
      <c r="O414" s="1623">
        <v>0</v>
      </c>
      <c r="P414" s="1623">
        <v>0</v>
      </c>
      <c r="Q414" s="1623">
        <v>0</v>
      </c>
    </row>
    <row r="415" spans="2:17">
      <c r="B415" s="856" t="s">
        <v>551</v>
      </c>
      <c r="C415" s="856">
        <v>17</v>
      </c>
      <c r="D415" s="856" t="s">
        <v>8</v>
      </c>
      <c r="E415" s="856" t="s">
        <v>9</v>
      </c>
      <c r="F415" s="1623">
        <f>+IFERROR(VLOOKUP($B415,'TB 260524'!$A:$C,2,0),0)</f>
        <v>0</v>
      </c>
      <c r="G415" s="1623"/>
      <c r="H415" s="1623">
        <f t="shared" si="12"/>
        <v>0</v>
      </c>
      <c r="I415" s="1623">
        <f>+IFERROR(VLOOKUP($B415,'TB 260524'!$A:$C,3,0),0)</f>
        <v>0</v>
      </c>
      <c r="J415" s="1623"/>
      <c r="K415" s="1623">
        <f t="shared" si="13"/>
        <v>0</v>
      </c>
      <c r="L415" s="1623">
        <v>0</v>
      </c>
      <c r="M415" s="1623">
        <v>0</v>
      </c>
      <c r="N415" s="1623">
        <v>0</v>
      </c>
      <c r="O415" s="1623">
        <v>25438</v>
      </c>
      <c r="P415" s="1623">
        <v>0</v>
      </c>
      <c r="Q415" s="1623">
        <v>25438</v>
      </c>
    </row>
    <row r="416" spans="2:17">
      <c r="B416" s="856" t="s">
        <v>555</v>
      </c>
      <c r="C416" s="856">
        <v>27</v>
      </c>
      <c r="D416" s="856" t="s">
        <v>48</v>
      </c>
      <c r="E416" s="856" t="s">
        <v>49</v>
      </c>
      <c r="F416" s="1623">
        <f>+IFERROR(VLOOKUP($B416,'TB 260524'!$A:$C,2,0),0)</f>
        <v>0</v>
      </c>
      <c r="G416" s="1623"/>
      <c r="H416" s="1623">
        <f t="shared" si="12"/>
        <v>0</v>
      </c>
      <c r="I416" s="1623">
        <f>+IFERROR(VLOOKUP($B416,'TB 260524'!$A:$C,3,0),0)</f>
        <v>0</v>
      </c>
      <c r="J416" s="1623"/>
      <c r="K416" s="1623">
        <f t="shared" si="13"/>
        <v>0</v>
      </c>
      <c r="L416" s="1623">
        <v>1400</v>
      </c>
      <c r="M416" s="1623">
        <v>0</v>
      </c>
      <c r="N416" s="1623">
        <v>1400</v>
      </c>
      <c r="O416" s="1623">
        <v>0</v>
      </c>
      <c r="P416" s="1623">
        <v>0</v>
      </c>
      <c r="Q416" s="1623">
        <v>0</v>
      </c>
    </row>
    <row r="417" spans="2:17">
      <c r="B417" s="856" t="s">
        <v>559</v>
      </c>
      <c r="C417" s="856">
        <v>18</v>
      </c>
      <c r="D417" s="856" t="s">
        <v>214</v>
      </c>
      <c r="E417" s="856" t="s">
        <v>90</v>
      </c>
      <c r="F417" s="1623">
        <f>+IFERROR(VLOOKUP($B417,'TB 260524'!$A:$C,2,0),0)</f>
        <v>0</v>
      </c>
      <c r="G417" s="1623"/>
      <c r="H417" s="1623">
        <f t="shared" si="12"/>
        <v>0</v>
      </c>
      <c r="I417" s="1623">
        <f>+IFERROR(VLOOKUP($B417,'TB 260524'!$A:$C,3,0),0)</f>
        <v>0</v>
      </c>
      <c r="J417" s="1623"/>
      <c r="K417" s="1623">
        <f t="shared" si="13"/>
        <v>0</v>
      </c>
      <c r="L417" s="1623">
        <v>0</v>
      </c>
      <c r="M417" s="1623">
        <v>0</v>
      </c>
      <c r="N417" s="1623">
        <v>0</v>
      </c>
      <c r="O417" s="1623">
        <v>3387430.12</v>
      </c>
      <c r="P417" s="1623">
        <v>0</v>
      </c>
      <c r="Q417" s="1623">
        <v>3387430.12</v>
      </c>
    </row>
    <row r="418" spans="2:17">
      <c r="B418" s="856" t="s">
        <v>560</v>
      </c>
      <c r="C418" s="856">
        <v>18</v>
      </c>
      <c r="D418" s="856" t="s">
        <v>214</v>
      </c>
      <c r="E418" s="856" t="s">
        <v>90</v>
      </c>
      <c r="F418" s="1623">
        <f>+IFERROR(VLOOKUP($B418,'TB 260524'!$A:$C,2,0),0)</f>
        <v>0</v>
      </c>
      <c r="G418" s="1623"/>
      <c r="H418" s="1623">
        <f t="shared" si="12"/>
        <v>0</v>
      </c>
      <c r="I418" s="1623">
        <f>+IFERROR(VLOOKUP($B418,'TB 260524'!$A:$C,3,0),0)</f>
        <v>0</v>
      </c>
      <c r="J418" s="1623"/>
      <c r="K418" s="1623">
        <f t="shared" si="13"/>
        <v>0</v>
      </c>
      <c r="L418" s="1623">
        <v>2263811.12</v>
      </c>
      <c r="M418" s="1623">
        <v>0</v>
      </c>
      <c r="N418" s="1623">
        <v>2263811.12</v>
      </c>
      <c r="O418" s="1623">
        <v>0</v>
      </c>
      <c r="P418" s="1623">
        <v>0</v>
      </c>
      <c r="Q418" s="1623">
        <v>0</v>
      </c>
    </row>
    <row r="419" spans="2:17">
      <c r="B419" s="856" t="s">
        <v>561</v>
      </c>
      <c r="C419" s="856">
        <v>6</v>
      </c>
      <c r="D419" s="856" t="s">
        <v>13</v>
      </c>
      <c r="E419" s="856" t="s">
        <v>14</v>
      </c>
      <c r="F419" s="1623">
        <f>+IFERROR(VLOOKUP($B419,'TB 260524'!$A:$C,2,0),0)</f>
        <v>0</v>
      </c>
      <c r="G419" s="1623"/>
      <c r="H419" s="1623">
        <f t="shared" si="12"/>
        <v>0</v>
      </c>
      <c r="I419" s="1623">
        <f>+IFERROR(VLOOKUP($B419,'TB 260524'!$A:$C,3,0),0)</f>
        <v>0</v>
      </c>
      <c r="J419" s="1623"/>
      <c r="K419" s="1623">
        <f t="shared" si="13"/>
        <v>0</v>
      </c>
      <c r="L419" s="1623">
        <v>196757</v>
      </c>
      <c r="M419" s="1623">
        <v>0</v>
      </c>
      <c r="N419" s="1623">
        <v>196757</v>
      </c>
      <c r="O419" s="1623">
        <v>0</v>
      </c>
      <c r="P419" s="1623">
        <v>0</v>
      </c>
      <c r="Q419" s="1623">
        <v>0</v>
      </c>
    </row>
    <row r="420" spans="2:17">
      <c r="B420" s="856" t="s">
        <v>566</v>
      </c>
      <c r="C420" s="856">
        <v>17</v>
      </c>
      <c r="D420" s="856" t="s">
        <v>8</v>
      </c>
      <c r="E420" s="856" t="s">
        <v>9</v>
      </c>
      <c r="F420" s="1623">
        <f>+IFERROR(VLOOKUP($B420,'TB 260524'!$A:$C,2,0),0)</f>
        <v>0</v>
      </c>
      <c r="G420" s="1623"/>
      <c r="H420" s="1623">
        <f t="shared" si="12"/>
        <v>0</v>
      </c>
      <c r="I420" s="1623">
        <f>+IFERROR(VLOOKUP($B420,'TB 260524'!$A:$C,3,0),0)</f>
        <v>0</v>
      </c>
      <c r="J420" s="1623"/>
      <c r="K420" s="1623">
        <f t="shared" si="13"/>
        <v>0</v>
      </c>
      <c r="L420" s="1623">
        <v>4200</v>
      </c>
      <c r="M420" s="1623">
        <v>0</v>
      </c>
      <c r="N420" s="1623">
        <v>4200</v>
      </c>
      <c r="O420" s="1623">
        <v>0</v>
      </c>
      <c r="P420" s="1623">
        <v>0</v>
      </c>
      <c r="Q420" s="1623">
        <v>0</v>
      </c>
    </row>
    <row r="421" spans="2:17">
      <c r="B421" s="856" t="s">
        <v>567</v>
      </c>
      <c r="C421" s="856">
        <v>11</v>
      </c>
      <c r="D421" s="856" t="s">
        <v>25</v>
      </c>
      <c r="E421" s="856" t="s">
        <v>26</v>
      </c>
      <c r="F421" s="1623">
        <f>+IFERROR(VLOOKUP($B421,'TB 260524'!$A:$C,2,0),0)</f>
        <v>0</v>
      </c>
      <c r="G421" s="1623"/>
      <c r="H421" s="1623">
        <f t="shared" si="12"/>
        <v>0</v>
      </c>
      <c r="I421" s="1623">
        <f>+IFERROR(VLOOKUP($B421,'TB 260524'!$A:$C,3,0),0)</f>
        <v>0</v>
      </c>
      <c r="J421" s="1623"/>
      <c r="K421" s="1623">
        <f t="shared" si="13"/>
        <v>0</v>
      </c>
      <c r="L421" s="1623">
        <v>0</v>
      </c>
      <c r="M421" s="1623">
        <v>0</v>
      </c>
      <c r="N421" s="1623">
        <v>0</v>
      </c>
      <c r="O421" s="1623">
        <v>0</v>
      </c>
      <c r="P421" s="1623">
        <v>0</v>
      </c>
      <c r="Q421" s="1623">
        <v>0</v>
      </c>
    </row>
    <row r="422" spans="2:17">
      <c r="B422" s="856" t="s">
        <v>570</v>
      </c>
      <c r="C422" s="856">
        <v>11</v>
      </c>
      <c r="D422" s="856" t="s">
        <v>25</v>
      </c>
      <c r="E422" s="856" t="s">
        <v>26</v>
      </c>
      <c r="F422" s="1623">
        <f>+IFERROR(VLOOKUP($B422,'TB 260524'!$A:$C,2,0),0)</f>
        <v>0</v>
      </c>
      <c r="G422" s="1623"/>
      <c r="H422" s="1623">
        <f t="shared" si="12"/>
        <v>0</v>
      </c>
      <c r="I422" s="1623">
        <f>+IFERROR(VLOOKUP($B422,'TB 260524'!$A:$C,3,0),0)</f>
        <v>0</v>
      </c>
      <c r="J422" s="1623"/>
      <c r="K422" s="1623">
        <f t="shared" si="13"/>
        <v>0</v>
      </c>
      <c r="L422" s="1623">
        <v>0</v>
      </c>
      <c r="M422" s="1623">
        <v>0</v>
      </c>
      <c r="N422" s="1623">
        <v>0</v>
      </c>
      <c r="O422" s="1623">
        <v>0</v>
      </c>
      <c r="P422" s="1623">
        <v>0</v>
      </c>
      <c r="Q422" s="1623">
        <v>0</v>
      </c>
    </row>
    <row r="423" spans="2:17">
      <c r="B423" s="856" t="s">
        <v>579</v>
      </c>
      <c r="C423" s="856">
        <v>18</v>
      </c>
      <c r="D423" s="856" t="s">
        <v>214</v>
      </c>
      <c r="E423" s="856" t="s">
        <v>2258</v>
      </c>
      <c r="F423" s="1623">
        <f>+IFERROR(VLOOKUP($B423,'TB 260524'!$A:$C,2,0),0)</f>
        <v>0</v>
      </c>
      <c r="G423" s="1623"/>
      <c r="H423" s="1623">
        <f t="shared" si="12"/>
        <v>0</v>
      </c>
      <c r="I423" s="1623">
        <f>+IFERROR(VLOOKUP($B423,'TB 260524'!$A:$C,3,0),0)</f>
        <v>0</v>
      </c>
      <c r="J423" s="1623"/>
      <c r="K423" s="1623">
        <f t="shared" si="13"/>
        <v>0</v>
      </c>
      <c r="L423" s="1623">
        <v>0</v>
      </c>
      <c r="M423" s="1623">
        <v>0</v>
      </c>
      <c r="N423" s="1623">
        <v>0</v>
      </c>
      <c r="O423" s="1623">
        <v>65000</v>
      </c>
      <c r="P423" s="1623">
        <v>0</v>
      </c>
      <c r="Q423" s="1623">
        <v>65000</v>
      </c>
    </row>
    <row r="424" spans="2:17">
      <c r="B424" s="856" t="s">
        <v>580</v>
      </c>
      <c r="C424" s="856">
        <v>4</v>
      </c>
      <c r="D424" s="856" t="s">
        <v>22</v>
      </c>
      <c r="E424" s="856" t="s">
        <v>23</v>
      </c>
      <c r="F424" s="1623">
        <f>+IFERROR(VLOOKUP($B424,'TB 260524'!$A:$C,2,0),0)</f>
        <v>0</v>
      </c>
      <c r="G424" s="1623"/>
      <c r="H424" s="1623">
        <f t="shared" si="12"/>
        <v>0</v>
      </c>
      <c r="I424" s="1623">
        <f>+IFERROR(VLOOKUP($B424,'TB 260524'!$A:$C,3,0),0)</f>
        <v>0</v>
      </c>
      <c r="J424" s="1623"/>
      <c r="K424" s="1623">
        <f t="shared" si="13"/>
        <v>0</v>
      </c>
      <c r="L424" s="1623">
        <v>204000</v>
      </c>
      <c r="M424" s="1623">
        <v>0</v>
      </c>
      <c r="N424" s="1623">
        <v>204000</v>
      </c>
      <c r="O424" s="1623">
        <v>0</v>
      </c>
      <c r="P424" s="1623">
        <v>0</v>
      </c>
      <c r="Q424" s="1623">
        <v>0</v>
      </c>
    </row>
    <row r="425" spans="2:17">
      <c r="B425" s="856" t="s">
        <v>581</v>
      </c>
      <c r="C425" s="856">
        <v>18</v>
      </c>
      <c r="D425" s="856" t="s">
        <v>214</v>
      </c>
      <c r="E425" s="856" t="s">
        <v>2258</v>
      </c>
      <c r="F425" s="1623">
        <f>+IFERROR(VLOOKUP($B425,'TB 260524'!$A:$C,2,0),0)</f>
        <v>0</v>
      </c>
      <c r="G425" s="1623"/>
      <c r="H425" s="1623">
        <f t="shared" si="12"/>
        <v>0</v>
      </c>
      <c r="I425" s="1623">
        <f>+IFERROR(VLOOKUP($B425,'TB 260524'!$A:$C,3,0),0)</f>
        <v>0</v>
      </c>
      <c r="J425" s="1623"/>
      <c r="K425" s="1623">
        <f t="shared" si="13"/>
        <v>0</v>
      </c>
      <c r="L425" s="1623">
        <v>0</v>
      </c>
      <c r="M425" s="1623">
        <v>0</v>
      </c>
      <c r="N425" s="1623">
        <v>0</v>
      </c>
      <c r="O425" s="1623">
        <v>12980</v>
      </c>
      <c r="P425" s="1623">
        <v>0</v>
      </c>
      <c r="Q425" s="1623">
        <v>12980</v>
      </c>
    </row>
    <row r="426" spans="2:17">
      <c r="B426" s="856" t="s">
        <v>585</v>
      </c>
      <c r="C426" s="856">
        <v>10</v>
      </c>
      <c r="D426" s="856" t="s">
        <v>32</v>
      </c>
      <c r="E426" s="856" t="s">
        <v>33</v>
      </c>
      <c r="F426" s="1623">
        <f>+IFERROR(VLOOKUP($B426,'TB 260524'!$A:$C,2,0),0)</f>
        <v>0</v>
      </c>
      <c r="G426" s="1623"/>
      <c r="H426" s="1623">
        <f t="shared" si="12"/>
        <v>0</v>
      </c>
      <c r="I426" s="1623">
        <f>+IFERROR(VLOOKUP($B426,'TB 260524'!$A:$C,3,0),0)</f>
        <v>0</v>
      </c>
      <c r="J426" s="1623"/>
      <c r="K426" s="1623">
        <f t="shared" si="13"/>
        <v>0</v>
      </c>
      <c r="L426" s="1623">
        <v>175000</v>
      </c>
      <c r="M426" s="1623">
        <v>0</v>
      </c>
      <c r="N426" s="1623">
        <v>175000</v>
      </c>
      <c r="O426" s="1623">
        <v>0</v>
      </c>
      <c r="P426" s="1623">
        <v>0</v>
      </c>
      <c r="Q426" s="1623">
        <v>0</v>
      </c>
    </row>
    <row r="427" spans="2:17">
      <c r="B427" s="856" t="s">
        <v>586</v>
      </c>
      <c r="C427" s="856">
        <v>17</v>
      </c>
      <c r="D427" s="856" t="s">
        <v>8</v>
      </c>
      <c r="E427" s="856" t="s">
        <v>8</v>
      </c>
      <c r="F427" s="1623">
        <f>+IFERROR(VLOOKUP($B427,'TB 260524'!$A:$C,2,0),0)</f>
        <v>0</v>
      </c>
      <c r="G427" s="1623"/>
      <c r="H427" s="1623">
        <f t="shared" si="12"/>
        <v>0</v>
      </c>
      <c r="I427" s="1623">
        <f>+IFERROR(VLOOKUP($B427,'TB 260524'!$A:$C,3,0),0)</f>
        <v>0</v>
      </c>
      <c r="J427" s="1623"/>
      <c r="K427" s="1623">
        <f t="shared" si="13"/>
        <v>0</v>
      </c>
      <c r="L427" s="1623">
        <v>0</v>
      </c>
      <c r="M427" s="1623">
        <v>0</v>
      </c>
      <c r="N427" s="1623">
        <v>0</v>
      </c>
      <c r="O427" s="1623">
        <v>295397</v>
      </c>
      <c r="P427" s="1623">
        <v>0</v>
      </c>
      <c r="Q427" s="1623">
        <v>295397</v>
      </c>
    </row>
    <row r="428" spans="2:17">
      <c r="B428" s="856" t="s">
        <v>588</v>
      </c>
      <c r="C428" s="856">
        <v>17</v>
      </c>
      <c r="D428" s="856" t="s">
        <v>8</v>
      </c>
      <c r="E428" s="856" t="s">
        <v>8</v>
      </c>
      <c r="F428" s="1623">
        <f>+IFERROR(VLOOKUP($B428,'TB 260524'!$A:$C,2,0),0)</f>
        <v>0</v>
      </c>
      <c r="G428" s="1623"/>
      <c r="H428" s="1623">
        <f t="shared" si="12"/>
        <v>0</v>
      </c>
      <c r="I428" s="1623">
        <f>+IFERROR(VLOOKUP($B428,'TB 260524'!$A:$C,3,0),0)</f>
        <v>0</v>
      </c>
      <c r="J428" s="1623"/>
      <c r="K428" s="1623">
        <f t="shared" si="13"/>
        <v>0</v>
      </c>
      <c r="L428" s="1623">
        <v>0</v>
      </c>
      <c r="M428" s="1623">
        <v>0</v>
      </c>
      <c r="N428" s="1623">
        <v>0</v>
      </c>
      <c r="O428" s="1623">
        <v>0</v>
      </c>
      <c r="P428" s="1623">
        <v>0</v>
      </c>
      <c r="Q428" s="1623">
        <v>0</v>
      </c>
    </row>
    <row r="429" spans="2:17">
      <c r="B429" s="856" t="s">
        <v>589</v>
      </c>
      <c r="C429" s="856">
        <v>18</v>
      </c>
      <c r="D429" s="856" t="s">
        <v>214</v>
      </c>
      <c r="E429" s="856" t="s">
        <v>2258</v>
      </c>
      <c r="F429" s="1623">
        <f>+IFERROR(VLOOKUP($B429,'TB 260524'!$A:$C,2,0),0)</f>
        <v>0</v>
      </c>
      <c r="G429" s="1623"/>
      <c r="H429" s="1623">
        <f t="shared" si="12"/>
        <v>0</v>
      </c>
      <c r="I429" s="1623">
        <f>+IFERROR(VLOOKUP($B429,'TB 260524'!$A:$C,3,0),0)</f>
        <v>0</v>
      </c>
      <c r="J429" s="1623"/>
      <c r="K429" s="1623">
        <f t="shared" si="13"/>
        <v>0</v>
      </c>
      <c r="L429" s="1623">
        <v>0</v>
      </c>
      <c r="M429" s="1623">
        <v>0</v>
      </c>
      <c r="N429" s="1623">
        <v>0</v>
      </c>
      <c r="O429" s="1623">
        <v>672000</v>
      </c>
      <c r="P429" s="1623">
        <v>0</v>
      </c>
      <c r="Q429" s="1623">
        <v>672000</v>
      </c>
    </row>
    <row r="430" spans="2:17">
      <c r="B430" s="856" t="s">
        <v>11</v>
      </c>
      <c r="C430" s="856">
        <v>17</v>
      </c>
      <c r="D430" s="856" t="s">
        <v>8</v>
      </c>
      <c r="E430" s="856" t="s">
        <v>9</v>
      </c>
      <c r="F430" s="1623">
        <f>+IFERROR(VLOOKUP($B430,'TB 260524'!$A:$C,2,0),0)</f>
        <v>0</v>
      </c>
      <c r="G430" s="1623"/>
      <c r="H430" s="1623">
        <f t="shared" si="12"/>
        <v>0</v>
      </c>
      <c r="I430" s="1623">
        <f>+IFERROR(VLOOKUP($B430,'TB 260524'!$A:$C,3,0),0)</f>
        <v>0</v>
      </c>
      <c r="J430" s="1623"/>
      <c r="K430" s="1623">
        <f t="shared" si="13"/>
        <v>0</v>
      </c>
      <c r="L430" s="1623">
        <v>0</v>
      </c>
      <c r="M430" s="1623">
        <v>0</v>
      </c>
      <c r="N430" s="1623">
        <v>0</v>
      </c>
      <c r="O430" s="1623">
        <v>0</v>
      </c>
      <c r="P430" s="1623">
        <v>0</v>
      </c>
      <c r="Q430" s="1623">
        <v>0</v>
      </c>
    </row>
    <row r="431" spans="2:17">
      <c r="B431" s="856" t="s">
        <v>12</v>
      </c>
      <c r="C431" s="856">
        <v>6</v>
      </c>
      <c r="D431" s="856" t="s">
        <v>13</v>
      </c>
      <c r="E431" s="856" t="s">
        <v>14</v>
      </c>
      <c r="F431" s="1623">
        <f>+IFERROR(VLOOKUP($B431,'TB 260524'!$A:$C,2,0),0)</f>
        <v>0</v>
      </c>
      <c r="G431" s="1623"/>
      <c r="H431" s="1623">
        <f t="shared" si="12"/>
        <v>0</v>
      </c>
      <c r="I431" s="1623">
        <f>+IFERROR(VLOOKUP($B431,'TB 260524'!$A:$C,3,0),0)</f>
        <v>0</v>
      </c>
      <c r="J431" s="1623"/>
      <c r="K431" s="1623">
        <f t="shared" si="13"/>
        <v>0</v>
      </c>
      <c r="L431" s="1623">
        <v>152951</v>
      </c>
      <c r="M431" s="1623">
        <v>0</v>
      </c>
      <c r="N431" s="1623">
        <v>152951</v>
      </c>
      <c r="O431" s="1623">
        <v>0</v>
      </c>
      <c r="P431" s="1623">
        <v>0</v>
      </c>
      <c r="Q431" s="1623">
        <v>0</v>
      </c>
    </row>
    <row r="432" spans="2:17">
      <c r="B432" s="856" t="s">
        <v>15</v>
      </c>
      <c r="C432" s="856">
        <v>6</v>
      </c>
      <c r="D432" s="856" t="s">
        <v>13</v>
      </c>
      <c r="E432" s="856" t="s">
        <v>14</v>
      </c>
      <c r="F432" s="1623">
        <f>+IFERROR(VLOOKUP($B432,'TB 260524'!$A:$C,2,0),0)</f>
        <v>0</v>
      </c>
      <c r="G432" s="1623"/>
      <c r="H432" s="1623">
        <f t="shared" si="12"/>
        <v>0</v>
      </c>
      <c r="I432" s="1623">
        <f>+IFERROR(VLOOKUP($B432,'TB 260524'!$A:$C,3,0),0)</f>
        <v>0</v>
      </c>
      <c r="J432" s="1623"/>
      <c r="K432" s="1623">
        <f t="shared" si="13"/>
        <v>0</v>
      </c>
      <c r="L432" s="1623">
        <v>13460226</v>
      </c>
      <c r="M432" s="1623">
        <v>0</v>
      </c>
      <c r="N432" s="1623">
        <v>13460226</v>
      </c>
      <c r="O432" s="1623">
        <v>0</v>
      </c>
      <c r="P432" s="1623">
        <v>0</v>
      </c>
      <c r="Q432" s="1623">
        <v>0</v>
      </c>
    </row>
    <row r="433" spans="2:17">
      <c r="B433" s="856" t="s">
        <v>17</v>
      </c>
      <c r="C433" s="856">
        <v>17</v>
      </c>
      <c r="D433" s="856" t="s">
        <v>8</v>
      </c>
      <c r="E433" s="856" t="s">
        <v>8</v>
      </c>
      <c r="F433" s="1623">
        <f>+IFERROR(VLOOKUP($B433,'TB 260524'!$A:$C,2,0),0)</f>
        <v>0</v>
      </c>
      <c r="G433" s="1623"/>
      <c r="H433" s="1623">
        <f t="shared" si="12"/>
        <v>0</v>
      </c>
      <c r="I433" s="1623">
        <f>+IFERROR(VLOOKUP($B433,'TB 260524'!$A:$C,3,0),0)</f>
        <v>0</v>
      </c>
      <c r="J433" s="1623"/>
      <c r="K433" s="1623">
        <f t="shared" si="13"/>
        <v>0</v>
      </c>
      <c r="L433" s="1623">
        <v>0</v>
      </c>
      <c r="M433" s="1623">
        <v>0</v>
      </c>
      <c r="N433" s="1623">
        <v>0</v>
      </c>
      <c r="O433" s="1623">
        <v>0</v>
      </c>
      <c r="P433" s="1623">
        <v>0</v>
      </c>
      <c r="Q433" s="1623">
        <v>0</v>
      </c>
    </row>
    <row r="434" spans="2:17">
      <c r="B434" s="856" t="s">
        <v>18</v>
      </c>
      <c r="C434" s="856">
        <v>17</v>
      </c>
      <c r="D434" s="856" t="s">
        <v>8</v>
      </c>
      <c r="E434" s="856" t="s">
        <v>8</v>
      </c>
      <c r="F434" s="1623">
        <f>+IFERROR(VLOOKUP($B434,'TB 260524'!$A:$C,2,0),0)</f>
        <v>0</v>
      </c>
      <c r="G434" s="1623"/>
      <c r="H434" s="1623">
        <f t="shared" si="12"/>
        <v>0</v>
      </c>
      <c r="I434" s="1623">
        <f>+IFERROR(VLOOKUP($B434,'TB 260524'!$A:$C,3,0),0)</f>
        <v>0</v>
      </c>
      <c r="J434" s="1623"/>
      <c r="K434" s="1623">
        <f t="shared" si="13"/>
        <v>0</v>
      </c>
      <c r="L434" s="1623">
        <v>0</v>
      </c>
      <c r="M434" s="1623">
        <v>0</v>
      </c>
      <c r="N434" s="1623">
        <v>0</v>
      </c>
      <c r="O434" s="1623">
        <v>146832</v>
      </c>
      <c r="P434" s="1623">
        <v>0</v>
      </c>
      <c r="Q434" s="1623">
        <v>146832</v>
      </c>
    </row>
    <row r="435" spans="2:17">
      <c r="B435" s="856" t="s">
        <v>24</v>
      </c>
      <c r="C435" s="856">
        <v>17</v>
      </c>
      <c r="D435" s="856" t="s">
        <v>8</v>
      </c>
      <c r="E435" s="856" t="s">
        <v>9</v>
      </c>
      <c r="F435" s="1623">
        <f>+IFERROR(VLOOKUP($B435,'TB 260524'!$A:$C,2,0),0)</f>
        <v>0</v>
      </c>
      <c r="G435" s="1623"/>
      <c r="H435" s="1623">
        <f t="shared" si="12"/>
        <v>0</v>
      </c>
      <c r="I435" s="1623">
        <f>+IFERROR(VLOOKUP($B435,'TB 260524'!$A:$C,3,0),0)</f>
        <v>0</v>
      </c>
      <c r="J435" s="1623"/>
      <c r="K435" s="1623">
        <f t="shared" si="13"/>
        <v>0</v>
      </c>
      <c r="L435" s="1623">
        <v>0</v>
      </c>
      <c r="M435" s="1623">
        <v>0</v>
      </c>
      <c r="N435" s="1623">
        <v>0</v>
      </c>
      <c r="O435" s="1623">
        <v>6490</v>
      </c>
      <c r="P435" s="1623">
        <v>0</v>
      </c>
      <c r="Q435" s="1623">
        <v>6490</v>
      </c>
    </row>
    <row r="436" spans="2:17">
      <c r="B436" s="856" t="s">
        <v>29</v>
      </c>
      <c r="C436" s="856">
        <v>6</v>
      </c>
      <c r="D436" s="856" t="s">
        <v>13</v>
      </c>
      <c r="E436" s="856" t="s">
        <v>14</v>
      </c>
      <c r="F436" s="1623">
        <f>+IFERROR(VLOOKUP($B436,'TB 260524'!$A:$C,2,0),0)</f>
        <v>0</v>
      </c>
      <c r="G436" s="1623"/>
      <c r="H436" s="1623">
        <f t="shared" si="12"/>
        <v>0</v>
      </c>
      <c r="I436" s="1623">
        <f>+IFERROR(VLOOKUP($B436,'TB 260524'!$A:$C,3,0),0)</f>
        <v>0</v>
      </c>
      <c r="J436" s="1623"/>
      <c r="K436" s="1623">
        <f t="shared" si="13"/>
        <v>0</v>
      </c>
      <c r="L436" s="1623">
        <v>509902</v>
      </c>
      <c r="M436" s="1623">
        <v>0</v>
      </c>
      <c r="N436" s="1623">
        <v>509902</v>
      </c>
      <c r="O436" s="1623">
        <v>0</v>
      </c>
      <c r="P436" s="1623">
        <v>0</v>
      </c>
      <c r="Q436" s="1623">
        <v>0</v>
      </c>
    </row>
    <row r="437" spans="2:17">
      <c r="B437" s="856" t="s">
        <v>30</v>
      </c>
      <c r="C437" s="856">
        <v>6</v>
      </c>
      <c r="D437" s="856" t="s">
        <v>13</v>
      </c>
      <c r="E437" s="856" t="s">
        <v>14</v>
      </c>
      <c r="F437" s="1623">
        <f>+IFERROR(VLOOKUP($B437,'TB 260524'!$A:$C,2,0),0)</f>
        <v>0</v>
      </c>
      <c r="G437" s="1623"/>
      <c r="H437" s="1623">
        <f t="shared" si="12"/>
        <v>0</v>
      </c>
      <c r="I437" s="1623">
        <f>+IFERROR(VLOOKUP($B437,'TB 260524'!$A:$C,3,0),0)</f>
        <v>0</v>
      </c>
      <c r="J437" s="1623"/>
      <c r="K437" s="1623">
        <f t="shared" si="13"/>
        <v>0</v>
      </c>
      <c r="L437" s="1623">
        <v>0</v>
      </c>
      <c r="M437" s="1623">
        <v>0</v>
      </c>
      <c r="N437" s="1623">
        <v>0</v>
      </c>
      <c r="O437" s="1623">
        <v>33034</v>
      </c>
      <c r="P437" s="1623">
        <v>0</v>
      </c>
      <c r="Q437" s="1623">
        <v>33034</v>
      </c>
    </row>
    <row r="438" spans="2:17">
      <c r="B438" s="856" t="s">
        <v>31</v>
      </c>
      <c r="C438" s="856">
        <v>6</v>
      </c>
      <c r="D438" s="856" t="s">
        <v>13</v>
      </c>
      <c r="E438" s="856" t="s">
        <v>14</v>
      </c>
      <c r="F438" s="1623">
        <f>+IFERROR(VLOOKUP($B438,'TB 260524'!$A:$C,2,0),0)</f>
        <v>0</v>
      </c>
      <c r="G438" s="1623"/>
      <c r="H438" s="1623">
        <f t="shared" si="12"/>
        <v>0</v>
      </c>
      <c r="I438" s="1623">
        <f>+IFERROR(VLOOKUP($B438,'TB 260524'!$A:$C,3,0),0)</f>
        <v>0</v>
      </c>
      <c r="J438" s="1623"/>
      <c r="K438" s="1623">
        <f t="shared" si="13"/>
        <v>0</v>
      </c>
      <c r="L438" s="1623">
        <v>0</v>
      </c>
      <c r="M438" s="1623">
        <v>0</v>
      </c>
      <c r="N438" s="1623">
        <v>0</v>
      </c>
      <c r="O438" s="1623">
        <v>0</v>
      </c>
      <c r="P438" s="1623">
        <v>0</v>
      </c>
      <c r="Q438" s="1623">
        <v>0</v>
      </c>
    </row>
    <row r="439" spans="2:17">
      <c r="B439" s="856" t="s">
        <v>34</v>
      </c>
      <c r="C439" s="856">
        <v>10</v>
      </c>
      <c r="D439" s="856" t="s">
        <v>32</v>
      </c>
      <c r="E439" s="856" t="s">
        <v>33</v>
      </c>
      <c r="F439" s="1623">
        <f>+IFERROR(VLOOKUP($B439,'TB 260524'!$A:$C,2,0),0)</f>
        <v>0</v>
      </c>
      <c r="G439" s="1623"/>
      <c r="H439" s="1623">
        <f t="shared" si="12"/>
        <v>0</v>
      </c>
      <c r="I439" s="1623">
        <f>+IFERROR(VLOOKUP($B439,'TB 260524'!$A:$C,3,0),0)</f>
        <v>0</v>
      </c>
      <c r="J439" s="1623"/>
      <c r="K439" s="1623">
        <f t="shared" si="13"/>
        <v>0</v>
      </c>
      <c r="L439" s="1623">
        <v>0</v>
      </c>
      <c r="M439" s="1623">
        <v>0</v>
      </c>
      <c r="N439" s="1623">
        <v>0</v>
      </c>
      <c r="O439" s="1623">
        <v>0</v>
      </c>
      <c r="P439" s="1623">
        <v>0</v>
      </c>
      <c r="Q439" s="1623">
        <v>0</v>
      </c>
    </row>
    <row r="440" spans="2:17">
      <c r="B440" s="856" t="s">
        <v>37</v>
      </c>
      <c r="C440" s="856">
        <v>9</v>
      </c>
      <c r="D440" s="856" t="s">
        <v>35</v>
      </c>
      <c r="E440" s="856" t="s">
        <v>36</v>
      </c>
      <c r="F440" s="1623">
        <f>+IFERROR(VLOOKUP($B440,'TB 260524'!$A:$C,2,0),0)</f>
        <v>0</v>
      </c>
      <c r="G440" s="1623"/>
      <c r="H440" s="1623">
        <f t="shared" si="12"/>
        <v>0</v>
      </c>
      <c r="I440" s="1623">
        <f>+IFERROR(VLOOKUP($B440,'TB 260524'!$A:$C,3,0),0)</f>
        <v>0</v>
      </c>
      <c r="J440" s="1623"/>
      <c r="K440" s="1623">
        <f t="shared" si="13"/>
        <v>0</v>
      </c>
      <c r="L440" s="1623">
        <v>0</v>
      </c>
      <c r="M440" s="1623">
        <v>0</v>
      </c>
      <c r="N440" s="1623">
        <v>0</v>
      </c>
      <c r="O440" s="1623">
        <v>0</v>
      </c>
      <c r="P440" s="1623">
        <v>0</v>
      </c>
      <c r="Q440" s="1623">
        <v>0</v>
      </c>
    </row>
    <row r="441" spans="2:17">
      <c r="B441" s="856" t="s">
        <v>39</v>
      </c>
      <c r="C441" s="856">
        <v>17</v>
      </c>
      <c r="D441" s="856" t="s">
        <v>8</v>
      </c>
      <c r="E441" s="856" t="s">
        <v>8</v>
      </c>
      <c r="F441" s="1623">
        <f>+IFERROR(VLOOKUP($B441,'TB 260524'!$A:$C,2,0),0)</f>
        <v>0</v>
      </c>
      <c r="G441" s="1623"/>
      <c r="H441" s="1623">
        <f t="shared" si="12"/>
        <v>0</v>
      </c>
      <c r="I441" s="1623">
        <f>+IFERROR(VLOOKUP($B441,'TB 260524'!$A:$C,3,0),0)</f>
        <v>0</v>
      </c>
      <c r="J441" s="1623"/>
      <c r="K441" s="1623">
        <f t="shared" si="13"/>
        <v>0</v>
      </c>
      <c r="L441" s="1623">
        <v>0</v>
      </c>
      <c r="M441" s="1623">
        <v>0</v>
      </c>
      <c r="N441" s="1623">
        <v>0</v>
      </c>
      <c r="O441" s="1623">
        <v>1093393</v>
      </c>
      <c r="P441" s="1623">
        <v>-19373.903244000161</v>
      </c>
      <c r="Q441" s="1623">
        <v>1074019.0967559998</v>
      </c>
    </row>
    <row r="442" spans="2:17">
      <c r="B442" s="856" t="s">
        <v>40</v>
      </c>
      <c r="C442" s="856">
        <v>17</v>
      </c>
      <c r="D442" s="856" t="s">
        <v>8</v>
      </c>
      <c r="E442" s="856" t="s">
        <v>8</v>
      </c>
      <c r="F442" s="1623">
        <f>+IFERROR(VLOOKUP($B442,'TB 260524'!$A:$C,2,0),0)</f>
        <v>0</v>
      </c>
      <c r="G442" s="1623"/>
      <c r="H442" s="1623">
        <f t="shared" si="12"/>
        <v>0</v>
      </c>
      <c r="I442" s="1623">
        <f>+IFERROR(VLOOKUP($B442,'TB 260524'!$A:$C,3,0),0)</f>
        <v>0</v>
      </c>
      <c r="J442" s="1623"/>
      <c r="K442" s="1623">
        <f t="shared" si="13"/>
        <v>0</v>
      </c>
      <c r="L442" s="1623">
        <v>0</v>
      </c>
      <c r="M442" s="1623">
        <v>0</v>
      </c>
      <c r="N442" s="1623">
        <v>0</v>
      </c>
      <c r="O442" s="1623">
        <v>3880855</v>
      </c>
      <c r="P442" s="1623">
        <v>-68765.660375000443</v>
      </c>
      <c r="Q442" s="1623">
        <v>3812089.3396249996</v>
      </c>
    </row>
    <row r="443" spans="2:17">
      <c r="B443" s="856" t="s">
        <v>41</v>
      </c>
      <c r="C443" s="856">
        <v>17</v>
      </c>
      <c r="D443" s="856" t="s">
        <v>8</v>
      </c>
      <c r="E443" s="856" t="s">
        <v>8</v>
      </c>
      <c r="F443" s="1623">
        <f>+IFERROR(VLOOKUP($B443,'TB 260524'!$A:$C,2,0),0)</f>
        <v>0</v>
      </c>
      <c r="G443" s="1623"/>
      <c r="H443" s="1623">
        <f t="shared" si="12"/>
        <v>0</v>
      </c>
      <c r="I443" s="1623">
        <f>+IFERROR(VLOOKUP($B443,'TB 260524'!$A:$C,3,0),0)</f>
        <v>0</v>
      </c>
      <c r="J443" s="1623"/>
      <c r="K443" s="1623">
        <f t="shared" si="13"/>
        <v>0</v>
      </c>
      <c r="L443" s="1623">
        <v>0</v>
      </c>
      <c r="M443" s="1623">
        <v>0</v>
      </c>
      <c r="N443" s="1623">
        <v>0</v>
      </c>
      <c r="O443" s="1623">
        <v>0</v>
      </c>
      <c r="P443" s="1623">
        <v>0</v>
      </c>
      <c r="Q443" s="1623">
        <v>0</v>
      </c>
    </row>
    <row r="444" spans="2:17">
      <c r="B444" s="856" t="s">
        <v>2615</v>
      </c>
      <c r="C444" s="856">
        <v>17</v>
      </c>
      <c r="D444" s="856" t="s">
        <v>8</v>
      </c>
      <c r="E444" s="856" t="s">
        <v>8</v>
      </c>
      <c r="F444" s="1623">
        <f>+IFERROR(VLOOKUP($B444,'TB 260524'!$A:$C,2,0),0)</f>
        <v>0</v>
      </c>
      <c r="G444" s="1623"/>
      <c r="H444" s="1623">
        <f t="shared" si="12"/>
        <v>0</v>
      </c>
      <c r="I444" s="1623">
        <f>+IFERROR(VLOOKUP($B444,'TB 260524'!$A:$C,3,0),0)</f>
        <v>0</v>
      </c>
      <c r="J444" s="1623"/>
      <c r="K444" s="1623">
        <f t="shared" si="13"/>
        <v>0</v>
      </c>
      <c r="L444" s="1623">
        <v>0</v>
      </c>
      <c r="M444" s="1623">
        <v>0</v>
      </c>
      <c r="N444" s="1623">
        <v>0</v>
      </c>
      <c r="O444" s="1623">
        <v>533042</v>
      </c>
      <c r="P444" s="1623">
        <v>0</v>
      </c>
      <c r="Q444" s="1623">
        <v>533042</v>
      </c>
    </row>
    <row r="445" spans="2:17">
      <c r="B445" s="856" t="s">
        <v>2616</v>
      </c>
      <c r="C445" s="856">
        <v>17</v>
      </c>
      <c r="D445" s="856" t="s">
        <v>8</v>
      </c>
      <c r="E445" s="856" t="s">
        <v>8</v>
      </c>
      <c r="F445" s="1623">
        <f>+IFERROR(VLOOKUP($B445,'TB 260524'!$A:$C,2,0),0)</f>
        <v>0</v>
      </c>
      <c r="G445" s="1623"/>
      <c r="H445" s="1623">
        <f t="shared" si="12"/>
        <v>0</v>
      </c>
      <c r="I445" s="1623">
        <f>+IFERROR(VLOOKUP($B445,'TB 260524'!$A:$C,3,0),0)</f>
        <v>0</v>
      </c>
      <c r="J445" s="1623"/>
      <c r="K445" s="1623">
        <f t="shared" si="13"/>
        <v>0</v>
      </c>
      <c r="L445" s="1623">
        <v>0</v>
      </c>
      <c r="M445" s="1623">
        <v>0</v>
      </c>
      <c r="N445" s="1623">
        <v>0</v>
      </c>
      <c r="O445" s="1623">
        <v>996630</v>
      </c>
      <c r="P445" s="1623">
        <v>0</v>
      </c>
      <c r="Q445" s="1623">
        <v>996630</v>
      </c>
    </row>
    <row r="446" spans="2:17">
      <c r="B446" s="856" t="s">
        <v>43</v>
      </c>
      <c r="C446" s="856">
        <v>17</v>
      </c>
      <c r="D446" s="856" t="s">
        <v>8</v>
      </c>
      <c r="E446" s="856" t="s">
        <v>9</v>
      </c>
      <c r="F446" s="1623">
        <f>+IFERROR(VLOOKUP($B446,'TB 260524'!$A:$C,2,0),0)</f>
        <v>0</v>
      </c>
      <c r="G446" s="1623"/>
      <c r="H446" s="1623">
        <f t="shared" si="12"/>
        <v>0</v>
      </c>
      <c r="I446" s="1623">
        <f>+IFERROR(VLOOKUP($B446,'TB 260524'!$A:$C,3,0),0)</f>
        <v>0</v>
      </c>
      <c r="J446" s="1623"/>
      <c r="K446" s="1623">
        <f t="shared" si="13"/>
        <v>0</v>
      </c>
      <c r="L446" s="1623">
        <v>0</v>
      </c>
      <c r="M446" s="1623">
        <v>0</v>
      </c>
      <c r="N446" s="1623">
        <v>0</v>
      </c>
      <c r="O446" s="1623">
        <v>0</v>
      </c>
      <c r="P446" s="1623">
        <v>0</v>
      </c>
      <c r="Q446" s="1623">
        <v>0</v>
      </c>
    </row>
    <row r="447" spans="2:17">
      <c r="B447" s="856" t="s">
        <v>46</v>
      </c>
      <c r="C447" s="856">
        <v>13</v>
      </c>
      <c r="D447" s="856" t="s">
        <v>44</v>
      </c>
      <c r="E447" s="856" t="s">
        <v>45</v>
      </c>
      <c r="F447" s="1623">
        <f>+IFERROR(VLOOKUP($B447,'TB 260524'!$A:$C,2,0),0)</f>
        <v>0</v>
      </c>
      <c r="G447" s="1623"/>
      <c r="H447" s="1623">
        <f t="shared" si="12"/>
        <v>0</v>
      </c>
      <c r="I447" s="1623">
        <f>+IFERROR(VLOOKUP($B447,'TB 260524'!$A:$C,3,0),0)</f>
        <v>0</v>
      </c>
      <c r="J447" s="1623"/>
      <c r="K447" s="1623">
        <f t="shared" si="13"/>
        <v>0</v>
      </c>
      <c r="L447" s="1623">
        <v>0</v>
      </c>
      <c r="M447" s="1623">
        <v>0</v>
      </c>
      <c r="N447" s="1623">
        <v>0</v>
      </c>
      <c r="O447" s="1623">
        <v>1085610</v>
      </c>
      <c r="P447" s="1623">
        <v>0</v>
      </c>
      <c r="Q447" s="1623">
        <v>1085610</v>
      </c>
    </row>
    <row r="448" spans="2:17">
      <c r="B448" s="856" t="s">
        <v>53</v>
      </c>
      <c r="C448" s="856">
        <v>27</v>
      </c>
      <c r="D448" s="856" t="s">
        <v>48</v>
      </c>
      <c r="E448" s="856" t="s">
        <v>52</v>
      </c>
      <c r="F448" s="1623">
        <f>+IFERROR(VLOOKUP($B448,'TB 260524'!$A:$C,2,0),0)</f>
        <v>0</v>
      </c>
      <c r="G448" s="1623"/>
      <c r="H448" s="1623">
        <f t="shared" si="12"/>
        <v>0</v>
      </c>
      <c r="I448" s="1623">
        <f>+IFERROR(VLOOKUP($B448,'TB 260524'!$A:$C,3,0),0)</f>
        <v>0</v>
      </c>
      <c r="J448" s="1623"/>
      <c r="K448" s="1623">
        <f t="shared" si="13"/>
        <v>0</v>
      </c>
      <c r="L448" s="1623">
        <v>0</v>
      </c>
      <c r="M448" s="1623">
        <v>0</v>
      </c>
      <c r="N448" s="1623">
        <v>0</v>
      </c>
      <c r="O448" s="1623">
        <v>0</v>
      </c>
      <c r="P448" s="1623">
        <v>0</v>
      </c>
      <c r="Q448" s="1623">
        <v>0</v>
      </c>
    </row>
    <row r="449" spans="2:17">
      <c r="B449" s="856" t="s">
        <v>2254</v>
      </c>
      <c r="C449" s="856">
        <v>17</v>
      </c>
      <c r="D449" s="856" t="s">
        <v>8</v>
      </c>
      <c r="E449" s="856" t="s">
        <v>9</v>
      </c>
      <c r="F449" s="1623">
        <f>+IFERROR(VLOOKUP($B449,'TB 260524'!$A:$C,2,0),0)</f>
        <v>0</v>
      </c>
      <c r="G449" s="1623"/>
      <c r="H449" s="1623">
        <f t="shared" si="12"/>
        <v>0</v>
      </c>
      <c r="I449" s="1623">
        <f>+IFERROR(VLOOKUP($B449,'TB 260524'!$A:$C,3,0),0)</f>
        <v>0</v>
      </c>
      <c r="J449" s="1623"/>
      <c r="K449" s="1623">
        <f t="shared" si="13"/>
        <v>0</v>
      </c>
      <c r="L449" s="1623">
        <v>0</v>
      </c>
      <c r="M449" s="1623">
        <v>0</v>
      </c>
      <c r="N449" s="1623">
        <v>0</v>
      </c>
      <c r="O449" s="1623">
        <v>0</v>
      </c>
      <c r="P449" s="1623">
        <v>0</v>
      </c>
      <c r="Q449" s="1623">
        <v>0</v>
      </c>
    </row>
    <row r="450" spans="2:17">
      <c r="B450" s="856" t="s">
        <v>63</v>
      </c>
      <c r="C450" s="856">
        <v>27</v>
      </c>
      <c r="D450" s="856" t="s">
        <v>48</v>
      </c>
      <c r="E450" s="856" t="s">
        <v>64</v>
      </c>
      <c r="F450" s="1623">
        <f>+IFERROR(VLOOKUP($B450,'TB 260524'!$A:$C,2,0),0)</f>
        <v>0</v>
      </c>
      <c r="G450" s="1623"/>
      <c r="H450" s="1623">
        <f t="shared" si="12"/>
        <v>0</v>
      </c>
      <c r="I450" s="1623">
        <f>+IFERROR(VLOOKUP($B450,'TB 260524'!$A:$C,3,0),0)</f>
        <v>0</v>
      </c>
      <c r="J450" s="1623"/>
      <c r="K450" s="1623">
        <f t="shared" si="13"/>
        <v>0</v>
      </c>
      <c r="L450" s="1623">
        <v>0</v>
      </c>
      <c r="M450" s="1623">
        <v>0</v>
      </c>
      <c r="N450" s="1623">
        <v>0</v>
      </c>
      <c r="O450" s="1623">
        <v>0</v>
      </c>
      <c r="P450" s="1623">
        <v>0</v>
      </c>
      <c r="Q450" s="1623">
        <v>0</v>
      </c>
    </row>
    <row r="451" spans="2:17">
      <c r="B451" s="856" t="s">
        <v>65</v>
      </c>
      <c r="C451" s="856">
        <v>27</v>
      </c>
      <c r="D451" s="856" t="s">
        <v>48</v>
      </c>
      <c r="E451" s="856" t="s">
        <v>62</v>
      </c>
      <c r="F451" s="1623">
        <f>+IFERROR(VLOOKUP($B451,'TB 260524'!$A:$C,2,0),0)</f>
        <v>0</v>
      </c>
      <c r="G451" s="1623"/>
      <c r="H451" s="1623">
        <f t="shared" si="12"/>
        <v>0</v>
      </c>
      <c r="I451" s="1623">
        <f>+IFERROR(VLOOKUP($B451,'TB 260524'!$A:$C,3,0),0)</f>
        <v>0</v>
      </c>
      <c r="J451" s="1623"/>
      <c r="K451" s="1623">
        <f t="shared" si="13"/>
        <v>0</v>
      </c>
      <c r="L451" s="1623">
        <v>0</v>
      </c>
      <c r="M451" s="1623">
        <v>0</v>
      </c>
      <c r="N451" s="1623">
        <v>0</v>
      </c>
      <c r="O451" s="1623">
        <v>0</v>
      </c>
      <c r="P451" s="1623">
        <v>0</v>
      </c>
      <c r="Q451" s="1623">
        <v>0</v>
      </c>
    </row>
    <row r="452" spans="2:17">
      <c r="B452" s="856" t="s">
        <v>71</v>
      </c>
      <c r="C452" s="856">
        <v>9</v>
      </c>
      <c r="D452" s="856" t="s">
        <v>35</v>
      </c>
      <c r="E452" s="856" t="s">
        <v>36</v>
      </c>
      <c r="F452" s="1623">
        <f>+IFERROR(VLOOKUP($B452,'TB 260524'!$A:$C,2,0),0)</f>
        <v>0</v>
      </c>
      <c r="G452" s="1623"/>
      <c r="H452" s="1623">
        <f t="shared" si="12"/>
        <v>0</v>
      </c>
      <c r="I452" s="1623">
        <f>+IFERROR(VLOOKUP($B452,'TB 260524'!$A:$C,3,0),0)</f>
        <v>0</v>
      </c>
      <c r="J452" s="1623"/>
      <c r="K452" s="1623">
        <f t="shared" si="13"/>
        <v>0</v>
      </c>
      <c r="L452" s="1623">
        <v>17500</v>
      </c>
      <c r="M452" s="1623">
        <v>0</v>
      </c>
      <c r="N452" s="1623">
        <v>17500</v>
      </c>
      <c r="O452" s="1623">
        <v>0</v>
      </c>
      <c r="P452" s="1623">
        <v>0</v>
      </c>
      <c r="Q452" s="1623">
        <v>0</v>
      </c>
    </row>
    <row r="453" spans="2:17">
      <c r="B453" s="856" t="s">
        <v>91</v>
      </c>
      <c r="C453" s="856">
        <v>18</v>
      </c>
      <c r="D453" s="856" t="s">
        <v>214</v>
      </c>
      <c r="E453" s="856" t="s">
        <v>90</v>
      </c>
      <c r="F453" s="1623">
        <f>+IFERROR(VLOOKUP($B453,'TB 260524'!$A:$C,2,0),0)</f>
        <v>0</v>
      </c>
      <c r="G453" s="1623"/>
      <c r="H453" s="1623">
        <f t="shared" si="12"/>
        <v>0</v>
      </c>
      <c r="I453" s="1623">
        <f>+IFERROR(VLOOKUP($B453,'TB 260524'!$A:$C,3,0),0)</f>
        <v>0</v>
      </c>
      <c r="J453" s="1623"/>
      <c r="K453" s="1623">
        <f t="shared" si="13"/>
        <v>0</v>
      </c>
      <c r="L453" s="1623">
        <v>0</v>
      </c>
      <c r="M453" s="1623">
        <v>0</v>
      </c>
      <c r="N453" s="1623">
        <v>0</v>
      </c>
      <c r="O453" s="1623">
        <v>0</v>
      </c>
      <c r="P453" s="1623">
        <v>0</v>
      </c>
      <c r="Q453" s="1623">
        <v>0</v>
      </c>
    </row>
    <row r="454" spans="2:17">
      <c r="B454" s="856" t="s">
        <v>92</v>
      </c>
      <c r="C454" s="856">
        <v>18</v>
      </c>
      <c r="D454" s="856" t="s">
        <v>214</v>
      </c>
      <c r="E454" s="856" t="s">
        <v>90</v>
      </c>
      <c r="F454" s="1623">
        <f>+IFERROR(VLOOKUP($B454,'TB 260524'!$A:$C,2,0),0)</f>
        <v>0</v>
      </c>
      <c r="G454" s="1623"/>
      <c r="H454" s="1623">
        <f t="shared" si="12"/>
        <v>0</v>
      </c>
      <c r="I454" s="1623">
        <f>+IFERROR(VLOOKUP($B454,'TB 260524'!$A:$C,3,0),0)</f>
        <v>0</v>
      </c>
      <c r="J454" s="1623"/>
      <c r="K454" s="1623">
        <f t="shared" si="13"/>
        <v>0</v>
      </c>
      <c r="L454" s="1623">
        <v>0</v>
      </c>
      <c r="M454" s="1623">
        <v>0</v>
      </c>
      <c r="N454" s="1623">
        <v>0</v>
      </c>
      <c r="O454" s="1623">
        <v>0</v>
      </c>
      <c r="P454" s="1623">
        <v>0</v>
      </c>
      <c r="Q454" s="1623">
        <v>0</v>
      </c>
    </row>
    <row r="455" spans="2:17">
      <c r="B455" s="856" t="s">
        <v>94</v>
      </c>
      <c r="C455" s="856">
        <v>6</v>
      </c>
      <c r="D455" s="856" t="s">
        <v>13</v>
      </c>
      <c r="E455" s="856" t="s">
        <v>14</v>
      </c>
      <c r="F455" s="1623">
        <f>+IFERROR(VLOOKUP($B455,'TB 260524'!$A:$C,2,0),0)</f>
        <v>0</v>
      </c>
      <c r="G455" s="1623"/>
      <c r="H455" s="1623">
        <f t="shared" ref="H455:H518" si="14">+F455+G455</f>
        <v>0</v>
      </c>
      <c r="I455" s="1623">
        <f>+IFERROR(VLOOKUP($B455,'TB 260524'!$A:$C,3,0),0)</f>
        <v>0</v>
      </c>
      <c r="J455" s="1623"/>
      <c r="K455" s="1623">
        <f t="shared" ref="K455:K518" si="15">+I455+J455</f>
        <v>0</v>
      </c>
      <c r="L455" s="1623">
        <v>305863</v>
      </c>
      <c r="M455" s="1623">
        <v>0</v>
      </c>
      <c r="N455" s="1623">
        <v>305863</v>
      </c>
      <c r="O455" s="1623">
        <v>0</v>
      </c>
      <c r="P455" s="1623">
        <v>0</v>
      </c>
      <c r="Q455" s="1623">
        <v>0</v>
      </c>
    </row>
    <row r="456" spans="2:17">
      <c r="B456" s="856" t="s">
        <v>2610</v>
      </c>
      <c r="C456" s="856">
        <v>23</v>
      </c>
      <c r="D456" s="856" t="s">
        <v>96</v>
      </c>
      <c r="E456" s="856" t="s">
        <v>97</v>
      </c>
      <c r="F456" s="1623">
        <f>+IFERROR(VLOOKUP($B456,'TB 260524'!$A:$C,2,0),0)</f>
        <v>0</v>
      </c>
      <c r="G456" s="1623"/>
      <c r="H456" s="1623">
        <f t="shared" si="14"/>
        <v>0</v>
      </c>
      <c r="I456" s="1623">
        <f>+IFERROR(VLOOKUP($B456,'TB 260524'!$A:$C,3,0),0)</f>
        <v>0</v>
      </c>
      <c r="J456" s="1623"/>
      <c r="K456" s="1623">
        <f t="shared" si="15"/>
        <v>0</v>
      </c>
      <c r="L456" s="1623">
        <v>2760009</v>
      </c>
      <c r="M456" s="1623">
        <v>0</v>
      </c>
      <c r="N456" s="1623">
        <v>2760009</v>
      </c>
      <c r="O456" s="1623">
        <v>0</v>
      </c>
      <c r="P456" s="1623">
        <v>0</v>
      </c>
      <c r="Q456" s="1623">
        <v>0</v>
      </c>
    </row>
    <row r="457" spans="2:17">
      <c r="B457" s="856" t="s">
        <v>98</v>
      </c>
      <c r="C457" s="856">
        <v>17</v>
      </c>
      <c r="D457" s="856" t="s">
        <v>8</v>
      </c>
      <c r="E457" s="856" t="s">
        <v>8</v>
      </c>
      <c r="F457" s="1623">
        <f>+IFERROR(VLOOKUP($B457,'TB 260524'!$A:$C,2,0),0)</f>
        <v>0</v>
      </c>
      <c r="G457" s="1623"/>
      <c r="H457" s="1623">
        <f t="shared" si="14"/>
        <v>0</v>
      </c>
      <c r="I457" s="1623">
        <f>+IFERROR(VLOOKUP($B457,'TB 260524'!$A:$C,3,0),0)</f>
        <v>0</v>
      </c>
      <c r="J457" s="1623"/>
      <c r="K457" s="1623">
        <f t="shared" si="15"/>
        <v>0</v>
      </c>
      <c r="L457" s="1623">
        <v>0</v>
      </c>
      <c r="M457" s="1623">
        <v>0</v>
      </c>
      <c r="N457" s="1623">
        <v>0</v>
      </c>
      <c r="O457" s="1623">
        <v>0</v>
      </c>
      <c r="P457" s="1623">
        <v>0</v>
      </c>
      <c r="Q457" s="1623">
        <v>0</v>
      </c>
    </row>
    <row r="458" spans="2:17">
      <c r="B458" s="856" t="s">
        <v>109</v>
      </c>
      <c r="C458" s="856">
        <v>27</v>
      </c>
      <c r="D458" s="856" t="s">
        <v>48</v>
      </c>
      <c r="E458" s="856" t="s">
        <v>108</v>
      </c>
      <c r="F458" s="1623">
        <f>+IFERROR(VLOOKUP($B458,'TB 260524'!$A:$C,2,0),0)</f>
        <v>0</v>
      </c>
      <c r="G458" s="1623"/>
      <c r="H458" s="1623">
        <f t="shared" si="14"/>
        <v>0</v>
      </c>
      <c r="I458" s="1623">
        <f>+IFERROR(VLOOKUP($B458,'TB 260524'!$A:$C,3,0),0)</f>
        <v>0</v>
      </c>
      <c r="J458" s="1623"/>
      <c r="K458" s="1623">
        <f t="shared" si="15"/>
        <v>0</v>
      </c>
      <c r="L458" s="1623">
        <v>32087</v>
      </c>
      <c r="M458" s="1623">
        <v>0</v>
      </c>
      <c r="N458" s="1623">
        <v>32087</v>
      </c>
      <c r="O458" s="1623">
        <v>0</v>
      </c>
      <c r="P458" s="1623">
        <v>0</v>
      </c>
      <c r="Q458" s="1623">
        <v>0</v>
      </c>
    </row>
    <row r="459" spans="2:17">
      <c r="B459" s="856" t="s">
        <v>110</v>
      </c>
      <c r="C459" s="856">
        <v>6</v>
      </c>
      <c r="D459" s="856" t="s">
        <v>13</v>
      </c>
      <c r="E459" s="856" t="s">
        <v>14</v>
      </c>
      <c r="F459" s="1623">
        <f>+IFERROR(VLOOKUP($B459,'TB 260524'!$A:$C,2,0),0)</f>
        <v>0</v>
      </c>
      <c r="G459" s="1623"/>
      <c r="H459" s="1623">
        <f t="shared" si="14"/>
        <v>0</v>
      </c>
      <c r="I459" s="1623">
        <f>+IFERROR(VLOOKUP($B459,'TB 260524'!$A:$C,3,0),0)</f>
        <v>0</v>
      </c>
      <c r="J459" s="1623"/>
      <c r="K459" s="1623">
        <f t="shared" si="15"/>
        <v>0</v>
      </c>
      <c r="L459" s="1623">
        <v>0</v>
      </c>
      <c r="M459" s="1623">
        <v>0</v>
      </c>
      <c r="N459" s="1623">
        <v>0</v>
      </c>
      <c r="O459" s="1623">
        <v>0</v>
      </c>
      <c r="P459" s="1623">
        <v>0</v>
      </c>
      <c r="Q459" s="1623">
        <v>0</v>
      </c>
    </row>
    <row r="460" spans="2:17">
      <c r="B460" s="856" t="s">
        <v>111</v>
      </c>
      <c r="C460" s="856">
        <v>27</v>
      </c>
      <c r="D460" s="856" t="s">
        <v>48</v>
      </c>
      <c r="E460" s="856" t="s">
        <v>49</v>
      </c>
      <c r="F460" s="1623">
        <f>+IFERROR(VLOOKUP($B460,'TB 260524'!$A:$C,2,0),0)</f>
        <v>0</v>
      </c>
      <c r="G460" s="1623"/>
      <c r="H460" s="1623">
        <f t="shared" si="14"/>
        <v>0</v>
      </c>
      <c r="I460" s="1623">
        <f>+IFERROR(VLOOKUP($B460,'TB 260524'!$A:$C,3,0),0)</f>
        <v>0</v>
      </c>
      <c r="J460" s="1623"/>
      <c r="K460" s="1623">
        <f t="shared" si="15"/>
        <v>0</v>
      </c>
      <c r="L460" s="1623">
        <v>0</v>
      </c>
      <c r="M460" s="1623">
        <v>0</v>
      </c>
      <c r="N460" s="1623">
        <v>0</v>
      </c>
      <c r="O460" s="1623">
        <v>0</v>
      </c>
      <c r="P460" s="1623">
        <v>0</v>
      </c>
      <c r="Q460" s="1623">
        <v>0</v>
      </c>
    </row>
    <row r="461" spans="2:17">
      <c r="B461" s="856" t="s">
        <v>125</v>
      </c>
      <c r="C461" s="856">
        <v>3</v>
      </c>
      <c r="D461" s="856" t="s">
        <v>120</v>
      </c>
      <c r="E461" s="856" t="s">
        <v>121</v>
      </c>
      <c r="F461" s="1623">
        <f>+IFERROR(VLOOKUP($B461,'TB 260524'!$A:$C,2,0),0)</f>
        <v>0</v>
      </c>
      <c r="G461" s="1623"/>
      <c r="H461" s="1623">
        <f t="shared" si="14"/>
        <v>0</v>
      </c>
      <c r="I461" s="1623">
        <f>+IFERROR(VLOOKUP($B461,'TB 260524'!$A:$C,3,0),0)</f>
        <v>0</v>
      </c>
      <c r="J461" s="1623"/>
      <c r="K461" s="1623">
        <f t="shared" si="15"/>
        <v>0</v>
      </c>
      <c r="L461" s="1623">
        <v>150294</v>
      </c>
      <c r="M461" s="1623">
        <v>0</v>
      </c>
      <c r="N461" s="1623">
        <v>150294</v>
      </c>
      <c r="O461" s="1623">
        <v>0</v>
      </c>
      <c r="P461" s="1623">
        <v>0</v>
      </c>
      <c r="Q461" s="1623">
        <v>0</v>
      </c>
    </row>
    <row r="462" spans="2:17">
      <c r="B462" s="856" t="s">
        <v>136</v>
      </c>
      <c r="C462" s="856">
        <v>9</v>
      </c>
      <c r="D462" s="856" t="s">
        <v>35</v>
      </c>
      <c r="E462" s="856" t="s">
        <v>36</v>
      </c>
      <c r="F462" s="1623">
        <f>+IFERROR(VLOOKUP($B462,'TB 260524'!$A:$C,2,0),0)</f>
        <v>0</v>
      </c>
      <c r="G462" s="1623"/>
      <c r="H462" s="1623">
        <f t="shared" si="14"/>
        <v>0</v>
      </c>
      <c r="I462" s="1623">
        <f>+IFERROR(VLOOKUP($B462,'TB 260524'!$A:$C,3,0),0)</f>
        <v>0</v>
      </c>
      <c r="J462" s="1623"/>
      <c r="K462" s="1623">
        <f t="shared" si="15"/>
        <v>0</v>
      </c>
      <c r="L462" s="1623">
        <v>23000</v>
      </c>
      <c r="M462" s="1623">
        <v>0</v>
      </c>
      <c r="N462" s="1623">
        <v>23000</v>
      </c>
      <c r="O462" s="1623">
        <v>0</v>
      </c>
      <c r="P462" s="1623">
        <v>0</v>
      </c>
      <c r="Q462" s="1623">
        <v>0</v>
      </c>
    </row>
    <row r="463" spans="2:17">
      <c r="B463" s="856" t="s">
        <v>137</v>
      </c>
      <c r="C463" s="856">
        <v>17</v>
      </c>
      <c r="D463" s="856" t="s">
        <v>8</v>
      </c>
      <c r="E463" s="856" t="s">
        <v>8</v>
      </c>
      <c r="F463" s="1623">
        <f>+IFERROR(VLOOKUP($B463,'TB 260524'!$A:$C,2,0),0)</f>
        <v>0</v>
      </c>
      <c r="G463" s="1623"/>
      <c r="H463" s="1623">
        <f t="shared" si="14"/>
        <v>0</v>
      </c>
      <c r="I463" s="1623">
        <f>+IFERROR(VLOOKUP($B463,'TB 260524'!$A:$C,3,0),0)</f>
        <v>0</v>
      </c>
      <c r="J463" s="1623"/>
      <c r="K463" s="1623">
        <f t="shared" si="15"/>
        <v>0</v>
      </c>
      <c r="L463" s="1623">
        <v>0</v>
      </c>
      <c r="M463" s="1623">
        <v>0</v>
      </c>
      <c r="N463" s="1623">
        <v>0</v>
      </c>
      <c r="O463" s="1623">
        <v>29160</v>
      </c>
      <c r="P463" s="1623">
        <v>0</v>
      </c>
      <c r="Q463" s="1623">
        <v>29160</v>
      </c>
    </row>
    <row r="464" spans="2:17">
      <c r="B464" s="856" t="s">
        <v>149</v>
      </c>
      <c r="C464" s="856">
        <v>4</v>
      </c>
      <c r="D464" s="856" t="s">
        <v>22</v>
      </c>
      <c r="E464" s="856" t="s">
        <v>23</v>
      </c>
      <c r="F464" s="1623">
        <f>+IFERROR(VLOOKUP($B464,'TB 260524'!$A:$C,2,0),0)</f>
        <v>0</v>
      </c>
      <c r="G464" s="1623"/>
      <c r="H464" s="1623">
        <f t="shared" si="14"/>
        <v>0</v>
      </c>
      <c r="I464" s="1623">
        <f>+IFERROR(VLOOKUP($B464,'TB 260524'!$A:$C,3,0),0)</f>
        <v>0</v>
      </c>
      <c r="J464" s="1623"/>
      <c r="K464" s="1623">
        <f t="shared" si="15"/>
        <v>0</v>
      </c>
      <c r="L464" s="1623">
        <v>18000</v>
      </c>
      <c r="M464" s="1623">
        <v>0</v>
      </c>
      <c r="N464" s="1623">
        <v>18000</v>
      </c>
      <c r="O464" s="1623">
        <v>0</v>
      </c>
      <c r="P464" s="1623">
        <v>0</v>
      </c>
      <c r="Q464" s="1623">
        <v>0</v>
      </c>
    </row>
    <row r="465" spans="2:17">
      <c r="B465" s="856" t="s">
        <v>159</v>
      </c>
      <c r="C465" s="856">
        <v>25</v>
      </c>
      <c r="D465" s="856" t="s">
        <v>140</v>
      </c>
      <c r="E465" s="856" t="s">
        <v>141</v>
      </c>
      <c r="F465" s="1623">
        <f>+IFERROR(VLOOKUP($B465,'TB 260524'!$A:$C,2,0),0)</f>
        <v>12943</v>
      </c>
      <c r="G465" s="1623"/>
      <c r="H465" s="1623">
        <f t="shared" si="14"/>
        <v>12943</v>
      </c>
      <c r="I465" s="1623">
        <f>+IFERROR(VLOOKUP($B465,'TB 260524'!$A:$C,3,0),0)</f>
        <v>0</v>
      </c>
      <c r="J465" s="1623"/>
      <c r="K465" s="1623">
        <f t="shared" si="15"/>
        <v>0</v>
      </c>
      <c r="L465" s="1623">
        <v>10975</v>
      </c>
      <c r="M465" s="1623">
        <v>0</v>
      </c>
      <c r="N465" s="1623">
        <v>10975</v>
      </c>
      <c r="O465" s="1623">
        <v>0</v>
      </c>
      <c r="P465" s="1623">
        <v>0</v>
      </c>
      <c r="Q465" s="1623">
        <v>0</v>
      </c>
    </row>
    <row r="466" spans="2:17">
      <c r="B466" s="856" t="s">
        <v>160</v>
      </c>
      <c r="C466" s="856">
        <v>23</v>
      </c>
      <c r="D466" s="856" t="s">
        <v>96</v>
      </c>
      <c r="E466" s="856" t="s">
        <v>97</v>
      </c>
      <c r="F466" s="1623">
        <f>+IFERROR(VLOOKUP($B466,'TB 260524'!$A:$C,2,0),0)</f>
        <v>0</v>
      </c>
      <c r="G466" s="1623"/>
      <c r="H466" s="1623">
        <f t="shared" si="14"/>
        <v>0</v>
      </c>
      <c r="I466" s="1623">
        <f>+IFERROR(VLOOKUP($B466,'TB 260524'!$A:$C,3,0),0)</f>
        <v>0</v>
      </c>
      <c r="J466" s="1623"/>
      <c r="K466" s="1623">
        <f t="shared" si="15"/>
        <v>0</v>
      </c>
      <c r="L466" s="1623">
        <v>0</v>
      </c>
      <c r="M466" s="1623">
        <v>0</v>
      </c>
      <c r="N466" s="1623">
        <v>0</v>
      </c>
      <c r="O466" s="1623">
        <v>0</v>
      </c>
      <c r="P466" s="1623">
        <v>0</v>
      </c>
      <c r="Q466" s="1623">
        <v>0</v>
      </c>
    </row>
    <row r="467" spans="2:17">
      <c r="B467" s="856" t="s">
        <v>161</v>
      </c>
      <c r="C467" s="856">
        <v>27</v>
      </c>
      <c r="D467" s="856" t="s">
        <v>28</v>
      </c>
      <c r="E467" s="856" t="s">
        <v>162</v>
      </c>
      <c r="F467" s="1623">
        <f>+IFERROR(VLOOKUP($B467,'TB 260524'!$A:$C,2,0),0)</f>
        <v>0</v>
      </c>
      <c r="G467" s="1623"/>
      <c r="H467" s="1623">
        <f t="shared" si="14"/>
        <v>0</v>
      </c>
      <c r="I467" s="1623">
        <f>+IFERROR(VLOOKUP($B467,'TB 260524'!$A:$C,3,0),0)</f>
        <v>0</v>
      </c>
      <c r="J467" s="1623"/>
      <c r="K467" s="1623">
        <f t="shared" si="15"/>
        <v>0</v>
      </c>
      <c r="L467" s="1623">
        <v>0</v>
      </c>
      <c r="M467" s="1623">
        <v>0</v>
      </c>
      <c r="N467" s="1623">
        <v>0</v>
      </c>
      <c r="O467" s="1623">
        <v>0</v>
      </c>
      <c r="P467" s="1623">
        <v>0</v>
      </c>
      <c r="Q467" s="1623">
        <v>0</v>
      </c>
    </row>
    <row r="468" spans="2:17">
      <c r="B468" s="856" t="s">
        <v>163</v>
      </c>
      <c r="C468" s="856">
        <v>21</v>
      </c>
      <c r="D468" s="856" t="s">
        <v>143</v>
      </c>
      <c r="E468" s="856" t="s">
        <v>144</v>
      </c>
      <c r="F468" s="1623">
        <f>+IFERROR(VLOOKUP($B468,'TB 260524'!$A:$C,2,0),0)</f>
        <v>0</v>
      </c>
      <c r="G468" s="1623"/>
      <c r="H468" s="1623">
        <f t="shared" si="14"/>
        <v>0</v>
      </c>
      <c r="I468" s="1623">
        <f>+IFERROR(VLOOKUP($B468,'TB 260524'!$A:$C,3,0),0)</f>
        <v>0</v>
      </c>
      <c r="J468" s="1623"/>
      <c r="K468" s="1623">
        <f t="shared" si="15"/>
        <v>0</v>
      </c>
      <c r="L468" s="1623">
        <v>0</v>
      </c>
      <c r="M468" s="1623">
        <v>0</v>
      </c>
      <c r="N468" s="1623">
        <v>0</v>
      </c>
      <c r="O468" s="1623">
        <v>0</v>
      </c>
      <c r="P468" s="1623">
        <v>0</v>
      </c>
      <c r="Q468" s="1623">
        <v>0</v>
      </c>
    </row>
    <row r="469" spans="2:17">
      <c r="B469" s="856" t="s">
        <v>168</v>
      </c>
      <c r="C469" s="856">
        <v>27</v>
      </c>
      <c r="D469" s="856" t="s">
        <v>73</v>
      </c>
      <c r="E469" s="856" t="s">
        <v>74</v>
      </c>
      <c r="F469" s="1623">
        <f>+IFERROR(VLOOKUP($B469,'TB 260524'!$A:$C,2,0),0)</f>
        <v>0</v>
      </c>
      <c r="G469" s="1623"/>
      <c r="H469" s="1623">
        <f t="shared" si="14"/>
        <v>0</v>
      </c>
      <c r="I469" s="1623">
        <f>+IFERROR(VLOOKUP($B469,'TB 260524'!$A:$C,3,0),0)</f>
        <v>0</v>
      </c>
      <c r="J469" s="1623"/>
      <c r="K469" s="1623">
        <f t="shared" si="15"/>
        <v>0</v>
      </c>
      <c r="L469" s="1623">
        <v>30878.05</v>
      </c>
      <c r="M469" s="1623">
        <v>0</v>
      </c>
      <c r="N469" s="1623">
        <v>30878.05</v>
      </c>
      <c r="O469" s="1623">
        <v>0</v>
      </c>
      <c r="P469" s="1623">
        <v>0</v>
      </c>
      <c r="Q469" s="1623">
        <v>0</v>
      </c>
    </row>
    <row r="470" spans="2:17">
      <c r="B470" s="856" t="s">
        <v>174</v>
      </c>
      <c r="C470" s="856">
        <v>23</v>
      </c>
      <c r="D470" s="856" t="s">
        <v>96</v>
      </c>
      <c r="E470" s="856" t="s">
        <v>97</v>
      </c>
      <c r="F470" s="1623">
        <f>+IFERROR(VLOOKUP($B470,'TB 260524'!$A:$C,2,0),0)</f>
        <v>0</v>
      </c>
      <c r="G470" s="1623"/>
      <c r="H470" s="1623">
        <f t="shared" si="14"/>
        <v>0</v>
      </c>
      <c r="I470" s="1623">
        <f>+IFERROR(VLOOKUP($B470,'TB 260524'!$A:$C,3,0),0)</f>
        <v>0</v>
      </c>
      <c r="J470" s="1623"/>
      <c r="K470" s="1623">
        <f t="shared" si="15"/>
        <v>0</v>
      </c>
      <c r="L470" s="1623">
        <v>0</v>
      </c>
      <c r="M470" s="1623">
        <v>0</v>
      </c>
      <c r="N470" s="1623">
        <v>0</v>
      </c>
      <c r="O470" s="1623">
        <v>0</v>
      </c>
      <c r="P470" s="1623">
        <v>0</v>
      </c>
      <c r="Q470" s="1623">
        <v>0</v>
      </c>
    </row>
    <row r="471" spans="2:17">
      <c r="B471" s="856" t="s">
        <v>181</v>
      </c>
      <c r="C471" s="856">
        <v>17</v>
      </c>
      <c r="D471" s="856" t="s">
        <v>8</v>
      </c>
      <c r="E471" s="856" t="s">
        <v>9</v>
      </c>
      <c r="F471" s="1623">
        <f>+IFERROR(VLOOKUP($B471,'TB 260524'!$A:$C,2,0),0)</f>
        <v>0</v>
      </c>
      <c r="G471" s="1623"/>
      <c r="H471" s="1623">
        <f t="shared" si="14"/>
        <v>0</v>
      </c>
      <c r="I471" s="1623">
        <f>+IFERROR(VLOOKUP($B471,'TB 260524'!$A:$C,3,0),0)</f>
        <v>0</v>
      </c>
      <c r="J471" s="1623"/>
      <c r="K471" s="1623">
        <f t="shared" si="15"/>
        <v>0</v>
      </c>
      <c r="L471" s="1623">
        <v>0</v>
      </c>
      <c r="M471" s="1623">
        <v>0</v>
      </c>
      <c r="N471" s="1623">
        <v>0</v>
      </c>
      <c r="O471" s="1623">
        <v>74340</v>
      </c>
      <c r="P471" s="1623">
        <v>0</v>
      </c>
      <c r="Q471" s="1623">
        <v>74340</v>
      </c>
    </row>
    <row r="472" spans="2:17">
      <c r="B472" s="856" t="s">
        <v>2249</v>
      </c>
      <c r="C472" s="856">
        <v>27</v>
      </c>
      <c r="D472" s="856" t="s">
        <v>48</v>
      </c>
      <c r="E472" s="856" t="s">
        <v>104</v>
      </c>
      <c r="F472" s="1623">
        <f>+IFERROR(VLOOKUP($B472,'TB 260524'!$A:$C,2,0),0)</f>
        <v>0</v>
      </c>
      <c r="G472" s="1623"/>
      <c r="H472" s="1623">
        <f t="shared" si="14"/>
        <v>0</v>
      </c>
      <c r="I472" s="1623">
        <f>+IFERROR(VLOOKUP($B472,'TB 260524'!$A:$C,3,0),0)</f>
        <v>0</v>
      </c>
      <c r="J472" s="1623"/>
      <c r="K472" s="1623">
        <f t="shared" si="15"/>
        <v>0</v>
      </c>
      <c r="L472" s="1623">
        <v>30000</v>
      </c>
      <c r="M472" s="1623">
        <v>0</v>
      </c>
      <c r="N472" s="1623">
        <v>30000</v>
      </c>
      <c r="O472" s="1623">
        <v>0</v>
      </c>
      <c r="P472" s="1623">
        <v>0</v>
      </c>
      <c r="Q472" s="1623">
        <v>0</v>
      </c>
    </row>
    <row r="473" spans="2:17">
      <c r="B473" s="856" t="s">
        <v>182</v>
      </c>
      <c r="C473" s="856">
        <v>27</v>
      </c>
      <c r="D473" s="856" t="s">
        <v>48</v>
      </c>
      <c r="E473" s="856" t="s">
        <v>104</v>
      </c>
      <c r="F473" s="1623">
        <f>+IFERROR(VLOOKUP($B473,'TB 260524'!$A:$C,2,0),0)</f>
        <v>0</v>
      </c>
      <c r="G473" s="1623"/>
      <c r="H473" s="1623">
        <f t="shared" si="14"/>
        <v>0</v>
      </c>
      <c r="I473" s="1623">
        <f>+IFERROR(VLOOKUP($B473,'TB 260524'!$A:$C,3,0),0)</f>
        <v>0</v>
      </c>
      <c r="J473" s="1623"/>
      <c r="K473" s="1623">
        <f t="shared" si="15"/>
        <v>0</v>
      </c>
      <c r="L473" s="1623">
        <v>0</v>
      </c>
      <c r="M473" s="1623">
        <v>0</v>
      </c>
      <c r="N473" s="1623">
        <v>0</v>
      </c>
      <c r="O473" s="1623">
        <v>0</v>
      </c>
      <c r="P473" s="1623">
        <v>0</v>
      </c>
      <c r="Q473" s="1623">
        <v>0</v>
      </c>
    </row>
    <row r="474" spans="2:17">
      <c r="B474" s="856" t="s">
        <v>183</v>
      </c>
      <c r="C474" s="856">
        <v>17</v>
      </c>
      <c r="D474" s="856" t="s">
        <v>8</v>
      </c>
      <c r="E474" s="856" t="s">
        <v>9</v>
      </c>
      <c r="F474" s="1623">
        <f>+IFERROR(VLOOKUP($B474,'TB 260524'!$A:$C,2,0),0)</f>
        <v>0</v>
      </c>
      <c r="G474" s="1623"/>
      <c r="H474" s="1623">
        <f t="shared" si="14"/>
        <v>0</v>
      </c>
      <c r="I474" s="1623">
        <f>+IFERROR(VLOOKUP($B474,'TB 260524'!$A:$C,3,0),0)</f>
        <v>0</v>
      </c>
      <c r="J474" s="1623"/>
      <c r="K474" s="1623">
        <f t="shared" si="15"/>
        <v>0</v>
      </c>
      <c r="L474" s="1623">
        <v>0</v>
      </c>
      <c r="M474" s="1623">
        <v>0</v>
      </c>
      <c r="N474" s="1623">
        <v>0</v>
      </c>
      <c r="O474" s="1623">
        <v>0</v>
      </c>
      <c r="P474" s="1623">
        <v>0</v>
      </c>
      <c r="Q474" s="1623">
        <v>0</v>
      </c>
    </row>
    <row r="475" spans="2:17">
      <c r="B475" s="856" t="s">
        <v>2611</v>
      </c>
      <c r="C475" s="856">
        <v>17</v>
      </c>
      <c r="D475" s="856" t="s">
        <v>8</v>
      </c>
      <c r="E475" s="856" t="s">
        <v>9</v>
      </c>
      <c r="F475" s="1623">
        <f>+IFERROR(VLOOKUP($B475,'TB 260524'!$A:$C,2,0),0)</f>
        <v>0</v>
      </c>
      <c r="G475" s="1623"/>
      <c r="H475" s="1623">
        <f t="shared" si="14"/>
        <v>0</v>
      </c>
      <c r="I475" s="1623">
        <f>+IFERROR(VLOOKUP($B475,'TB 260524'!$A:$C,3,0),0)</f>
        <v>0</v>
      </c>
      <c r="J475" s="1623"/>
      <c r="K475" s="1623">
        <f t="shared" si="15"/>
        <v>0</v>
      </c>
      <c r="L475" s="1623">
        <v>0</v>
      </c>
      <c r="M475" s="1623">
        <v>0</v>
      </c>
      <c r="N475" s="1623">
        <v>0</v>
      </c>
      <c r="O475" s="1623">
        <v>27000</v>
      </c>
      <c r="P475" s="1623">
        <v>0</v>
      </c>
      <c r="Q475" s="1623">
        <v>27000</v>
      </c>
    </row>
    <row r="476" spans="2:17">
      <c r="B476" s="856" t="s">
        <v>185</v>
      </c>
      <c r="C476" s="856">
        <v>17</v>
      </c>
      <c r="D476" s="856" t="s">
        <v>8</v>
      </c>
      <c r="E476" s="856" t="s">
        <v>9</v>
      </c>
      <c r="F476" s="1623">
        <f>+IFERROR(VLOOKUP($B476,'TB 260524'!$A:$C,2,0),0)</f>
        <v>0</v>
      </c>
      <c r="G476" s="1623"/>
      <c r="H476" s="1623">
        <f t="shared" si="14"/>
        <v>0</v>
      </c>
      <c r="I476" s="1623">
        <f>+IFERROR(VLOOKUP($B476,'TB 260524'!$A:$C,3,0),0)</f>
        <v>0</v>
      </c>
      <c r="J476" s="1623"/>
      <c r="K476" s="1623">
        <f t="shared" si="15"/>
        <v>0</v>
      </c>
      <c r="L476" s="1623">
        <v>0</v>
      </c>
      <c r="M476" s="1623">
        <v>0</v>
      </c>
      <c r="N476" s="1623">
        <v>0</v>
      </c>
      <c r="O476" s="1623">
        <v>75205</v>
      </c>
      <c r="P476" s="1623">
        <v>0</v>
      </c>
      <c r="Q476" s="1623">
        <v>75205</v>
      </c>
    </row>
    <row r="477" spans="2:17">
      <c r="B477" s="856" t="s">
        <v>189</v>
      </c>
      <c r="C477" s="856">
        <v>27</v>
      </c>
      <c r="D477" s="856" t="s">
        <v>48</v>
      </c>
      <c r="E477" s="856" t="s">
        <v>190</v>
      </c>
      <c r="F477" s="1623">
        <f>+IFERROR(VLOOKUP($B477,'TB 260524'!$A:$C,2,0),0)</f>
        <v>0</v>
      </c>
      <c r="G477" s="1623"/>
      <c r="H477" s="1623">
        <f t="shared" si="14"/>
        <v>0</v>
      </c>
      <c r="I477" s="1623">
        <f>+IFERROR(VLOOKUP($B477,'TB 260524'!$A:$C,3,0),0)</f>
        <v>0</v>
      </c>
      <c r="J477" s="1623"/>
      <c r="K477" s="1623">
        <f t="shared" si="15"/>
        <v>0</v>
      </c>
      <c r="L477" s="1623">
        <v>32000</v>
      </c>
      <c r="M477" s="1623">
        <v>0</v>
      </c>
      <c r="N477" s="1623">
        <v>32000</v>
      </c>
      <c r="O477" s="1623">
        <v>0</v>
      </c>
      <c r="P477" s="1623">
        <v>0</v>
      </c>
      <c r="Q477" s="1623">
        <v>0</v>
      </c>
    </row>
    <row r="478" spans="2:17">
      <c r="B478" s="856" t="s">
        <v>192</v>
      </c>
      <c r="C478" s="856">
        <v>20</v>
      </c>
      <c r="D478" s="856" t="s">
        <v>193</v>
      </c>
      <c r="E478" s="856" t="s">
        <v>127</v>
      </c>
      <c r="F478" s="1623">
        <f>+IFERROR(VLOOKUP($B478,'TB 260524'!$A:$C,2,0),0)</f>
        <v>0</v>
      </c>
      <c r="G478" s="1623"/>
      <c r="H478" s="1623">
        <f t="shared" si="14"/>
        <v>0</v>
      </c>
      <c r="I478" s="1623">
        <f>+IFERROR(VLOOKUP($B478,'TB 260524'!$A:$C,3,0),0)</f>
        <v>0</v>
      </c>
      <c r="J478" s="1623"/>
      <c r="K478" s="1623">
        <f t="shared" si="15"/>
        <v>0</v>
      </c>
      <c r="L478" s="1623">
        <v>0</v>
      </c>
      <c r="M478" s="1623">
        <v>0</v>
      </c>
      <c r="N478" s="1623">
        <v>0</v>
      </c>
      <c r="O478" s="1623">
        <v>0</v>
      </c>
      <c r="P478" s="1623">
        <v>0</v>
      </c>
      <c r="Q478" s="1623">
        <v>0</v>
      </c>
    </row>
    <row r="479" spans="2:17">
      <c r="B479" s="856" t="s">
        <v>206</v>
      </c>
      <c r="C479" s="856">
        <v>26</v>
      </c>
      <c r="D479" s="856" t="s">
        <v>67</v>
      </c>
      <c r="E479" s="856" t="s">
        <v>205</v>
      </c>
      <c r="F479" s="1623">
        <f>+IFERROR(VLOOKUP($B479,'TB 260524'!$A:$C,2,0),0)</f>
        <v>0</v>
      </c>
      <c r="G479" s="1623"/>
      <c r="H479" s="1623">
        <f t="shared" si="14"/>
        <v>0</v>
      </c>
      <c r="I479" s="1623">
        <f>+IFERROR(VLOOKUP($B479,'TB 260524'!$A:$C,3,0),0)</f>
        <v>0</v>
      </c>
      <c r="J479" s="1623"/>
      <c r="K479" s="1623">
        <f t="shared" si="15"/>
        <v>0</v>
      </c>
      <c r="L479" s="1623">
        <v>0</v>
      </c>
      <c r="M479" s="1623">
        <v>0</v>
      </c>
      <c r="N479" s="1623">
        <v>0</v>
      </c>
      <c r="O479" s="1623">
        <v>0</v>
      </c>
      <c r="P479" s="1623">
        <v>0</v>
      </c>
      <c r="Q479" s="1623">
        <v>0</v>
      </c>
    </row>
    <row r="480" spans="2:17">
      <c r="B480" s="856" t="s">
        <v>207</v>
      </c>
      <c r="C480" s="856">
        <v>26</v>
      </c>
      <c r="D480" s="856" t="s">
        <v>67</v>
      </c>
      <c r="E480" s="856" t="s">
        <v>205</v>
      </c>
      <c r="F480" s="1623">
        <f>+IFERROR(VLOOKUP($B480,'TB 260524'!$A:$C,2,0),0)</f>
        <v>0</v>
      </c>
      <c r="G480" s="1623"/>
      <c r="H480" s="1623">
        <f t="shared" si="14"/>
        <v>0</v>
      </c>
      <c r="I480" s="1623">
        <f>+IFERROR(VLOOKUP($B480,'TB 260524'!$A:$C,3,0),0)</f>
        <v>0</v>
      </c>
      <c r="J480" s="1623"/>
      <c r="K480" s="1623">
        <f t="shared" si="15"/>
        <v>0</v>
      </c>
      <c r="L480" s="1623">
        <v>0</v>
      </c>
      <c r="M480" s="1623">
        <v>0</v>
      </c>
      <c r="N480" s="1623">
        <v>0</v>
      </c>
      <c r="O480" s="1623">
        <v>0</v>
      </c>
      <c r="P480" s="1623">
        <v>0</v>
      </c>
      <c r="Q480" s="1623">
        <v>0</v>
      </c>
    </row>
    <row r="481" spans="2:17">
      <c r="B481" s="856" t="s">
        <v>211</v>
      </c>
      <c r="C481" s="856">
        <v>27</v>
      </c>
      <c r="D481" s="856" t="s">
        <v>48</v>
      </c>
      <c r="E481" s="856" t="s">
        <v>82</v>
      </c>
      <c r="F481" s="1623">
        <f>+IFERROR(VLOOKUP($B481,'TB 260524'!$A:$C,2,0),0)</f>
        <v>0</v>
      </c>
      <c r="G481" s="1623"/>
      <c r="H481" s="1623">
        <f t="shared" si="14"/>
        <v>0</v>
      </c>
      <c r="I481" s="1623">
        <f>+IFERROR(VLOOKUP($B481,'TB 260524'!$A:$C,3,0),0)</f>
        <v>0</v>
      </c>
      <c r="J481" s="1623"/>
      <c r="K481" s="1623">
        <f t="shared" si="15"/>
        <v>0</v>
      </c>
      <c r="L481" s="1623">
        <v>0</v>
      </c>
      <c r="M481" s="1623">
        <v>0</v>
      </c>
      <c r="N481" s="1623">
        <v>0</v>
      </c>
      <c r="O481" s="1623">
        <v>0</v>
      </c>
      <c r="P481" s="1623">
        <v>0</v>
      </c>
      <c r="Q481" s="1623">
        <v>0</v>
      </c>
    </row>
    <row r="482" spans="2:17">
      <c r="B482" s="856" t="s">
        <v>212</v>
      </c>
      <c r="C482" s="856">
        <v>27</v>
      </c>
      <c r="D482" s="856" t="s">
        <v>48</v>
      </c>
      <c r="E482" s="856" t="s">
        <v>82</v>
      </c>
      <c r="F482" s="1623">
        <f>+IFERROR(VLOOKUP($B482,'TB 260524'!$A:$C,2,0),0)</f>
        <v>0</v>
      </c>
      <c r="G482" s="1623"/>
      <c r="H482" s="1623">
        <f t="shared" si="14"/>
        <v>0</v>
      </c>
      <c r="I482" s="1623">
        <f>+IFERROR(VLOOKUP($B482,'TB 260524'!$A:$C,3,0),0)</f>
        <v>0</v>
      </c>
      <c r="J482" s="1623"/>
      <c r="K482" s="1623">
        <f t="shared" si="15"/>
        <v>0</v>
      </c>
      <c r="L482" s="1623">
        <v>2700</v>
      </c>
      <c r="M482" s="1623">
        <v>0</v>
      </c>
      <c r="N482" s="1623">
        <v>2700</v>
      </c>
      <c r="O482" s="1623">
        <v>0</v>
      </c>
      <c r="P482" s="1623">
        <v>0</v>
      </c>
      <c r="Q482" s="1623">
        <v>0</v>
      </c>
    </row>
    <row r="483" spans="2:17">
      <c r="B483" s="856" t="s">
        <v>219</v>
      </c>
      <c r="C483" s="856">
        <v>4</v>
      </c>
      <c r="D483" s="856" t="s">
        <v>22</v>
      </c>
      <c r="E483" s="856" t="s">
        <v>23</v>
      </c>
      <c r="F483" s="1623">
        <f>+IFERROR(VLOOKUP($B483,'TB 260524'!$A:$C,2,0),0)</f>
        <v>0</v>
      </c>
      <c r="G483" s="1623"/>
      <c r="H483" s="1623">
        <f t="shared" si="14"/>
        <v>0</v>
      </c>
      <c r="I483" s="1623">
        <f>+IFERROR(VLOOKUP($B483,'TB 260524'!$A:$C,3,0),0)</f>
        <v>0</v>
      </c>
      <c r="J483" s="1623"/>
      <c r="K483" s="1623">
        <f t="shared" si="15"/>
        <v>0</v>
      </c>
      <c r="L483" s="1623">
        <v>0</v>
      </c>
      <c r="M483" s="1623">
        <v>0</v>
      </c>
      <c r="N483" s="1623">
        <v>0</v>
      </c>
      <c r="O483" s="1623">
        <v>0</v>
      </c>
      <c r="P483" s="1623">
        <v>0</v>
      </c>
      <c r="Q483" s="1623">
        <v>0</v>
      </c>
    </row>
    <row r="484" spans="2:17">
      <c r="B484" s="856" t="s">
        <v>221</v>
      </c>
      <c r="C484" s="856">
        <v>6</v>
      </c>
      <c r="D484" s="856" t="s">
        <v>13</v>
      </c>
      <c r="E484" s="856" t="s">
        <v>14</v>
      </c>
      <c r="F484" s="1623">
        <f>+IFERROR(VLOOKUP($B484,'TB 260524'!$A:$C,2,0),0)</f>
        <v>0</v>
      </c>
      <c r="G484" s="1623"/>
      <c r="H484" s="1623">
        <f t="shared" si="14"/>
        <v>0</v>
      </c>
      <c r="I484" s="1623">
        <f>+IFERROR(VLOOKUP($B484,'TB 260524'!$A:$C,3,0),0)</f>
        <v>0</v>
      </c>
      <c r="J484" s="1623"/>
      <c r="K484" s="1623">
        <f t="shared" si="15"/>
        <v>0</v>
      </c>
      <c r="L484" s="1623">
        <v>0</v>
      </c>
      <c r="M484" s="1623">
        <v>0</v>
      </c>
      <c r="N484" s="1623">
        <v>0</v>
      </c>
      <c r="O484" s="1623">
        <v>0</v>
      </c>
      <c r="P484" s="1623">
        <v>0</v>
      </c>
      <c r="Q484" s="1623">
        <v>0</v>
      </c>
    </row>
    <row r="485" spans="2:17">
      <c r="B485" s="856" t="s">
        <v>222</v>
      </c>
      <c r="C485" s="856">
        <v>9</v>
      </c>
      <c r="D485" s="856" t="s">
        <v>35</v>
      </c>
      <c r="E485" s="856" t="s">
        <v>36</v>
      </c>
      <c r="F485" s="1623">
        <f>+IFERROR(VLOOKUP($B485,'TB 260524'!$A:$C,2,0),0)</f>
        <v>0</v>
      </c>
      <c r="G485" s="1623"/>
      <c r="H485" s="1623">
        <f t="shared" si="14"/>
        <v>0</v>
      </c>
      <c r="I485" s="1623">
        <f>+IFERROR(VLOOKUP($B485,'TB 260524'!$A:$C,3,0),0)</f>
        <v>0</v>
      </c>
      <c r="J485" s="1623"/>
      <c r="K485" s="1623">
        <f t="shared" si="15"/>
        <v>0</v>
      </c>
      <c r="L485" s="1623">
        <v>27000</v>
      </c>
      <c r="M485" s="1623">
        <v>0</v>
      </c>
      <c r="N485" s="1623">
        <v>27000</v>
      </c>
      <c r="O485" s="1623">
        <v>0</v>
      </c>
      <c r="P485" s="1623">
        <v>0</v>
      </c>
      <c r="Q485" s="1623">
        <v>0</v>
      </c>
    </row>
    <row r="486" spans="2:17">
      <c r="B486" s="856" t="s">
        <v>226</v>
      </c>
      <c r="C486" s="856">
        <v>17</v>
      </c>
      <c r="D486" s="856" t="s">
        <v>8</v>
      </c>
      <c r="E486" s="856" t="s">
        <v>8</v>
      </c>
      <c r="F486" s="1623">
        <f>+IFERROR(VLOOKUP($B486,'TB 260524'!$A:$C,2,0),0)</f>
        <v>0</v>
      </c>
      <c r="G486" s="1623"/>
      <c r="H486" s="1623">
        <f t="shared" si="14"/>
        <v>0</v>
      </c>
      <c r="I486" s="1623">
        <f>+IFERROR(VLOOKUP($B486,'TB 260524'!$A:$C,3,0),0)</f>
        <v>0</v>
      </c>
      <c r="J486" s="1623"/>
      <c r="K486" s="1623">
        <f t="shared" si="15"/>
        <v>0</v>
      </c>
      <c r="L486" s="1623">
        <v>0</v>
      </c>
      <c r="M486" s="1623">
        <v>0</v>
      </c>
      <c r="N486" s="1623">
        <v>0</v>
      </c>
      <c r="O486" s="1623">
        <v>0</v>
      </c>
      <c r="P486" s="1623">
        <v>0</v>
      </c>
      <c r="Q486" s="1623">
        <v>0</v>
      </c>
    </row>
    <row r="487" spans="2:17">
      <c r="B487" s="856" t="s">
        <v>227</v>
      </c>
      <c r="C487" s="856">
        <v>9</v>
      </c>
      <c r="D487" s="856" t="s">
        <v>35</v>
      </c>
      <c r="E487" s="856" t="s">
        <v>36</v>
      </c>
      <c r="F487" s="1623">
        <f>+IFERROR(VLOOKUP($B487,'TB 260524'!$A:$C,2,0),0)</f>
        <v>0</v>
      </c>
      <c r="G487" s="1623"/>
      <c r="H487" s="1623">
        <f t="shared" si="14"/>
        <v>0</v>
      </c>
      <c r="I487" s="1623">
        <f>+IFERROR(VLOOKUP($B487,'TB 260524'!$A:$C,3,0),0)</f>
        <v>0</v>
      </c>
      <c r="J487" s="1623"/>
      <c r="K487" s="1623">
        <f t="shared" si="15"/>
        <v>0</v>
      </c>
      <c r="L487" s="1623">
        <v>2000</v>
      </c>
      <c r="M487" s="1623">
        <v>0</v>
      </c>
      <c r="N487" s="1623">
        <v>2000</v>
      </c>
      <c r="O487" s="1623">
        <v>0</v>
      </c>
      <c r="P487" s="1623">
        <v>0</v>
      </c>
      <c r="Q487" s="1623">
        <v>0</v>
      </c>
    </row>
    <row r="488" spans="2:17">
      <c r="B488" s="856" t="s">
        <v>231</v>
      </c>
      <c r="C488" s="856">
        <v>27</v>
      </c>
      <c r="D488" s="856" t="s">
        <v>48</v>
      </c>
      <c r="E488" s="856" t="s">
        <v>82</v>
      </c>
      <c r="F488" s="1623">
        <f>+IFERROR(VLOOKUP($B488,'TB 260524'!$A:$C,2,0),0)</f>
        <v>0</v>
      </c>
      <c r="G488" s="1623"/>
      <c r="H488" s="1623">
        <f t="shared" si="14"/>
        <v>0</v>
      </c>
      <c r="I488" s="1623">
        <f>+IFERROR(VLOOKUP($B488,'TB 260524'!$A:$C,3,0),0)</f>
        <v>0</v>
      </c>
      <c r="J488" s="1623"/>
      <c r="K488" s="1623">
        <f t="shared" si="15"/>
        <v>0</v>
      </c>
      <c r="L488" s="1623">
        <v>279</v>
      </c>
      <c r="M488" s="1623">
        <v>0</v>
      </c>
      <c r="N488" s="1623">
        <v>279</v>
      </c>
      <c r="O488" s="1623">
        <v>0</v>
      </c>
      <c r="P488" s="1623">
        <v>0</v>
      </c>
      <c r="Q488" s="1623">
        <v>0</v>
      </c>
    </row>
    <row r="489" spans="2:17">
      <c r="B489" s="856" t="s">
        <v>235</v>
      </c>
      <c r="C489" s="856">
        <v>17</v>
      </c>
      <c r="D489" s="856" t="s">
        <v>8</v>
      </c>
      <c r="E489" s="856" t="s">
        <v>8</v>
      </c>
      <c r="F489" s="1623">
        <f>+IFERROR(VLOOKUP($B489,'TB 260524'!$A:$C,2,0),0)</f>
        <v>0</v>
      </c>
      <c r="G489" s="1623"/>
      <c r="H489" s="1623">
        <f t="shared" si="14"/>
        <v>0</v>
      </c>
      <c r="I489" s="1623">
        <f>+IFERROR(VLOOKUP($B489,'TB 260524'!$A:$C,3,0),0)</f>
        <v>0</v>
      </c>
      <c r="J489" s="1623"/>
      <c r="K489" s="1623">
        <f t="shared" si="15"/>
        <v>0</v>
      </c>
      <c r="L489" s="1623">
        <v>0</v>
      </c>
      <c r="M489" s="1623">
        <v>0</v>
      </c>
      <c r="N489" s="1623">
        <v>0</v>
      </c>
      <c r="O489" s="1623">
        <v>2296047.5</v>
      </c>
      <c r="P489" s="1623">
        <v>0</v>
      </c>
      <c r="Q489" s="1623">
        <v>2296047.5</v>
      </c>
    </row>
    <row r="490" spans="2:17">
      <c r="B490" s="856" t="s">
        <v>240</v>
      </c>
      <c r="C490" s="856">
        <v>9</v>
      </c>
      <c r="D490" s="856" t="s">
        <v>35</v>
      </c>
      <c r="E490" s="856" t="s">
        <v>36</v>
      </c>
      <c r="F490" s="1623">
        <f>+IFERROR(VLOOKUP($B490,'TB 260524'!$A:$C,2,0),0)</f>
        <v>0</v>
      </c>
      <c r="G490" s="1623"/>
      <c r="H490" s="1623">
        <f t="shared" si="14"/>
        <v>0</v>
      </c>
      <c r="I490" s="1623">
        <f>+IFERROR(VLOOKUP($B490,'TB 260524'!$A:$C,3,0),0)</f>
        <v>0</v>
      </c>
      <c r="J490" s="1623"/>
      <c r="K490" s="1623">
        <f t="shared" si="15"/>
        <v>0</v>
      </c>
      <c r="L490" s="1623">
        <v>21000</v>
      </c>
      <c r="M490" s="1623">
        <v>0</v>
      </c>
      <c r="N490" s="1623">
        <v>21000</v>
      </c>
      <c r="O490" s="1623">
        <v>0</v>
      </c>
      <c r="P490" s="1623">
        <v>0</v>
      </c>
      <c r="Q490" s="1623">
        <v>0</v>
      </c>
    </row>
    <row r="491" spans="2:17">
      <c r="B491" s="856" t="s">
        <v>241</v>
      </c>
      <c r="C491" s="856">
        <v>17</v>
      </c>
      <c r="D491" s="856" t="s">
        <v>8</v>
      </c>
      <c r="E491" s="856" t="s">
        <v>9</v>
      </c>
      <c r="F491" s="1623">
        <f>+IFERROR(VLOOKUP($B491,'TB 260524'!$A:$C,2,0),0)</f>
        <v>0</v>
      </c>
      <c r="G491" s="1623"/>
      <c r="H491" s="1623">
        <f t="shared" si="14"/>
        <v>0</v>
      </c>
      <c r="I491" s="1623">
        <f>+IFERROR(VLOOKUP($B491,'TB 260524'!$A:$C,3,0),0)</f>
        <v>0</v>
      </c>
      <c r="J491" s="1623"/>
      <c r="K491" s="1623">
        <f t="shared" si="15"/>
        <v>0</v>
      </c>
      <c r="L491" s="1623">
        <v>0</v>
      </c>
      <c r="M491" s="1623">
        <v>0</v>
      </c>
      <c r="N491" s="1623">
        <v>0</v>
      </c>
      <c r="O491" s="1623">
        <v>218293</v>
      </c>
      <c r="P491" s="1623">
        <v>0</v>
      </c>
      <c r="Q491" s="1623">
        <v>218293</v>
      </c>
    </row>
    <row r="492" spans="2:17">
      <c r="B492" s="856" t="s">
        <v>242</v>
      </c>
      <c r="C492" s="856">
        <v>17</v>
      </c>
      <c r="D492" s="856" t="s">
        <v>8</v>
      </c>
      <c r="E492" s="856" t="s">
        <v>9</v>
      </c>
      <c r="F492" s="1623">
        <f>+IFERROR(VLOOKUP($B492,'TB 260524'!$A:$C,2,0),0)</f>
        <v>0</v>
      </c>
      <c r="G492" s="1623"/>
      <c r="H492" s="1623">
        <f t="shared" si="14"/>
        <v>0</v>
      </c>
      <c r="I492" s="1623">
        <f>+IFERROR(VLOOKUP($B492,'TB 260524'!$A:$C,3,0),0)</f>
        <v>0</v>
      </c>
      <c r="J492" s="1623"/>
      <c r="K492" s="1623">
        <f t="shared" si="15"/>
        <v>0</v>
      </c>
      <c r="L492" s="1623">
        <v>0</v>
      </c>
      <c r="M492" s="1623">
        <v>0</v>
      </c>
      <c r="N492" s="1623">
        <v>0</v>
      </c>
      <c r="O492" s="1623">
        <v>27100</v>
      </c>
      <c r="P492" s="1623">
        <v>0</v>
      </c>
      <c r="Q492" s="1623">
        <v>27100</v>
      </c>
    </row>
    <row r="493" spans="2:17">
      <c r="B493" s="856" t="s">
        <v>243</v>
      </c>
      <c r="C493" s="856">
        <v>9</v>
      </c>
      <c r="D493" s="856" t="s">
        <v>35</v>
      </c>
      <c r="E493" s="856" t="s">
        <v>36</v>
      </c>
      <c r="F493" s="1623">
        <f>+IFERROR(VLOOKUP($B493,'TB 260524'!$A:$C,2,0),0)</f>
        <v>0</v>
      </c>
      <c r="G493" s="1623"/>
      <c r="H493" s="1623">
        <f t="shared" si="14"/>
        <v>0</v>
      </c>
      <c r="I493" s="1623">
        <f>+IFERROR(VLOOKUP($B493,'TB 260524'!$A:$C,3,0),0)</f>
        <v>0</v>
      </c>
      <c r="J493" s="1623"/>
      <c r="K493" s="1623">
        <f t="shared" si="15"/>
        <v>0</v>
      </c>
      <c r="L493" s="1623">
        <v>32000</v>
      </c>
      <c r="M493" s="1623">
        <v>0</v>
      </c>
      <c r="N493" s="1623">
        <v>32000</v>
      </c>
      <c r="O493" s="1623">
        <v>0</v>
      </c>
      <c r="P493" s="1623">
        <v>0</v>
      </c>
      <c r="Q493" s="1623">
        <v>0</v>
      </c>
    </row>
    <row r="494" spans="2:17">
      <c r="B494" s="856" t="s">
        <v>245</v>
      </c>
      <c r="C494" s="856">
        <v>27</v>
      </c>
      <c r="D494" s="856" t="s">
        <v>48</v>
      </c>
      <c r="E494" s="856" t="s">
        <v>49</v>
      </c>
      <c r="F494" s="1623">
        <f>+IFERROR(VLOOKUP($B494,'TB 260524'!$A:$C,2,0),0)</f>
        <v>0</v>
      </c>
      <c r="G494" s="1623"/>
      <c r="H494" s="1623">
        <f t="shared" si="14"/>
        <v>0</v>
      </c>
      <c r="I494" s="1623">
        <f>+IFERROR(VLOOKUP($B494,'TB 260524'!$A:$C,3,0),0)</f>
        <v>0</v>
      </c>
      <c r="J494" s="1623"/>
      <c r="K494" s="1623">
        <f t="shared" si="15"/>
        <v>0</v>
      </c>
      <c r="L494" s="1623">
        <v>0</v>
      </c>
      <c r="M494" s="1623">
        <v>0</v>
      </c>
      <c r="N494" s="1623">
        <v>0</v>
      </c>
      <c r="O494" s="1623">
        <v>0</v>
      </c>
      <c r="P494" s="1623">
        <v>0</v>
      </c>
      <c r="Q494" s="1623">
        <v>0</v>
      </c>
    </row>
    <row r="495" spans="2:17">
      <c r="B495" s="856" t="s">
        <v>246</v>
      </c>
      <c r="C495" s="856">
        <v>9</v>
      </c>
      <c r="D495" s="856" t="s">
        <v>35</v>
      </c>
      <c r="E495" s="856" t="s">
        <v>36</v>
      </c>
      <c r="F495" s="1623">
        <f>+IFERROR(VLOOKUP($B495,'TB 260524'!$A:$C,2,0),0)</f>
        <v>0</v>
      </c>
      <c r="G495" s="1623"/>
      <c r="H495" s="1623">
        <f t="shared" si="14"/>
        <v>0</v>
      </c>
      <c r="I495" s="1623">
        <f>+IFERROR(VLOOKUP($B495,'TB 260524'!$A:$C,3,0),0)</f>
        <v>0</v>
      </c>
      <c r="J495" s="1623"/>
      <c r="K495" s="1623">
        <f t="shared" si="15"/>
        <v>0</v>
      </c>
      <c r="L495" s="1623">
        <v>0</v>
      </c>
      <c r="M495" s="1623">
        <v>0</v>
      </c>
      <c r="N495" s="1623">
        <v>0</v>
      </c>
      <c r="O495" s="1623">
        <v>0</v>
      </c>
      <c r="P495" s="1623">
        <v>0</v>
      </c>
      <c r="Q495" s="1623">
        <v>0</v>
      </c>
    </row>
    <row r="496" spans="2:17">
      <c r="B496" s="856" t="s">
        <v>247</v>
      </c>
      <c r="C496" s="856">
        <v>17</v>
      </c>
      <c r="D496" s="856" t="s">
        <v>8</v>
      </c>
      <c r="E496" s="856" t="s">
        <v>9</v>
      </c>
      <c r="F496" s="1623">
        <f>+IFERROR(VLOOKUP($B496,'TB 260524'!$A:$C,2,0),0)</f>
        <v>0</v>
      </c>
      <c r="G496" s="1623"/>
      <c r="H496" s="1623">
        <f t="shared" si="14"/>
        <v>0</v>
      </c>
      <c r="I496" s="1623">
        <f>+IFERROR(VLOOKUP($B496,'TB 260524'!$A:$C,3,0),0)</f>
        <v>0</v>
      </c>
      <c r="J496" s="1623"/>
      <c r="K496" s="1623">
        <f t="shared" si="15"/>
        <v>0</v>
      </c>
      <c r="L496" s="1623">
        <v>0</v>
      </c>
      <c r="M496" s="1623">
        <v>0</v>
      </c>
      <c r="N496" s="1623">
        <v>0</v>
      </c>
      <c r="O496" s="1623">
        <v>0</v>
      </c>
      <c r="P496" s="1623">
        <v>0</v>
      </c>
      <c r="Q496" s="1623">
        <v>0</v>
      </c>
    </row>
    <row r="497" spans="2:17">
      <c r="B497" s="856" t="s">
        <v>250</v>
      </c>
      <c r="C497" s="856">
        <v>10</v>
      </c>
      <c r="D497" s="856" t="s">
        <v>32</v>
      </c>
      <c r="E497" s="856" t="s">
        <v>33</v>
      </c>
      <c r="F497" s="1623">
        <f>+IFERROR(VLOOKUP($B497,'TB 260524'!$A:$C,2,0),0)</f>
        <v>0</v>
      </c>
      <c r="G497" s="1623"/>
      <c r="H497" s="1623">
        <f t="shared" si="14"/>
        <v>0</v>
      </c>
      <c r="I497" s="1623">
        <f>+IFERROR(VLOOKUP($B497,'TB 260524'!$A:$C,3,0),0)</f>
        <v>0</v>
      </c>
      <c r="J497" s="1623"/>
      <c r="K497" s="1623">
        <f t="shared" si="15"/>
        <v>0</v>
      </c>
      <c r="L497" s="1623">
        <v>0</v>
      </c>
      <c r="M497" s="1623">
        <v>0</v>
      </c>
      <c r="N497" s="1623">
        <v>0</v>
      </c>
      <c r="O497" s="1623">
        <v>0</v>
      </c>
      <c r="P497" s="1623">
        <v>0</v>
      </c>
      <c r="Q497" s="1623">
        <v>0</v>
      </c>
    </row>
    <row r="498" spans="2:17">
      <c r="B498" s="856" t="s">
        <v>255</v>
      </c>
      <c r="C498" s="856">
        <v>23</v>
      </c>
      <c r="D498" s="856" t="s">
        <v>96</v>
      </c>
      <c r="E498" s="856" t="s">
        <v>97</v>
      </c>
      <c r="F498" s="1623">
        <f>+IFERROR(VLOOKUP($B498,'TB 260524'!$A:$C,2,0),0)</f>
        <v>0</v>
      </c>
      <c r="G498" s="1623"/>
      <c r="H498" s="1623">
        <f t="shared" si="14"/>
        <v>0</v>
      </c>
      <c r="I498" s="1623">
        <f>+IFERROR(VLOOKUP($B498,'TB 260524'!$A:$C,3,0),0)</f>
        <v>0</v>
      </c>
      <c r="J498" s="1623"/>
      <c r="K498" s="1623">
        <f t="shared" si="15"/>
        <v>0</v>
      </c>
      <c r="L498" s="1623">
        <v>1200</v>
      </c>
      <c r="M498" s="1623">
        <v>0</v>
      </c>
      <c r="N498" s="1623">
        <v>1200</v>
      </c>
      <c r="O498" s="1623">
        <v>0</v>
      </c>
      <c r="P498" s="1623">
        <v>0</v>
      </c>
      <c r="Q498" s="1623">
        <v>0</v>
      </c>
    </row>
    <row r="499" spans="2:17">
      <c r="B499" s="856" t="s">
        <v>2253</v>
      </c>
      <c r="C499" s="856">
        <v>27</v>
      </c>
      <c r="D499" s="856" t="s">
        <v>48</v>
      </c>
      <c r="E499" s="856" t="s">
        <v>82</v>
      </c>
      <c r="F499" s="1623">
        <f>+IFERROR(VLOOKUP($B499,'TB 260524'!$A:$C,2,0),0)</f>
        <v>0</v>
      </c>
      <c r="G499" s="1623"/>
      <c r="H499" s="1623">
        <f t="shared" si="14"/>
        <v>0</v>
      </c>
      <c r="I499" s="1623">
        <f>+IFERROR(VLOOKUP($B499,'TB 260524'!$A:$C,3,0),0)</f>
        <v>0</v>
      </c>
      <c r="J499" s="1623"/>
      <c r="K499" s="1623">
        <f t="shared" si="15"/>
        <v>0</v>
      </c>
      <c r="L499" s="1623">
        <v>2956</v>
      </c>
      <c r="M499" s="1623">
        <v>0</v>
      </c>
      <c r="N499" s="1623">
        <v>2956</v>
      </c>
      <c r="O499" s="1623">
        <v>0</v>
      </c>
      <c r="P499" s="1623">
        <v>0</v>
      </c>
      <c r="Q499" s="1623">
        <v>0</v>
      </c>
    </row>
    <row r="500" spans="2:17">
      <c r="B500" s="856" t="s">
        <v>269</v>
      </c>
      <c r="C500" s="856">
        <v>27</v>
      </c>
      <c r="D500" s="856" t="s">
        <v>48</v>
      </c>
      <c r="E500" s="856" t="s">
        <v>82</v>
      </c>
      <c r="F500" s="1623">
        <f>+IFERROR(VLOOKUP($B500,'TB 260524'!$A:$C,2,0),0)</f>
        <v>0</v>
      </c>
      <c r="G500" s="1623"/>
      <c r="H500" s="1623">
        <f t="shared" si="14"/>
        <v>0</v>
      </c>
      <c r="I500" s="1623">
        <f>+IFERROR(VLOOKUP($B500,'TB 260524'!$A:$C,3,0),0)</f>
        <v>0</v>
      </c>
      <c r="J500" s="1623"/>
      <c r="K500" s="1623">
        <f t="shared" si="15"/>
        <v>0</v>
      </c>
      <c r="L500" s="1623">
        <v>0</v>
      </c>
      <c r="M500" s="1623">
        <v>0</v>
      </c>
      <c r="N500" s="1623">
        <v>0</v>
      </c>
      <c r="O500" s="1623">
        <v>0</v>
      </c>
      <c r="P500" s="1623">
        <v>0</v>
      </c>
      <c r="Q500" s="1623">
        <v>0</v>
      </c>
    </row>
    <row r="501" spans="2:17">
      <c r="B501" s="856" t="s">
        <v>2250</v>
      </c>
      <c r="C501" s="856">
        <v>17</v>
      </c>
      <c r="D501" s="856" t="s">
        <v>8</v>
      </c>
      <c r="E501" s="856" t="s">
        <v>9</v>
      </c>
      <c r="F501" s="1623">
        <f>+IFERROR(VLOOKUP($B501,'TB 260524'!$A:$C,2,0),0)</f>
        <v>0</v>
      </c>
      <c r="G501" s="1623"/>
      <c r="H501" s="1623">
        <f t="shared" si="14"/>
        <v>0</v>
      </c>
      <c r="I501" s="1623">
        <f>+IFERROR(VLOOKUP($B501,'TB 260524'!$A:$C,3,0),0)</f>
        <v>0</v>
      </c>
      <c r="J501" s="1623"/>
      <c r="K501" s="1623">
        <f t="shared" si="15"/>
        <v>0</v>
      </c>
      <c r="L501" s="1623">
        <v>9980</v>
      </c>
      <c r="M501" s="1623">
        <v>0</v>
      </c>
      <c r="N501" s="1623">
        <v>9980</v>
      </c>
      <c r="O501" s="1623">
        <v>0</v>
      </c>
      <c r="P501" s="1623">
        <v>0</v>
      </c>
      <c r="Q501" s="1623">
        <v>0</v>
      </c>
    </row>
    <row r="502" spans="2:17">
      <c r="B502" s="856" t="s">
        <v>909</v>
      </c>
      <c r="C502" s="856">
        <v>18</v>
      </c>
      <c r="D502" s="856" t="s">
        <v>214</v>
      </c>
      <c r="E502" s="856" t="s">
        <v>322</v>
      </c>
      <c r="F502" s="1623">
        <f>+IFERROR(VLOOKUP($B502,'TB 260524'!$A:$C,2,0),0)</f>
        <v>0</v>
      </c>
      <c r="G502" s="1623"/>
      <c r="H502" s="1623">
        <f t="shared" si="14"/>
        <v>0</v>
      </c>
      <c r="I502" s="1623">
        <f>+IFERROR(VLOOKUP($B502,'TB 260524'!$A:$C,3,0),0)</f>
        <v>160600</v>
      </c>
      <c r="J502" s="1623"/>
      <c r="K502" s="1623">
        <f t="shared" si="15"/>
        <v>160600</v>
      </c>
      <c r="L502" s="1623">
        <v>0</v>
      </c>
      <c r="M502" s="1623">
        <v>0</v>
      </c>
      <c r="N502" s="1623">
        <v>0</v>
      </c>
      <c r="O502" s="1623">
        <v>2200000</v>
      </c>
      <c r="P502" s="1623">
        <v>0</v>
      </c>
      <c r="Q502" s="1623">
        <v>2200000</v>
      </c>
    </row>
    <row r="503" spans="2:17">
      <c r="B503" s="856" t="s">
        <v>272</v>
      </c>
      <c r="C503" s="856">
        <v>6</v>
      </c>
      <c r="D503" s="856" t="s">
        <v>13</v>
      </c>
      <c r="E503" s="856" t="s">
        <v>14</v>
      </c>
      <c r="F503" s="1623">
        <f>+IFERROR(VLOOKUP($B503,'TB 260524'!$A:$C,2,0),0)</f>
        <v>0</v>
      </c>
      <c r="G503" s="1623"/>
      <c r="H503" s="1623">
        <f t="shared" si="14"/>
        <v>0</v>
      </c>
      <c r="I503" s="1623">
        <f>+IFERROR(VLOOKUP($B503,'TB 260524'!$A:$C,3,0),0)</f>
        <v>0</v>
      </c>
      <c r="J503" s="1623"/>
      <c r="K503" s="1623">
        <f t="shared" si="15"/>
        <v>0</v>
      </c>
      <c r="L503" s="1623">
        <v>2898184</v>
      </c>
      <c r="M503" s="1623">
        <v>0</v>
      </c>
      <c r="N503" s="1623">
        <v>2898184</v>
      </c>
      <c r="O503" s="1623">
        <v>0</v>
      </c>
      <c r="P503" s="1623">
        <v>0</v>
      </c>
      <c r="Q503" s="1623">
        <v>0</v>
      </c>
    </row>
    <row r="504" spans="2:17">
      <c r="B504" s="856" t="s">
        <v>278</v>
      </c>
      <c r="C504" s="856"/>
      <c r="D504" s="856" t="s">
        <v>80</v>
      </c>
      <c r="E504" s="856" t="s">
        <v>277</v>
      </c>
      <c r="F504" s="1623">
        <f>+IFERROR(VLOOKUP($B504,'TB 260524'!$A:$C,2,0),0)</f>
        <v>0</v>
      </c>
      <c r="G504" s="1623"/>
      <c r="H504" s="1623">
        <f t="shared" si="14"/>
        <v>0</v>
      </c>
      <c r="I504" s="1623">
        <f>+IFERROR(VLOOKUP($B504,'TB 260524'!$A:$C,3,0),0)</f>
        <v>0</v>
      </c>
      <c r="J504" s="1623"/>
      <c r="K504" s="1623">
        <f t="shared" si="15"/>
        <v>0</v>
      </c>
      <c r="L504" s="1623">
        <v>0</v>
      </c>
      <c r="M504" s="1623">
        <v>0</v>
      </c>
      <c r="N504" s="1623">
        <v>0</v>
      </c>
      <c r="O504" s="1623">
        <v>453421</v>
      </c>
      <c r="P504" s="1623">
        <v>0</v>
      </c>
      <c r="Q504" s="1623">
        <v>453421</v>
      </c>
    </row>
    <row r="505" spans="2:17">
      <c r="B505" s="856" t="s">
        <v>286</v>
      </c>
      <c r="C505" s="856">
        <v>11</v>
      </c>
      <c r="D505" s="856" t="s">
        <v>25</v>
      </c>
      <c r="E505" s="856" t="s">
        <v>26</v>
      </c>
      <c r="F505" s="1623">
        <f>+IFERROR(VLOOKUP($B505,'TB 260524'!$A:$C,2,0),0)</f>
        <v>0</v>
      </c>
      <c r="G505" s="1623"/>
      <c r="H505" s="1623">
        <f t="shared" si="14"/>
        <v>0</v>
      </c>
      <c r="I505" s="1623">
        <f>+IFERROR(VLOOKUP($B505,'TB 260524'!$A:$C,3,0),0)</f>
        <v>0</v>
      </c>
      <c r="J505" s="1623"/>
      <c r="K505" s="1623">
        <f t="shared" si="15"/>
        <v>0</v>
      </c>
      <c r="L505" s="1623">
        <v>0</v>
      </c>
      <c r="M505" s="1623">
        <v>0</v>
      </c>
      <c r="N505" s="1623">
        <v>0</v>
      </c>
      <c r="O505" s="1623">
        <v>0</v>
      </c>
      <c r="P505" s="1623">
        <v>0</v>
      </c>
      <c r="Q505" s="1623">
        <v>0</v>
      </c>
    </row>
    <row r="506" spans="2:17">
      <c r="B506" s="856" t="s">
        <v>296</v>
      </c>
      <c r="C506" s="856">
        <v>23</v>
      </c>
      <c r="D506" s="856" t="s">
        <v>96</v>
      </c>
      <c r="E506" s="856" t="s">
        <v>97</v>
      </c>
      <c r="F506" s="1623">
        <f>+IFERROR(VLOOKUP($B506,'TB 260524'!$A:$C,2,0),0)</f>
        <v>0</v>
      </c>
      <c r="G506" s="1623"/>
      <c r="H506" s="1623">
        <f t="shared" si="14"/>
        <v>0</v>
      </c>
      <c r="I506" s="1623">
        <f>+IFERROR(VLOOKUP($B506,'TB 260524'!$A:$C,3,0),0)</f>
        <v>0</v>
      </c>
      <c r="J506" s="1623"/>
      <c r="K506" s="1623">
        <f t="shared" si="15"/>
        <v>0</v>
      </c>
      <c r="L506" s="1623">
        <v>15197750</v>
      </c>
      <c r="M506" s="1623">
        <v>0</v>
      </c>
      <c r="N506" s="1623">
        <v>15197750</v>
      </c>
      <c r="O506" s="1623">
        <v>0</v>
      </c>
      <c r="P506" s="1623">
        <v>0</v>
      </c>
      <c r="Q506" s="1623">
        <v>0</v>
      </c>
    </row>
    <row r="507" spans="2:17">
      <c r="B507" s="856" t="s">
        <v>300</v>
      </c>
      <c r="C507" s="856">
        <v>6</v>
      </c>
      <c r="D507" s="856" t="s">
        <v>13</v>
      </c>
      <c r="E507" s="856" t="s">
        <v>14</v>
      </c>
      <c r="F507" s="1623">
        <f>+IFERROR(VLOOKUP($B507,'TB 260524'!$A:$C,2,0),0)</f>
        <v>0</v>
      </c>
      <c r="G507" s="1623"/>
      <c r="H507" s="1623">
        <f t="shared" si="14"/>
        <v>0</v>
      </c>
      <c r="I507" s="1623">
        <f>+IFERROR(VLOOKUP($B507,'TB 260524'!$A:$C,3,0),0)</f>
        <v>0</v>
      </c>
      <c r="J507" s="1623"/>
      <c r="K507" s="1623">
        <f t="shared" si="15"/>
        <v>0</v>
      </c>
      <c r="L507" s="1623">
        <v>0</v>
      </c>
      <c r="M507" s="1623">
        <v>0</v>
      </c>
      <c r="N507" s="1623">
        <v>0</v>
      </c>
      <c r="O507" s="1623">
        <v>0</v>
      </c>
      <c r="P507" s="1623">
        <v>0</v>
      </c>
      <c r="Q507" s="1623">
        <v>0</v>
      </c>
    </row>
    <row r="508" spans="2:17">
      <c r="B508" s="856" t="s">
        <v>302</v>
      </c>
      <c r="C508" s="856">
        <v>17</v>
      </c>
      <c r="D508" s="856" t="s">
        <v>8</v>
      </c>
      <c r="E508" s="856" t="s">
        <v>8</v>
      </c>
      <c r="F508" s="1623">
        <f>+IFERROR(VLOOKUP($B508,'TB 260524'!$A:$C,2,0),0)</f>
        <v>0</v>
      </c>
      <c r="G508" s="1623"/>
      <c r="H508" s="1623">
        <f t="shared" si="14"/>
        <v>0</v>
      </c>
      <c r="I508" s="1623">
        <f>+IFERROR(VLOOKUP($B508,'TB 260524'!$A:$C,3,0),0)</f>
        <v>0</v>
      </c>
      <c r="J508" s="1623"/>
      <c r="K508" s="1623">
        <f t="shared" si="15"/>
        <v>0</v>
      </c>
      <c r="L508" s="1623">
        <v>0</v>
      </c>
      <c r="M508" s="1623">
        <v>0</v>
      </c>
      <c r="N508" s="1623">
        <v>0</v>
      </c>
      <c r="O508" s="1623">
        <v>3418</v>
      </c>
      <c r="P508" s="1623">
        <v>0</v>
      </c>
      <c r="Q508" s="1623">
        <v>3418</v>
      </c>
    </row>
    <row r="509" spans="2:17">
      <c r="B509" s="856" t="s">
        <v>2612</v>
      </c>
      <c r="C509" s="856">
        <v>18</v>
      </c>
      <c r="D509" s="856" t="s">
        <v>214</v>
      </c>
      <c r="E509" s="856" t="s">
        <v>90</v>
      </c>
      <c r="F509" s="1623">
        <f>+IFERROR(VLOOKUP($B509,'TB 260524'!$A:$C,2,0),0)</f>
        <v>0</v>
      </c>
      <c r="G509" s="1623"/>
      <c r="H509" s="1623">
        <f t="shared" si="14"/>
        <v>0</v>
      </c>
      <c r="I509" s="1623">
        <f>+IFERROR(VLOOKUP($B509,'TB 260524'!$A:$C,3,0),0)</f>
        <v>0</v>
      </c>
      <c r="J509" s="1623"/>
      <c r="K509" s="1623">
        <f t="shared" si="15"/>
        <v>0</v>
      </c>
      <c r="L509" s="1623">
        <v>807</v>
      </c>
      <c r="M509" s="1623">
        <v>0</v>
      </c>
      <c r="N509" s="1623">
        <v>807</v>
      </c>
      <c r="O509" s="1623">
        <v>0</v>
      </c>
      <c r="P509" s="1623">
        <v>0</v>
      </c>
      <c r="Q509" s="1623">
        <v>0</v>
      </c>
    </row>
    <row r="510" spans="2:17">
      <c r="B510" s="856" t="s">
        <v>307</v>
      </c>
      <c r="C510" s="856">
        <v>18</v>
      </c>
      <c r="D510" s="856" t="s">
        <v>214</v>
      </c>
      <c r="E510" s="856" t="s">
        <v>90</v>
      </c>
      <c r="F510" s="1623">
        <f>+IFERROR(VLOOKUP($B510,'TB 260524'!$A:$C,2,0),0)</f>
        <v>0</v>
      </c>
      <c r="G510" s="1623"/>
      <c r="H510" s="1623">
        <f t="shared" si="14"/>
        <v>0</v>
      </c>
      <c r="I510" s="1623">
        <f>+IFERROR(VLOOKUP($B510,'TB 260524'!$A:$C,3,0),0)</f>
        <v>0</v>
      </c>
      <c r="J510" s="1623"/>
      <c r="K510" s="1623">
        <f t="shared" si="15"/>
        <v>0</v>
      </c>
      <c r="L510" s="1623">
        <v>116981</v>
      </c>
      <c r="M510" s="1623">
        <v>0</v>
      </c>
      <c r="N510" s="1623">
        <v>116981</v>
      </c>
      <c r="O510" s="1623">
        <v>0</v>
      </c>
      <c r="P510" s="1623">
        <v>0</v>
      </c>
      <c r="Q510" s="1623">
        <v>0</v>
      </c>
    </row>
    <row r="511" spans="2:17">
      <c r="B511" s="856" t="s">
        <v>308</v>
      </c>
      <c r="C511" s="856">
        <v>18</v>
      </c>
      <c r="D511" s="856" t="s">
        <v>214</v>
      </c>
      <c r="E511" s="856" t="s">
        <v>90</v>
      </c>
      <c r="F511" s="1623">
        <f>+IFERROR(VLOOKUP($B511,'TB 260524'!$A:$C,2,0),0)</f>
        <v>0</v>
      </c>
      <c r="G511" s="1623"/>
      <c r="H511" s="1623">
        <f t="shared" si="14"/>
        <v>0</v>
      </c>
      <c r="I511" s="1623">
        <f>+IFERROR(VLOOKUP($B511,'TB 260524'!$A:$C,3,0),0)</f>
        <v>0</v>
      </c>
      <c r="J511" s="1623"/>
      <c r="K511" s="1623">
        <f t="shared" si="15"/>
        <v>0</v>
      </c>
      <c r="L511" s="1623">
        <v>116981</v>
      </c>
      <c r="M511" s="1623">
        <v>0</v>
      </c>
      <c r="N511" s="1623">
        <v>116981</v>
      </c>
      <c r="O511" s="1623">
        <v>0</v>
      </c>
      <c r="P511" s="1623">
        <v>0</v>
      </c>
      <c r="Q511" s="1623">
        <v>0</v>
      </c>
    </row>
    <row r="512" spans="2:17">
      <c r="B512" s="856" t="s">
        <v>319</v>
      </c>
      <c r="C512" s="856">
        <v>9</v>
      </c>
      <c r="D512" s="856" t="s">
        <v>35</v>
      </c>
      <c r="E512" s="856" t="s">
        <v>36</v>
      </c>
      <c r="F512" s="1623">
        <f>+IFERROR(VLOOKUP($B512,'TB 260524'!$A:$C,2,0),0)</f>
        <v>0</v>
      </c>
      <c r="G512" s="1623"/>
      <c r="H512" s="1623">
        <f t="shared" si="14"/>
        <v>0</v>
      </c>
      <c r="I512" s="1623">
        <f>+IFERROR(VLOOKUP($B512,'TB 260524'!$A:$C,3,0),0)</f>
        <v>0</v>
      </c>
      <c r="J512" s="1623"/>
      <c r="K512" s="1623">
        <f t="shared" si="15"/>
        <v>0</v>
      </c>
      <c r="L512" s="1623">
        <v>0</v>
      </c>
      <c r="M512" s="1623">
        <v>0</v>
      </c>
      <c r="N512" s="1623">
        <v>0</v>
      </c>
      <c r="O512" s="1623">
        <v>0</v>
      </c>
      <c r="P512" s="1623">
        <v>0</v>
      </c>
      <c r="Q512" s="1623">
        <v>0</v>
      </c>
    </row>
    <row r="513" spans="2:17">
      <c r="B513" s="856" t="s">
        <v>329</v>
      </c>
      <c r="C513" s="856">
        <v>21</v>
      </c>
      <c r="D513" s="856" t="s">
        <v>143</v>
      </c>
      <c r="E513" s="856" t="s">
        <v>144</v>
      </c>
      <c r="F513" s="1623">
        <f>+IFERROR(VLOOKUP($B513,'TB 260524'!$A:$C,2,0),0)</f>
        <v>0</v>
      </c>
      <c r="G513" s="1623"/>
      <c r="H513" s="1623">
        <f t="shared" si="14"/>
        <v>0</v>
      </c>
      <c r="I513" s="1623">
        <f>+IFERROR(VLOOKUP($B513,'TB 260524'!$A:$C,3,0),0)</f>
        <v>0</v>
      </c>
      <c r="J513" s="1623"/>
      <c r="K513" s="1623">
        <f t="shared" si="15"/>
        <v>0</v>
      </c>
      <c r="L513" s="1623">
        <v>0</v>
      </c>
      <c r="M513" s="1623">
        <v>0</v>
      </c>
      <c r="N513" s="1623">
        <v>0</v>
      </c>
      <c r="O513" s="1623">
        <v>20016750.5</v>
      </c>
      <c r="P513" s="1623">
        <v>0</v>
      </c>
      <c r="Q513" s="1623">
        <v>20016750.5</v>
      </c>
    </row>
    <row r="514" spans="2:17">
      <c r="B514" s="856" t="s">
        <v>330</v>
      </c>
      <c r="C514" s="856">
        <v>6</v>
      </c>
      <c r="D514" s="856" t="s">
        <v>13</v>
      </c>
      <c r="E514" s="856" t="s">
        <v>14</v>
      </c>
      <c r="F514" s="1623">
        <f>+IFERROR(VLOOKUP($B514,'TB 260524'!$A:$C,2,0),0)</f>
        <v>0</v>
      </c>
      <c r="G514" s="1623"/>
      <c r="H514" s="1623">
        <f t="shared" si="14"/>
        <v>0</v>
      </c>
      <c r="I514" s="1623">
        <f>+IFERROR(VLOOKUP($B514,'TB 260524'!$A:$C,3,0),0)</f>
        <v>0</v>
      </c>
      <c r="J514" s="1623"/>
      <c r="K514" s="1623">
        <f t="shared" si="15"/>
        <v>0</v>
      </c>
      <c r="L514" s="1623">
        <v>0</v>
      </c>
      <c r="M514" s="1623">
        <v>0</v>
      </c>
      <c r="N514" s="1623">
        <v>0</v>
      </c>
      <c r="O514" s="1623">
        <v>0</v>
      </c>
      <c r="P514" s="1623">
        <v>0</v>
      </c>
      <c r="Q514" s="1623">
        <v>0</v>
      </c>
    </row>
    <row r="515" spans="2:17">
      <c r="B515" s="856" t="s">
        <v>331</v>
      </c>
      <c r="C515" s="856">
        <v>6</v>
      </c>
      <c r="D515" s="856" t="s">
        <v>13</v>
      </c>
      <c r="E515" s="856" t="s">
        <v>14</v>
      </c>
      <c r="F515" s="1623">
        <f>+IFERROR(VLOOKUP($B515,'TB 260524'!$A:$C,2,0),0)</f>
        <v>0</v>
      </c>
      <c r="G515" s="1623"/>
      <c r="H515" s="1623">
        <f t="shared" si="14"/>
        <v>0</v>
      </c>
      <c r="I515" s="1623">
        <f>+IFERROR(VLOOKUP($B515,'TB 260524'!$A:$C,3,0),0)</f>
        <v>0</v>
      </c>
      <c r="J515" s="1623"/>
      <c r="K515" s="1623">
        <f t="shared" si="15"/>
        <v>0</v>
      </c>
      <c r="L515" s="1623">
        <v>0</v>
      </c>
      <c r="M515" s="1623">
        <v>0</v>
      </c>
      <c r="N515" s="1623">
        <v>0</v>
      </c>
      <c r="O515" s="1623">
        <v>0</v>
      </c>
      <c r="P515" s="1623">
        <v>0</v>
      </c>
      <c r="Q515" s="1623">
        <v>0</v>
      </c>
    </row>
    <row r="516" spans="2:17">
      <c r="B516" s="856" t="s">
        <v>334</v>
      </c>
      <c r="C516" s="856">
        <v>17</v>
      </c>
      <c r="D516" s="856" t="s">
        <v>8</v>
      </c>
      <c r="E516" s="856" t="s">
        <v>8</v>
      </c>
      <c r="F516" s="1623">
        <f>+IFERROR(VLOOKUP($B516,'TB 260524'!$A:$C,2,0),0)</f>
        <v>0</v>
      </c>
      <c r="G516" s="1623"/>
      <c r="H516" s="1623">
        <f t="shared" si="14"/>
        <v>0</v>
      </c>
      <c r="I516" s="1623">
        <f>+IFERROR(VLOOKUP($B516,'TB 260524'!$A:$C,3,0),0)</f>
        <v>0</v>
      </c>
      <c r="J516" s="1623"/>
      <c r="K516" s="1623">
        <f t="shared" si="15"/>
        <v>0</v>
      </c>
      <c r="L516" s="1623">
        <v>0</v>
      </c>
      <c r="M516" s="1623">
        <v>0</v>
      </c>
      <c r="N516" s="1623">
        <v>0</v>
      </c>
      <c r="O516" s="1623">
        <v>182880</v>
      </c>
      <c r="P516" s="1623">
        <v>0</v>
      </c>
      <c r="Q516" s="1623">
        <v>182880</v>
      </c>
    </row>
    <row r="517" spans="2:17">
      <c r="B517" s="856" t="s">
        <v>335</v>
      </c>
      <c r="C517" s="856">
        <v>27</v>
      </c>
      <c r="D517" s="856" t="s">
        <v>48</v>
      </c>
      <c r="E517" s="856" t="s">
        <v>49</v>
      </c>
      <c r="F517" s="1623">
        <f>+IFERROR(VLOOKUP($B517,'TB 260524'!$A:$C,2,0),0)</f>
        <v>0</v>
      </c>
      <c r="G517" s="1623"/>
      <c r="H517" s="1623">
        <f t="shared" si="14"/>
        <v>0</v>
      </c>
      <c r="I517" s="1623">
        <f>+IFERROR(VLOOKUP($B517,'TB 260524'!$A:$C,3,0),0)</f>
        <v>0</v>
      </c>
      <c r="J517" s="1623"/>
      <c r="K517" s="1623">
        <f t="shared" si="15"/>
        <v>0</v>
      </c>
      <c r="L517" s="1623">
        <v>0</v>
      </c>
      <c r="M517" s="1623">
        <v>0</v>
      </c>
      <c r="N517" s="1623">
        <v>0</v>
      </c>
      <c r="O517" s="1623">
        <v>0</v>
      </c>
      <c r="P517" s="1623">
        <v>0</v>
      </c>
      <c r="Q517" s="1623">
        <v>0</v>
      </c>
    </row>
    <row r="518" spans="2:17">
      <c r="B518" s="856" t="s">
        <v>346</v>
      </c>
      <c r="C518" s="856">
        <v>9</v>
      </c>
      <c r="D518" s="856" t="s">
        <v>35</v>
      </c>
      <c r="E518" s="856" t="s">
        <v>36</v>
      </c>
      <c r="F518" s="1623">
        <f>+IFERROR(VLOOKUP($B518,'TB 260524'!$A:$C,2,0),0)</f>
        <v>0</v>
      </c>
      <c r="G518" s="1623"/>
      <c r="H518" s="1623">
        <f t="shared" si="14"/>
        <v>0</v>
      </c>
      <c r="I518" s="1623">
        <f>+IFERROR(VLOOKUP($B518,'TB 260524'!$A:$C,3,0),0)</f>
        <v>0</v>
      </c>
      <c r="J518" s="1623"/>
      <c r="K518" s="1623">
        <f t="shared" si="15"/>
        <v>0</v>
      </c>
      <c r="L518" s="1623">
        <v>27000</v>
      </c>
      <c r="M518" s="1623">
        <v>0</v>
      </c>
      <c r="N518" s="1623">
        <v>27000</v>
      </c>
      <c r="O518" s="1623">
        <v>0</v>
      </c>
      <c r="P518" s="1623">
        <v>0</v>
      </c>
      <c r="Q518" s="1623">
        <v>0</v>
      </c>
    </row>
    <row r="519" spans="2:17">
      <c r="B519" s="856" t="s">
        <v>347</v>
      </c>
      <c r="C519" s="856">
        <v>17</v>
      </c>
      <c r="D519" s="856" t="s">
        <v>8</v>
      </c>
      <c r="E519" s="856" t="s">
        <v>8</v>
      </c>
      <c r="F519" s="1623">
        <f>+IFERROR(VLOOKUP($B519,'TB 260524'!$A:$C,2,0),0)</f>
        <v>0</v>
      </c>
      <c r="G519" s="1623"/>
      <c r="H519" s="1623">
        <f t="shared" ref="H519:H573" si="16">+F519+G519</f>
        <v>0</v>
      </c>
      <c r="I519" s="1623">
        <f>+IFERROR(VLOOKUP($B519,'TB 260524'!$A:$C,3,0),0)</f>
        <v>0</v>
      </c>
      <c r="J519" s="1623"/>
      <c r="K519" s="1623">
        <f t="shared" ref="K519:K573" si="17">+I519+J519</f>
        <v>0</v>
      </c>
      <c r="L519" s="1623">
        <v>0</v>
      </c>
      <c r="M519" s="1623">
        <v>0</v>
      </c>
      <c r="N519" s="1623">
        <v>0</v>
      </c>
      <c r="O519" s="1623">
        <v>0</v>
      </c>
      <c r="P519" s="1623">
        <v>0</v>
      </c>
      <c r="Q519" s="1623">
        <v>0</v>
      </c>
    </row>
    <row r="520" spans="2:17">
      <c r="B520" s="856" t="s">
        <v>348</v>
      </c>
      <c r="C520" s="856">
        <v>9</v>
      </c>
      <c r="D520" s="856" t="s">
        <v>35</v>
      </c>
      <c r="E520" s="856" t="s">
        <v>36</v>
      </c>
      <c r="F520" s="1623">
        <f>+IFERROR(VLOOKUP($B520,'TB 260524'!$A:$C,2,0),0)</f>
        <v>0</v>
      </c>
      <c r="G520" s="1623"/>
      <c r="H520" s="1623">
        <f t="shared" si="16"/>
        <v>0</v>
      </c>
      <c r="I520" s="1623">
        <f>+IFERROR(VLOOKUP($B520,'TB 260524'!$A:$C,3,0),0)</f>
        <v>0</v>
      </c>
      <c r="J520" s="1623"/>
      <c r="K520" s="1623">
        <f t="shared" si="17"/>
        <v>0</v>
      </c>
      <c r="L520" s="1623">
        <v>0</v>
      </c>
      <c r="M520" s="1623">
        <v>0</v>
      </c>
      <c r="N520" s="1623">
        <v>0</v>
      </c>
      <c r="O520" s="1623">
        <v>0</v>
      </c>
      <c r="P520" s="1623">
        <v>0</v>
      </c>
      <c r="Q520" s="1623">
        <v>0</v>
      </c>
    </row>
    <row r="521" spans="2:17">
      <c r="B521" s="856" t="s">
        <v>352</v>
      </c>
      <c r="C521" s="856">
        <v>18</v>
      </c>
      <c r="D521" s="856" t="s">
        <v>214</v>
      </c>
      <c r="E521" s="856" t="s">
        <v>107</v>
      </c>
      <c r="F521" s="1623">
        <f>+IFERROR(VLOOKUP($B521,'TB 260524'!$A:$C,2,0),0)</f>
        <v>0</v>
      </c>
      <c r="G521" s="1623"/>
      <c r="H521" s="1623">
        <f t="shared" si="16"/>
        <v>0</v>
      </c>
      <c r="I521" s="1623">
        <f>+IFERROR(VLOOKUP($B521,'TB 260524'!$A:$C,3,0),0)</f>
        <v>0</v>
      </c>
      <c r="J521" s="1623"/>
      <c r="K521" s="1623">
        <f t="shared" si="17"/>
        <v>0</v>
      </c>
      <c r="L521" s="1623">
        <v>0</v>
      </c>
      <c r="M521" s="1623">
        <v>0</v>
      </c>
      <c r="N521" s="1623">
        <v>0</v>
      </c>
      <c r="O521" s="1623">
        <v>2555</v>
      </c>
      <c r="P521" s="1623">
        <v>0</v>
      </c>
      <c r="Q521" s="1623">
        <v>2555</v>
      </c>
    </row>
    <row r="522" spans="2:17">
      <c r="B522" s="856" t="s">
        <v>357</v>
      </c>
      <c r="C522" s="856">
        <v>17</v>
      </c>
      <c r="D522" s="856" t="s">
        <v>8</v>
      </c>
      <c r="E522" s="856" t="s">
        <v>9</v>
      </c>
      <c r="F522" s="1623">
        <f>+IFERROR(VLOOKUP($B522,'TB 260524'!$A:$C,2,0),0)</f>
        <v>0</v>
      </c>
      <c r="G522" s="1623"/>
      <c r="H522" s="1623">
        <f t="shared" si="16"/>
        <v>0</v>
      </c>
      <c r="I522" s="1623">
        <f>+IFERROR(VLOOKUP($B522,'TB 260524'!$A:$C,3,0),0)</f>
        <v>0</v>
      </c>
      <c r="J522" s="1623"/>
      <c r="K522" s="1623">
        <f t="shared" si="17"/>
        <v>0</v>
      </c>
      <c r="L522" s="1623">
        <v>0</v>
      </c>
      <c r="M522" s="1623">
        <v>0</v>
      </c>
      <c r="N522" s="1623">
        <v>0</v>
      </c>
      <c r="O522" s="1623">
        <v>0</v>
      </c>
      <c r="P522" s="1623">
        <v>0</v>
      </c>
      <c r="Q522" s="1623">
        <v>0</v>
      </c>
    </row>
    <row r="523" spans="2:17">
      <c r="B523" s="856" t="s">
        <v>360</v>
      </c>
      <c r="C523" s="856">
        <v>17</v>
      </c>
      <c r="D523" s="856" t="s">
        <v>8</v>
      </c>
      <c r="E523" s="856" t="s">
        <v>8</v>
      </c>
      <c r="F523" s="1623">
        <f>+IFERROR(VLOOKUP($B523,'TB 260524'!$A:$C,2,0),0)</f>
        <v>0</v>
      </c>
      <c r="G523" s="1623"/>
      <c r="H523" s="1623">
        <f t="shared" si="16"/>
        <v>0</v>
      </c>
      <c r="I523" s="1623">
        <f>+IFERROR(VLOOKUP($B523,'TB 260524'!$A:$C,3,0),0)</f>
        <v>0</v>
      </c>
      <c r="J523" s="1623"/>
      <c r="K523" s="1623">
        <f t="shared" si="17"/>
        <v>0</v>
      </c>
      <c r="L523" s="1623">
        <v>0</v>
      </c>
      <c r="M523" s="1623">
        <v>0</v>
      </c>
      <c r="N523" s="1623">
        <v>0</v>
      </c>
      <c r="O523" s="1623">
        <v>80955</v>
      </c>
      <c r="P523" s="1623">
        <v>0</v>
      </c>
      <c r="Q523" s="1623">
        <v>80955</v>
      </c>
    </row>
    <row r="524" spans="2:17">
      <c r="B524" s="856" t="s">
        <v>361</v>
      </c>
      <c r="C524" s="856">
        <v>6</v>
      </c>
      <c r="D524" s="856" t="s">
        <v>13</v>
      </c>
      <c r="E524" s="856" t="s">
        <v>14</v>
      </c>
      <c r="F524" s="1623">
        <f>+IFERROR(VLOOKUP($B524,'TB 260524'!$A:$C,2,0),0)</f>
        <v>0</v>
      </c>
      <c r="G524" s="1623"/>
      <c r="H524" s="1623">
        <f t="shared" si="16"/>
        <v>0</v>
      </c>
      <c r="I524" s="1623">
        <f>+IFERROR(VLOOKUP($B524,'TB 260524'!$A:$C,3,0),0)</f>
        <v>0</v>
      </c>
      <c r="J524" s="1623"/>
      <c r="K524" s="1623">
        <f t="shared" si="17"/>
        <v>0</v>
      </c>
      <c r="L524" s="1623">
        <v>0</v>
      </c>
      <c r="M524" s="1623">
        <v>0</v>
      </c>
      <c r="N524" s="1623">
        <v>0</v>
      </c>
      <c r="O524" s="1623">
        <v>0</v>
      </c>
      <c r="P524" s="1623">
        <v>0</v>
      </c>
      <c r="Q524" s="1623">
        <v>0</v>
      </c>
    </row>
    <row r="525" spans="2:17">
      <c r="B525" s="856" t="s">
        <v>362</v>
      </c>
      <c r="C525" s="856">
        <v>17</v>
      </c>
      <c r="D525" s="856" t="s">
        <v>8</v>
      </c>
      <c r="E525" s="856" t="s">
        <v>9</v>
      </c>
      <c r="F525" s="1623">
        <f>+IFERROR(VLOOKUP($B525,'TB 260524'!$A:$C,2,0),0)</f>
        <v>0</v>
      </c>
      <c r="G525" s="1623"/>
      <c r="H525" s="1623">
        <f t="shared" si="16"/>
        <v>0</v>
      </c>
      <c r="I525" s="1623">
        <f>+IFERROR(VLOOKUP($B525,'TB 260524'!$A:$C,3,0),0)</f>
        <v>0</v>
      </c>
      <c r="J525" s="1623"/>
      <c r="K525" s="1623">
        <f t="shared" si="17"/>
        <v>0</v>
      </c>
      <c r="L525" s="1623">
        <v>0</v>
      </c>
      <c r="M525" s="1623">
        <v>0</v>
      </c>
      <c r="N525" s="1623">
        <v>0</v>
      </c>
      <c r="O525" s="1623">
        <v>0</v>
      </c>
      <c r="P525" s="1623">
        <v>0</v>
      </c>
      <c r="Q525" s="1623">
        <v>0</v>
      </c>
    </row>
    <row r="526" spans="2:17">
      <c r="B526" s="856" t="s">
        <v>363</v>
      </c>
      <c r="C526" s="856">
        <v>6</v>
      </c>
      <c r="D526" s="856" t="s">
        <v>13</v>
      </c>
      <c r="E526" s="856" t="s">
        <v>14</v>
      </c>
      <c r="F526" s="1623">
        <f>+IFERROR(VLOOKUP($B526,'TB 260524'!$A:$C,2,0),0)</f>
        <v>0</v>
      </c>
      <c r="G526" s="1623"/>
      <c r="H526" s="1623">
        <f t="shared" si="16"/>
        <v>0</v>
      </c>
      <c r="I526" s="1623">
        <f>+IFERROR(VLOOKUP($B526,'TB 260524'!$A:$C,3,0),0)</f>
        <v>0</v>
      </c>
      <c r="J526" s="1623"/>
      <c r="K526" s="1623">
        <f t="shared" si="17"/>
        <v>0</v>
      </c>
      <c r="L526" s="1623">
        <v>0</v>
      </c>
      <c r="M526" s="1623">
        <v>0</v>
      </c>
      <c r="N526" s="1623">
        <v>0</v>
      </c>
      <c r="O526" s="1623">
        <v>0</v>
      </c>
      <c r="P526" s="1623">
        <v>0</v>
      </c>
      <c r="Q526" s="1623">
        <v>0</v>
      </c>
    </row>
    <row r="527" spans="2:17">
      <c r="B527" s="856" t="s">
        <v>364</v>
      </c>
      <c r="C527" s="856">
        <v>17</v>
      </c>
      <c r="D527" s="856" t="s">
        <v>8</v>
      </c>
      <c r="E527" s="856" t="s">
        <v>9</v>
      </c>
      <c r="F527" s="1623">
        <f>+IFERROR(VLOOKUP($B527,'TB 260524'!$A:$C,2,0),0)</f>
        <v>0</v>
      </c>
      <c r="G527" s="1623"/>
      <c r="H527" s="1623">
        <f t="shared" si="16"/>
        <v>0</v>
      </c>
      <c r="I527" s="1623">
        <f>+IFERROR(VLOOKUP($B527,'TB 260524'!$A:$C,3,0),0)</f>
        <v>0</v>
      </c>
      <c r="J527" s="1623"/>
      <c r="K527" s="1623">
        <f t="shared" si="17"/>
        <v>0</v>
      </c>
      <c r="L527" s="1623">
        <v>0</v>
      </c>
      <c r="M527" s="1623">
        <v>0</v>
      </c>
      <c r="N527" s="1623">
        <v>0</v>
      </c>
      <c r="O527" s="1623">
        <v>21491</v>
      </c>
      <c r="P527" s="1623">
        <v>0</v>
      </c>
      <c r="Q527" s="1623">
        <v>21491</v>
      </c>
    </row>
    <row r="528" spans="2:17">
      <c r="B528" s="856" t="s">
        <v>365</v>
      </c>
      <c r="C528" s="856">
        <v>27</v>
      </c>
      <c r="D528" s="856" t="s">
        <v>28</v>
      </c>
      <c r="E528" s="856" t="s">
        <v>366</v>
      </c>
      <c r="F528" s="1623">
        <f>+IFERROR(VLOOKUP($B528,'TB 260524'!$A:$C,2,0),0)</f>
        <v>0</v>
      </c>
      <c r="G528" s="1623"/>
      <c r="H528" s="1623">
        <f t="shared" si="16"/>
        <v>0</v>
      </c>
      <c r="I528" s="1623">
        <f>+IFERROR(VLOOKUP($B528,'TB 260524'!$A:$C,3,0),0)</f>
        <v>0</v>
      </c>
      <c r="J528" s="1623"/>
      <c r="K528" s="1623">
        <f t="shared" si="17"/>
        <v>0</v>
      </c>
      <c r="L528" s="1623">
        <v>67144</v>
      </c>
      <c r="M528" s="1623">
        <v>0</v>
      </c>
      <c r="N528" s="1623">
        <v>67144</v>
      </c>
      <c r="O528" s="1623">
        <v>0</v>
      </c>
      <c r="P528" s="1623">
        <v>0</v>
      </c>
      <c r="Q528" s="1623">
        <v>0</v>
      </c>
    </row>
    <row r="529" spans="2:17">
      <c r="B529" s="856" t="s">
        <v>367</v>
      </c>
      <c r="C529" s="856">
        <v>18</v>
      </c>
      <c r="D529" s="856" t="s">
        <v>214</v>
      </c>
      <c r="E529" s="856" t="s">
        <v>90</v>
      </c>
      <c r="F529" s="1623">
        <f>+IFERROR(VLOOKUP($B529,'TB 260524'!$A:$C,2,0),0)</f>
        <v>0</v>
      </c>
      <c r="G529" s="1623"/>
      <c r="H529" s="1623">
        <f t="shared" si="16"/>
        <v>0</v>
      </c>
      <c r="I529" s="1623">
        <f>+IFERROR(VLOOKUP($B529,'TB 260524'!$A:$C,3,0),0)</f>
        <v>0</v>
      </c>
      <c r="J529" s="1623"/>
      <c r="K529" s="1623">
        <f t="shared" si="17"/>
        <v>0</v>
      </c>
      <c r="L529" s="1623">
        <v>0</v>
      </c>
      <c r="M529" s="1623">
        <v>0</v>
      </c>
      <c r="N529" s="1623">
        <v>0</v>
      </c>
      <c r="O529" s="1623">
        <v>0</v>
      </c>
      <c r="P529" s="1623">
        <v>0</v>
      </c>
      <c r="Q529" s="1623">
        <v>0</v>
      </c>
    </row>
    <row r="530" spans="2:17">
      <c r="B530" s="856" t="s">
        <v>1114</v>
      </c>
      <c r="C530" s="856">
        <v>4</v>
      </c>
      <c r="D530" s="856" t="s">
        <v>22</v>
      </c>
      <c r="E530" s="856" t="s">
        <v>23</v>
      </c>
      <c r="F530" s="1623">
        <f>+IFERROR(VLOOKUP($B530,'TB 260524'!$A:$C,2,0),0)</f>
        <v>0</v>
      </c>
      <c r="G530" s="1623"/>
      <c r="H530" s="1623">
        <f t="shared" si="16"/>
        <v>0</v>
      </c>
      <c r="I530" s="1623">
        <f>+IFERROR(VLOOKUP($B530,'TB 260524'!$A:$C,3,0),0)</f>
        <v>0</v>
      </c>
      <c r="J530" s="1623"/>
      <c r="K530" s="1623">
        <f t="shared" si="17"/>
        <v>0</v>
      </c>
      <c r="L530" s="1623">
        <v>0</v>
      </c>
      <c r="M530" s="1623">
        <v>0</v>
      </c>
      <c r="N530" s="1623">
        <v>0</v>
      </c>
      <c r="O530" s="1623">
        <v>0</v>
      </c>
      <c r="P530" s="1623">
        <v>0</v>
      </c>
      <c r="Q530" s="1623">
        <v>0</v>
      </c>
    </row>
    <row r="531" spans="2:17">
      <c r="B531" s="856" t="s">
        <v>368</v>
      </c>
      <c r="C531" s="856">
        <v>18</v>
      </c>
      <c r="D531" s="856" t="s">
        <v>214</v>
      </c>
      <c r="E531" s="856" t="s">
        <v>2258</v>
      </c>
      <c r="F531" s="1623">
        <f>+IFERROR(VLOOKUP($B531,'TB 260524'!$A:$C,2,0),0)</f>
        <v>0</v>
      </c>
      <c r="G531" s="1623"/>
      <c r="H531" s="1623">
        <f t="shared" si="16"/>
        <v>0</v>
      </c>
      <c r="I531" s="1623">
        <f>+IFERROR(VLOOKUP($B531,'TB 260524'!$A:$C,3,0),0)</f>
        <v>0</v>
      </c>
      <c r="J531" s="1623"/>
      <c r="K531" s="1623">
        <f t="shared" si="17"/>
        <v>0</v>
      </c>
      <c r="L531" s="1623">
        <v>0</v>
      </c>
      <c r="M531" s="1623">
        <v>0</v>
      </c>
      <c r="N531" s="1623">
        <v>0</v>
      </c>
      <c r="O531" s="1623">
        <v>3104070</v>
      </c>
      <c r="P531" s="1623">
        <v>0</v>
      </c>
      <c r="Q531" s="1623">
        <v>3104070</v>
      </c>
    </row>
    <row r="532" spans="2:17">
      <c r="B532" s="856" t="s">
        <v>369</v>
      </c>
      <c r="C532" s="856">
        <v>17</v>
      </c>
      <c r="D532" s="856" t="s">
        <v>8</v>
      </c>
      <c r="E532" s="856" t="s">
        <v>8</v>
      </c>
      <c r="F532" s="1623">
        <f>+IFERROR(VLOOKUP($B532,'TB 260524'!$A:$C,2,0),0)</f>
        <v>0</v>
      </c>
      <c r="G532" s="1623"/>
      <c r="H532" s="1623">
        <f t="shared" si="16"/>
        <v>0</v>
      </c>
      <c r="I532" s="1623">
        <f>+IFERROR(VLOOKUP($B532,'TB 260524'!$A:$C,3,0),0)</f>
        <v>0</v>
      </c>
      <c r="J532" s="1623"/>
      <c r="K532" s="1623">
        <f t="shared" si="17"/>
        <v>0</v>
      </c>
      <c r="L532" s="1623">
        <v>0</v>
      </c>
      <c r="M532" s="1623">
        <v>0</v>
      </c>
      <c r="N532" s="1623">
        <v>0</v>
      </c>
      <c r="O532" s="1623">
        <v>0</v>
      </c>
      <c r="P532" s="1623">
        <v>0</v>
      </c>
      <c r="Q532" s="1623">
        <v>0</v>
      </c>
    </row>
    <row r="533" spans="2:17">
      <c r="B533" s="856" t="s">
        <v>371</v>
      </c>
      <c r="C533" s="856">
        <v>17</v>
      </c>
      <c r="D533" s="856" t="s">
        <v>8</v>
      </c>
      <c r="E533" s="856" t="s">
        <v>9</v>
      </c>
      <c r="F533" s="1623">
        <f>+IFERROR(VLOOKUP($B533,'TB 260524'!$A:$C,2,0),0)</f>
        <v>0</v>
      </c>
      <c r="G533" s="1623"/>
      <c r="H533" s="1623">
        <f t="shared" si="16"/>
        <v>0</v>
      </c>
      <c r="I533" s="1623">
        <f>+IFERROR(VLOOKUP($B533,'TB 260524'!$A:$C,3,0),0)</f>
        <v>0</v>
      </c>
      <c r="J533" s="1623"/>
      <c r="K533" s="1623">
        <f t="shared" si="17"/>
        <v>0</v>
      </c>
      <c r="L533" s="1623">
        <v>0</v>
      </c>
      <c r="M533" s="1623">
        <v>0</v>
      </c>
      <c r="N533" s="1623">
        <v>0</v>
      </c>
      <c r="O533" s="1623">
        <v>0</v>
      </c>
      <c r="P533" s="1623">
        <v>0</v>
      </c>
      <c r="Q533" s="1623">
        <v>0</v>
      </c>
    </row>
    <row r="534" spans="2:17">
      <c r="B534" s="856" t="s">
        <v>372</v>
      </c>
      <c r="C534" s="856">
        <v>27</v>
      </c>
      <c r="D534" s="856" t="s">
        <v>48</v>
      </c>
      <c r="E534" s="856" t="s">
        <v>64</v>
      </c>
      <c r="F534" s="1623">
        <f>+IFERROR(VLOOKUP($B534,'TB 260524'!$A:$C,2,0),0)</f>
        <v>0</v>
      </c>
      <c r="G534" s="1623"/>
      <c r="H534" s="1623">
        <f t="shared" si="16"/>
        <v>0</v>
      </c>
      <c r="I534" s="1623">
        <f>+IFERROR(VLOOKUP($B534,'TB 260524'!$A:$C,3,0),0)</f>
        <v>0</v>
      </c>
      <c r="J534" s="1623"/>
      <c r="K534" s="1623">
        <f t="shared" si="17"/>
        <v>0</v>
      </c>
      <c r="L534" s="1623">
        <v>0</v>
      </c>
      <c r="M534" s="1623">
        <v>0</v>
      </c>
      <c r="N534" s="1623">
        <v>0</v>
      </c>
      <c r="O534" s="1623">
        <v>0</v>
      </c>
      <c r="P534" s="1623">
        <v>0</v>
      </c>
      <c r="Q534" s="1623">
        <v>0</v>
      </c>
    </row>
    <row r="535" spans="2:17">
      <c r="B535" s="856" t="s">
        <v>2767</v>
      </c>
      <c r="C535" s="856">
        <v>23</v>
      </c>
      <c r="D535" s="856" t="s">
        <v>96</v>
      </c>
      <c r="E535" s="856" t="s">
        <v>97</v>
      </c>
      <c r="F535" s="1623">
        <f>+IFERROR(VLOOKUP($B535,'TB 260524'!$A:$C,2,0),0)</f>
        <v>0</v>
      </c>
      <c r="G535" s="1623"/>
      <c r="H535" s="1623">
        <f t="shared" si="16"/>
        <v>0</v>
      </c>
      <c r="I535" s="1623">
        <f>+IFERROR(VLOOKUP($B535,'TB 260524'!$A:$C,3,0),0)</f>
        <v>0</v>
      </c>
      <c r="J535" s="1623"/>
      <c r="K535" s="1623">
        <f t="shared" si="17"/>
        <v>0</v>
      </c>
      <c r="L535" s="1623">
        <v>419631</v>
      </c>
      <c r="M535" s="1623">
        <v>0</v>
      </c>
      <c r="N535" s="1623">
        <v>419631</v>
      </c>
      <c r="O535" s="1623">
        <v>0</v>
      </c>
      <c r="P535" s="1623">
        <v>0</v>
      </c>
      <c r="Q535" s="1623">
        <v>0</v>
      </c>
    </row>
    <row r="536" spans="2:17">
      <c r="B536" s="856" t="s">
        <v>2621</v>
      </c>
      <c r="C536" s="856">
        <v>18</v>
      </c>
      <c r="D536" s="856" t="s">
        <v>214</v>
      </c>
      <c r="E536" s="856" t="s">
        <v>2622</v>
      </c>
      <c r="F536" s="1623">
        <f>+IFERROR(VLOOKUP($B536,'TB 260524'!$A:$C,2,0),0)</f>
        <v>0</v>
      </c>
      <c r="G536" s="1623"/>
      <c r="H536" s="1623">
        <f t="shared" si="16"/>
        <v>0</v>
      </c>
      <c r="I536" s="1623">
        <f>+IFERROR(VLOOKUP($B536,'TB 260524'!$A:$C,3,0),0)</f>
        <v>0</v>
      </c>
      <c r="J536" s="1623"/>
      <c r="K536" s="1623">
        <f t="shared" si="17"/>
        <v>0</v>
      </c>
      <c r="L536" s="1623">
        <v>0</v>
      </c>
      <c r="M536" s="1623">
        <v>0</v>
      </c>
      <c r="N536" s="1623">
        <v>0</v>
      </c>
      <c r="O536" s="1623">
        <v>0</v>
      </c>
      <c r="P536" s="1623">
        <v>0</v>
      </c>
      <c r="Q536" s="1623">
        <v>0</v>
      </c>
    </row>
    <row r="537" spans="2:17">
      <c r="B537" s="856" t="s">
        <v>375</v>
      </c>
      <c r="C537" s="856">
        <v>17</v>
      </c>
      <c r="D537" s="856" t="s">
        <v>8</v>
      </c>
      <c r="E537" s="856" t="s">
        <v>9</v>
      </c>
      <c r="F537" s="1623">
        <f>+IFERROR(VLOOKUP($B537,'TB 260524'!$A:$C,2,0),0)</f>
        <v>0</v>
      </c>
      <c r="G537" s="1623"/>
      <c r="H537" s="1623">
        <f t="shared" si="16"/>
        <v>0</v>
      </c>
      <c r="I537" s="1623">
        <f>+IFERROR(VLOOKUP($B537,'TB 260524'!$A:$C,3,0),0)</f>
        <v>0</v>
      </c>
      <c r="J537" s="1623"/>
      <c r="K537" s="1623">
        <f t="shared" si="17"/>
        <v>0</v>
      </c>
      <c r="L537" s="1623">
        <v>0</v>
      </c>
      <c r="M537" s="1623">
        <v>0</v>
      </c>
      <c r="N537" s="1623">
        <v>0</v>
      </c>
      <c r="O537" s="1623">
        <v>0</v>
      </c>
      <c r="P537" s="1623">
        <v>0</v>
      </c>
      <c r="Q537" s="1623">
        <v>0</v>
      </c>
    </row>
    <row r="538" spans="2:17">
      <c r="B538" s="856" t="s">
        <v>376</v>
      </c>
      <c r="C538" s="856">
        <v>27</v>
      </c>
      <c r="D538" s="856" t="s">
        <v>48</v>
      </c>
      <c r="E538" s="856" t="s">
        <v>82</v>
      </c>
      <c r="F538" s="1623">
        <f>+IFERROR(VLOOKUP($B538,'TB 260524'!$A:$C,2,0),0)</f>
        <v>0</v>
      </c>
      <c r="G538" s="1623"/>
      <c r="H538" s="1623">
        <f t="shared" si="16"/>
        <v>0</v>
      </c>
      <c r="I538" s="1623">
        <f>+IFERROR(VLOOKUP($B538,'TB 260524'!$A:$C,3,0),0)</f>
        <v>0</v>
      </c>
      <c r="J538" s="1623"/>
      <c r="K538" s="1623">
        <f t="shared" si="17"/>
        <v>0</v>
      </c>
      <c r="L538" s="1623">
        <v>0</v>
      </c>
      <c r="M538" s="1623">
        <v>0</v>
      </c>
      <c r="N538" s="1623">
        <v>0</v>
      </c>
      <c r="O538" s="1623">
        <v>0</v>
      </c>
      <c r="P538" s="1623">
        <v>0</v>
      </c>
      <c r="Q538" s="1623">
        <v>0</v>
      </c>
    </row>
    <row r="539" spans="2:17">
      <c r="B539" s="856" t="s">
        <v>379</v>
      </c>
      <c r="C539" s="856">
        <v>27</v>
      </c>
      <c r="D539" s="856" t="s">
        <v>73</v>
      </c>
      <c r="E539" s="856" t="s">
        <v>74</v>
      </c>
      <c r="F539" s="1623">
        <f>+IFERROR(VLOOKUP($B539,'TB 260524'!$A:$C,2,0),0)</f>
        <v>0</v>
      </c>
      <c r="G539" s="1623"/>
      <c r="H539" s="1623">
        <f t="shared" si="16"/>
        <v>0</v>
      </c>
      <c r="I539" s="1623">
        <f>+IFERROR(VLOOKUP($B539,'TB 260524'!$A:$C,3,0),0)</f>
        <v>0</v>
      </c>
      <c r="J539" s="1623"/>
      <c r="K539" s="1623">
        <f t="shared" si="17"/>
        <v>0</v>
      </c>
      <c r="L539" s="1623">
        <v>0</v>
      </c>
      <c r="M539" s="1623">
        <v>0</v>
      </c>
      <c r="N539" s="1623">
        <v>0</v>
      </c>
      <c r="O539" s="1623">
        <v>0</v>
      </c>
      <c r="P539" s="1623">
        <v>0</v>
      </c>
      <c r="Q539" s="1623">
        <v>0</v>
      </c>
    </row>
    <row r="540" spans="2:17">
      <c r="B540" s="856" t="s">
        <v>1115</v>
      </c>
      <c r="C540" s="856">
        <v>4</v>
      </c>
      <c r="D540" s="856" t="s">
        <v>22</v>
      </c>
      <c r="E540" s="856" t="s">
        <v>23</v>
      </c>
      <c r="F540" s="1623">
        <f>+IFERROR(VLOOKUP($B540,'TB 260524'!$A:$C,2,0),0)</f>
        <v>0</v>
      </c>
      <c r="G540" s="1623"/>
      <c r="H540" s="1623">
        <f t="shared" si="16"/>
        <v>0</v>
      </c>
      <c r="I540" s="1623">
        <f>+IFERROR(VLOOKUP($B540,'TB 260524'!$A:$C,3,0),0)</f>
        <v>0</v>
      </c>
      <c r="J540" s="1623"/>
      <c r="K540" s="1623">
        <f t="shared" si="17"/>
        <v>0</v>
      </c>
      <c r="L540" s="1623">
        <v>0</v>
      </c>
      <c r="M540" s="1623">
        <v>0</v>
      </c>
      <c r="N540" s="1623">
        <v>0</v>
      </c>
      <c r="O540" s="1623">
        <v>0</v>
      </c>
      <c r="P540" s="1623">
        <v>0</v>
      </c>
      <c r="Q540" s="1623">
        <v>0</v>
      </c>
    </row>
    <row r="541" spans="2:17">
      <c r="B541" s="856" t="s">
        <v>381</v>
      </c>
      <c r="C541" s="856">
        <v>18</v>
      </c>
      <c r="D541" s="856" t="s">
        <v>214</v>
      </c>
      <c r="E541" s="856" t="s">
        <v>2258</v>
      </c>
      <c r="F541" s="1623">
        <f>+IFERROR(VLOOKUP($B541,'TB 260524'!$A:$C,2,0),0)</f>
        <v>0</v>
      </c>
      <c r="G541" s="1623"/>
      <c r="H541" s="1623">
        <f t="shared" si="16"/>
        <v>0</v>
      </c>
      <c r="I541" s="1623">
        <f>+IFERROR(VLOOKUP($B541,'TB 260524'!$A:$C,3,0),0)</f>
        <v>0</v>
      </c>
      <c r="J541" s="1623"/>
      <c r="K541" s="1623">
        <f t="shared" si="17"/>
        <v>0</v>
      </c>
      <c r="L541" s="1623">
        <v>0</v>
      </c>
      <c r="M541" s="1623">
        <v>0</v>
      </c>
      <c r="N541" s="1623">
        <v>0</v>
      </c>
      <c r="O541" s="1623">
        <v>444140</v>
      </c>
      <c r="P541" s="1623">
        <v>0</v>
      </c>
      <c r="Q541" s="1623">
        <v>444140</v>
      </c>
    </row>
    <row r="542" spans="2:17">
      <c r="B542" s="856" t="s">
        <v>382</v>
      </c>
      <c r="C542" s="856">
        <v>4</v>
      </c>
      <c r="D542" s="856" t="s">
        <v>22</v>
      </c>
      <c r="E542" s="856" t="s">
        <v>23</v>
      </c>
      <c r="F542" s="1623">
        <f>+IFERROR(VLOOKUP($B542,'TB 260524'!$A:$C,2,0),0)</f>
        <v>0</v>
      </c>
      <c r="G542" s="1623"/>
      <c r="H542" s="1623">
        <f t="shared" si="16"/>
        <v>0</v>
      </c>
      <c r="I542" s="1623">
        <f>+IFERROR(VLOOKUP($B542,'TB 260524'!$A:$C,3,0),0)</f>
        <v>0</v>
      </c>
      <c r="J542" s="1623"/>
      <c r="K542" s="1623">
        <f t="shared" si="17"/>
        <v>0</v>
      </c>
      <c r="L542" s="1623">
        <v>0</v>
      </c>
      <c r="M542" s="1623">
        <v>0</v>
      </c>
      <c r="N542" s="1623">
        <v>0</v>
      </c>
      <c r="O542" s="1623">
        <v>0</v>
      </c>
      <c r="P542" s="1623">
        <v>0</v>
      </c>
      <c r="Q542" s="1623">
        <v>0</v>
      </c>
    </row>
    <row r="543" spans="2:17">
      <c r="B543" s="856" t="s">
        <v>383</v>
      </c>
      <c r="C543" s="856">
        <v>18</v>
      </c>
      <c r="D543" s="856" t="s">
        <v>214</v>
      </c>
      <c r="E543" s="856" t="s">
        <v>90</v>
      </c>
      <c r="F543" s="1623">
        <f>+IFERROR(VLOOKUP($B543,'TB 260524'!$A:$C,2,0),0)</f>
        <v>0</v>
      </c>
      <c r="G543" s="1623"/>
      <c r="H543" s="1623">
        <f t="shared" si="16"/>
        <v>0</v>
      </c>
      <c r="I543" s="1623">
        <f>+IFERROR(VLOOKUP($B543,'TB 260524'!$A:$C,3,0),0)</f>
        <v>0</v>
      </c>
      <c r="J543" s="1623"/>
      <c r="K543" s="1623">
        <f t="shared" si="17"/>
        <v>0</v>
      </c>
      <c r="L543" s="1623">
        <v>0</v>
      </c>
      <c r="M543" s="1623">
        <v>0</v>
      </c>
      <c r="N543" s="1623">
        <v>0</v>
      </c>
      <c r="O543" s="1623">
        <v>0</v>
      </c>
      <c r="P543" s="1623">
        <v>0</v>
      </c>
      <c r="Q543" s="1623">
        <v>0</v>
      </c>
    </row>
    <row r="544" spans="2:17">
      <c r="B544" s="856" t="s">
        <v>384</v>
      </c>
      <c r="C544" s="856">
        <v>18</v>
      </c>
      <c r="D544" s="856" t="s">
        <v>214</v>
      </c>
      <c r="E544" s="856" t="s">
        <v>90</v>
      </c>
      <c r="F544" s="1623">
        <f>+IFERROR(VLOOKUP($B544,'TB 260524'!$A:$C,2,0),0)</f>
        <v>0</v>
      </c>
      <c r="G544" s="1623"/>
      <c r="H544" s="1623">
        <f t="shared" si="16"/>
        <v>0</v>
      </c>
      <c r="I544" s="1623">
        <f>+IFERROR(VLOOKUP($B544,'TB 260524'!$A:$C,3,0),0)</f>
        <v>0</v>
      </c>
      <c r="J544" s="1623"/>
      <c r="K544" s="1623">
        <f t="shared" si="17"/>
        <v>0</v>
      </c>
      <c r="L544" s="1623">
        <v>0</v>
      </c>
      <c r="M544" s="1623">
        <v>0</v>
      </c>
      <c r="N544" s="1623">
        <v>0</v>
      </c>
      <c r="O544" s="1623">
        <v>0</v>
      </c>
      <c r="P544" s="1623">
        <v>0</v>
      </c>
      <c r="Q544" s="1623">
        <v>0</v>
      </c>
    </row>
    <row r="545" spans="2:17">
      <c r="B545" s="856" t="s">
        <v>1116</v>
      </c>
      <c r="C545" s="856">
        <v>4</v>
      </c>
      <c r="D545" s="856" t="s">
        <v>22</v>
      </c>
      <c r="E545" s="856" t="s">
        <v>23</v>
      </c>
      <c r="F545" s="1623">
        <f>+IFERROR(VLOOKUP($B545,'TB 260524'!$A:$C,2,0),0)</f>
        <v>0</v>
      </c>
      <c r="G545" s="1623"/>
      <c r="H545" s="1623">
        <f t="shared" si="16"/>
        <v>0</v>
      </c>
      <c r="I545" s="1623">
        <f>+IFERROR(VLOOKUP($B545,'TB 260524'!$A:$C,3,0),0)</f>
        <v>0</v>
      </c>
      <c r="J545" s="1623"/>
      <c r="K545" s="1623">
        <f t="shared" si="17"/>
        <v>0</v>
      </c>
      <c r="L545" s="1623">
        <v>0</v>
      </c>
      <c r="M545" s="1623">
        <v>0</v>
      </c>
      <c r="N545" s="1623">
        <v>0</v>
      </c>
      <c r="O545" s="1623">
        <v>0</v>
      </c>
      <c r="P545" s="1623">
        <v>0</v>
      </c>
      <c r="Q545" s="1623">
        <v>0</v>
      </c>
    </row>
    <row r="546" spans="2:17">
      <c r="B546" s="856" t="s">
        <v>385</v>
      </c>
      <c r="C546" s="856">
        <v>18</v>
      </c>
      <c r="D546" s="856" t="s">
        <v>214</v>
      </c>
      <c r="E546" s="856" t="s">
        <v>2258</v>
      </c>
      <c r="F546" s="1623">
        <f>+IFERROR(VLOOKUP($B546,'TB 260524'!$A:$C,2,0),0)</f>
        <v>0</v>
      </c>
      <c r="G546" s="1623"/>
      <c r="H546" s="1623">
        <f t="shared" si="16"/>
        <v>0</v>
      </c>
      <c r="I546" s="1623">
        <f>+IFERROR(VLOOKUP($B546,'TB 260524'!$A:$C,3,0),0)</f>
        <v>0</v>
      </c>
      <c r="J546" s="1623"/>
      <c r="K546" s="1623">
        <f t="shared" si="17"/>
        <v>0</v>
      </c>
      <c r="L546" s="1623">
        <v>0</v>
      </c>
      <c r="M546" s="1623">
        <v>0</v>
      </c>
      <c r="N546" s="1623">
        <v>0</v>
      </c>
      <c r="O546" s="1623">
        <v>100000</v>
      </c>
      <c r="P546" s="1623">
        <v>0</v>
      </c>
      <c r="Q546" s="1623">
        <v>100000</v>
      </c>
    </row>
    <row r="547" spans="2:17">
      <c r="B547" s="856" t="s">
        <v>387</v>
      </c>
      <c r="C547" s="856">
        <v>4</v>
      </c>
      <c r="D547" s="856" t="s">
        <v>22</v>
      </c>
      <c r="E547" s="856" t="s">
        <v>23</v>
      </c>
      <c r="F547" s="1623">
        <f>+IFERROR(VLOOKUP($B547,'TB 260524'!$A:$C,2,0),0)</f>
        <v>0</v>
      </c>
      <c r="G547" s="1623"/>
      <c r="H547" s="1623">
        <f t="shared" si="16"/>
        <v>0</v>
      </c>
      <c r="I547" s="1623">
        <f>+IFERROR(VLOOKUP($B547,'TB 260524'!$A:$C,3,0),0)</f>
        <v>0</v>
      </c>
      <c r="J547" s="1623"/>
      <c r="K547" s="1623">
        <f t="shared" si="17"/>
        <v>0</v>
      </c>
      <c r="L547" s="1623">
        <v>0</v>
      </c>
      <c r="M547" s="1623">
        <v>0</v>
      </c>
      <c r="N547" s="1623">
        <v>0</v>
      </c>
      <c r="O547" s="1623">
        <v>0</v>
      </c>
      <c r="P547" s="1623">
        <v>0</v>
      </c>
      <c r="Q547" s="1623">
        <v>0</v>
      </c>
    </row>
    <row r="548" spans="2:17">
      <c r="B548" s="856" t="s">
        <v>388</v>
      </c>
      <c r="C548" s="856">
        <v>17</v>
      </c>
      <c r="D548" s="856" t="s">
        <v>8</v>
      </c>
      <c r="E548" s="856" t="s">
        <v>8</v>
      </c>
      <c r="F548" s="1623">
        <f>+IFERROR(VLOOKUP($B548,'TB 260524'!$A:$C,2,0),0)</f>
        <v>0</v>
      </c>
      <c r="G548" s="1623"/>
      <c r="H548" s="1623">
        <f t="shared" si="16"/>
        <v>0</v>
      </c>
      <c r="I548" s="1623">
        <f>+IFERROR(VLOOKUP($B548,'TB 260524'!$A:$C,3,0),0)</f>
        <v>0</v>
      </c>
      <c r="J548" s="1623"/>
      <c r="K548" s="1623">
        <f t="shared" si="17"/>
        <v>0</v>
      </c>
      <c r="L548" s="1623">
        <v>0</v>
      </c>
      <c r="M548" s="1623">
        <v>0</v>
      </c>
      <c r="N548" s="1623">
        <v>0</v>
      </c>
      <c r="O548" s="1623">
        <v>193615</v>
      </c>
      <c r="P548" s="1623">
        <v>0</v>
      </c>
      <c r="Q548" s="1623">
        <v>193615</v>
      </c>
    </row>
    <row r="549" spans="2:17">
      <c r="B549" s="856" t="s">
        <v>390</v>
      </c>
      <c r="C549" s="856">
        <v>27</v>
      </c>
      <c r="D549" s="856" t="s">
        <v>48</v>
      </c>
      <c r="E549" s="856" t="s">
        <v>82</v>
      </c>
      <c r="F549" s="1623">
        <f>+IFERROR(VLOOKUP($B549,'TB 260524'!$A:$C,2,0),0)</f>
        <v>0</v>
      </c>
      <c r="G549" s="1623"/>
      <c r="H549" s="1623">
        <f t="shared" si="16"/>
        <v>0</v>
      </c>
      <c r="I549" s="1623">
        <f>+IFERROR(VLOOKUP($B549,'TB 260524'!$A:$C,3,0),0)</f>
        <v>0</v>
      </c>
      <c r="J549" s="1623"/>
      <c r="K549" s="1623">
        <f t="shared" si="17"/>
        <v>0</v>
      </c>
      <c r="L549" s="1623">
        <v>0</v>
      </c>
      <c r="M549" s="1623">
        <v>0</v>
      </c>
      <c r="N549" s="1623">
        <v>0</v>
      </c>
      <c r="O549" s="1623">
        <v>0</v>
      </c>
      <c r="P549" s="1623">
        <v>0</v>
      </c>
      <c r="Q549" s="1623">
        <v>0</v>
      </c>
    </row>
    <row r="550" spans="2:17">
      <c r="B550" s="856" t="s">
        <v>395</v>
      </c>
      <c r="C550" s="856">
        <v>17</v>
      </c>
      <c r="D550" s="856" t="s">
        <v>8</v>
      </c>
      <c r="E550" s="856" t="s">
        <v>8</v>
      </c>
      <c r="F550" s="1623">
        <f>+IFERROR(VLOOKUP($B550,'TB 260524'!$A:$C,2,0),0)</f>
        <v>0</v>
      </c>
      <c r="G550" s="1623"/>
      <c r="H550" s="1623">
        <f t="shared" si="16"/>
        <v>0</v>
      </c>
      <c r="I550" s="1623">
        <f>+IFERROR(VLOOKUP($B550,'TB 260524'!$A:$C,3,0),0)</f>
        <v>0</v>
      </c>
      <c r="J550" s="1623"/>
      <c r="K550" s="1623">
        <f t="shared" si="17"/>
        <v>0</v>
      </c>
      <c r="L550" s="1623">
        <v>0</v>
      </c>
      <c r="M550" s="1623">
        <v>0</v>
      </c>
      <c r="N550" s="1623">
        <v>0</v>
      </c>
      <c r="O550" s="1623">
        <v>0</v>
      </c>
      <c r="P550" s="1623">
        <v>0</v>
      </c>
      <c r="Q550" s="1623">
        <v>0</v>
      </c>
    </row>
    <row r="551" spans="2:17">
      <c r="B551" s="856" t="s">
        <v>396</v>
      </c>
      <c r="C551" s="856">
        <v>17</v>
      </c>
      <c r="D551" s="856" t="s">
        <v>8</v>
      </c>
      <c r="E551" s="856" t="s">
        <v>9</v>
      </c>
      <c r="F551" s="1623">
        <f>+IFERROR(VLOOKUP($B551,'TB 260524'!$A:$C,2,0),0)</f>
        <v>0</v>
      </c>
      <c r="G551" s="1623"/>
      <c r="H551" s="1623">
        <f t="shared" si="16"/>
        <v>0</v>
      </c>
      <c r="I551" s="1623">
        <f>+IFERROR(VLOOKUP($B551,'TB 260524'!$A:$C,3,0),0)</f>
        <v>0</v>
      </c>
      <c r="J551" s="1623"/>
      <c r="K551" s="1623">
        <f t="shared" si="17"/>
        <v>0</v>
      </c>
      <c r="L551" s="1623">
        <v>0</v>
      </c>
      <c r="M551" s="1623">
        <v>0</v>
      </c>
      <c r="N551" s="1623">
        <v>0</v>
      </c>
      <c r="O551" s="1623">
        <v>0</v>
      </c>
      <c r="P551" s="1623">
        <v>0</v>
      </c>
      <c r="Q551" s="1623">
        <v>0</v>
      </c>
    </row>
    <row r="552" spans="2:17">
      <c r="B552" s="856" t="s">
        <v>397</v>
      </c>
      <c r="C552" s="856">
        <v>9</v>
      </c>
      <c r="D552" s="856" t="s">
        <v>35</v>
      </c>
      <c r="E552" s="856" t="s">
        <v>36</v>
      </c>
      <c r="F552" s="1623">
        <f>+IFERROR(VLOOKUP($B552,'TB 260524'!$A:$C,2,0),0)</f>
        <v>0</v>
      </c>
      <c r="G552" s="1623"/>
      <c r="H552" s="1623">
        <f t="shared" si="16"/>
        <v>0</v>
      </c>
      <c r="I552" s="1623">
        <f>+IFERROR(VLOOKUP($B552,'TB 260524'!$A:$C,3,0),0)</f>
        <v>0</v>
      </c>
      <c r="J552" s="1623"/>
      <c r="K552" s="1623">
        <f t="shared" si="17"/>
        <v>0</v>
      </c>
      <c r="L552" s="1623">
        <v>0</v>
      </c>
      <c r="M552" s="1623">
        <v>0</v>
      </c>
      <c r="N552" s="1623">
        <v>0</v>
      </c>
      <c r="O552" s="1623">
        <v>0</v>
      </c>
      <c r="P552" s="1623">
        <v>0</v>
      </c>
      <c r="Q552" s="1623">
        <v>0</v>
      </c>
    </row>
    <row r="553" spans="2:17">
      <c r="B553" s="856" t="s">
        <v>2252</v>
      </c>
      <c r="C553" s="856">
        <v>2</v>
      </c>
      <c r="D553" s="856" t="s">
        <v>77</v>
      </c>
      <c r="E553" s="856" t="s">
        <v>399</v>
      </c>
      <c r="F553" s="1623">
        <f>+IFERROR(VLOOKUP($B553,'TB 260524'!$A:$C,2,0),0)</f>
        <v>0</v>
      </c>
      <c r="G553" s="1623"/>
      <c r="H553" s="1623">
        <f t="shared" si="16"/>
        <v>0</v>
      </c>
      <c r="I553" s="1623">
        <f>+IFERROR(VLOOKUP($B553,'TB 260524'!$A:$C,3,0),0)</f>
        <v>0</v>
      </c>
      <c r="J553" s="1623"/>
      <c r="K553" s="1623">
        <f t="shared" si="17"/>
        <v>0</v>
      </c>
      <c r="L553" s="1623">
        <v>0</v>
      </c>
      <c r="M553" s="1623">
        <v>0</v>
      </c>
      <c r="N553" s="1623">
        <v>0</v>
      </c>
      <c r="O553" s="1623">
        <v>0</v>
      </c>
      <c r="P553" s="1623">
        <v>0</v>
      </c>
      <c r="Q553" s="1623">
        <v>0</v>
      </c>
    </row>
    <row r="554" spans="2:17">
      <c r="B554" s="856" t="s">
        <v>403</v>
      </c>
      <c r="C554" s="856">
        <v>27</v>
      </c>
      <c r="D554" s="856" t="s">
        <v>73</v>
      </c>
      <c r="E554" s="856" t="s">
        <v>100</v>
      </c>
      <c r="F554" s="1623">
        <f>+IFERROR(VLOOKUP($B554,'TB 260524'!$A:$C,2,0),0)</f>
        <v>0</v>
      </c>
      <c r="G554" s="1623"/>
      <c r="H554" s="1623">
        <f t="shared" si="16"/>
        <v>0</v>
      </c>
      <c r="I554" s="1623">
        <f>+IFERROR(VLOOKUP($B554,'TB 260524'!$A:$C,3,0),0)</f>
        <v>0</v>
      </c>
      <c r="J554" s="1623"/>
      <c r="K554" s="1623">
        <f t="shared" si="17"/>
        <v>0</v>
      </c>
      <c r="L554" s="1623">
        <v>52365641</v>
      </c>
      <c r="M554" s="1623">
        <v>0</v>
      </c>
      <c r="N554" s="1623">
        <v>52365641</v>
      </c>
      <c r="O554" s="1623">
        <v>0</v>
      </c>
      <c r="P554" s="1623">
        <v>0</v>
      </c>
      <c r="Q554" s="1623">
        <v>0</v>
      </c>
    </row>
    <row r="555" spans="2:17">
      <c r="B555" s="856" t="s">
        <v>404</v>
      </c>
      <c r="C555" s="856">
        <v>9</v>
      </c>
      <c r="D555" s="856" t="s">
        <v>35</v>
      </c>
      <c r="E555" s="856" t="s">
        <v>36</v>
      </c>
      <c r="F555" s="1623">
        <f>+IFERROR(VLOOKUP($B555,'TB 260524'!$A:$C,2,0),0)</f>
        <v>0</v>
      </c>
      <c r="G555" s="1623"/>
      <c r="H555" s="1623">
        <f t="shared" si="16"/>
        <v>0</v>
      </c>
      <c r="I555" s="1623">
        <f>+IFERROR(VLOOKUP($B555,'TB 260524'!$A:$C,3,0),0)</f>
        <v>0</v>
      </c>
      <c r="J555" s="1623"/>
      <c r="K555" s="1623">
        <f t="shared" si="17"/>
        <v>0</v>
      </c>
      <c r="L555" s="1623">
        <v>0</v>
      </c>
      <c r="M555" s="1623">
        <v>0</v>
      </c>
      <c r="N555" s="1623">
        <v>0</v>
      </c>
      <c r="O555" s="1623">
        <v>0</v>
      </c>
      <c r="P555" s="1623">
        <v>0</v>
      </c>
      <c r="Q555" s="1623">
        <v>0</v>
      </c>
    </row>
    <row r="556" spans="2:17">
      <c r="B556" s="856" t="s">
        <v>2613</v>
      </c>
      <c r="C556" s="856">
        <v>6</v>
      </c>
      <c r="D556" s="856" t="s">
        <v>13</v>
      </c>
      <c r="E556" s="856" t="s">
        <v>14</v>
      </c>
      <c r="F556" s="1623">
        <f>+IFERROR(VLOOKUP($B556,'TB 260524'!$A:$C,2,0),0)</f>
        <v>0</v>
      </c>
      <c r="G556" s="1623"/>
      <c r="H556" s="1623">
        <f t="shared" si="16"/>
        <v>0</v>
      </c>
      <c r="I556" s="1623">
        <f>+IFERROR(VLOOKUP($B556,'TB 260524'!$A:$C,3,0),0)</f>
        <v>0</v>
      </c>
      <c r="J556" s="1623"/>
      <c r="K556" s="1623">
        <f t="shared" si="17"/>
        <v>0</v>
      </c>
      <c r="L556" s="1623">
        <v>0</v>
      </c>
      <c r="M556" s="1623">
        <v>0</v>
      </c>
      <c r="N556" s="1623">
        <v>0</v>
      </c>
      <c r="O556" s="1623">
        <v>7528</v>
      </c>
      <c r="P556" s="1623">
        <v>0</v>
      </c>
      <c r="Q556" s="1623">
        <v>7528</v>
      </c>
    </row>
    <row r="557" spans="2:17">
      <c r="B557" s="856" t="s">
        <v>408</v>
      </c>
      <c r="C557" s="856">
        <v>9</v>
      </c>
      <c r="D557" s="856" t="s">
        <v>35</v>
      </c>
      <c r="E557" s="856" t="s">
        <v>36</v>
      </c>
      <c r="F557" s="1623">
        <f>+IFERROR(VLOOKUP($B557,'TB 260524'!$A:$C,2,0),0)</f>
        <v>0</v>
      </c>
      <c r="G557" s="1623"/>
      <c r="H557" s="1623">
        <f t="shared" si="16"/>
        <v>0</v>
      </c>
      <c r="I557" s="1623">
        <f>+IFERROR(VLOOKUP($B557,'TB 260524'!$A:$C,3,0),0)</f>
        <v>0</v>
      </c>
      <c r="J557" s="1623"/>
      <c r="K557" s="1623">
        <f t="shared" si="17"/>
        <v>0</v>
      </c>
      <c r="L557" s="1623">
        <v>0</v>
      </c>
      <c r="M557" s="1623">
        <v>0</v>
      </c>
      <c r="N557" s="1623">
        <v>0</v>
      </c>
      <c r="O557" s="1623">
        <v>0</v>
      </c>
      <c r="P557" s="1623">
        <v>0</v>
      </c>
      <c r="Q557" s="1623">
        <v>0</v>
      </c>
    </row>
    <row r="558" spans="2:17">
      <c r="B558" s="856" t="s">
        <v>412</v>
      </c>
      <c r="C558" s="856">
        <v>18</v>
      </c>
      <c r="D558" s="856" t="s">
        <v>214</v>
      </c>
      <c r="E558" s="856" t="s">
        <v>90</v>
      </c>
      <c r="F558" s="1623">
        <f>+IFERROR(VLOOKUP($B558,'TB 260524'!$A:$C,2,0),0)</f>
        <v>0</v>
      </c>
      <c r="G558" s="1623"/>
      <c r="H558" s="1623">
        <f t="shared" si="16"/>
        <v>0</v>
      </c>
      <c r="I558" s="1623">
        <f>+IFERROR(VLOOKUP($B558,'TB 260524'!$A:$C,3,0),0)</f>
        <v>0</v>
      </c>
      <c r="J558" s="1623"/>
      <c r="K558" s="1623">
        <f t="shared" si="17"/>
        <v>0</v>
      </c>
      <c r="L558" s="1623">
        <v>0</v>
      </c>
      <c r="M558" s="1623">
        <v>0</v>
      </c>
      <c r="N558" s="1623">
        <v>0</v>
      </c>
      <c r="O558" s="1623">
        <v>0</v>
      </c>
      <c r="P558" s="1623">
        <v>0</v>
      </c>
      <c r="Q558" s="1623">
        <v>0</v>
      </c>
    </row>
    <row r="559" spans="2:17">
      <c r="B559" s="856" t="s">
        <v>413</v>
      </c>
      <c r="C559" s="856">
        <v>17</v>
      </c>
      <c r="D559" s="856" t="s">
        <v>8</v>
      </c>
      <c r="E559" s="856" t="s">
        <v>8</v>
      </c>
      <c r="F559" s="1623">
        <f>+IFERROR(VLOOKUP($B559,'TB 260524'!$A:$C,2,0),0)</f>
        <v>0</v>
      </c>
      <c r="G559" s="1623"/>
      <c r="H559" s="1623">
        <f t="shared" si="16"/>
        <v>0</v>
      </c>
      <c r="I559" s="1623">
        <f>+IFERROR(VLOOKUP($B559,'TB 260524'!$A:$C,3,0),0)</f>
        <v>0</v>
      </c>
      <c r="J559" s="1623"/>
      <c r="K559" s="1623">
        <f t="shared" si="17"/>
        <v>0</v>
      </c>
      <c r="L559" s="1623">
        <v>0</v>
      </c>
      <c r="M559" s="1623">
        <v>0</v>
      </c>
      <c r="N559" s="1623">
        <v>0</v>
      </c>
      <c r="O559" s="1623">
        <v>0</v>
      </c>
      <c r="P559" s="1623">
        <v>0</v>
      </c>
      <c r="Q559" s="1623">
        <v>0</v>
      </c>
    </row>
    <row r="560" spans="2:17">
      <c r="B560" s="856" t="s">
        <v>415</v>
      </c>
      <c r="C560" s="856">
        <v>4</v>
      </c>
      <c r="D560" s="856" t="s">
        <v>22</v>
      </c>
      <c r="E560" s="856" t="s">
        <v>23</v>
      </c>
      <c r="F560" s="1623">
        <f>+IFERROR(VLOOKUP($B560,'TB 260524'!$A:$C,2,0),0)</f>
        <v>0</v>
      </c>
      <c r="G560" s="1623"/>
      <c r="H560" s="1623">
        <f t="shared" si="16"/>
        <v>0</v>
      </c>
      <c r="I560" s="1623">
        <f>+IFERROR(VLOOKUP($B560,'TB 260524'!$A:$C,3,0),0)</f>
        <v>0</v>
      </c>
      <c r="J560" s="1623"/>
      <c r="K560" s="1623">
        <f t="shared" si="17"/>
        <v>0</v>
      </c>
      <c r="L560" s="1623">
        <v>0</v>
      </c>
      <c r="M560" s="1623">
        <v>0</v>
      </c>
      <c r="N560" s="1623">
        <v>0</v>
      </c>
      <c r="O560" s="1623">
        <v>0</v>
      </c>
      <c r="P560" s="1623">
        <v>0</v>
      </c>
      <c r="Q560" s="1623">
        <v>0</v>
      </c>
    </row>
    <row r="561" spans="2:17">
      <c r="B561" s="856" t="s">
        <v>417</v>
      </c>
      <c r="C561" s="856">
        <v>9</v>
      </c>
      <c r="D561" s="856" t="s">
        <v>35</v>
      </c>
      <c r="E561" s="856" t="s">
        <v>36</v>
      </c>
      <c r="F561" s="1623">
        <f>+IFERROR(VLOOKUP($B561,'TB 260524'!$A:$C,2,0),0)</f>
        <v>0</v>
      </c>
      <c r="G561" s="1623"/>
      <c r="H561" s="1623">
        <f t="shared" si="16"/>
        <v>0</v>
      </c>
      <c r="I561" s="1623">
        <f>+IFERROR(VLOOKUP($B561,'TB 260524'!$A:$C,3,0),0)</f>
        <v>0</v>
      </c>
      <c r="J561" s="1623"/>
      <c r="K561" s="1623">
        <f t="shared" si="17"/>
        <v>0</v>
      </c>
      <c r="L561" s="1623">
        <v>0</v>
      </c>
      <c r="M561" s="1623">
        <v>0</v>
      </c>
      <c r="N561" s="1623">
        <v>0</v>
      </c>
      <c r="O561" s="1623">
        <v>0</v>
      </c>
      <c r="P561" s="1623">
        <v>0</v>
      </c>
      <c r="Q561" s="1623">
        <v>0</v>
      </c>
    </row>
    <row r="562" spans="2:17">
      <c r="B562" s="856" t="s">
        <v>418</v>
      </c>
      <c r="C562" s="856">
        <v>9</v>
      </c>
      <c r="D562" s="856" t="s">
        <v>35</v>
      </c>
      <c r="E562" s="856" t="s">
        <v>36</v>
      </c>
      <c r="F562" s="1623">
        <f>+IFERROR(VLOOKUP($B562,'TB 260524'!$A:$C,2,0),0)</f>
        <v>0</v>
      </c>
      <c r="G562" s="1623"/>
      <c r="H562" s="1623">
        <f t="shared" si="16"/>
        <v>0</v>
      </c>
      <c r="I562" s="1623">
        <f>+IFERROR(VLOOKUP($B562,'TB 260524'!$A:$C,3,0),0)</f>
        <v>0</v>
      </c>
      <c r="J562" s="1623"/>
      <c r="K562" s="1623">
        <f t="shared" si="17"/>
        <v>0</v>
      </c>
      <c r="L562" s="1623">
        <v>0</v>
      </c>
      <c r="M562" s="1623">
        <v>0</v>
      </c>
      <c r="N562" s="1623">
        <v>0</v>
      </c>
      <c r="O562" s="1623">
        <v>0</v>
      </c>
      <c r="P562" s="1623">
        <v>0</v>
      </c>
      <c r="Q562" s="1623">
        <v>0</v>
      </c>
    </row>
    <row r="563" spans="2:17">
      <c r="B563" s="856" t="s">
        <v>419</v>
      </c>
      <c r="C563" s="856">
        <v>11</v>
      </c>
      <c r="D563" s="856" t="s">
        <v>25</v>
      </c>
      <c r="E563" s="856" t="s">
        <v>26</v>
      </c>
      <c r="F563" s="1623">
        <f>+IFERROR(VLOOKUP($B563,'TB 260524'!$A:$C,2,0),0)</f>
        <v>0</v>
      </c>
      <c r="G563" s="1623"/>
      <c r="H563" s="1623">
        <f t="shared" si="16"/>
        <v>0</v>
      </c>
      <c r="I563" s="1623">
        <f>+IFERROR(VLOOKUP($B563,'TB 260524'!$A:$C,3,0),0)</f>
        <v>0</v>
      </c>
      <c r="J563" s="1623"/>
      <c r="K563" s="1623">
        <f t="shared" si="17"/>
        <v>0</v>
      </c>
      <c r="L563" s="1623">
        <v>0</v>
      </c>
      <c r="M563" s="1623">
        <v>0</v>
      </c>
      <c r="N563" s="1623">
        <v>0</v>
      </c>
      <c r="O563" s="1623">
        <v>0</v>
      </c>
      <c r="P563" s="1623">
        <v>0</v>
      </c>
      <c r="Q563" s="1623">
        <v>0</v>
      </c>
    </row>
    <row r="564" spans="2:17">
      <c r="B564" s="856" t="s">
        <v>422</v>
      </c>
      <c r="C564" s="856">
        <v>11</v>
      </c>
      <c r="D564" s="856" t="s">
        <v>25</v>
      </c>
      <c r="E564" s="856" t="s">
        <v>26</v>
      </c>
      <c r="F564" s="1623">
        <f>+IFERROR(VLOOKUP($B564,'TB 260524'!$A:$C,2,0),0)</f>
        <v>0</v>
      </c>
      <c r="G564" s="1623"/>
      <c r="H564" s="1623">
        <f t="shared" si="16"/>
        <v>0</v>
      </c>
      <c r="I564" s="1623">
        <f>+IFERROR(VLOOKUP($B564,'TB 260524'!$A:$C,3,0),0)</f>
        <v>0</v>
      </c>
      <c r="J564" s="1623"/>
      <c r="K564" s="1623">
        <f t="shared" si="17"/>
        <v>0</v>
      </c>
      <c r="L564" s="1623">
        <v>0</v>
      </c>
      <c r="M564" s="1623">
        <v>0</v>
      </c>
      <c r="N564" s="1623">
        <v>0</v>
      </c>
      <c r="O564" s="1623">
        <v>0</v>
      </c>
      <c r="P564" s="1623">
        <v>0</v>
      </c>
      <c r="Q564" s="1623">
        <v>0</v>
      </c>
    </row>
    <row r="565" spans="2:17">
      <c r="B565" s="856" t="s">
        <v>423</v>
      </c>
      <c r="C565" s="856">
        <v>17</v>
      </c>
      <c r="D565" s="856" t="s">
        <v>8</v>
      </c>
      <c r="E565" s="856" t="s">
        <v>8</v>
      </c>
      <c r="F565" s="1623">
        <f>+IFERROR(VLOOKUP($B565,'TB 260524'!$A:$C,2,0),0)</f>
        <v>0</v>
      </c>
      <c r="G565" s="1623"/>
      <c r="H565" s="1623">
        <f t="shared" si="16"/>
        <v>0</v>
      </c>
      <c r="I565" s="1623">
        <f>+IFERROR(VLOOKUP($B565,'TB 260524'!$A:$C,3,0),0)</f>
        <v>0</v>
      </c>
      <c r="J565" s="1623"/>
      <c r="K565" s="1623">
        <f t="shared" si="17"/>
        <v>0</v>
      </c>
      <c r="L565" s="1623">
        <v>0</v>
      </c>
      <c r="M565" s="1623">
        <v>0</v>
      </c>
      <c r="N565" s="1623">
        <v>0</v>
      </c>
      <c r="O565" s="1623">
        <v>163013</v>
      </c>
      <c r="P565" s="1623">
        <v>0</v>
      </c>
      <c r="Q565" s="1623">
        <v>163013</v>
      </c>
    </row>
    <row r="566" spans="2:17">
      <c r="B566" s="856" t="s">
        <v>424</v>
      </c>
      <c r="C566" s="856">
        <v>17</v>
      </c>
      <c r="D566" s="856" t="s">
        <v>8</v>
      </c>
      <c r="E566" s="856" t="s">
        <v>9</v>
      </c>
      <c r="F566" s="1623">
        <f>+IFERROR(VLOOKUP($B566,'TB 260524'!$A:$C,2,0),0)</f>
        <v>0</v>
      </c>
      <c r="G566" s="1623"/>
      <c r="H566" s="1623">
        <f t="shared" si="16"/>
        <v>0</v>
      </c>
      <c r="I566" s="1623">
        <f>+IFERROR(VLOOKUP($B566,'TB 260524'!$A:$C,3,0),0)</f>
        <v>0</v>
      </c>
      <c r="J566" s="1623"/>
      <c r="K566" s="1623">
        <f t="shared" si="17"/>
        <v>0</v>
      </c>
      <c r="L566" s="1623">
        <v>0</v>
      </c>
      <c r="M566" s="1623">
        <v>0</v>
      </c>
      <c r="N566" s="1623">
        <v>0</v>
      </c>
      <c r="O566" s="1623">
        <v>0</v>
      </c>
      <c r="P566" s="1623">
        <v>0</v>
      </c>
      <c r="Q566" s="1623">
        <v>0</v>
      </c>
    </row>
    <row r="567" spans="2:17">
      <c r="B567" s="856" t="s">
        <v>428</v>
      </c>
      <c r="C567" s="856">
        <v>17</v>
      </c>
      <c r="D567" s="856" t="s">
        <v>8</v>
      </c>
      <c r="E567" s="856" t="s">
        <v>8</v>
      </c>
      <c r="F567" s="1623">
        <f>+IFERROR(VLOOKUP($B567,'TB 260524'!$A:$C,2,0),0)</f>
        <v>0</v>
      </c>
      <c r="G567" s="1623"/>
      <c r="H567" s="1623">
        <f t="shared" si="16"/>
        <v>0</v>
      </c>
      <c r="I567" s="1623">
        <f>+IFERROR(VLOOKUP($B567,'TB 260524'!$A:$C,3,0),0)</f>
        <v>0</v>
      </c>
      <c r="J567" s="1623"/>
      <c r="K567" s="1623">
        <f t="shared" si="17"/>
        <v>0</v>
      </c>
      <c r="L567" s="1623">
        <v>0</v>
      </c>
      <c r="M567" s="1623">
        <v>0</v>
      </c>
      <c r="N567" s="1623">
        <v>0</v>
      </c>
      <c r="O567" s="1623">
        <v>90199</v>
      </c>
      <c r="P567" s="1623">
        <v>0</v>
      </c>
      <c r="Q567" s="1623">
        <v>90199</v>
      </c>
    </row>
    <row r="568" spans="2:17">
      <c r="B568" s="856" t="s">
        <v>436</v>
      </c>
      <c r="C568" s="856">
        <v>17</v>
      </c>
      <c r="D568" s="856" t="s">
        <v>8</v>
      </c>
      <c r="E568" s="856" t="s">
        <v>8</v>
      </c>
      <c r="F568" s="1623">
        <f>+IFERROR(VLOOKUP($B568,'TB 260524'!$A:$C,2,0),0)</f>
        <v>0</v>
      </c>
      <c r="G568" s="1623"/>
      <c r="H568" s="1623">
        <f t="shared" si="16"/>
        <v>0</v>
      </c>
      <c r="I568" s="1623">
        <f>+IFERROR(VLOOKUP($B568,'TB 260524'!$A:$C,3,0),0)</f>
        <v>0</v>
      </c>
      <c r="J568" s="1623"/>
      <c r="K568" s="1623">
        <f t="shared" si="17"/>
        <v>0</v>
      </c>
      <c r="L568" s="1623">
        <v>0</v>
      </c>
      <c r="M568" s="1623">
        <v>0</v>
      </c>
      <c r="N568" s="1623">
        <v>0</v>
      </c>
      <c r="O568" s="1623">
        <v>0</v>
      </c>
      <c r="P568" s="1623">
        <v>0</v>
      </c>
      <c r="Q568" s="1623">
        <v>0</v>
      </c>
    </row>
    <row r="569" spans="2:17">
      <c r="B569" s="856" t="s">
        <v>443</v>
      </c>
      <c r="C569" s="856">
        <v>17</v>
      </c>
      <c r="D569" s="856" t="s">
        <v>8</v>
      </c>
      <c r="E569" s="856" t="s">
        <v>8</v>
      </c>
      <c r="F569" s="1623">
        <f>+IFERROR(VLOOKUP($B569,'TB 260524'!$A:$C,2,0),0)</f>
        <v>0</v>
      </c>
      <c r="G569" s="1623"/>
      <c r="H569" s="1623">
        <f t="shared" si="16"/>
        <v>0</v>
      </c>
      <c r="I569" s="1623">
        <f>+IFERROR(VLOOKUP($B569,'TB 260524'!$A:$C,3,0),0)</f>
        <v>0</v>
      </c>
      <c r="J569" s="1623"/>
      <c r="K569" s="1623">
        <f t="shared" si="17"/>
        <v>0</v>
      </c>
      <c r="L569" s="1623">
        <v>0</v>
      </c>
      <c r="M569" s="1623">
        <v>0</v>
      </c>
      <c r="N569" s="1623">
        <v>0</v>
      </c>
      <c r="O569" s="1623">
        <v>226800</v>
      </c>
      <c r="P569" s="1623">
        <v>0</v>
      </c>
      <c r="Q569" s="1623">
        <v>226800</v>
      </c>
    </row>
    <row r="570" spans="2:17">
      <c r="B570" s="856" t="s">
        <v>444</v>
      </c>
      <c r="C570" s="856">
        <v>27</v>
      </c>
      <c r="D570" s="856" t="s">
        <v>73</v>
      </c>
      <c r="E570" s="856" t="s">
        <v>74</v>
      </c>
      <c r="F570" s="1623">
        <f>+IFERROR(VLOOKUP($B570,'TB 260524'!$A:$C,2,0),0)</f>
        <v>0</v>
      </c>
      <c r="G570" s="1623"/>
      <c r="H570" s="1623">
        <f t="shared" si="16"/>
        <v>0</v>
      </c>
      <c r="I570" s="1623">
        <f>+IFERROR(VLOOKUP($B570,'TB 260524'!$A:$C,3,0),0)</f>
        <v>0</v>
      </c>
      <c r="J570" s="1623"/>
      <c r="K570" s="1623">
        <f t="shared" si="17"/>
        <v>0</v>
      </c>
      <c r="L570" s="1623">
        <v>388251</v>
      </c>
      <c r="M570" s="1623">
        <v>0</v>
      </c>
      <c r="N570" s="1623">
        <v>388251</v>
      </c>
      <c r="O570" s="1623">
        <v>0</v>
      </c>
      <c r="P570" s="1623">
        <v>0</v>
      </c>
      <c r="Q570" s="1623">
        <v>0</v>
      </c>
    </row>
    <row r="571" spans="2:17">
      <c r="B571" s="856" t="s">
        <v>1117</v>
      </c>
      <c r="C571" s="856">
        <v>4</v>
      </c>
      <c r="D571" s="856" t="s">
        <v>22</v>
      </c>
      <c r="E571" s="856" t="s">
        <v>23</v>
      </c>
      <c r="F571" s="1623">
        <f>+IFERROR(VLOOKUP($B571,'TB 260524'!$A:$C,2,0),0)</f>
        <v>0</v>
      </c>
      <c r="G571" s="1623"/>
      <c r="H571" s="1623">
        <f t="shared" si="16"/>
        <v>0</v>
      </c>
      <c r="I571" s="1623">
        <f>+IFERROR(VLOOKUP($B571,'TB 260524'!$A:$C,3,0),0)</f>
        <v>0</v>
      </c>
      <c r="J571" s="1623"/>
      <c r="K571" s="1623">
        <f t="shared" si="17"/>
        <v>0</v>
      </c>
      <c r="L571" s="1623">
        <v>0</v>
      </c>
      <c r="M571" s="1623">
        <v>0</v>
      </c>
      <c r="N571" s="1623">
        <v>0</v>
      </c>
      <c r="O571" s="1623">
        <v>0</v>
      </c>
      <c r="P571" s="1623">
        <v>0</v>
      </c>
      <c r="Q571" s="1623">
        <v>0</v>
      </c>
    </row>
    <row r="572" spans="2:17">
      <c r="B572" s="856" t="s">
        <v>1113</v>
      </c>
      <c r="C572" s="856">
        <v>4</v>
      </c>
      <c r="D572" s="856" t="s">
        <v>22</v>
      </c>
      <c r="E572" s="856" t="s">
        <v>23</v>
      </c>
      <c r="F572" s="1623">
        <f>+IFERROR(VLOOKUP($B572,'TB 260524'!$A:$C,2,0),0)</f>
        <v>0</v>
      </c>
      <c r="G572" s="1623"/>
      <c r="H572" s="1623">
        <f t="shared" si="16"/>
        <v>0</v>
      </c>
      <c r="I572" s="1623">
        <f>+IFERROR(VLOOKUP($B572,'TB 260524'!$A:$C,3,0),0)</f>
        <v>0</v>
      </c>
      <c r="J572" s="1623"/>
      <c r="K572" s="1623">
        <f t="shared" si="17"/>
        <v>0</v>
      </c>
      <c r="L572" s="1623">
        <v>0</v>
      </c>
      <c r="M572" s="1623">
        <v>0</v>
      </c>
      <c r="N572" s="1623">
        <v>0</v>
      </c>
      <c r="O572" s="1623">
        <v>0</v>
      </c>
      <c r="P572" s="1623">
        <v>0</v>
      </c>
      <c r="Q572" s="1623">
        <v>0</v>
      </c>
    </row>
    <row r="573" spans="2:17">
      <c r="B573" s="856" t="s">
        <v>453</v>
      </c>
      <c r="C573" s="856">
        <v>18</v>
      </c>
      <c r="D573" s="856" t="s">
        <v>214</v>
      </c>
      <c r="E573" s="856" t="s">
        <v>2258</v>
      </c>
      <c r="F573" s="1623">
        <f>+IFERROR(VLOOKUP($B573,'TB 260524'!$A:$C,2,0),0)</f>
        <v>0</v>
      </c>
      <c r="G573" s="1623"/>
      <c r="H573" s="1623">
        <f t="shared" si="16"/>
        <v>0</v>
      </c>
      <c r="I573" s="1623">
        <f>+IFERROR(VLOOKUP($B573,'TB 260524'!$A:$C,3,0),0)</f>
        <v>0</v>
      </c>
      <c r="J573" s="1623"/>
      <c r="K573" s="1623">
        <f t="shared" si="17"/>
        <v>0</v>
      </c>
      <c r="L573" s="1623">
        <v>0</v>
      </c>
      <c r="M573" s="1623">
        <v>0</v>
      </c>
      <c r="N573" s="1623">
        <v>0</v>
      </c>
      <c r="O573" s="1623">
        <v>150105</v>
      </c>
      <c r="P573" s="1623">
        <v>0</v>
      </c>
      <c r="Q573" s="1623">
        <v>150105</v>
      </c>
    </row>
    <row r="574" spans="2:17">
      <c r="F574" s="1505">
        <f>+SUM(F4:F573)</f>
        <v>1378178160.1000001</v>
      </c>
      <c r="G574" s="1505">
        <f>+SUM(G4:G573)</f>
        <v>-55667</v>
      </c>
      <c r="H574" s="1505">
        <f>SUM(H4:H573)</f>
        <v>1378122493.1000001</v>
      </c>
      <c r="I574" s="1505">
        <f>SUM(I4:I573)</f>
        <v>1378178160.0999999</v>
      </c>
      <c r="J574" s="1505">
        <f>+SUM(J4:J573)</f>
        <v>-55667</v>
      </c>
      <c r="K574" s="1505">
        <f t="shared" ref="K574:Q574" si="18">SUM(K4:K573)</f>
        <v>1378122493.0999999</v>
      </c>
      <c r="L574" s="1624">
        <f t="shared" si="18"/>
        <v>1883440565.6799998</v>
      </c>
      <c r="M574" s="1266">
        <f t="shared" si="18"/>
        <v>0</v>
      </c>
      <c r="N574" s="1505">
        <f t="shared" si="18"/>
        <v>1883440565.6799998</v>
      </c>
      <c r="O574" s="1505">
        <f t="shared" si="18"/>
        <v>1883440565.6799996</v>
      </c>
      <c r="P574" s="1505">
        <f t="shared" si="18"/>
        <v>0</v>
      </c>
      <c r="Q574" s="1505">
        <f t="shared" si="18"/>
        <v>1883440565.6799996</v>
      </c>
    </row>
    <row r="576" spans="2:17">
      <c r="H576" s="124">
        <f>+I574-F574</f>
        <v>0</v>
      </c>
    </row>
  </sheetData>
  <autoFilter ref="B3:Q574" xr:uid="{30437B9E-0628-40BE-86D1-09B6B6CF9903}"/>
  <customSheetViews>
    <customSheetView guid="{ADEA4918-0326-423A-8D00-FB47A486004B}" showAutoFilter="1" topLeftCell="A302">
      <selection activeCell="B315" sqref="B315"/>
      <pageMargins left="0.7" right="0.7" top="0.75" bottom="0.75" header="0.3" footer="0.3"/>
      <pageSetup paperSize="9" orientation="portrait" r:id="rId1"/>
      <autoFilter ref="B3:Q574" xr:uid="{E16EF20E-2C05-41C4-8EEC-B4A721BBD05F}"/>
    </customSheetView>
    <customSheetView guid="{2A78E287-3113-4387-BB62-BE98FA5C13C2}" showAutoFilter="1" topLeftCell="A225">
      <selection activeCell="J243" sqref="J243"/>
      <pageMargins left="0.7" right="0.7" top="0.75" bottom="0.75" header="0.3" footer="0.3"/>
      <pageSetup paperSize="9" orientation="portrait" r:id="rId2"/>
      <autoFilter ref="B3:Q574" xr:uid="{58A708E5-15E9-4FE4-AB31-D2B8ADB8A655}"/>
    </customSheetView>
    <customSheetView guid="{DC5DA12B-0FA6-4F41-A983-6E433AD4604D}" showAutoFilter="1" topLeftCell="A225">
      <selection activeCell="J243" sqref="J243"/>
      <pageMargins left="0.7" right="0.7" top="0.75" bottom="0.75" header="0.3" footer="0.3"/>
      <pageSetup paperSize="9" orientation="portrait" r:id="rId3"/>
      <autoFilter ref="B3:Q574" xr:uid="{338D7169-06DB-4553-AE39-D01732D868C1}"/>
    </customSheetView>
  </customSheetViews>
  <conditionalFormatting sqref="B3">
    <cfRule type="duplicateValues" dxfId="1" priority="1"/>
    <cfRule type="duplicateValues" dxfId="0" priority="2"/>
  </conditionalFormatting>
  <pageMargins left="0.7" right="0.7" top="0.75" bottom="0.75" header="0.3" footer="0.3"/>
  <pageSetup paperSize="9"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4551C-B313-4D44-97F5-A5FEE829A81C}">
  <dimension ref="A1:G374"/>
  <sheetViews>
    <sheetView topLeftCell="A350" workbookViewId="0">
      <selection activeCell="B374" sqref="B374:C374"/>
    </sheetView>
  </sheetViews>
  <sheetFormatPr defaultRowHeight="14.4"/>
  <cols>
    <col min="1" max="1" width="44.6640625" bestFit="1" customWidth="1"/>
    <col min="2" max="3" width="14.6640625" bestFit="1" customWidth="1"/>
  </cols>
  <sheetData>
    <row r="1" spans="1:7" ht="15.6">
      <c r="A1" s="1618" t="s">
        <v>456</v>
      </c>
      <c r="B1" s="1618"/>
      <c r="C1" s="1618"/>
    </row>
    <row r="2" spans="1:7">
      <c r="A2" s="1612" t="s">
        <v>457</v>
      </c>
      <c r="B2" s="1612"/>
      <c r="C2" s="1612"/>
    </row>
    <row r="3" spans="1:7">
      <c r="A3" s="1612" t="s">
        <v>458</v>
      </c>
      <c r="B3" s="1612"/>
      <c r="C3" s="1612"/>
    </row>
    <row r="4" spans="1:7">
      <c r="A4" s="1612" t="s">
        <v>459</v>
      </c>
      <c r="B4" s="1612"/>
      <c r="C4" s="1612"/>
    </row>
    <row r="5" spans="1:7">
      <c r="A5" s="1619" t="s">
        <v>460</v>
      </c>
      <c r="B5" s="1619"/>
      <c r="C5" s="1619"/>
    </row>
    <row r="6" spans="1:7" ht="15.6">
      <c r="A6" s="1620" t="s">
        <v>461</v>
      </c>
      <c r="B6" s="1620"/>
      <c r="C6" s="1620"/>
    </row>
    <row r="7" spans="1:7">
      <c r="A7" s="1612" t="s">
        <v>2940</v>
      </c>
      <c r="B7" s="1612"/>
      <c r="C7" s="1612"/>
    </row>
    <row r="8" spans="1:7" ht="14.4" customHeight="1">
      <c r="A8" s="1600" t="s">
        <v>462</v>
      </c>
      <c r="B8" s="1613" t="s">
        <v>2941</v>
      </c>
      <c r="C8" s="1614"/>
    </row>
    <row r="9" spans="1:7" ht="14.4" customHeight="1">
      <c r="A9" s="1601" t="s">
        <v>463</v>
      </c>
      <c r="B9" s="1615" t="s">
        <v>2940</v>
      </c>
      <c r="C9" s="1616"/>
      <c r="F9" t="s">
        <v>3066</v>
      </c>
    </row>
    <row r="10" spans="1:7">
      <c r="A10" s="1601" t="s">
        <v>462</v>
      </c>
      <c r="B10" s="1740" t="s">
        <v>464</v>
      </c>
      <c r="C10" s="1617"/>
      <c r="D10" s="1740" t="s">
        <v>464</v>
      </c>
      <c r="E10" s="1617"/>
      <c r="F10" s="1740" t="s">
        <v>464</v>
      </c>
      <c r="G10" s="1617"/>
    </row>
    <row r="11" spans="1:7">
      <c r="A11" s="1602" t="s">
        <v>462</v>
      </c>
      <c r="B11" s="1603" t="s">
        <v>465</v>
      </c>
      <c r="C11" s="1603" t="s">
        <v>466</v>
      </c>
      <c r="D11" s="1603" t="s">
        <v>465</v>
      </c>
      <c r="E11" s="1603" t="s">
        <v>466</v>
      </c>
      <c r="F11" s="1603" t="s">
        <v>465</v>
      </c>
      <c r="G11" s="1603" t="s">
        <v>466</v>
      </c>
    </row>
    <row r="12" spans="1:7">
      <c r="A12" s="1604" t="s">
        <v>251</v>
      </c>
      <c r="B12" s="1605">
        <v>62662681</v>
      </c>
      <c r="C12" s="1606"/>
      <c r="D12">
        <f>+IFERROR(VLOOKUP($A12,'TB Final'!$B:$H,7,0),0)</f>
        <v>62662681</v>
      </c>
      <c r="E12">
        <f>+IFERROR(VLOOKUP($A12,'TB Final'!$B:$H,10,0),0)</f>
        <v>0</v>
      </c>
      <c r="F12" s="1749">
        <f>+B12-D12</f>
        <v>0</v>
      </c>
      <c r="G12" s="1750">
        <f>+C12-E12</f>
        <v>0</v>
      </c>
    </row>
    <row r="13" spans="1:7">
      <c r="A13" s="1607" t="s">
        <v>20</v>
      </c>
      <c r="B13" s="1608"/>
      <c r="C13" s="1609">
        <v>2485320</v>
      </c>
      <c r="D13">
        <f>+IFERROR(VLOOKUP($A13,'TB Final'!$B:$H,7,0),0)</f>
        <v>0</v>
      </c>
      <c r="E13">
        <f>+IFERROR(VLOOKUP($A13,'TB Final'!$B:$H,10,0),0)</f>
        <v>0</v>
      </c>
      <c r="F13">
        <f t="shared" ref="F13:F76" si="0">+B13-D13</f>
        <v>0</v>
      </c>
      <c r="G13">
        <f t="shared" ref="G13:G76" si="1">+C13-E13</f>
        <v>2485320</v>
      </c>
    </row>
    <row r="14" spans="1:7">
      <c r="A14" s="1607" t="s">
        <v>2942</v>
      </c>
      <c r="B14" s="1608"/>
      <c r="C14" s="1609">
        <v>115749</v>
      </c>
      <c r="D14">
        <f>+IFERROR(VLOOKUP($A14,'TB Final'!$B:$H,7,0),0)</f>
        <v>0</v>
      </c>
      <c r="E14">
        <f>+IFERROR(VLOOKUP($A14,'TB Final'!$B:$H,10,0),0)</f>
        <v>0</v>
      </c>
      <c r="F14">
        <f t="shared" si="0"/>
        <v>0</v>
      </c>
      <c r="G14">
        <f t="shared" si="1"/>
        <v>115749</v>
      </c>
    </row>
    <row r="15" spans="1:7">
      <c r="A15" s="1607" t="s">
        <v>27</v>
      </c>
      <c r="B15" s="1609">
        <v>156102</v>
      </c>
      <c r="C15" s="1608"/>
      <c r="D15">
        <f>+IFERROR(VLOOKUP($A15,'TB Final'!$B:$H,7,0),0)</f>
        <v>156102</v>
      </c>
      <c r="E15">
        <f>+IFERROR(VLOOKUP($A15,'TB Final'!$B:$H,10,0),0)</f>
        <v>0</v>
      </c>
      <c r="F15">
        <f t="shared" si="0"/>
        <v>0</v>
      </c>
      <c r="G15">
        <f t="shared" si="1"/>
        <v>0</v>
      </c>
    </row>
    <row r="16" spans="1:7">
      <c r="A16" s="1607" t="s">
        <v>298</v>
      </c>
      <c r="B16" s="1608"/>
      <c r="C16" s="1609">
        <v>169429</v>
      </c>
      <c r="D16">
        <f>+IFERROR(VLOOKUP($A16,'TB Final'!$B:$H,7,0),0)</f>
        <v>0</v>
      </c>
      <c r="E16">
        <f>+IFERROR(VLOOKUP($A16,'TB Final'!$B:$H,10,0),0)</f>
        <v>0</v>
      </c>
      <c r="F16">
        <f t="shared" si="0"/>
        <v>0</v>
      </c>
      <c r="G16">
        <f t="shared" si="1"/>
        <v>169429</v>
      </c>
    </row>
    <row r="17" spans="1:7">
      <c r="A17" s="1607" t="s">
        <v>7</v>
      </c>
      <c r="B17" s="1608"/>
      <c r="C17" s="1609">
        <v>208440</v>
      </c>
      <c r="D17">
        <f>+IFERROR(VLOOKUP($A17,'TB Final'!$B:$H,7,0),0)</f>
        <v>0</v>
      </c>
      <c r="E17">
        <f>+IFERROR(VLOOKUP($A17,'TB Final'!$B:$H,10,0),0)</f>
        <v>0</v>
      </c>
      <c r="F17">
        <f t="shared" si="0"/>
        <v>0</v>
      </c>
      <c r="G17">
        <f t="shared" si="1"/>
        <v>208440</v>
      </c>
    </row>
    <row r="18" spans="1:7">
      <c r="A18" s="1607" t="s">
        <v>70</v>
      </c>
      <c r="B18" s="1609">
        <v>2734455</v>
      </c>
      <c r="C18" s="1608"/>
      <c r="D18">
        <f>+IFERROR(VLOOKUP($A18,'TB Final'!$B:$H,7,0),0)</f>
        <v>2734455</v>
      </c>
      <c r="E18">
        <f>+IFERROR(VLOOKUP($A18,'TB Final'!$B:$H,10,0),0)</f>
        <v>0</v>
      </c>
      <c r="F18">
        <f t="shared" si="0"/>
        <v>0</v>
      </c>
      <c r="G18">
        <f t="shared" si="1"/>
        <v>0</v>
      </c>
    </row>
    <row r="19" spans="1:7">
      <c r="A19" s="1607" t="s">
        <v>469</v>
      </c>
      <c r="B19" s="1608"/>
      <c r="C19" s="1609">
        <v>4465191</v>
      </c>
      <c r="D19">
        <f>+IFERROR(VLOOKUP($A19,'TB Final'!$B:$H,7,0),0)</f>
        <v>0</v>
      </c>
      <c r="E19">
        <f>+IFERROR(VLOOKUP($A19,'TB Final'!$B:$H,10,0),0)</f>
        <v>0</v>
      </c>
      <c r="F19">
        <f t="shared" si="0"/>
        <v>0</v>
      </c>
      <c r="G19">
        <f t="shared" si="1"/>
        <v>4465191</v>
      </c>
    </row>
    <row r="20" spans="1:7">
      <c r="A20" s="1607" t="s">
        <v>50</v>
      </c>
      <c r="B20" s="1609">
        <v>18000</v>
      </c>
      <c r="C20" s="1608"/>
      <c r="D20">
        <f>+IFERROR(VLOOKUP($A20,'TB Final'!$B:$H,7,0),0)</f>
        <v>18000</v>
      </c>
      <c r="E20">
        <f>+IFERROR(VLOOKUP($A20,'TB Final'!$B:$H,10,0),0)</f>
        <v>0</v>
      </c>
      <c r="F20">
        <f t="shared" si="0"/>
        <v>0</v>
      </c>
      <c r="G20">
        <f t="shared" si="1"/>
        <v>0</v>
      </c>
    </row>
    <row r="21" spans="1:7">
      <c r="A21" s="1607" t="s">
        <v>51</v>
      </c>
      <c r="B21" s="1609">
        <v>55000</v>
      </c>
      <c r="C21" s="1608"/>
      <c r="D21">
        <f>+IFERROR(VLOOKUP($A21,'TB Final'!$B:$H,7,0),0)</f>
        <v>55000</v>
      </c>
      <c r="E21">
        <f>+IFERROR(VLOOKUP($A21,'TB Final'!$B:$H,10,0),0)</f>
        <v>0</v>
      </c>
      <c r="F21">
        <f t="shared" si="0"/>
        <v>0</v>
      </c>
      <c r="G21">
        <f t="shared" si="1"/>
        <v>0</v>
      </c>
    </row>
    <row r="22" spans="1:7">
      <c r="A22" s="1607" t="s">
        <v>2944</v>
      </c>
      <c r="B22" s="1609">
        <v>70000</v>
      </c>
      <c r="C22" s="1608"/>
      <c r="D22">
        <f>+IFERROR(VLOOKUP($A22,'TB Final'!$B:$H,7,0),0)</f>
        <v>70000</v>
      </c>
      <c r="E22">
        <f>+IFERROR(VLOOKUP($A22,'TB Final'!$B:$H,10,0),0)</f>
        <v>0</v>
      </c>
      <c r="F22">
        <f t="shared" si="0"/>
        <v>0</v>
      </c>
      <c r="G22">
        <f t="shared" si="1"/>
        <v>0</v>
      </c>
    </row>
    <row r="23" spans="1:7">
      <c r="A23" s="1607" t="s">
        <v>2945</v>
      </c>
      <c r="B23" s="1609">
        <v>244640</v>
      </c>
      <c r="C23" s="1608"/>
      <c r="D23">
        <f>+IFERROR(VLOOKUP($A23,'TB Final'!$B:$H,7,0),0)</f>
        <v>244640</v>
      </c>
      <c r="E23">
        <f>+IFERROR(VLOOKUP($A23,'TB Final'!$B:$H,10,0),0)</f>
        <v>0</v>
      </c>
      <c r="F23">
        <f t="shared" si="0"/>
        <v>0</v>
      </c>
      <c r="G23">
        <f t="shared" si="1"/>
        <v>0</v>
      </c>
    </row>
    <row r="24" spans="1:7">
      <c r="A24" s="1607" t="s">
        <v>56</v>
      </c>
      <c r="B24" s="1609">
        <v>7403</v>
      </c>
      <c r="C24" s="1608"/>
      <c r="D24">
        <f>+IFERROR(VLOOKUP($A24,'TB Final'!$B:$H,7,0),0)</f>
        <v>7403</v>
      </c>
      <c r="E24">
        <f>+IFERROR(VLOOKUP($A24,'TB Final'!$B:$H,10,0),0)</f>
        <v>0</v>
      </c>
      <c r="F24">
        <f t="shared" si="0"/>
        <v>0</v>
      </c>
      <c r="G24">
        <f t="shared" si="1"/>
        <v>0</v>
      </c>
    </row>
    <row r="25" spans="1:7">
      <c r="A25" s="1607" t="s">
        <v>58</v>
      </c>
      <c r="B25" s="1608"/>
      <c r="C25" s="1609">
        <v>247500</v>
      </c>
      <c r="D25">
        <f>+IFERROR(VLOOKUP($A25,'TB Final'!$B:$H,7,0),0)</f>
        <v>0</v>
      </c>
      <c r="E25">
        <f>+IFERROR(VLOOKUP($A25,'TB Final'!$B:$H,10,0),0)</f>
        <v>0</v>
      </c>
      <c r="F25">
        <f t="shared" si="0"/>
        <v>0</v>
      </c>
      <c r="G25">
        <f t="shared" si="1"/>
        <v>247500</v>
      </c>
    </row>
    <row r="26" spans="1:7">
      <c r="A26" s="1607" t="s">
        <v>472</v>
      </c>
      <c r="B26" s="1609">
        <v>1489956</v>
      </c>
      <c r="C26" s="1608"/>
      <c r="D26">
        <f>+IFERROR(VLOOKUP($A26,'TB Final'!$B:$H,7,0),0)</f>
        <v>1489956</v>
      </c>
      <c r="E26">
        <f>+IFERROR(VLOOKUP($A26,'TB Final'!$B:$H,10,0),0)</f>
        <v>0</v>
      </c>
      <c r="F26">
        <f t="shared" si="0"/>
        <v>0</v>
      </c>
      <c r="G26">
        <f t="shared" si="1"/>
        <v>0</v>
      </c>
    </row>
    <row r="27" spans="1:7">
      <c r="A27" s="1607" t="s">
        <v>473</v>
      </c>
      <c r="B27" s="1608"/>
      <c r="C27" s="1609">
        <v>641767.5</v>
      </c>
      <c r="D27">
        <f>+IFERROR(VLOOKUP($A27,'TB Final'!$B:$H,7,0),0)</f>
        <v>0</v>
      </c>
      <c r="E27">
        <f>+IFERROR(VLOOKUP($A27,'TB Final'!$B:$H,10,0),0)</f>
        <v>0</v>
      </c>
      <c r="F27">
        <f t="shared" si="0"/>
        <v>0</v>
      </c>
      <c r="G27">
        <f t="shared" si="1"/>
        <v>641767.5</v>
      </c>
    </row>
    <row r="28" spans="1:7">
      <c r="A28" s="1607" t="s">
        <v>60</v>
      </c>
      <c r="B28" s="1608"/>
      <c r="C28" s="1609">
        <v>233402</v>
      </c>
      <c r="D28">
        <f>+IFERROR(VLOOKUP($A28,'TB Final'!$B:$H,7,0),0)</f>
        <v>0</v>
      </c>
      <c r="E28">
        <f>+IFERROR(VLOOKUP($A28,'TB Final'!$B:$H,10,0),0)</f>
        <v>0</v>
      </c>
      <c r="F28">
        <f t="shared" si="0"/>
        <v>0</v>
      </c>
      <c r="G28">
        <f t="shared" si="1"/>
        <v>233402</v>
      </c>
    </row>
    <row r="29" spans="1:7">
      <c r="A29" s="1607" t="s">
        <v>61</v>
      </c>
      <c r="B29" s="1608"/>
      <c r="C29" s="1609">
        <v>383005</v>
      </c>
      <c r="D29">
        <f>+IFERROR(VLOOKUP($A29,'TB Final'!$B:$H,7,0),0)</f>
        <v>0</v>
      </c>
      <c r="E29">
        <f>+IFERROR(VLOOKUP($A29,'TB Final'!$B:$H,10,0),0)</f>
        <v>0</v>
      </c>
      <c r="F29">
        <f t="shared" si="0"/>
        <v>0</v>
      </c>
      <c r="G29">
        <f t="shared" si="1"/>
        <v>383005</v>
      </c>
    </row>
    <row r="30" spans="1:7">
      <c r="A30" s="1607" t="s">
        <v>2946</v>
      </c>
      <c r="B30" s="1609">
        <v>350000</v>
      </c>
      <c r="C30" s="1608"/>
      <c r="D30">
        <f>+IFERROR(VLOOKUP($A30,'TB Final'!$B:$H,7,0),0)</f>
        <v>350000</v>
      </c>
      <c r="E30">
        <f>+IFERROR(VLOOKUP($A30,'TB Final'!$B:$H,10,0),0)</f>
        <v>0</v>
      </c>
      <c r="F30">
        <f t="shared" si="0"/>
        <v>0</v>
      </c>
      <c r="G30">
        <f t="shared" si="1"/>
        <v>0</v>
      </c>
    </row>
    <row r="31" spans="1:7">
      <c r="A31" s="1607" t="s">
        <v>62</v>
      </c>
      <c r="B31" s="1609">
        <v>182542.48</v>
      </c>
      <c r="C31" s="1608"/>
      <c r="D31">
        <f>+IFERROR(VLOOKUP($A31,'TB Final'!$B:$H,7,0),0)</f>
        <v>182542.48</v>
      </c>
      <c r="E31">
        <f>+IFERROR(VLOOKUP($A31,'TB Final'!$B:$H,10,0),0)</f>
        <v>0</v>
      </c>
      <c r="F31">
        <f t="shared" si="0"/>
        <v>0</v>
      </c>
      <c r="G31">
        <f t="shared" si="1"/>
        <v>0</v>
      </c>
    </row>
    <row r="32" spans="1:7">
      <c r="A32" s="1607" t="s">
        <v>66</v>
      </c>
      <c r="B32" s="1609">
        <v>262544</v>
      </c>
      <c r="C32" s="1608"/>
      <c r="D32">
        <f>+IFERROR(VLOOKUP($A32,'TB Final'!$B:$H,7,0),0)</f>
        <v>262544</v>
      </c>
      <c r="E32">
        <f>+IFERROR(VLOOKUP($A32,'TB Final'!$B:$H,10,0),0)</f>
        <v>0</v>
      </c>
      <c r="F32">
        <f t="shared" si="0"/>
        <v>0</v>
      </c>
      <c r="G32">
        <f t="shared" si="1"/>
        <v>0</v>
      </c>
    </row>
    <row r="33" spans="1:7">
      <c r="A33" s="1607" t="s">
        <v>2947</v>
      </c>
      <c r="B33" s="1609">
        <v>586700</v>
      </c>
      <c r="C33" s="1608"/>
      <c r="D33">
        <f>+IFERROR(VLOOKUP($A33,'TB Final'!$B:$H,7,0),0)</f>
        <v>586700</v>
      </c>
      <c r="E33">
        <f>+IFERROR(VLOOKUP($A33,'TB Final'!$B:$H,10,0),0)</f>
        <v>0</v>
      </c>
      <c r="F33">
        <f t="shared" si="0"/>
        <v>0</v>
      </c>
      <c r="G33">
        <f t="shared" si="1"/>
        <v>0</v>
      </c>
    </row>
    <row r="34" spans="1:7">
      <c r="A34" s="1607" t="s">
        <v>2948</v>
      </c>
      <c r="B34" s="1608"/>
      <c r="C34" s="1609">
        <v>430509</v>
      </c>
      <c r="D34">
        <f>+IFERROR(VLOOKUP($A34,'TB Final'!$B:$H,7,0),0)</f>
        <v>0</v>
      </c>
      <c r="E34">
        <f>+IFERROR(VLOOKUP($A34,'TB Final'!$B:$H,10,0),0)</f>
        <v>0</v>
      </c>
      <c r="F34">
        <f t="shared" si="0"/>
        <v>0</v>
      </c>
      <c r="G34">
        <f t="shared" si="1"/>
        <v>430509</v>
      </c>
    </row>
    <row r="35" spans="1:7">
      <c r="A35" s="1607" t="s">
        <v>69</v>
      </c>
      <c r="B35" s="1608"/>
      <c r="C35" s="1609">
        <v>757002</v>
      </c>
      <c r="D35">
        <f>+IFERROR(VLOOKUP($A35,'TB Final'!$B:$H,7,0),0)</f>
        <v>0</v>
      </c>
      <c r="E35">
        <f>+IFERROR(VLOOKUP($A35,'TB Final'!$B:$H,10,0),0)</f>
        <v>0</v>
      </c>
      <c r="F35">
        <f t="shared" si="0"/>
        <v>0</v>
      </c>
      <c r="G35">
        <f t="shared" si="1"/>
        <v>757002</v>
      </c>
    </row>
    <row r="36" spans="1:7">
      <c r="A36" s="1607" t="s">
        <v>2949</v>
      </c>
      <c r="B36" s="1608"/>
      <c r="C36" s="1609">
        <v>1762334</v>
      </c>
      <c r="D36">
        <f>+IFERROR(VLOOKUP($A36,'TB Final'!$B:$H,7,0),0)</f>
        <v>0</v>
      </c>
      <c r="E36">
        <f>+IFERROR(VLOOKUP($A36,'TB Final'!$B:$H,10,0),0)</f>
        <v>0</v>
      </c>
      <c r="F36">
        <f t="shared" si="0"/>
        <v>0</v>
      </c>
      <c r="G36">
        <f t="shared" si="1"/>
        <v>1762334</v>
      </c>
    </row>
    <row r="37" spans="1:7">
      <c r="A37" s="1607" t="s">
        <v>2950</v>
      </c>
      <c r="B37" s="1608"/>
      <c r="C37" s="1609">
        <v>38700</v>
      </c>
      <c r="D37">
        <f>+IFERROR(VLOOKUP($A37,'TB Final'!$B:$H,7,0),0)</f>
        <v>0</v>
      </c>
      <c r="E37">
        <f>+IFERROR(VLOOKUP($A37,'TB Final'!$B:$H,10,0),0)</f>
        <v>0</v>
      </c>
      <c r="F37">
        <f t="shared" si="0"/>
        <v>0</v>
      </c>
      <c r="G37">
        <f t="shared" si="1"/>
        <v>38700</v>
      </c>
    </row>
    <row r="38" spans="1:7">
      <c r="A38" s="1607" t="s">
        <v>72</v>
      </c>
      <c r="B38" s="1609">
        <v>3742571.88</v>
      </c>
      <c r="C38" s="1608"/>
      <c r="D38">
        <f>+IFERROR(VLOOKUP($A38,'TB Final'!$B:$H,7,0),0)</f>
        <v>3742571.88</v>
      </c>
      <c r="E38">
        <f>+IFERROR(VLOOKUP($A38,'TB Final'!$B:$H,10,0),0)</f>
        <v>0</v>
      </c>
      <c r="F38">
        <f t="shared" si="0"/>
        <v>0</v>
      </c>
      <c r="G38">
        <f t="shared" si="1"/>
        <v>0</v>
      </c>
    </row>
    <row r="39" spans="1:7">
      <c r="A39" s="1607" t="s">
        <v>475</v>
      </c>
      <c r="B39" s="1609">
        <v>3164</v>
      </c>
      <c r="C39" s="1608"/>
      <c r="D39">
        <f>+IFERROR(VLOOKUP($A39,'TB Final'!$B:$H,7,0),0)</f>
        <v>3164</v>
      </c>
      <c r="E39">
        <f>+IFERROR(VLOOKUP($A39,'TB Final'!$B:$H,10,0),0)</f>
        <v>0</v>
      </c>
      <c r="F39">
        <f t="shared" si="0"/>
        <v>0</v>
      </c>
      <c r="G39">
        <f t="shared" si="1"/>
        <v>0</v>
      </c>
    </row>
    <row r="40" spans="1:7">
      <c r="A40" s="1607" t="s">
        <v>2951</v>
      </c>
      <c r="B40" s="1609">
        <v>50118</v>
      </c>
      <c r="C40" s="1608"/>
      <c r="D40">
        <f>+IFERROR(VLOOKUP($A40,'TB Final'!$B:$H,7,0),0)</f>
        <v>50118</v>
      </c>
      <c r="E40">
        <f>+IFERROR(VLOOKUP($A40,'TB Final'!$B:$H,10,0),0)</f>
        <v>0</v>
      </c>
      <c r="F40">
        <f t="shared" si="0"/>
        <v>0</v>
      </c>
      <c r="G40">
        <f t="shared" si="1"/>
        <v>0</v>
      </c>
    </row>
    <row r="41" spans="1:7">
      <c r="A41" s="1607" t="s">
        <v>476</v>
      </c>
      <c r="B41" s="1609">
        <v>74383415.909999996</v>
      </c>
      <c r="C41" s="1608"/>
      <c r="D41">
        <f>+IFERROR(VLOOKUP($A41,'TB Final'!$B:$H,7,0),0)</f>
        <v>74323684.409999996</v>
      </c>
      <c r="E41">
        <f>+IFERROR(VLOOKUP($A41,'TB Final'!$B:$H,10,0),0)</f>
        <v>0</v>
      </c>
      <c r="F41">
        <f t="shared" si="0"/>
        <v>59731.5</v>
      </c>
      <c r="G41">
        <f t="shared" si="1"/>
        <v>0</v>
      </c>
    </row>
    <row r="42" spans="1:7">
      <c r="A42" s="1607" t="s">
        <v>79</v>
      </c>
      <c r="B42" s="1608"/>
      <c r="C42" s="1609">
        <v>20413989</v>
      </c>
      <c r="D42">
        <f>+IFERROR(VLOOKUP($A42,'TB Final'!$B:$H,7,0),0)</f>
        <v>0</v>
      </c>
      <c r="E42">
        <f>+IFERROR(VLOOKUP($A42,'TB Final'!$B:$H,10,0),0)</f>
        <v>0</v>
      </c>
      <c r="F42">
        <f t="shared" si="0"/>
        <v>0</v>
      </c>
      <c r="G42">
        <f t="shared" si="1"/>
        <v>20413989</v>
      </c>
    </row>
    <row r="43" spans="1:7">
      <c r="A43" s="1607" t="s">
        <v>84</v>
      </c>
      <c r="B43" s="1609">
        <v>369720</v>
      </c>
      <c r="C43" s="1608"/>
      <c r="D43">
        <f>+IFERROR(VLOOKUP($A43,'TB Final'!$B:$H,7,0),0)</f>
        <v>369720</v>
      </c>
      <c r="E43">
        <f>+IFERROR(VLOOKUP($A43,'TB Final'!$B:$H,10,0),0)</f>
        <v>0</v>
      </c>
      <c r="F43">
        <f t="shared" si="0"/>
        <v>0</v>
      </c>
      <c r="G43">
        <f t="shared" si="1"/>
        <v>0</v>
      </c>
    </row>
    <row r="44" spans="1:7">
      <c r="A44" s="1607" t="s">
        <v>86</v>
      </c>
      <c r="B44" s="1609">
        <v>201977</v>
      </c>
      <c r="C44" s="1608"/>
      <c r="D44">
        <f>+IFERROR(VLOOKUP($A44,'TB Final'!$B:$H,7,0),0)</f>
        <v>201977</v>
      </c>
      <c r="E44">
        <f>+IFERROR(VLOOKUP($A44,'TB Final'!$B:$H,10,0),0)</f>
        <v>0</v>
      </c>
      <c r="F44">
        <f t="shared" si="0"/>
        <v>0</v>
      </c>
      <c r="G44">
        <f t="shared" si="1"/>
        <v>0</v>
      </c>
    </row>
    <row r="45" spans="1:7">
      <c r="A45" s="1607" t="s">
        <v>87</v>
      </c>
      <c r="B45" s="1609">
        <v>276683</v>
      </c>
      <c r="C45" s="1608"/>
      <c r="D45">
        <f>+IFERROR(VLOOKUP($A45,'TB Final'!$B:$H,7,0),0)</f>
        <v>276683</v>
      </c>
      <c r="E45">
        <f>+IFERROR(VLOOKUP($A45,'TB Final'!$B:$H,10,0),0)</f>
        <v>0</v>
      </c>
      <c r="F45">
        <f t="shared" si="0"/>
        <v>0</v>
      </c>
      <c r="G45">
        <f t="shared" si="1"/>
        <v>0</v>
      </c>
    </row>
    <row r="46" spans="1:7">
      <c r="A46" s="1607" t="s">
        <v>478</v>
      </c>
      <c r="B46" s="1609">
        <v>270656</v>
      </c>
      <c r="C46" s="1608"/>
      <c r="D46">
        <f>+IFERROR(VLOOKUP($A46,'TB Final'!$B:$H,7,0),0)</f>
        <v>270656</v>
      </c>
      <c r="E46">
        <f>+IFERROR(VLOOKUP($A46,'TB Final'!$B:$H,10,0),0)</f>
        <v>0</v>
      </c>
      <c r="F46">
        <f t="shared" si="0"/>
        <v>0</v>
      </c>
      <c r="G46">
        <f t="shared" si="1"/>
        <v>0</v>
      </c>
    </row>
    <row r="47" spans="1:7">
      <c r="A47" s="1607" t="s">
        <v>2953</v>
      </c>
      <c r="B47" s="1609">
        <v>780000</v>
      </c>
      <c r="C47" s="1608"/>
      <c r="D47">
        <f>+IFERROR(VLOOKUP($A47,'TB Final'!$B:$H,7,0),0)</f>
        <v>780000</v>
      </c>
      <c r="E47">
        <f>+IFERROR(VLOOKUP($A47,'TB Final'!$B:$H,10,0),0)</f>
        <v>0</v>
      </c>
      <c r="F47">
        <f t="shared" si="0"/>
        <v>0</v>
      </c>
      <c r="G47">
        <f t="shared" si="1"/>
        <v>0</v>
      </c>
    </row>
    <row r="48" spans="1:7">
      <c r="A48" s="1607" t="s">
        <v>2954</v>
      </c>
      <c r="B48" s="1608"/>
      <c r="C48" s="1609">
        <v>633932.4</v>
      </c>
      <c r="D48">
        <f>+IFERROR(VLOOKUP($A48,'TB Final'!$B:$H,7,0),0)</f>
        <v>0</v>
      </c>
      <c r="E48">
        <f>+IFERROR(VLOOKUP($A48,'TB Final'!$B:$H,10,0),0)</f>
        <v>0</v>
      </c>
      <c r="F48">
        <f t="shared" si="0"/>
        <v>0</v>
      </c>
      <c r="G48">
        <f t="shared" si="1"/>
        <v>633932.4</v>
      </c>
    </row>
    <row r="49" spans="1:7">
      <c r="A49" s="1607" t="s">
        <v>95</v>
      </c>
      <c r="B49" s="1609">
        <v>39746292.5</v>
      </c>
      <c r="C49" s="1608"/>
      <c r="D49">
        <f>+IFERROR(VLOOKUP($A49,'TB Final'!$B:$H,7,0),0)</f>
        <v>39746292.5</v>
      </c>
      <c r="E49">
        <f>+IFERROR(VLOOKUP($A49,'TB Final'!$B:$H,10,0),0)</f>
        <v>0</v>
      </c>
      <c r="F49">
        <f t="shared" si="0"/>
        <v>0</v>
      </c>
      <c r="G49">
        <f t="shared" si="1"/>
        <v>0</v>
      </c>
    </row>
    <row r="50" spans="1:7">
      <c r="A50" s="1607" t="s">
        <v>481</v>
      </c>
      <c r="B50" s="1609">
        <v>233302.6</v>
      </c>
      <c r="C50" s="1608"/>
      <c r="D50">
        <f>+IFERROR(VLOOKUP($A50,'TB Final'!$B:$H,7,0),0)</f>
        <v>233302.6</v>
      </c>
      <c r="E50">
        <f>+IFERROR(VLOOKUP($A50,'TB Final'!$B:$H,10,0),0)</f>
        <v>0</v>
      </c>
      <c r="F50">
        <f t="shared" si="0"/>
        <v>0</v>
      </c>
      <c r="G50">
        <f t="shared" si="1"/>
        <v>0</v>
      </c>
    </row>
    <row r="51" spans="1:7">
      <c r="A51" s="1607" t="s">
        <v>2956</v>
      </c>
      <c r="B51" s="1609">
        <v>245381</v>
      </c>
      <c r="C51" s="1608"/>
      <c r="D51">
        <f>+IFERROR(VLOOKUP($A51,'TB Final'!$B:$H,7,0),0)</f>
        <v>245381</v>
      </c>
      <c r="E51">
        <f>+IFERROR(VLOOKUP($A51,'TB Final'!$B:$H,10,0),0)</f>
        <v>0</v>
      </c>
      <c r="F51">
        <f t="shared" si="0"/>
        <v>0</v>
      </c>
      <c r="G51">
        <f t="shared" si="1"/>
        <v>0</v>
      </c>
    </row>
    <row r="52" spans="1:7">
      <c r="A52" s="1607" t="s">
        <v>99</v>
      </c>
      <c r="B52" s="1609">
        <v>22889262</v>
      </c>
      <c r="C52" s="1608"/>
      <c r="D52">
        <f>+IFERROR(VLOOKUP($A52,'TB Final'!$B:$H,7,0),0)</f>
        <v>22889262</v>
      </c>
      <c r="E52">
        <f>+IFERROR(VLOOKUP($A52,'TB Final'!$B:$H,10,0),0)</f>
        <v>0</v>
      </c>
      <c r="F52">
        <f t="shared" si="0"/>
        <v>0</v>
      </c>
      <c r="G52">
        <f t="shared" si="1"/>
        <v>0</v>
      </c>
    </row>
    <row r="53" spans="1:7">
      <c r="A53" s="1607" t="s">
        <v>2957</v>
      </c>
      <c r="B53" s="1609">
        <v>3656000</v>
      </c>
      <c r="C53" s="1608"/>
      <c r="D53">
        <f>+IFERROR(VLOOKUP($A53,'TB Final'!$B:$H,7,0),0)</f>
        <v>3656000</v>
      </c>
      <c r="E53">
        <f>+IFERROR(VLOOKUP($A53,'TB Final'!$B:$H,10,0),0)</f>
        <v>0</v>
      </c>
      <c r="F53">
        <f t="shared" si="0"/>
        <v>0</v>
      </c>
      <c r="G53">
        <f t="shared" si="1"/>
        <v>0</v>
      </c>
    </row>
    <row r="54" spans="1:7">
      <c r="A54" s="1607" t="s">
        <v>101</v>
      </c>
      <c r="B54" s="1609">
        <v>58412480.560000002</v>
      </c>
      <c r="C54" s="1608"/>
      <c r="D54">
        <f>+IFERROR(VLOOKUP($A54,'TB Final'!$B:$H,7,0),0)</f>
        <v>58412480.560000002</v>
      </c>
      <c r="E54">
        <f>+IFERROR(VLOOKUP($A54,'TB Final'!$B:$H,10,0),0)</f>
        <v>0</v>
      </c>
      <c r="F54">
        <f t="shared" si="0"/>
        <v>0</v>
      </c>
      <c r="G54">
        <f t="shared" si="1"/>
        <v>0</v>
      </c>
    </row>
    <row r="55" spans="1:7">
      <c r="A55" s="1607" t="s">
        <v>370</v>
      </c>
      <c r="B55" s="1609">
        <v>44654</v>
      </c>
      <c r="C55" s="1608"/>
      <c r="D55">
        <f>+IFERROR(VLOOKUP($A55,'TB Final'!$B:$H,7,0),0)</f>
        <v>44654</v>
      </c>
      <c r="E55">
        <f>+IFERROR(VLOOKUP($A55,'TB Final'!$B:$H,10,0),0)</f>
        <v>0</v>
      </c>
      <c r="F55">
        <f t="shared" si="0"/>
        <v>0</v>
      </c>
      <c r="G55">
        <f t="shared" si="1"/>
        <v>0</v>
      </c>
    </row>
    <row r="56" spans="1:7">
      <c r="A56" s="1607" t="s">
        <v>102</v>
      </c>
      <c r="B56" s="1609">
        <v>1056621.7</v>
      </c>
      <c r="C56" s="1608"/>
      <c r="D56">
        <f>+IFERROR(VLOOKUP($A56,'TB Final'!$B:$H,7,0),0)</f>
        <v>1056621.7</v>
      </c>
      <c r="E56">
        <f>+IFERROR(VLOOKUP($A56,'TB Final'!$B:$H,10,0),0)</f>
        <v>0</v>
      </c>
      <c r="F56">
        <f t="shared" si="0"/>
        <v>0</v>
      </c>
      <c r="G56">
        <f t="shared" si="1"/>
        <v>0</v>
      </c>
    </row>
    <row r="57" spans="1:7">
      <c r="A57" s="1607" t="s">
        <v>103</v>
      </c>
      <c r="B57" s="1609">
        <v>150000</v>
      </c>
      <c r="C57" s="1608"/>
      <c r="D57">
        <f>+IFERROR(VLOOKUP($A57,'TB Final'!$B:$H,7,0),0)</f>
        <v>150000</v>
      </c>
      <c r="E57">
        <f>+IFERROR(VLOOKUP($A57,'TB Final'!$B:$H,10,0),0)</f>
        <v>0</v>
      </c>
      <c r="F57">
        <f t="shared" si="0"/>
        <v>0</v>
      </c>
      <c r="G57">
        <f t="shared" si="1"/>
        <v>0</v>
      </c>
    </row>
    <row r="58" spans="1:7">
      <c r="A58" s="1607" t="s">
        <v>105</v>
      </c>
      <c r="B58" s="1609">
        <v>73085</v>
      </c>
      <c r="C58" s="1608"/>
      <c r="D58">
        <f>+IFERROR(VLOOKUP($A58,'TB Final'!$B:$H,7,0),0)</f>
        <v>73085</v>
      </c>
      <c r="E58">
        <f>+IFERROR(VLOOKUP($A58,'TB Final'!$B:$H,10,0),0)</f>
        <v>0</v>
      </c>
      <c r="F58">
        <f t="shared" si="0"/>
        <v>0</v>
      </c>
      <c r="G58">
        <f t="shared" si="1"/>
        <v>0</v>
      </c>
    </row>
    <row r="59" spans="1:7">
      <c r="A59" s="1607" t="s">
        <v>106</v>
      </c>
      <c r="B59" s="1608"/>
      <c r="C59" s="1609">
        <v>49748</v>
      </c>
      <c r="D59">
        <f>+IFERROR(VLOOKUP($A59,'TB Final'!$B:$H,7,0),0)</f>
        <v>0</v>
      </c>
      <c r="E59">
        <f>+IFERROR(VLOOKUP($A59,'TB Final'!$B:$H,10,0),0)</f>
        <v>0</v>
      </c>
      <c r="F59">
        <f t="shared" si="0"/>
        <v>0</v>
      </c>
      <c r="G59">
        <f t="shared" si="1"/>
        <v>49748</v>
      </c>
    </row>
    <row r="60" spans="1:7">
      <c r="A60" s="1607" t="s">
        <v>482</v>
      </c>
      <c r="B60" s="1608"/>
      <c r="C60" s="1609">
        <v>254452</v>
      </c>
      <c r="D60">
        <f>+IFERROR(VLOOKUP($A60,'TB Final'!$B:$H,7,0),0)</f>
        <v>0</v>
      </c>
      <c r="E60">
        <f>+IFERROR(VLOOKUP($A60,'TB Final'!$B:$H,10,0),0)</f>
        <v>0</v>
      </c>
      <c r="F60">
        <f t="shared" si="0"/>
        <v>0</v>
      </c>
      <c r="G60">
        <f t="shared" si="1"/>
        <v>254452</v>
      </c>
    </row>
    <row r="61" spans="1:7">
      <c r="A61" s="1607" t="s">
        <v>483</v>
      </c>
      <c r="B61" s="1609">
        <v>65874</v>
      </c>
      <c r="C61" s="1608"/>
      <c r="D61">
        <f>+IFERROR(VLOOKUP($A61,'TB Final'!$B:$H,7,0),0)</f>
        <v>65874</v>
      </c>
      <c r="E61">
        <f>+IFERROR(VLOOKUP($A61,'TB Final'!$B:$H,10,0),0)</f>
        <v>0</v>
      </c>
      <c r="F61">
        <f t="shared" si="0"/>
        <v>0</v>
      </c>
      <c r="G61">
        <f t="shared" si="1"/>
        <v>0</v>
      </c>
    </row>
    <row r="62" spans="1:7">
      <c r="A62" s="1607" t="s">
        <v>484</v>
      </c>
      <c r="B62" s="1609">
        <v>44110.5</v>
      </c>
      <c r="C62" s="1608"/>
      <c r="D62">
        <f>+IFERROR(VLOOKUP($A62,'TB Final'!$B:$H,7,0),0)</f>
        <v>44110.5</v>
      </c>
      <c r="E62">
        <f>+IFERROR(VLOOKUP($A62,'TB Final'!$B:$H,10,0),0)</f>
        <v>0</v>
      </c>
      <c r="F62">
        <f t="shared" si="0"/>
        <v>0</v>
      </c>
      <c r="G62">
        <f t="shared" si="1"/>
        <v>0</v>
      </c>
    </row>
    <row r="63" spans="1:7">
      <c r="A63" s="1607" t="s">
        <v>373</v>
      </c>
      <c r="B63" s="1609">
        <v>2229150</v>
      </c>
      <c r="C63" s="1608"/>
      <c r="D63">
        <f>+IFERROR(VLOOKUP($A63,'TB Final'!$B:$H,7,0),0)</f>
        <v>2229150</v>
      </c>
      <c r="E63">
        <f>+IFERROR(VLOOKUP($A63,'TB Final'!$B:$H,10,0),0)</f>
        <v>0</v>
      </c>
      <c r="F63">
        <f t="shared" si="0"/>
        <v>0</v>
      </c>
      <c r="G63">
        <f t="shared" si="1"/>
        <v>0</v>
      </c>
    </row>
    <row r="64" spans="1:7">
      <c r="A64" s="1607" t="s">
        <v>429</v>
      </c>
      <c r="B64" s="1608"/>
      <c r="C64" s="1609">
        <v>30858</v>
      </c>
      <c r="D64">
        <f>+IFERROR(VLOOKUP($A64,'TB Final'!$B:$H,7,0),0)</f>
        <v>0</v>
      </c>
      <c r="E64">
        <f>+IFERROR(VLOOKUP($A64,'TB Final'!$B:$H,10,0),0)</f>
        <v>0</v>
      </c>
      <c r="F64">
        <f t="shared" si="0"/>
        <v>0</v>
      </c>
      <c r="G64">
        <f t="shared" si="1"/>
        <v>30858</v>
      </c>
    </row>
    <row r="65" spans="1:7">
      <c r="A65" s="1607" t="s">
        <v>113</v>
      </c>
      <c r="B65" s="1608"/>
      <c r="C65" s="1609">
        <v>25061810.07</v>
      </c>
      <c r="D65">
        <f>+IFERROR(VLOOKUP($A65,'TB Final'!$B:$H,7,0),0)</f>
        <v>0</v>
      </c>
      <c r="E65">
        <f>+IFERROR(VLOOKUP($A65,'TB Final'!$B:$H,10,0),0)</f>
        <v>0</v>
      </c>
      <c r="F65">
        <f t="shared" si="0"/>
        <v>0</v>
      </c>
      <c r="G65">
        <f t="shared" si="1"/>
        <v>25061810.07</v>
      </c>
    </row>
    <row r="66" spans="1:7">
      <c r="A66" s="1607" t="s">
        <v>114</v>
      </c>
      <c r="B66" s="1608"/>
      <c r="C66" s="1609">
        <v>4105758</v>
      </c>
      <c r="D66">
        <f>+IFERROR(VLOOKUP($A66,'TB Final'!$B:$H,7,0),0)</f>
        <v>0</v>
      </c>
      <c r="E66">
        <f>+IFERROR(VLOOKUP($A66,'TB Final'!$B:$H,10,0),0)</f>
        <v>0</v>
      </c>
      <c r="F66">
        <f t="shared" si="0"/>
        <v>0</v>
      </c>
      <c r="G66">
        <f t="shared" si="1"/>
        <v>4105758</v>
      </c>
    </row>
    <row r="67" spans="1:7">
      <c r="A67" s="1607" t="s">
        <v>2958</v>
      </c>
      <c r="B67" s="1609">
        <v>25000</v>
      </c>
      <c r="C67" s="1608"/>
      <c r="D67">
        <f>+IFERROR(VLOOKUP($A67,'TB Final'!$B:$H,7,0),0)</f>
        <v>25000</v>
      </c>
      <c r="E67">
        <f>+IFERROR(VLOOKUP($A67,'TB Final'!$B:$H,10,0),0)</f>
        <v>0</v>
      </c>
      <c r="F67">
        <f t="shared" si="0"/>
        <v>0</v>
      </c>
      <c r="G67">
        <f t="shared" si="1"/>
        <v>0</v>
      </c>
    </row>
    <row r="68" spans="1:7">
      <c r="A68" s="1607" t="s">
        <v>117</v>
      </c>
      <c r="B68" s="1609">
        <v>1296000</v>
      </c>
      <c r="C68" s="1608"/>
      <c r="D68">
        <f>+IFERROR(VLOOKUP($A68,'TB Final'!$B:$H,7,0),0)</f>
        <v>1296000</v>
      </c>
      <c r="E68">
        <f>+IFERROR(VLOOKUP($A68,'TB Final'!$B:$H,10,0),0)</f>
        <v>0</v>
      </c>
      <c r="F68">
        <f t="shared" si="0"/>
        <v>0</v>
      </c>
      <c r="G68">
        <f t="shared" si="1"/>
        <v>0</v>
      </c>
    </row>
    <row r="69" spans="1:7">
      <c r="A69" s="1607" t="s">
        <v>118</v>
      </c>
      <c r="B69" s="1609">
        <v>6800</v>
      </c>
      <c r="C69" s="1608"/>
      <c r="D69">
        <f>+IFERROR(VLOOKUP($A69,'TB Final'!$B:$H,7,0),0)</f>
        <v>6800</v>
      </c>
      <c r="E69">
        <f>+IFERROR(VLOOKUP($A69,'TB Final'!$B:$H,10,0),0)</f>
        <v>0</v>
      </c>
      <c r="F69">
        <f t="shared" si="0"/>
        <v>0</v>
      </c>
      <c r="G69">
        <f t="shared" si="1"/>
        <v>0</v>
      </c>
    </row>
    <row r="70" spans="1:7">
      <c r="A70" s="1607" t="s">
        <v>485</v>
      </c>
      <c r="B70" s="1609">
        <v>200000</v>
      </c>
      <c r="C70" s="1608"/>
      <c r="D70">
        <f>+IFERROR(VLOOKUP($A70,'TB Final'!$B:$H,7,0),0)</f>
        <v>200000</v>
      </c>
      <c r="E70">
        <f>+IFERROR(VLOOKUP($A70,'TB Final'!$B:$H,10,0),0)</f>
        <v>0</v>
      </c>
      <c r="F70">
        <f t="shared" si="0"/>
        <v>0</v>
      </c>
      <c r="G70">
        <f t="shared" si="1"/>
        <v>0</v>
      </c>
    </row>
    <row r="71" spans="1:7">
      <c r="A71" s="1607" t="s">
        <v>486</v>
      </c>
      <c r="B71" s="1609">
        <v>10777</v>
      </c>
      <c r="C71" s="1608"/>
      <c r="D71">
        <f>+IFERROR(VLOOKUP($A71,'TB Final'!$B:$H,7,0),0)</f>
        <v>10777</v>
      </c>
      <c r="E71">
        <f>+IFERROR(VLOOKUP($A71,'TB Final'!$B:$H,10,0),0)</f>
        <v>0</v>
      </c>
      <c r="F71">
        <f t="shared" si="0"/>
        <v>0</v>
      </c>
      <c r="G71">
        <f t="shared" si="1"/>
        <v>0</v>
      </c>
    </row>
    <row r="72" spans="1:7">
      <c r="A72" s="1607" t="s">
        <v>128</v>
      </c>
      <c r="B72" s="1609">
        <v>619250</v>
      </c>
      <c r="C72" s="1608"/>
      <c r="D72">
        <f>+IFERROR(VLOOKUP($A72,'TB Final'!$B:$H,7,0),0)</f>
        <v>619250</v>
      </c>
      <c r="E72">
        <f>+IFERROR(VLOOKUP($A72,'TB Final'!$B:$H,10,0),0)</f>
        <v>0</v>
      </c>
      <c r="F72">
        <f t="shared" si="0"/>
        <v>0</v>
      </c>
      <c r="G72">
        <f t="shared" si="1"/>
        <v>0</v>
      </c>
    </row>
    <row r="73" spans="1:7">
      <c r="A73" s="1607" t="s">
        <v>129</v>
      </c>
      <c r="B73" s="1609">
        <v>5042406</v>
      </c>
      <c r="C73" s="1608"/>
      <c r="D73">
        <f>+IFERROR(VLOOKUP($A73,'TB Final'!$B:$H,7,0),0)</f>
        <v>5042406</v>
      </c>
      <c r="E73">
        <f>+IFERROR(VLOOKUP($A73,'TB Final'!$B:$H,10,0),0)</f>
        <v>0</v>
      </c>
      <c r="F73">
        <f t="shared" si="0"/>
        <v>0</v>
      </c>
      <c r="G73">
        <f t="shared" si="1"/>
        <v>0</v>
      </c>
    </row>
    <row r="74" spans="1:7">
      <c r="A74" s="1607" t="s">
        <v>123</v>
      </c>
      <c r="B74" s="1609">
        <v>330000</v>
      </c>
      <c r="C74" s="1608"/>
      <c r="D74">
        <f>+IFERROR(VLOOKUP($A74,'TB Final'!$B:$H,7,0),0)</f>
        <v>330000</v>
      </c>
      <c r="E74">
        <f>+IFERROR(VLOOKUP($A74,'TB Final'!$B:$H,10,0),0)</f>
        <v>0</v>
      </c>
      <c r="F74">
        <f t="shared" si="0"/>
        <v>0</v>
      </c>
      <c r="G74">
        <f t="shared" si="1"/>
        <v>0</v>
      </c>
    </row>
    <row r="75" spans="1:7">
      <c r="A75" s="1607" t="s">
        <v>124</v>
      </c>
      <c r="B75" s="1609">
        <v>6248400</v>
      </c>
      <c r="C75" s="1608"/>
      <c r="D75">
        <f>+IFERROR(VLOOKUP($A75,'TB Final'!$B:$H,7,0),0)</f>
        <v>6248400</v>
      </c>
      <c r="E75">
        <f>+IFERROR(VLOOKUP($A75,'TB Final'!$B:$H,10,0),0)</f>
        <v>0</v>
      </c>
      <c r="F75">
        <f t="shared" si="0"/>
        <v>0</v>
      </c>
      <c r="G75">
        <f t="shared" si="1"/>
        <v>0</v>
      </c>
    </row>
    <row r="76" spans="1:7">
      <c r="A76" s="1607" t="s">
        <v>487</v>
      </c>
      <c r="B76" s="1609">
        <v>900000</v>
      </c>
      <c r="C76" s="1608"/>
      <c r="D76">
        <f>+IFERROR(VLOOKUP($A76,'TB Final'!$B:$H,7,0),0)</f>
        <v>900000</v>
      </c>
      <c r="E76">
        <f>+IFERROR(VLOOKUP($A76,'TB Final'!$B:$H,10,0),0)</f>
        <v>0</v>
      </c>
      <c r="F76">
        <f t="shared" si="0"/>
        <v>0</v>
      </c>
      <c r="G76">
        <f t="shared" si="1"/>
        <v>0</v>
      </c>
    </row>
    <row r="77" spans="1:7">
      <c r="A77" s="1607" t="s">
        <v>122</v>
      </c>
      <c r="B77" s="1609">
        <v>239987</v>
      </c>
      <c r="C77" s="1608"/>
      <c r="D77">
        <f>+IFERROR(VLOOKUP($A77,'TB Final'!$B:$H,7,0),0)</f>
        <v>239987</v>
      </c>
      <c r="E77">
        <f>+IFERROR(VLOOKUP($A77,'TB Final'!$B:$H,10,0),0)</f>
        <v>0</v>
      </c>
      <c r="F77">
        <f t="shared" ref="F77:F140" si="2">+B77-D77</f>
        <v>0</v>
      </c>
      <c r="G77">
        <f t="shared" ref="G77:G140" si="3">+C77-E77</f>
        <v>0</v>
      </c>
    </row>
    <row r="78" spans="1:7">
      <c r="A78" s="1607" t="s">
        <v>2959</v>
      </c>
      <c r="B78" s="1609">
        <v>150294</v>
      </c>
      <c r="C78" s="1608"/>
      <c r="D78">
        <f>+IFERROR(VLOOKUP($A78,'TB Final'!$B:$H,7,0),0)</f>
        <v>150294</v>
      </c>
      <c r="E78">
        <f>+IFERROR(VLOOKUP($A78,'TB Final'!$B:$H,10,0),0)</f>
        <v>0</v>
      </c>
      <c r="F78">
        <f t="shared" si="2"/>
        <v>0</v>
      </c>
      <c r="G78">
        <f t="shared" si="3"/>
        <v>0</v>
      </c>
    </row>
    <row r="79" spans="1:7">
      <c r="A79" s="1607" t="s">
        <v>130</v>
      </c>
      <c r="B79" s="1609">
        <v>4721559.91</v>
      </c>
      <c r="C79" s="1608"/>
      <c r="D79">
        <f>+IFERROR(VLOOKUP($A79,'TB Final'!$B:$H,7,0),0)</f>
        <v>2791142</v>
      </c>
      <c r="E79">
        <f>+IFERROR(VLOOKUP($A79,'TB Final'!$B:$H,10,0),0)</f>
        <v>0</v>
      </c>
      <c r="F79">
        <f t="shared" si="2"/>
        <v>1930417.9100000001</v>
      </c>
      <c r="G79">
        <f t="shared" si="3"/>
        <v>0</v>
      </c>
    </row>
    <row r="80" spans="1:7">
      <c r="A80" s="1607" t="s">
        <v>488</v>
      </c>
      <c r="B80" s="1609">
        <v>2030362.5</v>
      </c>
      <c r="C80" s="1608"/>
      <c r="D80">
        <f>+IFERROR(VLOOKUP($A80,'TB Final'!$B:$H,7,0),0)</f>
        <v>2104855</v>
      </c>
      <c r="E80">
        <f>+IFERROR(VLOOKUP($A80,'TB Final'!$B:$H,10,0),0)</f>
        <v>0</v>
      </c>
      <c r="F80">
        <f t="shared" si="2"/>
        <v>-74492.5</v>
      </c>
      <c r="G80">
        <f t="shared" si="3"/>
        <v>0</v>
      </c>
    </row>
    <row r="81" spans="1:7">
      <c r="A81" s="1607" t="s">
        <v>489</v>
      </c>
      <c r="B81" s="1609">
        <v>48738.17</v>
      </c>
      <c r="C81" s="1608"/>
      <c r="D81">
        <f>+IFERROR(VLOOKUP($A81,'TB Final'!$B:$H,7,0),0)</f>
        <v>97152</v>
      </c>
      <c r="E81">
        <f>+IFERROR(VLOOKUP($A81,'TB Final'!$B:$H,10,0),0)</f>
        <v>0</v>
      </c>
      <c r="F81">
        <f t="shared" si="2"/>
        <v>-48413.83</v>
      </c>
      <c r="G81">
        <f t="shared" si="3"/>
        <v>0</v>
      </c>
    </row>
    <row r="82" spans="1:7">
      <c r="A82" s="1607" t="s">
        <v>133</v>
      </c>
      <c r="B82" s="1609">
        <v>96475.87</v>
      </c>
      <c r="C82" s="1608"/>
      <c r="D82">
        <f>+IFERROR(VLOOKUP($A82,'TB Final'!$B:$H,7,0),0)</f>
        <v>103879</v>
      </c>
      <c r="E82">
        <f>+IFERROR(VLOOKUP($A82,'TB Final'!$B:$H,10,0),0)</f>
        <v>0</v>
      </c>
      <c r="F82">
        <f t="shared" si="2"/>
        <v>-7403.1300000000047</v>
      </c>
      <c r="G82">
        <f t="shared" si="3"/>
        <v>0</v>
      </c>
    </row>
    <row r="83" spans="1:7">
      <c r="A83" s="1607" t="s">
        <v>134</v>
      </c>
      <c r="B83" s="1609">
        <v>74073.7</v>
      </c>
      <c r="C83" s="1608"/>
      <c r="D83">
        <f>+IFERROR(VLOOKUP($A83,'TB Final'!$B:$H,7,0),0)</f>
        <v>109389</v>
      </c>
      <c r="E83">
        <f>+IFERROR(VLOOKUP($A83,'TB Final'!$B:$H,10,0),0)</f>
        <v>0</v>
      </c>
      <c r="F83">
        <f t="shared" si="2"/>
        <v>-35315.300000000003</v>
      </c>
      <c r="G83">
        <f t="shared" si="3"/>
        <v>0</v>
      </c>
    </row>
    <row r="84" spans="1:7">
      <c r="A84" s="1607" t="s">
        <v>490</v>
      </c>
      <c r="B84" s="1609">
        <v>14035224.91</v>
      </c>
      <c r="C84" s="1608"/>
      <c r="D84">
        <f>+IFERROR(VLOOKUP($A84,'TB Final'!$B:$H,7,0),0)</f>
        <v>14032176</v>
      </c>
      <c r="E84">
        <f>+IFERROR(VLOOKUP($A84,'TB Final'!$B:$H,10,0),0)</f>
        <v>0</v>
      </c>
      <c r="F84">
        <f t="shared" si="2"/>
        <v>3048.910000000149</v>
      </c>
      <c r="G84">
        <f t="shared" si="3"/>
        <v>0</v>
      </c>
    </row>
    <row r="85" spans="1:7">
      <c r="A85" s="1607" t="s">
        <v>135</v>
      </c>
      <c r="B85" s="1609">
        <v>355194</v>
      </c>
      <c r="C85" s="1608"/>
      <c r="D85">
        <f>+IFERROR(VLOOKUP($A85,'TB Final'!$B:$H,7,0),0)</f>
        <v>345303</v>
      </c>
      <c r="E85">
        <f>+IFERROR(VLOOKUP($A85,'TB Final'!$B:$H,10,0),0)</f>
        <v>0</v>
      </c>
      <c r="F85">
        <f t="shared" si="2"/>
        <v>9891</v>
      </c>
      <c r="G85">
        <f t="shared" si="3"/>
        <v>0</v>
      </c>
    </row>
    <row r="86" spans="1:7">
      <c r="A86" s="1607" t="s">
        <v>138</v>
      </c>
      <c r="B86" s="1609">
        <v>50000</v>
      </c>
      <c r="C86" s="1608"/>
      <c r="D86">
        <f>+IFERROR(VLOOKUP($A86,'TB Final'!$B:$H,7,0),0)</f>
        <v>50000</v>
      </c>
      <c r="E86">
        <f>+IFERROR(VLOOKUP($A86,'TB Final'!$B:$H,10,0),0)</f>
        <v>0</v>
      </c>
      <c r="F86">
        <f t="shared" si="2"/>
        <v>0</v>
      </c>
      <c r="G86">
        <f t="shared" si="3"/>
        <v>0</v>
      </c>
    </row>
    <row r="87" spans="1:7">
      <c r="A87" s="1607" t="s">
        <v>139</v>
      </c>
      <c r="B87" s="1609">
        <v>34500</v>
      </c>
      <c r="C87" s="1608"/>
      <c r="D87">
        <f>+IFERROR(VLOOKUP($A87,'TB Final'!$B:$H,7,0),0)</f>
        <v>34500</v>
      </c>
      <c r="E87">
        <f>+IFERROR(VLOOKUP($A87,'TB Final'!$B:$H,10,0),0)</f>
        <v>0</v>
      </c>
      <c r="F87">
        <f t="shared" si="2"/>
        <v>0</v>
      </c>
      <c r="G87">
        <f t="shared" si="3"/>
        <v>0</v>
      </c>
    </row>
    <row r="88" spans="1:7">
      <c r="A88" s="1607" t="s">
        <v>3062</v>
      </c>
      <c r="B88" s="1608"/>
      <c r="C88" s="1609">
        <v>13700</v>
      </c>
      <c r="D88">
        <f>+IFERROR(VLOOKUP($A88,'TB Final'!$B:$H,7,0),0)</f>
        <v>0</v>
      </c>
      <c r="E88">
        <f>+IFERROR(VLOOKUP($A88,'TB Final'!$B:$H,10,0),0)</f>
        <v>0</v>
      </c>
      <c r="F88">
        <f t="shared" si="2"/>
        <v>0</v>
      </c>
      <c r="G88">
        <f t="shared" si="3"/>
        <v>13700</v>
      </c>
    </row>
    <row r="89" spans="1:7">
      <c r="A89" s="1607" t="s">
        <v>142</v>
      </c>
      <c r="B89" s="1609">
        <v>469</v>
      </c>
      <c r="C89" s="1608"/>
      <c r="D89">
        <f>+IFERROR(VLOOKUP($A89,'TB Final'!$B:$H,7,0),0)</f>
        <v>469</v>
      </c>
      <c r="E89">
        <f>+IFERROR(VLOOKUP($A89,'TB Final'!$B:$H,10,0),0)</f>
        <v>0</v>
      </c>
      <c r="F89">
        <f t="shared" si="2"/>
        <v>0</v>
      </c>
      <c r="G89">
        <f t="shared" si="3"/>
        <v>0</v>
      </c>
    </row>
    <row r="90" spans="1:7">
      <c r="A90" s="1607" t="s">
        <v>374</v>
      </c>
      <c r="B90" s="1609">
        <v>32898534</v>
      </c>
      <c r="C90" s="1608"/>
      <c r="D90">
        <f>+IFERROR(VLOOKUP($A90,'TB Final'!$B:$H,7,0),0)</f>
        <v>32898534</v>
      </c>
      <c r="E90">
        <f>+IFERROR(VLOOKUP($A90,'TB Final'!$B:$H,10,0),0)</f>
        <v>0</v>
      </c>
      <c r="F90">
        <f t="shared" si="2"/>
        <v>0</v>
      </c>
      <c r="G90">
        <f t="shared" si="3"/>
        <v>0</v>
      </c>
    </row>
    <row r="91" spans="1:7">
      <c r="A91" s="1607" t="s">
        <v>146</v>
      </c>
      <c r="B91" s="1609">
        <v>168203.84</v>
      </c>
      <c r="C91" s="1608"/>
      <c r="D91">
        <f>+IFERROR(VLOOKUP($A91,'TB Final'!$B:$H,7,0),0)</f>
        <v>168203.84</v>
      </c>
      <c r="E91">
        <f>+IFERROR(VLOOKUP($A91,'TB Final'!$B:$H,10,0),0)</f>
        <v>0</v>
      </c>
      <c r="F91">
        <f t="shared" si="2"/>
        <v>0</v>
      </c>
      <c r="G91">
        <f t="shared" si="3"/>
        <v>0</v>
      </c>
    </row>
    <row r="92" spans="1:7">
      <c r="A92" s="1607" t="s">
        <v>147</v>
      </c>
      <c r="B92" s="1609">
        <v>2500</v>
      </c>
      <c r="C92" s="1608"/>
      <c r="D92">
        <f>+IFERROR(VLOOKUP($A92,'TB Final'!$B:$H,7,0),0)</f>
        <v>2500</v>
      </c>
      <c r="E92">
        <f>+IFERROR(VLOOKUP($A92,'TB Final'!$B:$H,10,0),0)</f>
        <v>0</v>
      </c>
      <c r="F92">
        <f t="shared" si="2"/>
        <v>0</v>
      </c>
      <c r="G92">
        <f t="shared" si="3"/>
        <v>0</v>
      </c>
    </row>
    <row r="93" spans="1:7">
      <c r="A93" s="1607" t="s">
        <v>150</v>
      </c>
      <c r="B93" s="1608"/>
      <c r="C93" s="1609">
        <v>66909</v>
      </c>
      <c r="D93">
        <f>+IFERROR(VLOOKUP($A93,'TB Final'!$B:$H,7,0),0)</f>
        <v>0</v>
      </c>
      <c r="E93">
        <f>+IFERROR(VLOOKUP($A93,'TB Final'!$B:$H,10,0),0)</f>
        <v>0</v>
      </c>
      <c r="F93">
        <f t="shared" si="2"/>
        <v>0</v>
      </c>
      <c r="G93">
        <f t="shared" si="3"/>
        <v>66909</v>
      </c>
    </row>
    <row r="94" spans="1:7">
      <c r="A94" s="1607" t="s">
        <v>151</v>
      </c>
      <c r="B94" s="1608"/>
      <c r="C94" s="1609">
        <v>1502067</v>
      </c>
      <c r="D94">
        <f>+IFERROR(VLOOKUP($A94,'TB Final'!$B:$H,7,0),0)</f>
        <v>0</v>
      </c>
      <c r="E94">
        <f>+IFERROR(VLOOKUP($A94,'TB Final'!$B:$H,10,0),0)</f>
        <v>0</v>
      </c>
      <c r="F94">
        <f t="shared" si="2"/>
        <v>0</v>
      </c>
      <c r="G94">
        <f t="shared" si="3"/>
        <v>1502067</v>
      </c>
    </row>
    <row r="95" spans="1:7">
      <c r="A95" s="1607" t="s">
        <v>152</v>
      </c>
      <c r="B95" s="1609">
        <v>75586117.109999999</v>
      </c>
      <c r="C95" s="1608"/>
      <c r="D95">
        <f>+IFERROR(VLOOKUP($A95,'TB Final'!$B:$H,7,0),0)</f>
        <v>69445250.989999995</v>
      </c>
      <c r="E95">
        <f>+IFERROR(VLOOKUP($A95,'TB Final'!$B:$H,10,0),0)</f>
        <v>0</v>
      </c>
      <c r="F95">
        <f t="shared" si="2"/>
        <v>6140866.1200000048</v>
      </c>
      <c r="G95">
        <f t="shared" si="3"/>
        <v>0</v>
      </c>
    </row>
    <row r="96" spans="1:7">
      <c r="A96" s="1607" t="s">
        <v>377</v>
      </c>
      <c r="B96" s="1608"/>
      <c r="C96" s="1609">
        <v>93574</v>
      </c>
      <c r="D96">
        <f>+IFERROR(VLOOKUP($A96,'TB Final'!$B:$H,7,0),0)</f>
        <v>0</v>
      </c>
      <c r="E96">
        <f>+IFERROR(VLOOKUP($A96,'TB Final'!$B:$H,10,0),0)</f>
        <v>0</v>
      </c>
      <c r="F96">
        <f t="shared" si="2"/>
        <v>0</v>
      </c>
      <c r="G96">
        <f t="shared" si="3"/>
        <v>93574</v>
      </c>
    </row>
    <row r="97" spans="1:7">
      <c r="A97" s="1607" t="s">
        <v>153</v>
      </c>
      <c r="B97" s="1608"/>
      <c r="C97" s="1609">
        <v>26922650</v>
      </c>
      <c r="D97">
        <f>+IFERROR(VLOOKUP($A97,'TB Final'!$B:$H,7,0),0)</f>
        <v>0</v>
      </c>
      <c r="E97">
        <f>+IFERROR(VLOOKUP($A97,'TB Final'!$B:$H,10,0),0)</f>
        <v>0</v>
      </c>
      <c r="F97">
        <f t="shared" si="2"/>
        <v>0</v>
      </c>
      <c r="G97">
        <f t="shared" si="3"/>
        <v>26922650</v>
      </c>
    </row>
    <row r="98" spans="1:7">
      <c r="A98" s="1607" t="s">
        <v>156</v>
      </c>
      <c r="B98" s="1609">
        <v>267233</v>
      </c>
      <c r="C98" s="1608"/>
      <c r="D98">
        <f>+IFERROR(VLOOKUP($A98,'TB Final'!$B:$H,7,0),0)</f>
        <v>267233</v>
      </c>
      <c r="E98">
        <f>+IFERROR(VLOOKUP($A98,'TB Final'!$B:$H,10,0),0)</f>
        <v>0</v>
      </c>
      <c r="F98">
        <f t="shared" si="2"/>
        <v>0</v>
      </c>
      <c r="G98">
        <f t="shared" si="3"/>
        <v>0</v>
      </c>
    </row>
    <row r="99" spans="1:7">
      <c r="A99" s="1607" t="s">
        <v>158</v>
      </c>
      <c r="B99" s="1609">
        <v>4167</v>
      </c>
      <c r="C99" s="1608"/>
      <c r="D99">
        <f>+IFERROR(VLOOKUP($A99,'TB Final'!$B:$H,7,0),0)</f>
        <v>4167</v>
      </c>
      <c r="E99">
        <f>+IFERROR(VLOOKUP($A99,'TB Final'!$B:$H,10,0),0)</f>
        <v>0</v>
      </c>
      <c r="F99">
        <f t="shared" si="2"/>
        <v>0</v>
      </c>
      <c r="G99">
        <f t="shared" si="3"/>
        <v>0</v>
      </c>
    </row>
    <row r="100" spans="1:7">
      <c r="A100" s="1607" t="s">
        <v>164</v>
      </c>
      <c r="B100" s="1609">
        <v>72800</v>
      </c>
      <c r="C100" s="1608"/>
      <c r="D100">
        <f>+IFERROR(VLOOKUP($A100,'TB Final'!$B:$H,7,0),0)</f>
        <v>72800</v>
      </c>
      <c r="E100">
        <f>+IFERROR(VLOOKUP($A100,'TB Final'!$B:$H,10,0),0)</f>
        <v>0</v>
      </c>
      <c r="F100">
        <f t="shared" si="2"/>
        <v>0</v>
      </c>
      <c r="G100">
        <f t="shared" si="3"/>
        <v>0</v>
      </c>
    </row>
    <row r="101" spans="1:7">
      <c r="A101" s="1607" t="s">
        <v>165</v>
      </c>
      <c r="B101" s="1609">
        <v>267589</v>
      </c>
      <c r="C101" s="1608"/>
      <c r="D101">
        <f>+IFERROR(VLOOKUP($A101,'TB Final'!$B:$H,7,0),0)</f>
        <v>267589</v>
      </c>
      <c r="E101">
        <f>+IFERROR(VLOOKUP($A101,'TB Final'!$B:$H,10,0),0)</f>
        <v>0</v>
      </c>
      <c r="F101">
        <f t="shared" si="2"/>
        <v>0</v>
      </c>
      <c r="G101">
        <f t="shared" si="3"/>
        <v>0</v>
      </c>
    </row>
    <row r="102" spans="1:7">
      <c r="A102" s="1607" t="s">
        <v>166</v>
      </c>
      <c r="B102" s="1609">
        <v>53196916.659999996</v>
      </c>
      <c r="C102" s="1608"/>
      <c r="D102">
        <f>+IFERROR(VLOOKUP($A102,'TB Final'!$B:$H,7,0),0)</f>
        <v>53196916.659999996</v>
      </c>
      <c r="E102">
        <f>+IFERROR(VLOOKUP($A102,'TB Final'!$B:$H,10,0),0)</f>
        <v>0</v>
      </c>
      <c r="F102">
        <f t="shared" si="2"/>
        <v>0</v>
      </c>
      <c r="G102">
        <f t="shared" si="3"/>
        <v>0</v>
      </c>
    </row>
    <row r="103" spans="1:7">
      <c r="A103" s="1607" t="s">
        <v>167</v>
      </c>
      <c r="B103" s="1609">
        <v>249410</v>
      </c>
      <c r="C103" s="1608"/>
      <c r="D103">
        <f>+IFERROR(VLOOKUP($A103,'TB Final'!$B:$H,7,0),0)</f>
        <v>249410</v>
      </c>
      <c r="E103">
        <f>+IFERROR(VLOOKUP($A103,'TB Final'!$B:$H,10,0),0)</f>
        <v>0</v>
      </c>
      <c r="F103">
        <f t="shared" si="2"/>
        <v>0</v>
      </c>
      <c r="G103">
        <f t="shared" si="3"/>
        <v>0</v>
      </c>
    </row>
    <row r="104" spans="1:7">
      <c r="A104" s="1607" t="s">
        <v>493</v>
      </c>
      <c r="B104" s="1609">
        <v>25018</v>
      </c>
      <c r="C104" s="1608"/>
      <c r="D104">
        <f>+IFERROR(VLOOKUP($A104,'TB Final'!$B:$H,7,0),0)</f>
        <v>25018</v>
      </c>
      <c r="E104">
        <f>+IFERROR(VLOOKUP($A104,'TB Final'!$B:$H,10,0),0)</f>
        <v>0</v>
      </c>
      <c r="F104">
        <f t="shared" si="2"/>
        <v>0</v>
      </c>
      <c r="G104">
        <f t="shared" si="3"/>
        <v>0</v>
      </c>
    </row>
    <row r="105" spans="1:7">
      <c r="A105" s="1607" t="s">
        <v>47</v>
      </c>
      <c r="B105" s="1609">
        <v>129204</v>
      </c>
      <c r="C105" s="1608"/>
      <c r="D105">
        <f>+IFERROR(VLOOKUP($A105,'TB Final'!$B:$H,7,0),0)</f>
        <v>129204</v>
      </c>
      <c r="E105">
        <f>+IFERROR(VLOOKUP($A105,'TB Final'!$B:$H,10,0),0)</f>
        <v>0</v>
      </c>
      <c r="F105">
        <f t="shared" si="2"/>
        <v>0</v>
      </c>
      <c r="G105">
        <f t="shared" si="3"/>
        <v>0</v>
      </c>
    </row>
    <row r="106" spans="1:7">
      <c r="A106" s="1607" t="s">
        <v>169</v>
      </c>
      <c r="B106" s="1609">
        <v>3611803</v>
      </c>
      <c r="C106" s="1608"/>
      <c r="D106">
        <f>+IFERROR(VLOOKUP($A106,'TB Final'!$B:$H,7,0),0)</f>
        <v>3611803</v>
      </c>
      <c r="E106">
        <f>+IFERROR(VLOOKUP($A106,'TB Final'!$B:$H,10,0),0)</f>
        <v>0</v>
      </c>
      <c r="F106">
        <f t="shared" si="2"/>
        <v>0</v>
      </c>
      <c r="G106">
        <f t="shared" si="3"/>
        <v>0</v>
      </c>
    </row>
    <row r="107" spans="1:7">
      <c r="A107" s="1607" t="s">
        <v>494</v>
      </c>
      <c r="B107" s="1608"/>
      <c r="C107" s="1609">
        <v>387602</v>
      </c>
      <c r="D107">
        <f>+IFERROR(VLOOKUP($A107,'TB Final'!$B:$H,7,0),0)</f>
        <v>0</v>
      </c>
      <c r="E107">
        <f>+IFERROR(VLOOKUP($A107,'TB Final'!$B:$H,10,0),0)</f>
        <v>0</v>
      </c>
      <c r="F107">
        <f t="shared" si="2"/>
        <v>0</v>
      </c>
      <c r="G107">
        <f t="shared" si="3"/>
        <v>387602</v>
      </c>
    </row>
    <row r="108" spans="1:7">
      <c r="A108" s="1607" t="s">
        <v>378</v>
      </c>
      <c r="B108" s="1609">
        <v>273693</v>
      </c>
      <c r="C108" s="1608"/>
      <c r="D108">
        <f>+IFERROR(VLOOKUP($A108,'TB Final'!$B:$H,7,0),0)</f>
        <v>273693</v>
      </c>
      <c r="E108">
        <f>+IFERROR(VLOOKUP($A108,'TB Final'!$B:$H,10,0),0)</f>
        <v>0</v>
      </c>
      <c r="F108">
        <f t="shared" si="2"/>
        <v>0</v>
      </c>
      <c r="G108">
        <f t="shared" si="3"/>
        <v>0</v>
      </c>
    </row>
    <row r="109" spans="1:7">
      <c r="A109" s="1607" t="s">
        <v>171</v>
      </c>
      <c r="B109" s="1609">
        <v>1893357</v>
      </c>
      <c r="C109" s="1608"/>
      <c r="D109">
        <f>+IFERROR(VLOOKUP($A109,'TB Final'!$B:$H,7,0),0)</f>
        <v>1893357</v>
      </c>
      <c r="E109">
        <f>+IFERROR(VLOOKUP($A109,'TB Final'!$B:$H,10,0),0)</f>
        <v>0</v>
      </c>
      <c r="F109">
        <f t="shared" si="2"/>
        <v>0</v>
      </c>
      <c r="G109">
        <f t="shared" si="3"/>
        <v>0</v>
      </c>
    </row>
    <row r="110" spans="1:7">
      <c r="A110" s="1607" t="s">
        <v>172</v>
      </c>
      <c r="B110" s="1608"/>
      <c r="C110" s="1609">
        <v>729285</v>
      </c>
      <c r="D110">
        <f>+IFERROR(VLOOKUP($A110,'TB Final'!$B:$H,7,0),0)</f>
        <v>0</v>
      </c>
      <c r="E110">
        <f>+IFERROR(VLOOKUP($A110,'TB Final'!$B:$H,10,0),0)</f>
        <v>0</v>
      </c>
      <c r="F110">
        <f t="shared" si="2"/>
        <v>0</v>
      </c>
      <c r="G110">
        <f t="shared" si="3"/>
        <v>729285</v>
      </c>
    </row>
    <row r="111" spans="1:7">
      <c r="A111" s="1607" t="s">
        <v>175</v>
      </c>
      <c r="B111" s="1609">
        <v>33965000</v>
      </c>
      <c r="C111" s="1608"/>
      <c r="D111">
        <f>+IFERROR(VLOOKUP($A111,'TB Final'!$B:$H,7,0),0)</f>
        <v>33965000</v>
      </c>
      <c r="E111">
        <f>+IFERROR(VLOOKUP($A111,'TB Final'!$B:$H,10,0),0)</f>
        <v>0</v>
      </c>
      <c r="F111">
        <f t="shared" si="2"/>
        <v>0</v>
      </c>
      <c r="G111">
        <f t="shared" si="3"/>
        <v>0</v>
      </c>
    </row>
    <row r="112" spans="1:7">
      <c r="A112" s="1607" t="s">
        <v>2960</v>
      </c>
      <c r="B112" s="1609">
        <v>314100</v>
      </c>
      <c r="C112" s="1608"/>
      <c r="D112">
        <f>+IFERROR(VLOOKUP($A112,'TB Final'!$B:$H,7,0),0)</f>
        <v>314100</v>
      </c>
      <c r="E112">
        <f>+IFERROR(VLOOKUP($A112,'TB Final'!$B:$H,10,0),0)</f>
        <v>0</v>
      </c>
      <c r="F112">
        <f t="shared" si="2"/>
        <v>0</v>
      </c>
      <c r="G112">
        <f t="shared" si="3"/>
        <v>0</v>
      </c>
    </row>
    <row r="113" spans="1:7">
      <c r="A113" s="1607" t="s">
        <v>2961</v>
      </c>
      <c r="B113" s="1608"/>
      <c r="C113" s="1609">
        <v>23600</v>
      </c>
      <c r="D113">
        <f>+IFERROR(VLOOKUP($A113,'TB Final'!$B:$H,7,0),0)</f>
        <v>0</v>
      </c>
      <c r="E113">
        <f>+IFERROR(VLOOKUP($A113,'TB Final'!$B:$H,10,0),0)</f>
        <v>0</v>
      </c>
      <c r="F113">
        <f t="shared" si="2"/>
        <v>0</v>
      </c>
      <c r="G113">
        <f t="shared" si="3"/>
        <v>23600</v>
      </c>
    </row>
    <row r="114" spans="1:7">
      <c r="A114" s="1607" t="s">
        <v>176</v>
      </c>
      <c r="B114" s="1609">
        <v>1982848.03</v>
      </c>
      <c r="C114" s="1608"/>
      <c r="D114">
        <f>+IFERROR(VLOOKUP($A114,'TB Final'!$B:$H,7,0),0)</f>
        <v>1982848.03</v>
      </c>
      <c r="E114">
        <f>+IFERROR(VLOOKUP($A114,'TB Final'!$B:$H,10,0),0)</f>
        <v>0</v>
      </c>
      <c r="F114">
        <f t="shared" si="2"/>
        <v>0</v>
      </c>
      <c r="G114">
        <f t="shared" si="3"/>
        <v>0</v>
      </c>
    </row>
    <row r="115" spans="1:7">
      <c r="A115" s="1607" t="s">
        <v>177</v>
      </c>
      <c r="B115" s="1608"/>
      <c r="C115" s="1609">
        <v>156751</v>
      </c>
      <c r="D115">
        <f>+IFERROR(VLOOKUP($A115,'TB Final'!$B:$H,7,0),0)</f>
        <v>0</v>
      </c>
      <c r="E115">
        <f>+IFERROR(VLOOKUP($A115,'TB Final'!$B:$H,10,0),0)</f>
        <v>0</v>
      </c>
      <c r="F115">
        <f t="shared" si="2"/>
        <v>0</v>
      </c>
      <c r="G115">
        <f t="shared" si="3"/>
        <v>156751</v>
      </c>
    </row>
    <row r="116" spans="1:7">
      <c r="A116" s="1607" t="s">
        <v>380</v>
      </c>
      <c r="B116" s="1608"/>
      <c r="C116" s="1609">
        <v>1562798</v>
      </c>
      <c r="D116">
        <f>+IFERROR(VLOOKUP($A116,'TB Final'!$B:$H,7,0),0)</f>
        <v>0</v>
      </c>
      <c r="E116">
        <f>+IFERROR(VLOOKUP($A116,'TB Final'!$B:$H,10,0),0)</f>
        <v>0</v>
      </c>
      <c r="F116">
        <f t="shared" si="2"/>
        <v>0</v>
      </c>
      <c r="G116">
        <f t="shared" si="3"/>
        <v>1562798</v>
      </c>
    </row>
    <row r="117" spans="1:7">
      <c r="A117" s="1607" t="s">
        <v>178</v>
      </c>
      <c r="B117" s="1608"/>
      <c r="C117" s="1609">
        <v>1800000</v>
      </c>
      <c r="D117">
        <f>+IFERROR(VLOOKUP($A117,'TB Final'!$B:$H,7,0),0)</f>
        <v>0</v>
      </c>
      <c r="E117">
        <f>+IFERROR(VLOOKUP($A117,'TB Final'!$B:$H,10,0),0)</f>
        <v>0</v>
      </c>
      <c r="F117">
        <f t="shared" si="2"/>
        <v>0</v>
      </c>
      <c r="G117">
        <f t="shared" si="3"/>
        <v>1800000</v>
      </c>
    </row>
    <row r="118" spans="1:7">
      <c r="A118" s="1607" t="s">
        <v>430</v>
      </c>
      <c r="B118" s="1608"/>
      <c r="C118" s="1609">
        <v>13500</v>
      </c>
      <c r="D118">
        <f>+IFERROR(VLOOKUP($A118,'TB Final'!$B:$H,7,0),0)</f>
        <v>0</v>
      </c>
      <c r="E118">
        <f>+IFERROR(VLOOKUP($A118,'TB Final'!$B:$H,10,0),0)</f>
        <v>0</v>
      </c>
      <c r="F118">
        <f t="shared" si="2"/>
        <v>0</v>
      </c>
      <c r="G118">
        <f t="shared" si="3"/>
        <v>13500</v>
      </c>
    </row>
    <row r="119" spans="1:7">
      <c r="A119" s="1607" t="s">
        <v>180</v>
      </c>
      <c r="B119" s="1608"/>
      <c r="C119" s="1609">
        <v>111510</v>
      </c>
      <c r="D119">
        <f>+IFERROR(VLOOKUP($A119,'TB Final'!$B:$H,7,0),0)</f>
        <v>0</v>
      </c>
      <c r="E119">
        <f>+IFERROR(VLOOKUP($A119,'TB Final'!$B:$H,10,0),0)</f>
        <v>0</v>
      </c>
      <c r="F119">
        <f t="shared" si="2"/>
        <v>0</v>
      </c>
      <c r="G119">
        <f t="shared" si="3"/>
        <v>111510</v>
      </c>
    </row>
    <row r="120" spans="1:7">
      <c r="A120" s="1607" t="s">
        <v>497</v>
      </c>
      <c r="B120" s="1609">
        <v>943417</v>
      </c>
      <c r="C120" s="1608"/>
      <c r="D120">
        <f>+IFERROR(VLOOKUP($A120,'TB Final'!$B:$H,7,0),0)</f>
        <v>887750</v>
      </c>
      <c r="E120">
        <f>+IFERROR(VLOOKUP($A120,'TB Final'!$B:$H,10,0),0)</f>
        <v>0</v>
      </c>
      <c r="F120">
        <f t="shared" si="2"/>
        <v>55667</v>
      </c>
      <c r="G120">
        <f t="shared" si="3"/>
        <v>0</v>
      </c>
    </row>
    <row r="121" spans="1:7">
      <c r="A121" s="1607" t="s">
        <v>184</v>
      </c>
      <c r="B121" s="1609">
        <v>36000</v>
      </c>
      <c r="C121" s="1608"/>
      <c r="D121">
        <f>+IFERROR(VLOOKUP($A121,'TB Final'!$B:$H,7,0),0)</f>
        <v>36000</v>
      </c>
      <c r="E121">
        <f>+IFERROR(VLOOKUP($A121,'TB Final'!$B:$H,10,0),0)</f>
        <v>0</v>
      </c>
      <c r="F121">
        <f t="shared" si="2"/>
        <v>0</v>
      </c>
      <c r="G121">
        <f t="shared" si="3"/>
        <v>0</v>
      </c>
    </row>
    <row r="122" spans="1:7">
      <c r="A122" s="1607" t="s">
        <v>499</v>
      </c>
      <c r="B122" s="1608"/>
      <c r="C122" s="1609">
        <v>183581</v>
      </c>
      <c r="D122">
        <f>+IFERROR(VLOOKUP($A122,'TB Final'!$B:$H,7,0),0)</f>
        <v>0</v>
      </c>
      <c r="E122">
        <f>+IFERROR(VLOOKUP($A122,'TB Final'!$B:$H,10,0),0)</f>
        <v>0</v>
      </c>
      <c r="F122">
        <f t="shared" si="2"/>
        <v>0</v>
      </c>
      <c r="G122">
        <f t="shared" si="3"/>
        <v>183581</v>
      </c>
    </row>
    <row r="123" spans="1:7">
      <c r="A123" s="1607" t="s">
        <v>186</v>
      </c>
      <c r="B123" s="1608"/>
      <c r="C123" s="1609">
        <v>1524277</v>
      </c>
      <c r="D123">
        <f>+IFERROR(VLOOKUP($A123,'TB Final'!$B:$H,7,0),0)</f>
        <v>0</v>
      </c>
      <c r="E123">
        <f>+IFERROR(VLOOKUP($A123,'TB Final'!$B:$H,10,0),0)</f>
        <v>0</v>
      </c>
      <c r="F123">
        <f t="shared" si="2"/>
        <v>0</v>
      </c>
      <c r="G123">
        <f t="shared" si="3"/>
        <v>1524277</v>
      </c>
    </row>
    <row r="124" spans="1:7">
      <c r="A124" s="1607" t="s">
        <v>500</v>
      </c>
      <c r="B124" s="1609">
        <v>21000</v>
      </c>
      <c r="C124" s="1608"/>
      <c r="D124">
        <f>+IFERROR(VLOOKUP($A124,'TB Final'!$B:$H,7,0),0)</f>
        <v>21000</v>
      </c>
      <c r="E124">
        <f>+IFERROR(VLOOKUP($A124,'TB Final'!$B:$H,10,0),0)</f>
        <v>0</v>
      </c>
      <c r="F124">
        <f t="shared" si="2"/>
        <v>0</v>
      </c>
      <c r="G124">
        <f t="shared" si="3"/>
        <v>0</v>
      </c>
    </row>
    <row r="125" spans="1:7">
      <c r="A125" s="1607" t="s">
        <v>188</v>
      </c>
      <c r="B125" s="1608"/>
      <c r="C125" s="1609">
        <v>514599</v>
      </c>
      <c r="D125">
        <f>+IFERROR(VLOOKUP($A125,'TB Final'!$B:$H,7,0),0)</f>
        <v>0</v>
      </c>
      <c r="E125">
        <f>+IFERROR(VLOOKUP($A125,'TB Final'!$B:$H,10,0),0)</f>
        <v>0</v>
      </c>
      <c r="F125">
        <f t="shared" si="2"/>
        <v>0</v>
      </c>
      <c r="G125">
        <f t="shared" si="3"/>
        <v>514599</v>
      </c>
    </row>
    <row r="126" spans="1:7">
      <c r="A126" s="1607" t="s">
        <v>2962</v>
      </c>
      <c r="B126" s="1608"/>
      <c r="C126" s="1609">
        <v>532764.55000000005</v>
      </c>
      <c r="D126">
        <f>+IFERROR(VLOOKUP($A126,'TB Final'!$B:$H,7,0),0)</f>
        <v>0</v>
      </c>
      <c r="E126">
        <f>+IFERROR(VLOOKUP($A126,'TB Final'!$B:$H,10,0),0)</f>
        <v>0</v>
      </c>
      <c r="F126">
        <f t="shared" si="2"/>
        <v>0</v>
      </c>
      <c r="G126">
        <f t="shared" si="3"/>
        <v>532764.55000000005</v>
      </c>
    </row>
    <row r="127" spans="1:7">
      <c r="A127" s="1607" t="s">
        <v>191</v>
      </c>
      <c r="B127" s="1609">
        <v>81135916.489999995</v>
      </c>
      <c r="C127" s="1608"/>
      <c r="D127">
        <f>+IFERROR(VLOOKUP($A127,'TB Final'!$B:$H,7,0),0)</f>
        <v>81135916.489999995</v>
      </c>
      <c r="E127">
        <f>+IFERROR(VLOOKUP($A127,'TB Final'!$B:$H,10,0),0)</f>
        <v>0</v>
      </c>
      <c r="F127">
        <f t="shared" si="2"/>
        <v>0</v>
      </c>
      <c r="G127">
        <f t="shared" si="3"/>
        <v>0</v>
      </c>
    </row>
    <row r="128" spans="1:7">
      <c r="A128" s="1607" t="s">
        <v>386</v>
      </c>
      <c r="B128" s="1609">
        <v>192500</v>
      </c>
      <c r="C128" s="1608"/>
      <c r="D128">
        <f>+IFERROR(VLOOKUP($A128,'TB Final'!$B:$H,7,0),0)</f>
        <v>192500</v>
      </c>
      <c r="E128">
        <f>+IFERROR(VLOOKUP($A128,'TB Final'!$B:$H,10,0),0)</f>
        <v>0</v>
      </c>
      <c r="F128">
        <f t="shared" si="2"/>
        <v>0</v>
      </c>
      <c r="G128">
        <f t="shared" si="3"/>
        <v>0</v>
      </c>
    </row>
    <row r="129" spans="1:7">
      <c r="A129" s="1607" t="s">
        <v>194</v>
      </c>
      <c r="B129" s="1609">
        <v>400000</v>
      </c>
      <c r="C129" s="1608"/>
      <c r="D129">
        <f>+IFERROR(VLOOKUP($A129,'TB Final'!$B:$H,7,0),0)</f>
        <v>400000</v>
      </c>
      <c r="E129">
        <f>+IFERROR(VLOOKUP($A129,'TB Final'!$B:$H,10,0),0)</f>
        <v>0</v>
      </c>
      <c r="F129">
        <f t="shared" si="2"/>
        <v>0</v>
      </c>
      <c r="G129">
        <f t="shared" si="3"/>
        <v>0</v>
      </c>
    </row>
    <row r="130" spans="1:7">
      <c r="A130" s="1607" t="s">
        <v>287</v>
      </c>
      <c r="B130" s="1609">
        <v>17190</v>
      </c>
      <c r="C130" s="1608"/>
      <c r="D130">
        <f>+IFERROR(VLOOKUP($A130,'TB Final'!$B:$H,7,0),0)</f>
        <v>17190</v>
      </c>
      <c r="E130">
        <f>+IFERROR(VLOOKUP($A130,'TB Final'!$B:$H,10,0),0)</f>
        <v>0</v>
      </c>
      <c r="F130">
        <f t="shared" si="2"/>
        <v>0</v>
      </c>
      <c r="G130">
        <f t="shared" si="3"/>
        <v>0</v>
      </c>
    </row>
    <row r="131" spans="1:7">
      <c r="A131" s="1607" t="s">
        <v>503</v>
      </c>
      <c r="B131" s="1609">
        <v>1891381</v>
      </c>
      <c r="C131" s="1608"/>
      <c r="D131">
        <f>+IFERROR(VLOOKUP($A131,'TB Final'!$B:$H,7,0),0)</f>
        <v>1891381</v>
      </c>
      <c r="E131">
        <f>+IFERROR(VLOOKUP($A131,'TB Final'!$B:$H,10,0),0)</f>
        <v>0</v>
      </c>
      <c r="F131">
        <f t="shared" si="2"/>
        <v>0</v>
      </c>
      <c r="G131">
        <f t="shared" si="3"/>
        <v>0</v>
      </c>
    </row>
    <row r="132" spans="1:7">
      <c r="A132" s="1607" t="s">
        <v>289</v>
      </c>
      <c r="B132" s="1609">
        <v>88213</v>
      </c>
      <c r="C132" s="1608"/>
      <c r="D132">
        <f>+IFERROR(VLOOKUP($A132,'TB Final'!$B:$H,7,0),0)</f>
        <v>88213</v>
      </c>
      <c r="E132">
        <f>+IFERROR(VLOOKUP($A132,'TB Final'!$B:$H,10,0),0)</f>
        <v>0</v>
      </c>
      <c r="F132">
        <f t="shared" si="2"/>
        <v>0</v>
      </c>
      <c r="G132">
        <f t="shared" si="3"/>
        <v>0</v>
      </c>
    </row>
    <row r="133" spans="1:7">
      <c r="A133" s="1607" t="s">
        <v>195</v>
      </c>
      <c r="B133" s="1608"/>
      <c r="C133" s="1609">
        <v>400020</v>
      </c>
      <c r="D133">
        <f>+IFERROR(VLOOKUP($A133,'TB Final'!$B:$H,7,0),0)</f>
        <v>0</v>
      </c>
      <c r="E133">
        <f>+IFERROR(VLOOKUP($A133,'TB Final'!$B:$H,10,0),0)</f>
        <v>0</v>
      </c>
      <c r="F133">
        <f t="shared" si="2"/>
        <v>0</v>
      </c>
      <c r="G133">
        <f t="shared" si="3"/>
        <v>400020</v>
      </c>
    </row>
    <row r="134" spans="1:7">
      <c r="A134" s="1607" t="s">
        <v>2964</v>
      </c>
      <c r="B134" s="1609">
        <v>152598</v>
      </c>
      <c r="C134" s="1608"/>
      <c r="D134">
        <f>+IFERROR(VLOOKUP($A134,'TB Final'!$B:$H,7,0),0)</f>
        <v>152598</v>
      </c>
      <c r="E134">
        <f>+IFERROR(VLOOKUP($A134,'TB Final'!$B:$H,10,0),0)</f>
        <v>0</v>
      </c>
      <c r="F134">
        <f t="shared" si="2"/>
        <v>0</v>
      </c>
      <c r="G134">
        <f t="shared" si="3"/>
        <v>0</v>
      </c>
    </row>
    <row r="135" spans="1:7">
      <c r="A135" s="1607" t="s">
        <v>504</v>
      </c>
      <c r="B135" s="1609">
        <v>170957</v>
      </c>
      <c r="C135" s="1608"/>
      <c r="D135">
        <f>+IFERROR(VLOOKUP($A135,'TB Final'!$B:$H,7,0),0)</f>
        <v>170957</v>
      </c>
      <c r="E135">
        <f>+IFERROR(VLOOKUP($A135,'TB Final'!$B:$H,10,0),0)</f>
        <v>0</v>
      </c>
      <c r="F135">
        <f t="shared" si="2"/>
        <v>0</v>
      </c>
      <c r="G135">
        <f t="shared" si="3"/>
        <v>0</v>
      </c>
    </row>
    <row r="136" spans="1:7">
      <c r="A136" s="1607" t="s">
        <v>505</v>
      </c>
      <c r="B136" s="1609">
        <v>1196371</v>
      </c>
      <c r="C136" s="1608"/>
      <c r="D136">
        <f>+IFERROR(VLOOKUP($A136,'TB Final'!$B:$H,7,0),0)</f>
        <v>1196371</v>
      </c>
      <c r="E136">
        <f>+IFERROR(VLOOKUP($A136,'TB Final'!$B:$H,10,0),0)</f>
        <v>0</v>
      </c>
      <c r="F136">
        <f t="shared" si="2"/>
        <v>0</v>
      </c>
      <c r="G136">
        <f t="shared" si="3"/>
        <v>0</v>
      </c>
    </row>
    <row r="137" spans="1:7">
      <c r="A137" s="1607" t="s">
        <v>389</v>
      </c>
      <c r="B137" s="1609">
        <v>24320</v>
      </c>
      <c r="C137" s="1608"/>
      <c r="D137">
        <f>+IFERROR(VLOOKUP($A137,'TB Final'!$B:$H,7,0),0)</f>
        <v>24320</v>
      </c>
      <c r="E137">
        <f>+IFERROR(VLOOKUP($A137,'TB Final'!$B:$H,10,0),0)</f>
        <v>0</v>
      </c>
      <c r="F137">
        <f t="shared" si="2"/>
        <v>0</v>
      </c>
      <c r="G137">
        <f t="shared" si="3"/>
        <v>0</v>
      </c>
    </row>
    <row r="138" spans="1:7">
      <c r="A138" s="1607" t="s">
        <v>198</v>
      </c>
      <c r="B138" s="1609">
        <v>170888</v>
      </c>
      <c r="C138" s="1608"/>
      <c r="D138">
        <f>+IFERROR(VLOOKUP($A138,'TB Final'!$B:$H,7,0),0)</f>
        <v>170888</v>
      </c>
      <c r="E138">
        <f>+IFERROR(VLOOKUP($A138,'TB Final'!$B:$H,10,0),0)</f>
        <v>0</v>
      </c>
      <c r="F138">
        <f t="shared" si="2"/>
        <v>0</v>
      </c>
      <c r="G138">
        <f t="shared" si="3"/>
        <v>0</v>
      </c>
    </row>
    <row r="139" spans="1:7">
      <c r="A139" s="1607" t="s">
        <v>159</v>
      </c>
      <c r="B139" s="1609">
        <v>12943</v>
      </c>
      <c r="C139" s="1608"/>
      <c r="D139">
        <f>+IFERROR(VLOOKUP($A139,'TB Final'!$B:$H,7,0),0)</f>
        <v>12943</v>
      </c>
      <c r="E139">
        <f>+IFERROR(VLOOKUP($A139,'TB Final'!$B:$H,10,0),0)</f>
        <v>0</v>
      </c>
      <c r="F139">
        <f t="shared" si="2"/>
        <v>0</v>
      </c>
      <c r="G139">
        <f t="shared" si="3"/>
        <v>0</v>
      </c>
    </row>
    <row r="140" spans="1:7">
      <c r="A140" s="1607" t="s">
        <v>200</v>
      </c>
      <c r="B140" s="1609">
        <v>486928</v>
      </c>
      <c r="C140" s="1608"/>
      <c r="D140">
        <f>+IFERROR(VLOOKUP($A140,'TB Final'!$B:$H,7,0),0)</f>
        <v>486928</v>
      </c>
      <c r="E140">
        <f>+IFERROR(VLOOKUP($A140,'TB Final'!$B:$H,10,0),0)</f>
        <v>0</v>
      </c>
      <c r="F140">
        <f t="shared" si="2"/>
        <v>0</v>
      </c>
      <c r="G140">
        <f t="shared" si="3"/>
        <v>0</v>
      </c>
    </row>
    <row r="141" spans="1:7">
      <c r="A141" s="1607" t="s">
        <v>203</v>
      </c>
      <c r="B141" s="1608"/>
      <c r="C141" s="1609">
        <v>172494</v>
      </c>
      <c r="D141">
        <f>+IFERROR(VLOOKUP($A141,'TB Final'!$B:$H,7,0),0)</f>
        <v>0</v>
      </c>
      <c r="E141">
        <f>+IFERROR(VLOOKUP($A141,'TB Final'!$B:$H,10,0),0)</f>
        <v>0</v>
      </c>
      <c r="F141">
        <f t="shared" ref="F141:F204" si="4">+B141-D141</f>
        <v>0</v>
      </c>
      <c r="G141">
        <f t="shared" ref="G141:G204" si="5">+C141-E141</f>
        <v>172494</v>
      </c>
    </row>
    <row r="142" spans="1:7">
      <c r="A142" s="1607" t="s">
        <v>208</v>
      </c>
      <c r="B142" s="1609">
        <v>39606</v>
      </c>
      <c r="C142" s="1608"/>
      <c r="D142">
        <f>+IFERROR(VLOOKUP($A142,'TB Final'!$B:$H,7,0),0)</f>
        <v>39606</v>
      </c>
      <c r="E142">
        <f>+IFERROR(VLOOKUP($A142,'TB Final'!$B:$H,10,0),0)</f>
        <v>0</v>
      </c>
      <c r="F142">
        <f t="shared" si="4"/>
        <v>0</v>
      </c>
      <c r="G142">
        <f t="shared" si="5"/>
        <v>0</v>
      </c>
    </row>
    <row r="143" spans="1:7">
      <c r="A143" s="1607" t="s">
        <v>209</v>
      </c>
      <c r="B143" s="1609">
        <v>30516</v>
      </c>
      <c r="C143" s="1608"/>
      <c r="D143">
        <f>+IFERROR(VLOOKUP($A143,'TB Final'!$B:$H,7,0),0)</f>
        <v>30516</v>
      </c>
      <c r="E143">
        <f>+IFERROR(VLOOKUP($A143,'TB Final'!$B:$H,10,0),0)</f>
        <v>0</v>
      </c>
      <c r="F143">
        <f t="shared" si="4"/>
        <v>0</v>
      </c>
      <c r="G143">
        <f t="shared" si="5"/>
        <v>0</v>
      </c>
    </row>
    <row r="144" spans="1:7">
      <c r="A144" s="1607" t="s">
        <v>431</v>
      </c>
      <c r="B144" s="1609">
        <v>144126</v>
      </c>
      <c r="C144" s="1608"/>
      <c r="D144">
        <f>+IFERROR(VLOOKUP($A144,'TB Final'!$B:$H,7,0),0)</f>
        <v>144126</v>
      </c>
      <c r="E144">
        <f>+IFERROR(VLOOKUP($A144,'TB Final'!$B:$H,10,0),0)</f>
        <v>0</v>
      </c>
      <c r="F144">
        <f t="shared" si="4"/>
        <v>0</v>
      </c>
      <c r="G144">
        <f t="shared" si="5"/>
        <v>0</v>
      </c>
    </row>
    <row r="145" spans="1:7">
      <c r="A145" s="1607" t="s">
        <v>210</v>
      </c>
      <c r="B145" s="1609">
        <v>7332</v>
      </c>
      <c r="C145" s="1608"/>
      <c r="D145">
        <f>+IFERROR(VLOOKUP($A145,'TB Final'!$B:$H,7,0),0)</f>
        <v>7332</v>
      </c>
      <c r="E145">
        <f>+IFERROR(VLOOKUP($A145,'TB Final'!$B:$H,10,0),0)</f>
        <v>0</v>
      </c>
      <c r="F145">
        <f t="shared" si="4"/>
        <v>0</v>
      </c>
      <c r="G145">
        <f t="shared" si="5"/>
        <v>0</v>
      </c>
    </row>
    <row r="146" spans="1:7">
      <c r="A146" s="1607" t="s">
        <v>213</v>
      </c>
      <c r="B146" s="1609">
        <v>41084</v>
      </c>
      <c r="C146" s="1608"/>
      <c r="D146">
        <f>+IFERROR(VLOOKUP($A146,'TB Final'!$B:$H,7,0),0)</f>
        <v>41084</v>
      </c>
      <c r="E146">
        <f>+IFERROR(VLOOKUP($A146,'TB Final'!$B:$H,10,0),0)</f>
        <v>0</v>
      </c>
      <c r="F146">
        <f t="shared" si="4"/>
        <v>0</v>
      </c>
      <c r="G146">
        <f t="shared" si="5"/>
        <v>0</v>
      </c>
    </row>
    <row r="147" spans="1:7">
      <c r="A147" s="1607" t="s">
        <v>83</v>
      </c>
      <c r="B147" s="1609">
        <v>2611</v>
      </c>
      <c r="C147" s="1608"/>
      <c r="D147">
        <f>+IFERROR(VLOOKUP($A147,'TB Final'!$B:$H,7,0),0)</f>
        <v>2611</v>
      </c>
      <c r="E147">
        <f>+IFERROR(VLOOKUP($A147,'TB Final'!$B:$H,10,0),0)</f>
        <v>0</v>
      </c>
      <c r="F147">
        <f t="shared" si="4"/>
        <v>0</v>
      </c>
      <c r="G147">
        <f t="shared" si="5"/>
        <v>0</v>
      </c>
    </row>
    <row r="148" spans="1:7">
      <c r="A148" s="1607" t="s">
        <v>507</v>
      </c>
      <c r="B148" s="1609">
        <v>11646</v>
      </c>
      <c r="C148" s="1608"/>
      <c r="D148">
        <f>+IFERROR(VLOOKUP($A148,'TB Final'!$B:$H,7,0),0)</f>
        <v>11646</v>
      </c>
      <c r="E148">
        <f>+IFERROR(VLOOKUP($A148,'TB Final'!$B:$H,10,0),0)</f>
        <v>0</v>
      </c>
      <c r="F148">
        <f t="shared" si="4"/>
        <v>0</v>
      </c>
      <c r="G148">
        <f t="shared" si="5"/>
        <v>0</v>
      </c>
    </row>
    <row r="149" spans="1:7">
      <c r="A149" s="1607" t="s">
        <v>2966</v>
      </c>
      <c r="B149" s="1609">
        <v>98549</v>
      </c>
      <c r="C149" s="1608"/>
      <c r="D149">
        <f>+IFERROR(VLOOKUP($A149,'TB Final'!$B:$H,7,0),0)</f>
        <v>290224</v>
      </c>
      <c r="E149">
        <f>+IFERROR(VLOOKUP($A149,'TB Final'!$B:$H,10,0),0)</f>
        <v>0</v>
      </c>
      <c r="F149">
        <f t="shared" si="4"/>
        <v>-191675</v>
      </c>
      <c r="G149">
        <f t="shared" si="5"/>
        <v>0</v>
      </c>
    </row>
    <row r="150" spans="1:7">
      <c r="A150" s="1607" t="s">
        <v>2967</v>
      </c>
      <c r="B150" s="1609">
        <v>467386</v>
      </c>
      <c r="C150" s="1608"/>
      <c r="D150">
        <f>+IFERROR(VLOOKUP($A150,'TB Final'!$B:$H,7,0),0)</f>
        <v>467386</v>
      </c>
      <c r="E150">
        <f>+IFERROR(VLOOKUP($A150,'TB Final'!$B:$H,10,0),0)</f>
        <v>0</v>
      </c>
      <c r="F150">
        <f t="shared" si="4"/>
        <v>0</v>
      </c>
      <c r="G150">
        <f t="shared" si="5"/>
        <v>0</v>
      </c>
    </row>
    <row r="151" spans="1:7">
      <c r="A151" s="1607" t="s">
        <v>2968</v>
      </c>
      <c r="B151" s="1609">
        <v>408311</v>
      </c>
      <c r="C151" s="1608"/>
      <c r="D151">
        <f>+IFERROR(VLOOKUP($A151,'TB Final'!$B:$H,7,0),0)</f>
        <v>1199821</v>
      </c>
      <c r="E151">
        <f>+IFERROR(VLOOKUP($A151,'TB Final'!$B:$H,10,0),0)</f>
        <v>0</v>
      </c>
      <c r="F151">
        <f t="shared" si="4"/>
        <v>-791510</v>
      </c>
      <c r="G151">
        <f t="shared" si="5"/>
        <v>0</v>
      </c>
    </row>
    <row r="152" spans="1:7">
      <c r="A152" s="1607" t="s">
        <v>274</v>
      </c>
      <c r="B152" s="1609">
        <v>164180</v>
      </c>
      <c r="C152" s="1608"/>
      <c r="D152">
        <f>+IFERROR(VLOOKUP($A152,'TB Final'!$B:$H,7,0),0)</f>
        <v>0</v>
      </c>
      <c r="E152">
        <f>+IFERROR(VLOOKUP($A152,'TB Final'!$B:$H,10,0),0)</f>
        <v>0</v>
      </c>
      <c r="F152">
        <f t="shared" si="4"/>
        <v>164180</v>
      </c>
      <c r="G152">
        <f t="shared" si="5"/>
        <v>0</v>
      </c>
    </row>
    <row r="153" spans="1:7">
      <c r="A153" s="1607" t="s">
        <v>202</v>
      </c>
      <c r="B153" s="1609">
        <v>319057</v>
      </c>
      <c r="C153" s="1608"/>
      <c r="D153">
        <f>+IFERROR(VLOOKUP($A153,'TB Final'!$B:$H,7,0),0)</f>
        <v>319057</v>
      </c>
      <c r="E153">
        <f>+IFERROR(VLOOKUP($A153,'TB Final'!$B:$H,10,0),0)</f>
        <v>0</v>
      </c>
      <c r="F153">
        <f t="shared" si="4"/>
        <v>0</v>
      </c>
      <c r="G153">
        <f t="shared" si="5"/>
        <v>0</v>
      </c>
    </row>
    <row r="154" spans="1:7">
      <c r="A154" s="1607" t="s">
        <v>508</v>
      </c>
      <c r="B154" s="1609">
        <v>8855907</v>
      </c>
      <c r="C154" s="1608"/>
      <c r="D154">
        <f>+IFERROR(VLOOKUP($A154,'TB Final'!$B:$H,7,0),0)</f>
        <v>8855907</v>
      </c>
      <c r="E154">
        <f>+IFERROR(VLOOKUP($A154,'TB Final'!$B:$H,10,0),0)</f>
        <v>0</v>
      </c>
      <c r="F154">
        <f t="shared" si="4"/>
        <v>0</v>
      </c>
      <c r="G154">
        <f t="shared" si="5"/>
        <v>0</v>
      </c>
    </row>
    <row r="155" spans="1:7">
      <c r="A155" s="1607" t="s">
        <v>391</v>
      </c>
      <c r="B155" s="1609">
        <v>488813</v>
      </c>
      <c r="C155" s="1608"/>
      <c r="D155">
        <f>+IFERROR(VLOOKUP($A155,'TB Final'!$B:$H,7,0),0)</f>
        <v>488813</v>
      </c>
      <c r="E155">
        <f>+IFERROR(VLOOKUP($A155,'TB Final'!$B:$H,10,0),0)</f>
        <v>0</v>
      </c>
      <c r="F155">
        <f t="shared" si="4"/>
        <v>0</v>
      </c>
      <c r="G155">
        <f t="shared" si="5"/>
        <v>0</v>
      </c>
    </row>
    <row r="156" spans="1:7">
      <c r="A156" s="1607" t="s">
        <v>509</v>
      </c>
      <c r="B156" s="1609">
        <v>2953424</v>
      </c>
      <c r="C156" s="1608"/>
      <c r="D156">
        <f>+IFERROR(VLOOKUP($A156,'TB Final'!$B:$H,7,0),0)</f>
        <v>2953424</v>
      </c>
      <c r="E156">
        <f>+IFERROR(VLOOKUP($A156,'TB Final'!$B:$H,10,0),0)</f>
        <v>0</v>
      </c>
      <c r="F156">
        <f t="shared" si="4"/>
        <v>0</v>
      </c>
      <c r="G156">
        <f t="shared" si="5"/>
        <v>0</v>
      </c>
    </row>
    <row r="157" spans="1:7">
      <c r="A157" s="1607" t="s">
        <v>215</v>
      </c>
      <c r="B157" s="1609">
        <v>200000</v>
      </c>
      <c r="C157" s="1608"/>
      <c r="D157">
        <f>+IFERROR(VLOOKUP($A157,'TB Final'!$B:$H,7,0),0)</f>
        <v>200000</v>
      </c>
      <c r="E157">
        <f>+IFERROR(VLOOKUP($A157,'TB Final'!$B:$H,10,0),0)</f>
        <v>0</v>
      </c>
      <c r="F157">
        <f t="shared" si="4"/>
        <v>0</v>
      </c>
      <c r="G157">
        <f t="shared" si="5"/>
        <v>0</v>
      </c>
    </row>
    <row r="158" spans="1:7">
      <c r="A158" s="1607" t="s">
        <v>432</v>
      </c>
      <c r="B158" s="1608"/>
      <c r="C158" s="1609">
        <v>68027</v>
      </c>
      <c r="D158">
        <f>+IFERROR(VLOOKUP($A158,'TB Final'!$B:$H,7,0),0)</f>
        <v>0</v>
      </c>
      <c r="E158">
        <f>+IFERROR(VLOOKUP($A158,'TB Final'!$B:$H,10,0),0)</f>
        <v>0</v>
      </c>
      <c r="F158">
        <f t="shared" si="4"/>
        <v>0</v>
      </c>
      <c r="G158">
        <f t="shared" si="5"/>
        <v>68027</v>
      </c>
    </row>
    <row r="159" spans="1:7">
      <c r="A159" s="1607" t="s">
        <v>218</v>
      </c>
      <c r="B159" s="1609">
        <v>231314</v>
      </c>
      <c r="C159" s="1608"/>
      <c r="D159">
        <f>+IFERROR(VLOOKUP($A159,'TB Final'!$B:$H,7,0),0)</f>
        <v>231314</v>
      </c>
      <c r="E159">
        <f>+IFERROR(VLOOKUP($A159,'TB Final'!$B:$H,10,0),0)</f>
        <v>0</v>
      </c>
      <c r="F159">
        <f t="shared" si="4"/>
        <v>0</v>
      </c>
      <c r="G159">
        <f t="shared" si="5"/>
        <v>0</v>
      </c>
    </row>
    <row r="160" spans="1:7">
      <c r="A160" s="1607" t="s">
        <v>220</v>
      </c>
      <c r="B160" s="1608"/>
      <c r="C160" s="1609">
        <v>7756259</v>
      </c>
      <c r="D160">
        <f>+IFERROR(VLOOKUP($A160,'TB Final'!$B:$H,7,0),0)</f>
        <v>0</v>
      </c>
      <c r="E160">
        <f>+IFERROR(VLOOKUP($A160,'TB Final'!$B:$H,10,0),0)</f>
        <v>0</v>
      </c>
      <c r="F160">
        <f t="shared" si="4"/>
        <v>0</v>
      </c>
      <c r="G160">
        <f t="shared" si="5"/>
        <v>7756259</v>
      </c>
    </row>
    <row r="161" spans="1:7">
      <c r="A161" s="1607" t="s">
        <v>433</v>
      </c>
      <c r="B161" s="1609">
        <v>250430</v>
      </c>
      <c r="C161" s="1608"/>
      <c r="D161">
        <f>+IFERROR(VLOOKUP($A161,'TB Final'!$B:$H,7,0),0)</f>
        <v>250430</v>
      </c>
      <c r="E161">
        <f>+IFERROR(VLOOKUP($A161,'TB Final'!$B:$H,10,0),0)</f>
        <v>0</v>
      </c>
      <c r="F161">
        <f t="shared" si="4"/>
        <v>0</v>
      </c>
      <c r="G161">
        <f t="shared" si="5"/>
        <v>0</v>
      </c>
    </row>
    <row r="162" spans="1:7">
      <c r="A162" s="1607" t="s">
        <v>511</v>
      </c>
      <c r="B162" s="1608"/>
      <c r="C162" s="1609">
        <v>5453561</v>
      </c>
      <c r="D162">
        <f>+IFERROR(VLOOKUP($A162,'TB Final'!$B:$H,7,0),0)</f>
        <v>0</v>
      </c>
      <c r="E162">
        <f>+IFERROR(VLOOKUP($A162,'TB Final'!$B:$H,10,0),0)</f>
        <v>0</v>
      </c>
      <c r="F162">
        <f t="shared" si="4"/>
        <v>0</v>
      </c>
      <c r="G162">
        <f t="shared" si="5"/>
        <v>5453561</v>
      </c>
    </row>
    <row r="163" spans="1:7">
      <c r="A163" s="1607" t="s">
        <v>512</v>
      </c>
      <c r="B163" s="1608"/>
      <c r="C163" s="1609">
        <v>7299688</v>
      </c>
      <c r="D163">
        <f>+IFERROR(VLOOKUP($A163,'TB Final'!$B:$H,7,0),0)</f>
        <v>0</v>
      </c>
      <c r="E163">
        <f>+IFERROR(VLOOKUP($A163,'TB Final'!$B:$H,10,0),0)</f>
        <v>0</v>
      </c>
      <c r="F163">
        <f t="shared" si="4"/>
        <v>0</v>
      </c>
      <c r="G163">
        <f t="shared" si="5"/>
        <v>7299688</v>
      </c>
    </row>
    <row r="164" spans="1:7">
      <c r="A164" s="1607" t="s">
        <v>224</v>
      </c>
      <c r="B164" s="1608"/>
      <c r="C164" s="1609">
        <v>4374722</v>
      </c>
      <c r="D164">
        <f>+IFERROR(VLOOKUP($A164,'TB Final'!$B:$H,7,0),0)</f>
        <v>0</v>
      </c>
      <c r="E164">
        <f>+IFERROR(VLOOKUP($A164,'TB Final'!$B:$H,10,0),0)</f>
        <v>0</v>
      </c>
      <c r="F164">
        <f t="shared" si="4"/>
        <v>0</v>
      </c>
      <c r="G164">
        <f t="shared" si="5"/>
        <v>4374722</v>
      </c>
    </row>
    <row r="165" spans="1:7">
      <c r="A165" s="1607" t="s">
        <v>452</v>
      </c>
      <c r="B165" s="1608"/>
      <c r="C165" s="1609">
        <v>220853</v>
      </c>
      <c r="D165">
        <f>+IFERROR(VLOOKUP($A165,'TB Final'!$B:$H,7,0),0)</f>
        <v>0</v>
      </c>
      <c r="E165">
        <f>+IFERROR(VLOOKUP($A165,'TB Final'!$B:$H,10,0),0)</f>
        <v>0</v>
      </c>
      <c r="F165">
        <f t="shared" si="4"/>
        <v>0</v>
      </c>
      <c r="G165">
        <f t="shared" si="5"/>
        <v>220853</v>
      </c>
    </row>
    <row r="166" spans="1:7">
      <c r="A166" s="1607" t="s">
        <v>2971</v>
      </c>
      <c r="B166" s="1608"/>
      <c r="C166" s="1609">
        <v>135000</v>
      </c>
      <c r="D166">
        <f>+IFERROR(VLOOKUP($A166,'TB Final'!$B:$H,7,0),0)</f>
        <v>0</v>
      </c>
      <c r="E166">
        <f>+IFERROR(VLOOKUP($A166,'TB Final'!$B:$H,10,0),0)</f>
        <v>0</v>
      </c>
      <c r="F166">
        <f t="shared" si="4"/>
        <v>0</v>
      </c>
      <c r="G166">
        <f t="shared" si="5"/>
        <v>135000</v>
      </c>
    </row>
    <row r="167" spans="1:7">
      <c r="A167" s="1607" t="s">
        <v>223</v>
      </c>
      <c r="B167" s="1608"/>
      <c r="C167" s="1609">
        <v>3154</v>
      </c>
      <c r="D167">
        <f>+IFERROR(VLOOKUP($A167,'TB Final'!$B:$H,7,0),0)</f>
        <v>0</v>
      </c>
      <c r="E167">
        <f>+IFERROR(VLOOKUP($A167,'TB Final'!$B:$H,10,0),0)</f>
        <v>0</v>
      </c>
      <c r="F167">
        <f t="shared" si="4"/>
        <v>0</v>
      </c>
      <c r="G167">
        <f t="shared" si="5"/>
        <v>3154</v>
      </c>
    </row>
    <row r="168" spans="1:7">
      <c r="A168" s="1607" t="s">
        <v>229</v>
      </c>
      <c r="B168" s="1609">
        <v>14544</v>
      </c>
      <c r="C168" s="1608"/>
      <c r="D168">
        <f>+IFERROR(VLOOKUP($A168,'TB Final'!$B:$H,7,0),0)</f>
        <v>14544</v>
      </c>
      <c r="E168">
        <f>+IFERROR(VLOOKUP($A168,'TB Final'!$B:$H,10,0),0)</f>
        <v>0</v>
      </c>
      <c r="F168">
        <f t="shared" si="4"/>
        <v>0</v>
      </c>
      <c r="G168">
        <f t="shared" si="5"/>
        <v>0</v>
      </c>
    </row>
    <row r="169" spans="1:7">
      <c r="A169" s="1607" t="s">
        <v>230</v>
      </c>
      <c r="B169" s="1609">
        <v>19977798</v>
      </c>
      <c r="C169" s="1608"/>
      <c r="D169">
        <f>+IFERROR(VLOOKUP($A169,'TB Final'!$B:$H,7,0),0)</f>
        <v>19977798</v>
      </c>
      <c r="E169">
        <f>+IFERROR(VLOOKUP($A169,'TB Final'!$B:$H,10,0),0)</f>
        <v>0</v>
      </c>
      <c r="F169">
        <f t="shared" si="4"/>
        <v>0</v>
      </c>
      <c r="G169">
        <f t="shared" si="5"/>
        <v>0</v>
      </c>
    </row>
    <row r="170" spans="1:7">
      <c r="A170" s="1607" t="s">
        <v>392</v>
      </c>
      <c r="B170" s="1608"/>
      <c r="C170" s="1609">
        <v>10547882</v>
      </c>
      <c r="D170">
        <f>+IFERROR(VLOOKUP($A170,'TB Final'!$B:$H,7,0),0)</f>
        <v>0</v>
      </c>
      <c r="E170">
        <f>+IFERROR(VLOOKUP($A170,'TB Final'!$B:$H,10,0),0)</f>
        <v>0</v>
      </c>
      <c r="F170">
        <f t="shared" si="4"/>
        <v>0</v>
      </c>
      <c r="G170">
        <f t="shared" si="5"/>
        <v>10547882</v>
      </c>
    </row>
    <row r="171" spans="1:7">
      <c r="A171" s="1607" t="s">
        <v>434</v>
      </c>
      <c r="B171" s="1608"/>
      <c r="C171" s="1609">
        <v>754370</v>
      </c>
      <c r="D171">
        <f>+IFERROR(VLOOKUP($A171,'TB Final'!$B:$H,7,0),0)</f>
        <v>0</v>
      </c>
      <c r="E171">
        <f>+IFERROR(VLOOKUP($A171,'TB Final'!$B:$H,10,0),0)</f>
        <v>0</v>
      </c>
      <c r="F171">
        <f t="shared" si="4"/>
        <v>0</v>
      </c>
      <c r="G171">
        <f t="shared" si="5"/>
        <v>754370</v>
      </c>
    </row>
    <row r="172" spans="1:7">
      <c r="A172" s="1607" t="s">
        <v>2972</v>
      </c>
      <c r="B172" s="1609">
        <v>781839</v>
      </c>
      <c r="C172" s="1608"/>
      <c r="D172">
        <f>+IFERROR(VLOOKUP($A172,'TB Final'!$B:$H,7,0),0)</f>
        <v>781839</v>
      </c>
      <c r="E172">
        <f>+IFERROR(VLOOKUP($A172,'TB Final'!$B:$H,10,0),0)</f>
        <v>0</v>
      </c>
      <c r="F172">
        <f t="shared" si="4"/>
        <v>0</v>
      </c>
      <c r="G172">
        <f t="shared" si="5"/>
        <v>0</v>
      </c>
    </row>
    <row r="173" spans="1:7">
      <c r="A173" s="1607" t="s">
        <v>232</v>
      </c>
      <c r="B173" s="1609">
        <v>343164</v>
      </c>
      <c r="C173" s="1608"/>
      <c r="D173">
        <f>+IFERROR(VLOOKUP($A173,'TB Final'!$B:$H,7,0),0)</f>
        <v>343164</v>
      </c>
      <c r="E173">
        <f>+IFERROR(VLOOKUP($A173,'TB Final'!$B:$H,10,0),0)</f>
        <v>0</v>
      </c>
      <c r="F173">
        <f t="shared" si="4"/>
        <v>0</v>
      </c>
      <c r="G173">
        <f t="shared" si="5"/>
        <v>0</v>
      </c>
    </row>
    <row r="174" spans="1:7">
      <c r="A174" s="1607" t="s">
        <v>233</v>
      </c>
      <c r="B174" s="1608"/>
      <c r="C174" s="1609">
        <v>343164</v>
      </c>
      <c r="D174">
        <f>+IFERROR(VLOOKUP($A174,'TB Final'!$B:$H,7,0),0)</f>
        <v>0</v>
      </c>
      <c r="E174">
        <f>+IFERROR(VLOOKUP($A174,'TB Final'!$B:$H,10,0),0)</f>
        <v>0</v>
      </c>
      <c r="F174">
        <f t="shared" si="4"/>
        <v>0</v>
      </c>
      <c r="G174">
        <f t="shared" si="5"/>
        <v>343164</v>
      </c>
    </row>
    <row r="175" spans="1:7">
      <c r="A175" s="1607" t="s">
        <v>234</v>
      </c>
      <c r="B175" s="1609">
        <v>112800</v>
      </c>
      <c r="C175" s="1608"/>
      <c r="D175">
        <f>+IFERROR(VLOOKUP($A175,'TB Final'!$B:$H,7,0),0)</f>
        <v>112800</v>
      </c>
      <c r="E175">
        <f>+IFERROR(VLOOKUP($A175,'TB Final'!$B:$H,10,0),0)</f>
        <v>0</v>
      </c>
      <c r="F175">
        <f t="shared" si="4"/>
        <v>0</v>
      </c>
      <c r="G175">
        <f t="shared" si="5"/>
        <v>0</v>
      </c>
    </row>
    <row r="176" spans="1:7">
      <c r="A176" s="1607" t="s">
        <v>228</v>
      </c>
      <c r="B176" s="1608"/>
      <c r="C176" s="1609">
        <v>40147</v>
      </c>
      <c r="D176">
        <f>+IFERROR(VLOOKUP($A176,'TB Final'!$B:$H,7,0),0)</f>
        <v>0</v>
      </c>
      <c r="E176">
        <f>+IFERROR(VLOOKUP($A176,'TB Final'!$B:$H,10,0),0)</f>
        <v>0</v>
      </c>
      <c r="F176">
        <f t="shared" si="4"/>
        <v>0</v>
      </c>
      <c r="G176">
        <f t="shared" si="5"/>
        <v>40147</v>
      </c>
    </row>
    <row r="177" spans="1:7">
      <c r="A177" s="1607" t="s">
        <v>236</v>
      </c>
      <c r="B177" s="1609">
        <v>402863.5</v>
      </c>
      <c r="C177" s="1608"/>
      <c r="D177">
        <f>+IFERROR(VLOOKUP($A177,'TB Final'!$B:$H,7,0),0)</f>
        <v>402863.5</v>
      </c>
      <c r="E177">
        <f>+IFERROR(VLOOKUP($A177,'TB Final'!$B:$H,10,0),0)</f>
        <v>0</v>
      </c>
      <c r="F177">
        <f t="shared" si="4"/>
        <v>0</v>
      </c>
      <c r="G177">
        <f t="shared" si="5"/>
        <v>0</v>
      </c>
    </row>
    <row r="178" spans="1:7">
      <c r="A178" s="1607" t="s">
        <v>237</v>
      </c>
      <c r="B178" s="1609">
        <v>1501316</v>
      </c>
      <c r="C178" s="1608"/>
      <c r="D178">
        <f>+IFERROR(VLOOKUP($A178,'TB Final'!$B:$H,7,0),0)</f>
        <v>1501316</v>
      </c>
      <c r="E178">
        <f>+IFERROR(VLOOKUP($A178,'TB Final'!$B:$H,10,0),0)</f>
        <v>0</v>
      </c>
      <c r="F178">
        <f t="shared" si="4"/>
        <v>0</v>
      </c>
      <c r="G178">
        <f t="shared" si="5"/>
        <v>0</v>
      </c>
    </row>
    <row r="179" spans="1:7">
      <c r="A179" s="1607" t="s">
        <v>238</v>
      </c>
      <c r="B179" s="1609">
        <v>4136012.77</v>
      </c>
      <c r="C179" s="1608"/>
      <c r="D179">
        <f>+IFERROR(VLOOKUP($A179,'TB Final'!$B:$H,7,0),0)</f>
        <v>4136012.77</v>
      </c>
      <c r="E179">
        <f>+IFERROR(VLOOKUP($A179,'TB Final'!$B:$H,10,0),0)</f>
        <v>0</v>
      </c>
      <c r="F179">
        <f t="shared" si="4"/>
        <v>0</v>
      </c>
      <c r="G179">
        <f t="shared" si="5"/>
        <v>0</v>
      </c>
    </row>
    <row r="180" spans="1:7">
      <c r="A180" s="1607" t="s">
        <v>513</v>
      </c>
      <c r="B180" s="1609">
        <v>193134.65</v>
      </c>
      <c r="C180" s="1608"/>
      <c r="D180">
        <f>+IFERROR(VLOOKUP($A180,'TB Final'!$B:$H,7,0),0)</f>
        <v>193134.65</v>
      </c>
      <c r="E180">
        <f>+IFERROR(VLOOKUP($A180,'TB Final'!$B:$H,10,0),0)</f>
        <v>0</v>
      </c>
      <c r="F180">
        <f t="shared" si="4"/>
        <v>0</v>
      </c>
      <c r="G180">
        <f t="shared" si="5"/>
        <v>0</v>
      </c>
    </row>
    <row r="181" spans="1:7">
      <c r="A181" s="1607" t="s">
        <v>239</v>
      </c>
      <c r="B181" s="1609">
        <v>2465865</v>
      </c>
      <c r="C181" s="1608"/>
      <c r="D181">
        <f>+IFERROR(VLOOKUP($A181,'TB Final'!$B:$H,7,0),0)</f>
        <v>2465865</v>
      </c>
      <c r="E181">
        <f>+IFERROR(VLOOKUP($A181,'TB Final'!$B:$H,10,0),0)</f>
        <v>0</v>
      </c>
      <c r="F181">
        <f t="shared" si="4"/>
        <v>0</v>
      </c>
      <c r="G181">
        <f t="shared" si="5"/>
        <v>0</v>
      </c>
    </row>
    <row r="182" spans="1:7">
      <c r="A182" s="1607" t="s">
        <v>19</v>
      </c>
      <c r="B182" s="1608"/>
      <c r="C182" s="1609">
        <v>5463715</v>
      </c>
      <c r="D182">
        <f>+IFERROR(VLOOKUP($A182,'TB Final'!$B:$H,7,0),0)</f>
        <v>0</v>
      </c>
      <c r="E182">
        <f>+IFERROR(VLOOKUP($A182,'TB Final'!$B:$H,10,0),0)</f>
        <v>0</v>
      </c>
      <c r="F182">
        <f t="shared" si="4"/>
        <v>0</v>
      </c>
      <c r="G182">
        <f t="shared" si="5"/>
        <v>5463715</v>
      </c>
    </row>
    <row r="183" spans="1:7">
      <c r="A183" s="1607" t="s">
        <v>515</v>
      </c>
      <c r="B183" s="1609">
        <v>255943</v>
      </c>
      <c r="C183" s="1608"/>
      <c r="D183">
        <f>+IFERROR(VLOOKUP($A183,'TB Final'!$B:$H,7,0),0)</f>
        <v>255943</v>
      </c>
      <c r="E183">
        <f>+IFERROR(VLOOKUP($A183,'TB Final'!$B:$H,10,0),0)</f>
        <v>0</v>
      </c>
      <c r="F183">
        <f t="shared" si="4"/>
        <v>0</v>
      </c>
      <c r="G183">
        <f t="shared" si="5"/>
        <v>0</v>
      </c>
    </row>
    <row r="184" spans="1:7">
      <c r="A184" s="1607" t="s">
        <v>435</v>
      </c>
      <c r="B184" s="1608"/>
      <c r="C184" s="1609">
        <v>35044</v>
      </c>
      <c r="D184">
        <f>+IFERROR(VLOOKUP($A184,'TB Final'!$B:$H,7,0),0)</f>
        <v>0</v>
      </c>
      <c r="E184">
        <f>+IFERROR(VLOOKUP($A184,'TB Final'!$B:$H,10,0),0)</f>
        <v>0</v>
      </c>
      <c r="F184">
        <f t="shared" si="4"/>
        <v>0</v>
      </c>
      <c r="G184">
        <f t="shared" si="5"/>
        <v>35044</v>
      </c>
    </row>
    <row r="185" spans="1:7">
      <c r="A185" s="1607" t="s">
        <v>516</v>
      </c>
      <c r="B185" s="1608"/>
      <c r="C185" s="1609">
        <v>218551</v>
      </c>
      <c r="D185">
        <f>+IFERROR(VLOOKUP($A185,'TB Final'!$B:$H,7,0),0)</f>
        <v>0</v>
      </c>
      <c r="E185">
        <f>+IFERROR(VLOOKUP($A185,'TB Final'!$B:$H,10,0),0)</f>
        <v>0</v>
      </c>
      <c r="F185">
        <f t="shared" si="4"/>
        <v>0</v>
      </c>
      <c r="G185">
        <f t="shared" si="5"/>
        <v>218551</v>
      </c>
    </row>
    <row r="186" spans="1:7">
      <c r="A186" s="1607" t="s">
        <v>393</v>
      </c>
      <c r="B186" s="1609">
        <v>3000</v>
      </c>
      <c r="C186" s="1608"/>
      <c r="D186">
        <f>+IFERROR(VLOOKUP($A186,'TB Final'!$B:$H,7,0),0)</f>
        <v>3000</v>
      </c>
      <c r="E186">
        <f>+IFERROR(VLOOKUP($A186,'TB Final'!$B:$H,10,0),0)</f>
        <v>0</v>
      </c>
      <c r="F186">
        <f t="shared" si="4"/>
        <v>0</v>
      </c>
      <c r="G186">
        <f t="shared" si="5"/>
        <v>0</v>
      </c>
    </row>
    <row r="187" spans="1:7">
      <c r="A187" s="1607" t="s">
        <v>21</v>
      </c>
      <c r="B187" s="1608"/>
      <c r="C187" s="1609">
        <v>632914</v>
      </c>
      <c r="D187">
        <f>+IFERROR(VLOOKUP($A187,'TB Final'!$B:$H,7,0),0)</f>
        <v>0</v>
      </c>
      <c r="E187">
        <f>+IFERROR(VLOOKUP($A187,'TB Final'!$B:$H,10,0),0)</f>
        <v>0</v>
      </c>
      <c r="F187">
        <f t="shared" si="4"/>
        <v>0</v>
      </c>
      <c r="G187">
        <f t="shared" si="5"/>
        <v>632914</v>
      </c>
    </row>
    <row r="188" spans="1:7">
      <c r="A188" s="1607" t="s">
        <v>248</v>
      </c>
      <c r="B188" s="1609">
        <v>6000</v>
      </c>
      <c r="C188" s="1608"/>
      <c r="D188">
        <f>+IFERROR(VLOOKUP($A188,'TB Final'!$B:$H,7,0),0)</f>
        <v>6000</v>
      </c>
      <c r="E188">
        <f>+IFERROR(VLOOKUP($A188,'TB Final'!$B:$H,10,0),0)</f>
        <v>0</v>
      </c>
      <c r="F188">
        <f t="shared" si="4"/>
        <v>0</v>
      </c>
      <c r="G188">
        <f t="shared" si="5"/>
        <v>0</v>
      </c>
    </row>
    <row r="189" spans="1:7">
      <c r="A189" s="1607" t="s">
        <v>38</v>
      </c>
      <c r="B189" s="1609">
        <v>40000</v>
      </c>
      <c r="C189" s="1608"/>
      <c r="D189">
        <f>+IFERROR(VLOOKUP($A189,'TB Final'!$B:$H,7,0),0)</f>
        <v>40000</v>
      </c>
      <c r="E189">
        <f>+IFERROR(VLOOKUP($A189,'TB Final'!$B:$H,10,0),0)</f>
        <v>0</v>
      </c>
      <c r="F189">
        <f t="shared" si="4"/>
        <v>0</v>
      </c>
      <c r="G189">
        <f t="shared" si="5"/>
        <v>0</v>
      </c>
    </row>
    <row r="190" spans="1:7">
      <c r="A190" s="1607" t="s">
        <v>2973</v>
      </c>
      <c r="B190" s="1608"/>
      <c r="C190" s="1609">
        <v>21830</v>
      </c>
      <c r="D190">
        <f>+IFERROR(VLOOKUP($A190,'TB Final'!$B:$H,7,0),0)</f>
        <v>0</v>
      </c>
      <c r="E190">
        <f>+IFERROR(VLOOKUP($A190,'TB Final'!$B:$H,10,0),0)</f>
        <v>0</v>
      </c>
      <c r="F190">
        <f t="shared" si="4"/>
        <v>0</v>
      </c>
      <c r="G190">
        <f t="shared" si="5"/>
        <v>21830</v>
      </c>
    </row>
    <row r="191" spans="1:7">
      <c r="A191" s="1607" t="s">
        <v>517</v>
      </c>
      <c r="B191" s="1609">
        <v>153600</v>
      </c>
      <c r="C191" s="1608"/>
      <c r="D191">
        <f>+IFERROR(VLOOKUP($A191,'TB Final'!$B:$H,7,0),0)</f>
        <v>153600</v>
      </c>
      <c r="E191">
        <f>+IFERROR(VLOOKUP($A191,'TB Final'!$B:$H,10,0),0)</f>
        <v>0</v>
      </c>
      <c r="F191">
        <f t="shared" si="4"/>
        <v>0</v>
      </c>
      <c r="G191">
        <f t="shared" si="5"/>
        <v>0</v>
      </c>
    </row>
    <row r="192" spans="1:7">
      <c r="A192" s="1607" t="s">
        <v>518</v>
      </c>
      <c r="B192" s="1609">
        <v>104700</v>
      </c>
      <c r="C192" s="1608"/>
      <c r="D192">
        <f>+IFERROR(VLOOKUP($A192,'TB Final'!$B:$H,7,0),0)</f>
        <v>104700</v>
      </c>
      <c r="E192">
        <f>+IFERROR(VLOOKUP($A192,'TB Final'!$B:$H,10,0),0)</f>
        <v>0</v>
      </c>
      <c r="F192">
        <f t="shared" si="4"/>
        <v>0</v>
      </c>
      <c r="G192">
        <f t="shared" si="5"/>
        <v>0</v>
      </c>
    </row>
    <row r="193" spans="1:7">
      <c r="A193" s="1607" t="s">
        <v>249</v>
      </c>
      <c r="B193" s="1609">
        <v>1208365.8799999999</v>
      </c>
      <c r="C193" s="1608"/>
      <c r="D193">
        <f>+IFERROR(VLOOKUP($A193,'TB Final'!$B:$H,7,0),0)</f>
        <v>1208365.8799999999</v>
      </c>
      <c r="E193">
        <f>+IFERROR(VLOOKUP($A193,'TB Final'!$B:$H,10,0),0)</f>
        <v>0</v>
      </c>
      <c r="F193">
        <f t="shared" si="4"/>
        <v>0</v>
      </c>
      <c r="G193">
        <f t="shared" si="5"/>
        <v>0</v>
      </c>
    </row>
    <row r="194" spans="1:7">
      <c r="A194" s="1607" t="s">
        <v>519</v>
      </c>
      <c r="B194" s="1609">
        <v>54090.28</v>
      </c>
      <c r="C194" s="1608"/>
      <c r="D194">
        <f>+IFERROR(VLOOKUP($A194,'TB Final'!$B:$H,7,0),0)</f>
        <v>54090.28</v>
      </c>
      <c r="E194">
        <f>+IFERROR(VLOOKUP($A194,'TB Final'!$B:$H,10,0),0)</f>
        <v>0</v>
      </c>
      <c r="F194">
        <f t="shared" si="4"/>
        <v>0</v>
      </c>
      <c r="G194">
        <f t="shared" si="5"/>
        <v>0</v>
      </c>
    </row>
    <row r="195" spans="1:7">
      <c r="A195" s="1607" t="s">
        <v>520</v>
      </c>
      <c r="B195" s="1609">
        <v>643125</v>
      </c>
      <c r="C195" s="1608"/>
      <c r="D195">
        <f>+IFERROR(VLOOKUP($A195,'TB Final'!$B:$H,7,0),0)</f>
        <v>643125</v>
      </c>
      <c r="E195">
        <f>+IFERROR(VLOOKUP($A195,'TB Final'!$B:$H,10,0),0)</f>
        <v>0</v>
      </c>
      <c r="F195">
        <f t="shared" si="4"/>
        <v>0</v>
      </c>
      <c r="G195">
        <f t="shared" si="5"/>
        <v>0</v>
      </c>
    </row>
    <row r="196" spans="1:7">
      <c r="A196" s="1607" t="s">
        <v>521</v>
      </c>
      <c r="B196" s="1609">
        <v>53221</v>
      </c>
      <c r="C196" s="1608"/>
      <c r="D196">
        <f>+IFERROR(VLOOKUP($A196,'TB Final'!$B:$H,7,0),0)</f>
        <v>53221</v>
      </c>
      <c r="E196">
        <f>+IFERROR(VLOOKUP($A196,'TB Final'!$B:$H,10,0),0)</f>
        <v>0</v>
      </c>
      <c r="F196">
        <f t="shared" si="4"/>
        <v>0</v>
      </c>
      <c r="G196">
        <f t="shared" si="5"/>
        <v>0</v>
      </c>
    </row>
    <row r="197" spans="1:7">
      <c r="A197" s="1607" t="s">
        <v>522</v>
      </c>
      <c r="B197" s="1608"/>
      <c r="C197" s="1609">
        <v>5700468</v>
      </c>
      <c r="D197">
        <f>+IFERROR(VLOOKUP($A197,'TB Final'!$B:$H,7,0),0)</f>
        <v>0</v>
      </c>
      <c r="E197">
        <f>+IFERROR(VLOOKUP($A197,'TB Final'!$B:$H,10,0),0)</f>
        <v>0</v>
      </c>
      <c r="F197">
        <f t="shared" si="4"/>
        <v>0</v>
      </c>
      <c r="G197">
        <f t="shared" si="5"/>
        <v>5700468</v>
      </c>
    </row>
    <row r="198" spans="1:7">
      <c r="A198" s="1607" t="s">
        <v>253</v>
      </c>
      <c r="B198" s="1609">
        <v>131217.84</v>
      </c>
      <c r="C198" s="1608"/>
      <c r="D198">
        <f>+IFERROR(VLOOKUP($A198,'TB Final'!$B:$H,7,0),0)</f>
        <v>131217.84</v>
      </c>
      <c r="E198">
        <f>+IFERROR(VLOOKUP($A198,'TB Final'!$B:$H,10,0),0)</f>
        <v>0</v>
      </c>
      <c r="F198">
        <f t="shared" si="4"/>
        <v>0</v>
      </c>
      <c r="G198">
        <f t="shared" si="5"/>
        <v>0</v>
      </c>
    </row>
    <row r="199" spans="1:7">
      <c r="A199" s="1607" t="s">
        <v>394</v>
      </c>
      <c r="B199" s="1608"/>
      <c r="C199" s="1609">
        <v>313012</v>
      </c>
      <c r="D199">
        <f>+IFERROR(VLOOKUP($A199,'TB Final'!$B:$H,7,0),0)</f>
        <v>0</v>
      </c>
      <c r="E199">
        <f>+IFERROR(VLOOKUP($A199,'TB Final'!$B:$H,10,0),0)</f>
        <v>0</v>
      </c>
      <c r="F199">
        <f t="shared" si="4"/>
        <v>0</v>
      </c>
      <c r="G199">
        <f t="shared" si="5"/>
        <v>313012</v>
      </c>
    </row>
    <row r="200" spans="1:7">
      <c r="A200" s="1607" t="s">
        <v>254</v>
      </c>
      <c r="B200" s="1609">
        <v>56914</v>
      </c>
      <c r="C200" s="1608"/>
      <c r="D200">
        <f>+IFERROR(VLOOKUP($A200,'TB Final'!$B:$H,7,0),0)</f>
        <v>56914</v>
      </c>
      <c r="E200">
        <f>+IFERROR(VLOOKUP($A200,'TB Final'!$B:$H,10,0),0)</f>
        <v>0</v>
      </c>
      <c r="F200">
        <f t="shared" si="4"/>
        <v>0</v>
      </c>
      <c r="G200">
        <f t="shared" si="5"/>
        <v>0</v>
      </c>
    </row>
    <row r="201" spans="1:7">
      <c r="A201" s="1607" t="s">
        <v>256</v>
      </c>
      <c r="B201" s="1609">
        <v>470140.39</v>
      </c>
      <c r="C201" s="1608"/>
      <c r="D201">
        <f>+IFERROR(VLOOKUP($A201,'TB Final'!$B:$H,7,0),0)</f>
        <v>470140.39</v>
      </c>
      <c r="E201">
        <f>+IFERROR(VLOOKUP($A201,'TB Final'!$B:$H,10,0),0)</f>
        <v>0</v>
      </c>
      <c r="F201">
        <f t="shared" si="4"/>
        <v>0</v>
      </c>
      <c r="G201">
        <f t="shared" si="5"/>
        <v>0</v>
      </c>
    </row>
    <row r="202" spans="1:7">
      <c r="A202" s="1607" t="s">
        <v>258</v>
      </c>
      <c r="B202" s="1609">
        <v>12870</v>
      </c>
      <c r="C202" s="1608"/>
      <c r="D202">
        <f>+IFERROR(VLOOKUP($A202,'TB Final'!$B:$H,7,0),0)</f>
        <v>12870</v>
      </c>
      <c r="E202">
        <f>+IFERROR(VLOOKUP($A202,'TB Final'!$B:$H,10,0),0)</f>
        <v>0</v>
      </c>
      <c r="F202">
        <f t="shared" si="4"/>
        <v>0</v>
      </c>
      <c r="G202">
        <f t="shared" si="5"/>
        <v>0</v>
      </c>
    </row>
    <row r="203" spans="1:7">
      <c r="A203" s="1607" t="s">
        <v>260</v>
      </c>
      <c r="B203" s="1609">
        <v>54676</v>
      </c>
      <c r="C203" s="1608"/>
      <c r="D203">
        <f>+IFERROR(VLOOKUP($A203,'TB Final'!$B:$H,7,0),0)</f>
        <v>54676</v>
      </c>
      <c r="E203">
        <f>+IFERROR(VLOOKUP($A203,'TB Final'!$B:$H,10,0),0)</f>
        <v>0</v>
      </c>
      <c r="F203">
        <f t="shared" si="4"/>
        <v>0</v>
      </c>
      <c r="G203">
        <f t="shared" si="5"/>
        <v>0</v>
      </c>
    </row>
    <row r="204" spans="1:7">
      <c r="A204" s="1607" t="s">
        <v>2974</v>
      </c>
      <c r="B204" s="1608"/>
      <c r="C204" s="1609">
        <v>534000</v>
      </c>
      <c r="D204">
        <f>+IFERROR(VLOOKUP($A204,'TB Final'!$B:$H,7,0),0)</f>
        <v>0</v>
      </c>
      <c r="E204">
        <f>+IFERROR(VLOOKUP($A204,'TB Final'!$B:$H,10,0),0)</f>
        <v>0</v>
      </c>
      <c r="F204">
        <f t="shared" si="4"/>
        <v>0</v>
      </c>
      <c r="G204">
        <f t="shared" si="5"/>
        <v>534000</v>
      </c>
    </row>
    <row r="205" spans="1:7">
      <c r="A205" s="1607" t="s">
        <v>261</v>
      </c>
      <c r="B205" s="1608"/>
      <c r="C205" s="1609">
        <v>354825</v>
      </c>
      <c r="D205">
        <f>+IFERROR(VLOOKUP($A205,'TB Final'!$B:$H,7,0),0)</f>
        <v>0</v>
      </c>
      <c r="E205">
        <f>+IFERROR(VLOOKUP($A205,'TB Final'!$B:$H,10,0),0)</f>
        <v>0</v>
      </c>
      <c r="F205">
        <f t="shared" ref="F205:F268" si="6">+B205-D205</f>
        <v>0</v>
      </c>
      <c r="G205">
        <f t="shared" ref="G205:G268" si="7">+C205-E205</f>
        <v>354825</v>
      </c>
    </row>
    <row r="206" spans="1:7">
      <c r="A206" s="1607" t="s">
        <v>257</v>
      </c>
      <c r="B206" s="1609">
        <v>5210528.92</v>
      </c>
      <c r="C206" s="1608"/>
      <c r="D206">
        <f>+IFERROR(VLOOKUP($A206,'TB Final'!$B:$H,7,0),0)</f>
        <v>5210528.92</v>
      </c>
      <c r="E206">
        <f>+IFERROR(VLOOKUP($A206,'TB Final'!$B:$H,10,0),0)</f>
        <v>0</v>
      </c>
      <c r="F206">
        <f t="shared" si="6"/>
        <v>0</v>
      </c>
      <c r="G206">
        <f t="shared" si="7"/>
        <v>0</v>
      </c>
    </row>
    <row r="207" spans="1:7">
      <c r="A207" s="1607" t="s">
        <v>262</v>
      </c>
      <c r="B207" s="1609">
        <v>490236</v>
      </c>
      <c r="C207" s="1608"/>
      <c r="D207">
        <f>+IFERROR(VLOOKUP($A207,'TB Final'!$B:$H,7,0),0)</f>
        <v>490236</v>
      </c>
      <c r="E207">
        <f>+IFERROR(VLOOKUP($A207,'TB Final'!$B:$H,10,0),0)</f>
        <v>0</v>
      </c>
      <c r="F207">
        <f t="shared" si="6"/>
        <v>0</v>
      </c>
      <c r="G207">
        <f t="shared" si="7"/>
        <v>0</v>
      </c>
    </row>
    <row r="208" spans="1:7">
      <c r="A208" s="1607" t="s">
        <v>263</v>
      </c>
      <c r="B208" s="1608"/>
      <c r="C208" s="1609">
        <v>16497</v>
      </c>
      <c r="D208">
        <f>+IFERROR(VLOOKUP($A208,'TB Final'!$B:$H,7,0),0)</f>
        <v>0</v>
      </c>
      <c r="E208">
        <f>+IFERROR(VLOOKUP($A208,'TB Final'!$B:$H,10,0),0)</f>
        <v>0</v>
      </c>
      <c r="F208">
        <f t="shared" si="6"/>
        <v>0</v>
      </c>
      <c r="G208">
        <f t="shared" si="7"/>
        <v>16497</v>
      </c>
    </row>
    <row r="209" spans="1:7">
      <c r="A209" s="1607" t="s">
        <v>264</v>
      </c>
      <c r="B209" s="1608"/>
      <c r="C209" s="1609">
        <v>430942</v>
      </c>
      <c r="D209">
        <f>+IFERROR(VLOOKUP($A209,'TB Final'!$B:$H,7,0),0)</f>
        <v>0</v>
      </c>
      <c r="E209">
        <f>+IFERROR(VLOOKUP($A209,'TB Final'!$B:$H,10,0),0)</f>
        <v>0</v>
      </c>
      <c r="F209">
        <f t="shared" si="6"/>
        <v>0</v>
      </c>
      <c r="G209">
        <f t="shared" si="7"/>
        <v>430942</v>
      </c>
    </row>
    <row r="210" spans="1:7">
      <c r="A210" s="1607" t="s">
        <v>525</v>
      </c>
      <c r="B210" s="1608"/>
      <c r="C210" s="1609">
        <v>437513</v>
      </c>
      <c r="D210">
        <f>+IFERROR(VLOOKUP($A210,'TB Final'!$B:$H,7,0),0)</f>
        <v>0</v>
      </c>
      <c r="E210">
        <f>+IFERROR(VLOOKUP($A210,'TB Final'!$B:$H,10,0),0)</f>
        <v>0</v>
      </c>
      <c r="F210">
        <f t="shared" si="6"/>
        <v>0</v>
      </c>
      <c r="G210">
        <f t="shared" si="7"/>
        <v>437513</v>
      </c>
    </row>
    <row r="211" spans="1:7">
      <c r="A211" s="1607" t="s">
        <v>265</v>
      </c>
      <c r="B211" s="1608"/>
      <c r="C211" s="1609">
        <v>544625</v>
      </c>
      <c r="D211">
        <f>+IFERROR(VLOOKUP($A211,'TB Final'!$B:$H,7,0),0)</f>
        <v>0</v>
      </c>
      <c r="E211">
        <f>+IFERROR(VLOOKUP($A211,'TB Final'!$B:$H,10,0),0)</f>
        <v>0</v>
      </c>
      <c r="F211">
        <f t="shared" si="6"/>
        <v>0</v>
      </c>
      <c r="G211">
        <f t="shared" si="7"/>
        <v>544625</v>
      </c>
    </row>
    <row r="212" spans="1:7">
      <c r="A212" s="1607" t="s">
        <v>266</v>
      </c>
      <c r="B212" s="1609">
        <v>450</v>
      </c>
      <c r="C212" s="1608"/>
      <c r="D212">
        <f>+IFERROR(VLOOKUP($A212,'TB Final'!$B:$H,7,0),0)</f>
        <v>450</v>
      </c>
      <c r="E212">
        <f>+IFERROR(VLOOKUP($A212,'TB Final'!$B:$H,10,0),0)</f>
        <v>0</v>
      </c>
      <c r="F212">
        <f t="shared" si="6"/>
        <v>0</v>
      </c>
      <c r="G212">
        <f t="shared" si="7"/>
        <v>0</v>
      </c>
    </row>
    <row r="213" spans="1:7">
      <c r="A213" s="1607" t="s">
        <v>267</v>
      </c>
      <c r="B213" s="1609">
        <v>5000</v>
      </c>
      <c r="C213" s="1608"/>
      <c r="D213">
        <f>+IFERROR(VLOOKUP($A213,'TB Final'!$B:$H,7,0),0)</f>
        <v>5000</v>
      </c>
      <c r="E213">
        <f>+IFERROR(VLOOKUP($A213,'TB Final'!$B:$H,10,0),0)</f>
        <v>0</v>
      </c>
      <c r="F213">
        <f t="shared" si="6"/>
        <v>0</v>
      </c>
      <c r="G213">
        <f t="shared" si="7"/>
        <v>0</v>
      </c>
    </row>
    <row r="214" spans="1:7">
      <c r="A214" s="1607" t="s">
        <v>268</v>
      </c>
      <c r="B214" s="1609">
        <v>450</v>
      </c>
      <c r="C214" s="1608"/>
      <c r="D214">
        <f>+IFERROR(VLOOKUP($A214,'TB Final'!$B:$H,7,0),0)</f>
        <v>450</v>
      </c>
      <c r="E214">
        <f>+IFERROR(VLOOKUP($A214,'TB Final'!$B:$H,10,0),0)</f>
        <v>0</v>
      </c>
      <c r="F214">
        <f t="shared" si="6"/>
        <v>0</v>
      </c>
      <c r="G214">
        <f t="shared" si="7"/>
        <v>0</v>
      </c>
    </row>
    <row r="215" spans="1:7">
      <c r="A215" s="1607" t="s">
        <v>2976</v>
      </c>
      <c r="B215" s="1609">
        <v>217</v>
      </c>
      <c r="C215" s="1608"/>
      <c r="D215">
        <f>+IFERROR(VLOOKUP($A215,'TB Final'!$B:$H,7,0),0)</f>
        <v>217</v>
      </c>
      <c r="E215">
        <f>+IFERROR(VLOOKUP($A215,'TB Final'!$B:$H,10,0),0)</f>
        <v>0</v>
      </c>
      <c r="F215">
        <f t="shared" si="6"/>
        <v>0</v>
      </c>
      <c r="G215">
        <f t="shared" si="7"/>
        <v>0</v>
      </c>
    </row>
    <row r="216" spans="1:7">
      <c r="A216" s="1607" t="s">
        <v>270</v>
      </c>
      <c r="B216" s="1609">
        <v>360933832.67000002</v>
      </c>
      <c r="C216" s="1608"/>
      <c r="D216">
        <f>+IFERROR(VLOOKUP($A216,'TB Final'!$B:$H,7,0),0)</f>
        <v>348624149.81</v>
      </c>
      <c r="E216">
        <f>+IFERROR(VLOOKUP($A216,'TB Final'!$B:$H,10,0),0)</f>
        <v>0</v>
      </c>
      <c r="F216">
        <f t="shared" si="6"/>
        <v>12309682.860000014</v>
      </c>
      <c r="G216">
        <f t="shared" si="7"/>
        <v>0</v>
      </c>
    </row>
    <row r="217" spans="1:7">
      <c r="A217" s="1607" t="s">
        <v>526</v>
      </c>
      <c r="B217" s="1608"/>
      <c r="C217" s="1609">
        <v>333000</v>
      </c>
      <c r="D217">
        <f>+IFERROR(VLOOKUP($A217,'TB Final'!$B:$H,7,0),0)</f>
        <v>0</v>
      </c>
      <c r="E217">
        <f>+IFERROR(VLOOKUP($A217,'TB Final'!$B:$H,10,0),0)</f>
        <v>0</v>
      </c>
      <c r="F217">
        <f t="shared" si="6"/>
        <v>0</v>
      </c>
      <c r="G217">
        <f t="shared" si="7"/>
        <v>333000</v>
      </c>
    </row>
    <row r="218" spans="1:7">
      <c r="A218" s="1607" t="s">
        <v>527</v>
      </c>
      <c r="B218" s="1609">
        <v>72027</v>
      </c>
      <c r="C218" s="1608"/>
      <c r="D218">
        <f>+IFERROR(VLOOKUP($A218,'TB Final'!$B:$H,7,0),0)</f>
        <v>72027</v>
      </c>
      <c r="E218">
        <f>+IFERROR(VLOOKUP($A218,'TB Final'!$B:$H,10,0),0)</f>
        <v>0</v>
      </c>
      <c r="F218">
        <f t="shared" si="6"/>
        <v>0</v>
      </c>
      <c r="G218">
        <f t="shared" si="7"/>
        <v>0</v>
      </c>
    </row>
    <row r="219" spans="1:7">
      <c r="A219" s="1607" t="s">
        <v>271</v>
      </c>
      <c r="B219" s="1608"/>
      <c r="C219" s="1609">
        <v>1103470</v>
      </c>
      <c r="D219">
        <f>+IFERROR(VLOOKUP($A219,'TB Final'!$B:$H,7,0),0)</f>
        <v>0</v>
      </c>
      <c r="E219">
        <f>+IFERROR(VLOOKUP($A219,'TB Final'!$B:$H,10,0),0)</f>
        <v>0</v>
      </c>
      <c r="F219">
        <f t="shared" si="6"/>
        <v>0</v>
      </c>
      <c r="G219">
        <f t="shared" si="7"/>
        <v>1103470</v>
      </c>
    </row>
    <row r="220" spans="1:7">
      <c r="A220" s="1607" t="s">
        <v>2977</v>
      </c>
      <c r="B220" s="1609">
        <v>2498493</v>
      </c>
      <c r="C220" s="1608"/>
      <c r="D220">
        <f>+IFERROR(VLOOKUP($A220,'TB Final'!$B:$H,7,0),0)</f>
        <v>2498493</v>
      </c>
      <c r="E220">
        <f>+IFERROR(VLOOKUP($A220,'TB Final'!$B:$H,10,0),0)</f>
        <v>0</v>
      </c>
      <c r="F220">
        <f t="shared" si="6"/>
        <v>0</v>
      </c>
      <c r="G220">
        <f t="shared" si="7"/>
        <v>0</v>
      </c>
    </row>
    <row r="221" spans="1:7">
      <c r="A221" s="1607" t="s">
        <v>2978</v>
      </c>
      <c r="B221" s="1608"/>
      <c r="C221" s="1609">
        <v>40020</v>
      </c>
      <c r="D221">
        <f>+IFERROR(VLOOKUP($A221,'TB Final'!$B:$H,7,0),0)</f>
        <v>0</v>
      </c>
      <c r="E221">
        <f>+IFERROR(VLOOKUP($A221,'TB Final'!$B:$H,10,0),0)</f>
        <v>0</v>
      </c>
      <c r="F221">
        <f t="shared" si="6"/>
        <v>0</v>
      </c>
      <c r="G221">
        <f t="shared" si="7"/>
        <v>40020</v>
      </c>
    </row>
    <row r="222" spans="1:7">
      <c r="A222" s="1607" t="s">
        <v>2979</v>
      </c>
      <c r="B222" s="1608"/>
      <c r="C222" s="1609">
        <v>93400</v>
      </c>
      <c r="D222">
        <f>+IFERROR(VLOOKUP($A222,'TB Final'!$B:$H,7,0),0)</f>
        <v>0</v>
      </c>
      <c r="E222">
        <f>+IFERROR(VLOOKUP($A222,'TB Final'!$B:$H,10,0),0)</f>
        <v>0</v>
      </c>
      <c r="F222">
        <f t="shared" si="6"/>
        <v>0</v>
      </c>
      <c r="G222">
        <f t="shared" si="7"/>
        <v>93400</v>
      </c>
    </row>
    <row r="223" spans="1:7">
      <c r="A223" s="1607" t="s">
        <v>273</v>
      </c>
      <c r="B223" s="1609">
        <v>990425</v>
      </c>
      <c r="C223" s="1608"/>
      <c r="D223">
        <f>+IFERROR(VLOOKUP($A223,'TB Final'!$B:$H,7,0),0)</f>
        <v>990425</v>
      </c>
      <c r="E223">
        <f>+IFERROR(VLOOKUP($A223,'TB Final'!$B:$H,10,0),0)</f>
        <v>0</v>
      </c>
      <c r="F223">
        <f t="shared" si="6"/>
        <v>0</v>
      </c>
      <c r="G223">
        <f t="shared" si="7"/>
        <v>0</v>
      </c>
    </row>
    <row r="224" spans="1:7">
      <c r="A224" s="1607" t="s">
        <v>2980</v>
      </c>
      <c r="B224" s="1609">
        <v>515309</v>
      </c>
      <c r="C224" s="1608"/>
      <c r="D224">
        <f>+IFERROR(VLOOKUP($A224,'TB Final'!$B:$H,7,0),0)</f>
        <v>515309</v>
      </c>
      <c r="E224">
        <f>+IFERROR(VLOOKUP($A224,'TB Final'!$B:$H,10,0),0)</f>
        <v>0</v>
      </c>
      <c r="F224">
        <f t="shared" si="6"/>
        <v>0</v>
      </c>
      <c r="G224">
        <f t="shared" si="7"/>
        <v>0</v>
      </c>
    </row>
    <row r="225" spans="1:7">
      <c r="A225" s="1607" t="s">
        <v>3063</v>
      </c>
      <c r="B225" s="1608"/>
      <c r="C225" s="1609">
        <v>19514</v>
      </c>
      <c r="D225">
        <f>+IFERROR(VLOOKUP($A225,'TB Final'!$B:$H,7,0),0)</f>
        <v>0</v>
      </c>
      <c r="E225">
        <f>+IFERROR(VLOOKUP($A225,'TB Final'!$B:$H,10,0),0)</f>
        <v>0</v>
      </c>
      <c r="F225">
        <f t="shared" si="6"/>
        <v>0</v>
      </c>
      <c r="G225">
        <f t="shared" si="7"/>
        <v>19514</v>
      </c>
    </row>
    <row r="226" spans="1:7">
      <c r="A226" s="1607" t="s">
        <v>275</v>
      </c>
      <c r="B226" s="1609">
        <v>774063</v>
      </c>
      <c r="C226" s="1608"/>
      <c r="D226">
        <f>+IFERROR(VLOOKUP($A226,'TB Final'!$B:$H,7,0),0)</f>
        <v>774063</v>
      </c>
      <c r="E226">
        <f>+IFERROR(VLOOKUP($A226,'TB Final'!$B:$H,10,0),0)</f>
        <v>0</v>
      </c>
      <c r="F226">
        <f t="shared" si="6"/>
        <v>0</v>
      </c>
      <c r="G226">
        <f t="shared" si="7"/>
        <v>0</v>
      </c>
    </row>
    <row r="227" spans="1:7">
      <c r="A227" s="1607" t="s">
        <v>276</v>
      </c>
      <c r="B227" s="1609">
        <v>2500</v>
      </c>
      <c r="C227" s="1608"/>
      <c r="D227">
        <f>+IFERROR(VLOOKUP($A227,'TB Final'!$B:$H,7,0),0)</f>
        <v>2500</v>
      </c>
      <c r="E227">
        <f>+IFERROR(VLOOKUP($A227,'TB Final'!$B:$H,10,0),0)</f>
        <v>0</v>
      </c>
      <c r="F227">
        <f t="shared" si="6"/>
        <v>0</v>
      </c>
      <c r="G227">
        <f t="shared" si="7"/>
        <v>0</v>
      </c>
    </row>
    <row r="228" spans="1:7">
      <c r="A228" s="1607" t="s">
        <v>529</v>
      </c>
      <c r="B228" s="1608"/>
      <c r="C228" s="1609">
        <v>127241303.03</v>
      </c>
      <c r="D228">
        <f>+IFERROR(VLOOKUP($A228,'TB Final'!$B:$H,7,0),0)</f>
        <v>0</v>
      </c>
      <c r="E228">
        <f>+IFERROR(VLOOKUP($A228,'TB Final'!$B:$H,10,0),0)</f>
        <v>0</v>
      </c>
      <c r="F228">
        <f t="shared" si="6"/>
        <v>0</v>
      </c>
      <c r="G228">
        <f t="shared" si="7"/>
        <v>127241303.03</v>
      </c>
    </row>
    <row r="229" spans="1:7">
      <c r="A229" s="1607" t="s">
        <v>279</v>
      </c>
      <c r="B229" s="1608"/>
      <c r="C229" s="1609">
        <v>9444000</v>
      </c>
      <c r="D229">
        <f>+IFERROR(VLOOKUP($A229,'TB Final'!$B:$H,7,0),0)</f>
        <v>0</v>
      </c>
      <c r="E229">
        <f>+IFERROR(VLOOKUP($A229,'TB Final'!$B:$H,10,0),0)</f>
        <v>0</v>
      </c>
      <c r="F229">
        <f t="shared" si="6"/>
        <v>0</v>
      </c>
      <c r="G229">
        <f t="shared" si="7"/>
        <v>9444000</v>
      </c>
    </row>
    <row r="230" spans="1:7">
      <c r="A230" s="1607" t="s">
        <v>530</v>
      </c>
      <c r="B230" s="1609">
        <v>1547993</v>
      </c>
      <c r="C230" s="1608"/>
      <c r="D230">
        <f>+IFERROR(VLOOKUP($A230,'TB Final'!$B:$H,7,0),0)</f>
        <v>1547993</v>
      </c>
      <c r="E230">
        <f>+IFERROR(VLOOKUP($A230,'TB Final'!$B:$H,10,0),0)</f>
        <v>0</v>
      </c>
      <c r="F230">
        <f t="shared" si="6"/>
        <v>0</v>
      </c>
      <c r="G230">
        <f t="shared" si="7"/>
        <v>0</v>
      </c>
    </row>
    <row r="231" spans="1:7">
      <c r="A231" s="1607" t="s">
        <v>281</v>
      </c>
      <c r="B231" s="1608"/>
      <c r="C231" s="1609">
        <v>5971965</v>
      </c>
      <c r="D231">
        <f>+IFERROR(VLOOKUP($A231,'TB Final'!$B:$H,7,0),0)</f>
        <v>0</v>
      </c>
      <c r="E231">
        <f>+IFERROR(VLOOKUP($A231,'TB Final'!$B:$H,10,0),0)</f>
        <v>0</v>
      </c>
      <c r="F231">
        <f t="shared" si="6"/>
        <v>0</v>
      </c>
      <c r="G231">
        <f t="shared" si="7"/>
        <v>5971965</v>
      </c>
    </row>
    <row r="232" spans="1:7">
      <c r="A232" s="1607" t="s">
        <v>282</v>
      </c>
      <c r="B232" s="1608"/>
      <c r="C232" s="1609">
        <v>10751251.5</v>
      </c>
      <c r="D232">
        <f>+IFERROR(VLOOKUP($A232,'TB Final'!$B:$H,7,0),0)</f>
        <v>0</v>
      </c>
      <c r="E232">
        <f>+IFERROR(VLOOKUP($A232,'TB Final'!$B:$H,10,0),0)</f>
        <v>0</v>
      </c>
      <c r="F232">
        <f t="shared" si="6"/>
        <v>0</v>
      </c>
      <c r="G232">
        <f t="shared" si="7"/>
        <v>10751251.5</v>
      </c>
    </row>
    <row r="233" spans="1:7">
      <c r="A233" s="1607" t="s">
        <v>531</v>
      </c>
      <c r="B233" s="1608"/>
      <c r="C233" s="1609">
        <v>816428.17</v>
      </c>
      <c r="D233">
        <f>+IFERROR(VLOOKUP($A233,'TB Final'!$B:$H,7,0),0)</f>
        <v>0</v>
      </c>
      <c r="E233">
        <f>+IFERROR(VLOOKUP($A233,'TB Final'!$B:$H,10,0),0)</f>
        <v>0</v>
      </c>
      <c r="F233">
        <f t="shared" si="6"/>
        <v>0</v>
      </c>
      <c r="G233">
        <f t="shared" si="7"/>
        <v>816428.17</v>
      </c>
    </row>
    <row r="234" spans="1:7">
      <c r="A234" s="1607" t="s">
        <v>532</v>
      </c>
      <c r="B234" s="1608"/>
      <c r="C234" s="1609">
        <v>24453697.91</v>
      </c>
      <c r="D234">
        <f>+IFERROR(VLOOKUP($A234,'TB Final'!$B:$H,7,0),0)</f>
        <v>0</v>
      </c>
      <c r="E234">
        <f>+IFERROR(VLOOKUP($A234,'TB Final'!$B:$H,10,0),0)</f>
        <v>0</v>
      </c>
      <c r="F234">
        <f t="shared" si="6"/>
        <v>0</v>
      </c>
      <c r="G234">
        <f t="shared" si="7"/>
        <v>24453697.91</v>
      </c>
    </row>
    <row r="235" spans="1:7">
      <c r="A235" s="1607" t="s">
        <v>284</v>
      </c>
      <c r="B235" s="1608"/>
      <c r="C235" s="1609">
        <v>379192</v>
      </c>
      <c r="D235">
        <f>+IFERROR(VLOOKUP($A235,'TB Final'!$B:$H,7,0),0)</f>
        <v>0</v>
      </c>
      <c r="E235">
        <f>+IFERROR(VLOOKUP($A235,'TB Final'!$B:$H,10,0),0)</f>
        <v>0</v>
      </c>
      <c r="F235">
        <f t="shared" si="6"/>
        <v>0</v>
      </c>
      <c r="G235">
        <f t="shared" si="7"/>
        <v>379192</v>
      </c>
    </row>
    <row r="236" spans="1:7">
      <c r="A236" s="1607" t="s">
        <v>533</v>
      </c>
      <c r="B236" s="1608"/>
      <c r="C236" s="1609">
        <v>1206540.8700000001</v>
      </c>
      <c r="D236">
        <f>+IFERROR(VLOOKUP($A236,'TB Final'!$B:$H,7,0),0)</f>
        <v>0</v>
      </c>
      <c r="E236">
        <f>+IFERROR(VLOOKUP($A236,'TB Final'!$B:$H,10,0),0)</f>
        <v>0</v>
      </c>
      <c r="F236">
        <f t="shared" si="6"/>
        <v>0</v>
      </c>
      <c r="G236">
        <f t="shared" si="7"/>
        <v>1206540.8700000001</v>
      </c>
    </row>
    <row r="237" spans="1:7">
      <c r="A237" s="1607" t="s">
        <v>534</v>
      </c>
      <c r="B237" s="1608"/>
      <c r="C237" s="1609">
        <v>881978.7</v>
      </c>
      <c r="D237">
        <f>+IFERROR(VLOOKUP($A237,'TB Final'!$B:$H,7,0),0)</f>
        <v>0</v>
      </c>
      <c r="E237">
        <f>+IFERROR(VLOOKUP($A237,'TB Final'!$B:$H,10,0),0)</f>
        <v>0</v>
      </c>
      <c r="F237">
        <f t="shared" si="6"/>
        <v>0</v>
      </c>
      <c r="G237">
        <f t="shared" si="7"/>
        <v>881978.7</v>
      </c>
    </row>
    <row r="238" spans="1:7">
      <c r="A238" s="1607" t="s">
        <v>535</v>
      </c>
      <c r="B238" s="1608"/>
      <c r="C238" s="1609">
        <v>141560212.91</v>
      </c>
      <c r="D238">
        <f>+IFERROR(VLOOKUP($A238,'TB Final'!$B:$H,7,0),0)</f>
        <v>0</v>
      </c>
      <c r="E238">
        <f>+IFERROR(VLOOKUP($A238,'TB Final'!$B:$H,10,0),0)</f>
        <v>0</v>
      </c>
      <c r="F238">
        <f t="shared" si="6"/>
        <v>0</v>
      </c>
      <c r="G238">
        <f t="shared" si="7"/>
        <v>141560212.91</v>
      </c>
    </row>
    <row r="239" spans="1:7">
      <c r="A239" s="1607" t="s">
        <v>536</v>
      </c>
      <c r="B239" s="1608"/>
      <c r="C239" s="1609">
        <v>1588534</v>
      </c>
      <c r="D239">
        <f>+IFERROR(VLOOKUP($A239,'TB Final'!$B:$H,7,0),0)</f>
        <v>0</v>
      </c>
      <c r="E239">
        <f>+IFERROR(VLOOKUP($A239,'TB Final'!$B:$H,10,0),0)</f>
        <v>0</v>
      </c>
      <c r="F239">
        <f t="shared" si="6"/>
        <v>0</v>
      </c>
      <c r="G239">
        <f t="shared" si="7"/>
        <v>1588534</v>
      </c>
    </row>
    <row r="240" spans="1:7">
      <c r="A240" s="1607" t="s">
        <v>288</v>
      </c>
      <c r="B240" s="1609">
        <v>122153</v>
      </c>
      <c r="C240" s="1608"/>
      <c r="D240">
        <f>+IFERROR(VLOOKUP($A240,'TB Final'!$B:$H,7,0),0)</f>
        <v>122153</v>
      </c>
      <c r="E240">
        <f>+IFERROR(VLOOKUP($A240,'TB Final'!$B:$H,10,0),0)</f>
        <v>0</v>
      </c>
      <c r="F240">
        <f t="shared" si="6"/>
        <v>0</v>
      </c>
      <c r="G240">
        <f t="shared" si="7"/>
        <v>0</v>
      </c>
    </row>
    <row r="241" spans="1:7">
      <c r="A241" s="1607" t="s">
        <v>291</v>
      </c>
      <c r="B241" s="1609">
        <v>271788</v>
      </c>
      <c r="C241" s="1608"/>
      <c r="D241">
        <f>+IFERROR(VLOOKUP($A241,'TB Final'!$B:$H,7,0),0)</f>
        <v>271788</v>
      </c>
      <c r="E241">
        <f>+IFERROR(VLOOKUP($A241,'TB Final'!$B:$H,10,0),0)</f>
        <v>0</v>
      </c>
      <c r="F241">
        <f t="shared" si="6"/>
        <v>0</v>
      </c>
      <c r="G241">
        <f t="shared" si="7"/>
        <v>0</v>
      </c>
    </row>
    <row r="242" spans="1:7">
      <c r="A242" s="1607" t="s">
        <v>290</v>
      </c>
      <c r="B242" s="1609">
        <v>139678</v>
      </c>
      <c r="C242" s="1608"/>
      <c r="D242">
        <f>+IFERROR(VLOOKUP($A242,'TB Final'!$B:$H,7,0),0)</f>
        <v>139678</v>
      </c>
      <c r="E242">
        <f>+IFERROR(VLOOKUP($A242,'TB Final'!$B:$H,10,0),0)</f>
        <v>0</v>
      </c>
      <c r="F242">
        <f t="shared" si="6"/>
        <v>0</v>
      </c>
      <c r="G242">
        <f t="shared" si="7"/>
        <v>0</v>
      </c>
    </row>
    <row r="243" spans="1:7">
      <c r="A243" s="1607" t="s">
        <v>285</v>
      </c>
      <c r="B243" s="1609">
        <v>34285</v>
      </c>
      <c r="C243" s="1608"/>
      <c r="D243">
        <f>+IFERROR(VLOOKUP($A243,'TB Final'!$B:$H,7,0),0)</f>
        <v>34285</v>
      </c>
      <c r="E243">
        <f>+IFERROR(VLOOKUP($A243,'TB Final'!$B:$H,10,0),0)</f>
        <v>0</v>
      </c>
      <c r="F243">
        <f t="shared" si="6"/>
        <v>0</v>
      </c>
      <c r="G243">
        <f t="shared" si="7"/>
        <v>0</v>
      </c>
    </row>
    <row r="244" spans="1:7">
      <c r="A244" s="1607" t="s">
        <v>537</v>
      </c>
      <c r="B244" s="1608"/>
      <c r="C244" s="1609">
        <v>3020979.7</v>
      </c>
      <c r="D244">
        <f>+IFERROR(VLOOKUP($A244,'TB Final'!$B:$H,7,0),0)</f>
        <v>0</v>
      </c>
      <c r="E244">
        <f>+IFERROR(VLOOKUP($A244,'TB Final'!$B:$H,10,0),0)</f>
        <v>0</v>
      </c>
      <c r="F244">
        <f t="shared" si="6"/>
        <v>0</v>
      </c>
      <c r="G244">
        <f t="shared" si="7"/>
        <v>3020979.7</v>
      </c>
    </row>
    <row r="245" spans="1:7">
      <c r="A245" s="1607" t="s">
        <v>292</v>
      </c>
      <c r="B245" s="1609">
        <v>11114075</v>
      </c>
      <c r="C245" s="1608"/>
      <c r="D245">
        <f>+IFERROR(VLOOKUP($A245,'TB Final'!$B:$H,7,0),0)</f>
        <v>11114075</v>
      </c>
      <c r="E245">
        <f>+IFERROR(VLOOKUP($A245,'TB Final'!$B:$H,10,0),0)</f>
        <v>0</v>
      </c>
      <c r="F245">
        <f t="shared" si="6"/>
        <v>0</v>
      </c>
      <c r="G245">
        <f t="shared" si="7"/>
        <v>0</v>
      </c>
    </row>
    <row r="246" spans="1:7">
      <c r="A246" s="1607" t="s">
        <v>2981</v>
      </c>
      <c r="B246" s="1608"/>
      <c r="C246" s="1609">
        <v>39629</v>
      </c>
      <c r="D246">
        <f>+IFERROR(VLOOKUP($A246,'TB Final'!$B:$H,7,0),0)</f>
        <v>0</v>
      </c>
      <c r="E246">
        <f>+IFERROR(VLOOKUP($A246,'TB Final'!$B:$H,10,0),0)</f>
        <v>0</v>
      </c>
      <c r="F246">
        <f t="shared" si="6"/>
        <v>0</v>
      </c>
      <c r="G246">
        <f t="shared" si="7"/>
        <v>39629</v>
      </c>
    </row>
    <row r="247" spans="1:7">
      <c r="A247" s="1607" t="s">
        <v>538</v>
      </c>
      <c r="B247" s="1608"/>
      <c r="C247" s="1609">
        <v>570460</v>
      </c>
      <c r="D247">
        <f>+IFERROR(VLOOKUP($A247,'TB Final'!$B:$H,7,0),0)</f>
        <v>0</v>
      </c>
      <c r="E247">
        <f>+IFERROR(VLOOKUP($A247,'TB Final'!$B:$H,10,0),0)</f>
        <v>0</v>
      </c>
      <c r="F247">
        <f t="shared" si="6"/>
        <v>0</v>
      </c>
      <c r="G247">
        <f t="shared" si="7"/>
        <v>570460</v>
      </c>
    </row>
    <row r="248" spans="1:7">
      <c r="A248" s="1607" t="s">
        <v>293</v>
      </c>
      <c r="B248" s="1609">
        <v>248584</v>
      </c>
      <c r="C248" s="1608"/>
      <c r="D248">
        <f>+IFERROR(VLOOKUP($A248,'TB Final'!$B:$H,7,0),0)</f>
        <v>248584</v>
      </c>
      <c r="E248">
        <f>+IFERROR(VLOOKUP($A248,'TB Final'!$B:$H,10,0),0)</f>
        <v>0</v>
      </c>
      <c r="F248">
        <f t="shared" si="6"/>
        <v>0</v>
      </c>
      <c r="G248">
        <f t="shared" si="7"/>
        <v>0</v>
      </c>
    </row>
    <row r="249" spans="1:7">
      <c r="A249" s="1607" t="s">
        <v>294</v>
      </c>
      <c r="B249" s="1609">
        <v>8366598</v>
      </c>
      <c r="C249" s="1608"/>
      <c r="D249">
        <f>+IFERROR(VLOOKUP($A249,'TB Final'!$B:$H,7,0),0)</f>
        <v>8366598</v>
      </c>
      <c r="E249">
        <f>+IFERROR(VLOOKUP($A249,'TB Final'!$B:$H,10,0),0)</f>
        <v>0</v>
      </c>
      <c r="F249">
        <f t="shared" si="6"/>
        <v>0</v>
      </c>
      <c r="G249">
        <f t="shared" si="7"/>
        <v>0</v>
      </c>
    </row>
    <row r="250" spans="1:7">
      <c r="A250" s="1607" t="s">
        <v>295</v>
      </c>
      <c r="B250" s="1609">
        <v>210</v>
      </c>
      <c r="C250" s="1608"/>
      <c r="D250">
        <f>+IFERROR(VLOOKUP($A250,'TB Final'!$B:$H,7,0),0)</f>
        <v>210</v>
      </c>
      <c r="E250">
        <f>+IFERROR(VLOOKUP($A250,'TB Final'!$B:$H,10,0),0)</f>
        <v>0</v>
      </c>
      <c r="F250">
        <f t="shared" si="6"/>
        <v>0</v>
      </c>
      <c r="G250">
        <f t="shared" si="7"/>
        <v>0</v>
      </c>
    </row>
    <row r="251" spans="1:7">
      <c r="A251" s="1607" t="s">
        <v>540</v>
      </c>
      <c r="B251" s="1609">
        <v>11174515.4</v>
      </c>
      <c r="C251" s="1608"/>
      <c r="D251">
        <f>+IFERROR(VLOOKUP($A251,'TB Final'!$B:$H,7,0),0)</f>
        <v>11174515.4</v>
      </c>
      <c r="E251">
        <f>+IFERROR(VLOOKUP($A251,'TB Final'!$B:$H,10,0),0)</f>
        <v>0</v>
      </c>
      <c r="F251">
        <f t="shared" si="6"/>
        <v>0</v>
      </c>
      <c r="G251">
        <f t="shared" si="7"/>
        <v>0</v>
      </c>
    </row>
    <row r="252" spans="1:7">
      <c r="A252" s="1607" t="s">
        <v>2982</v>
      </c>
      <c r="B252" s="1609">
        <v>11449790</v>
      </c>
      <c r="C252" s="1608"/>
      <c r="D252">
        <f>+IFERROR(VLOOKUP($A252,'TB Final'!$B:$H,7,0),0)</f>
        <v>11449790</v>
      </c>
      <c r="E252">
        <f>+IFERROR(VLOOKUP($A252,'TB Final'!$B:$H,10,0),0)</f>
        <v>0</v>
      </c>
      <c r="F252">
        <f t="shared" si="6"/>
        <v>0</v>
      </c>
      <c r="G252">
        <f t="shared" si="7"/>
        <v>0</v>
      </c>
    </row>
    <row r="253" spans="1:7">
      <c r="A253" s="1607" t="s">
        <v>2983</v>
      </c>
      <c r="B253" s="1608"/>
      <c r="C253" s="1609">
        <v>328373</v>
      </c>
      <c r="D253">
        <f>+IFERROR(VLOOKUP($A253,'TB Final'!$B:$H,7,0),0)</f>
        <v>0</v>
      </c>
      <c r="E253">
        <f>+IFERROR(VLOOKUP($A253,'TB Final'!$B:$H,10,0),0)</f>
        <v>0</v>
      </c>
      <c r="F253">
        <f t="shared" si="6"/>
        <v>0</v>
      </c>
      <c r="G253">
        <f t="shared" si="7"/>
        <v>328373</v>
      </c>
    </row>
    <row r="254" spans="1:7">
      <c r="A254" s="1607" t="s">
        <v>301</v>
      </c>
      <c r="B254" s="1608"/>
      <c r="C254" s="1609">
        <v>3493498</v>
      </c>
      <c r="D254">
        <f>+IFERROR(VLOOKUP($A254,'TB Final'!$B:$H,7,0),0)</f>
        <v>0</v>
      </c>
      <c r="E254">
        <f>+IFERROR(VLOOKUP($A254,'TB Final'!$B:$H,10,0),0)</f>
        <v>0</v>
      </c>
      <c r="F254">
        <f t="shared" si="6"/>
        <v>0</v>
      </c>
      <c r="G254">
        <f t="shared" si="7"/>
        <v>3493498</v>
      </c>
    </row>
    <row r="255" spans="1:7">
      <c r="A255" s="1607" t="s">
        <v>2984</v>
      </c>
      <c r="B255" s="1609">
        <v>846</v>
      </c>
      <c r="C255" s="1608"/>
      <c r="D255">
        <f>+IFERROR(VLOOKUP($A255,'TB Final'!$B:$H,7,0),0)</f>
        <v>846</v>
      </c>
      <c r="E255">
        <f>+IFERROR(VLOOKUP($A255,'TB Final'!$B:$H,10,0),0)</f>
        <v>0</v>
      </c>
      <c r="F255">
        <f t="shared" si="6"/>
        <v>0</v>
      </c>
      <c r="G255">
        <f t="shared" si="7"/>
        <v>0</v>
      </c>
    </row>
    <row r="256" spans="1:7">
      <c r="A256" s="1607" t="s">
        <v>82</v>
      </c>
      <c r="B256" s="1609">
        <v>248399</v>
      </c>
      <c r="C256" s="1608"/>
      <c r="D256">
        <f>+IFERROR(VLOOKUP($A256,'TB Final'!$B:$H,7,0),0)</f>
        <v>248399</v>
      </c>
      <c r="E256">
        <f>+IFERROR(VLOOKUP($A256,'TB Final'!$B:$H,10,0),0)</f>
        <v>0</v>
      </c>
      <c r="F256">
        <f t="shared" si="6"/>
        <v>0</v>
      </c>
      <c r="G256">
        <f t="shared" si="7"/>
        <v>0</v>
      </c>
    </row>
    <row r="257" spans="1:7">
      <c r="A257" s="1607" t="s">
        <v>2565</v>
      </c>
      <c r="B257" s="1609">
        <v>15000</v>
      </c>
      <c r="C257" s="1608"/>
      <c r="D257">
        <f>+IFERROR(VLOOKUP($A257,'TB Final'!$B:$H,7,0),0)</f>
        <v>15000</v>
      </c>
      <c r="E257">
        <f>+IFERROR(VLOOKUP($A257,'TB Final'!$B:$H,10,0),0)</f>
        <v>0</v>
      </c>
      <c r="F257">
        <f t="shared" si="6"/>
        <v>0</v>
      </c>
      <c r="G257">
        <f t="shared" si="7"/>
        <v>0</v>
      </c>
    </row>
    <row r="258" spans="1:7">
      <c r="A258" s="1607" t="s">
        <v>303</v>
      </c>
      <c r="B258" s="1609">
        <v>3685087.84</v>
      </c>
      <c r="C258" s="1608"/>
      <c r="D258">
        <f>+IFERROR(VLOOKUP($A258,'TB Final'!$B:$H,7,0),0)</f>
        <v>3685087.84</v>
      </c>
      <c r="E258">
        <f>+IFERROR(VLOOKUP($A258,'TB Final'!$B:$H,10,0),0)</f>
        <v>0</v>
      </c>
      <c r="F258">
        <f t="shared" si="6"/>
        <v>0</v>
      </c>
      <c r="G258">
        <f t="shared" si="7"/>
        <v>0</v>
      </c>
    </row>
    <row r="259" spans="1:7">
      <c r="A259" s="1607" t="s">
        <v>299</v>
      </c>
      <c r="B259" s="1609">
        <v>1924603.5</v>
      </c>
      <c r="C259" s="1608"/>
      <c r="D259">
        <f>+IFERROR(VLOOKUP($A259,'TB Final'!$B:$H,7,0),0)</f>
        <v>1924603.5</v>
      </c>
      <c r="E259">
        <f>+IFERROR(VLOOKUP($A259,'TB Final'!$B:$H,10,0),0)</f>
        <v>0</v>
      </c>
      <c r="F259">
        <f t="shared" si="6"/>
        <v>0</v>
      </c>
      <c r="G259">
        <f t="shared" si="7"/>
        <v>0</v>
      </c>
    </row>
    <row r="260" spans="1:7">
      <c r="A260" s="1607" t="s">
        <v>304</v>
      </c>
      <c r="B260" s="1608"/>
      <c r="C260" s="1609">
        <v>29783</v>
      </c>
      <c r="D260">
        <f>+IFERROR(VLOOKUP($A260,'TB Final'!$B:$H,7,0),0)</f>
        <v>0</v>
      </c>
      <c r="E260">
        <f>+IFERROR(VLOOKUP($A260,'TB Final'!$B:$H,10,0),0)</f>
        <v>0</v>
      </c>
      <c r="F260">
        <f t="shared" si="6"/>
        <v>0</v>
      </c>
      <c r="G260">
        <f t="shared" si="7"/>
        <v>29783</v>
      </c>
    </row>
    <row r="261" spans="1:7">
      <c r="A261" s="1607" t="s">
        <v>305</v>
      </c>
      <c r="B261" s="1608"/>
      <c r="C261" s="1609">
        <v>27120</v>
      </c>
      <c r="D261">
        <f>+IFERROR(VLOOKUP($A261,'TB Final'!$B:$H,7,0),0)</f>
        <v>0</v>
      </c>
      <c r="E261">
        <f>+IFERROR(VLOOKUP($A261,'TB Final'!$B:$H,10,0),0)</f>
        <v>0</v>
      </c>
      <c r="F261">
        <f t="shared" si="6"/>
        <v>0</v>
      </c>
      <c r="G261">
        <f t="shared" si="7"/>
        <v>27120</v>
      </c>
    </row>
    <row r="262" spans="1:7">
      <c r="A262" s="1607" t="s">
        <v>306</v>
      </c>
      <c r="B262" s="1608"/>
      <c r="C262" s="1609">
        <v>29783</v>
      </c>
      <c r="D262">
        <f>+IFERROR(VLOOKUP($A262,'TB Final'!$B:$H,7,0),0)</f>
        <v>0</v>
      </c>
      <c r="E262">
        <f>+IFERROR(VLOOKUP($A262,'TB Final'!$B:$H,10,0),0)</f>
        <v>0</v>
      </c>
      <c r="F262">
        <f t="shared" si="6"/>
        <v>0</v>
      </c>
      <c r="G262">
        <f t="shared" si="7"/>
        <v>29783</v>
      </c>
    </row>
    <row r="263" spans="1:7">
      <c r="A263" s="1607" t="s">
        <v>909</v>
      </c>
      <c r="B263" s="1608"/>
      <c r="C263" s="1609">
        <v>160600</v>
      </c>
      <c r="D263">
        <f>+IFERROR(VLOOKUP($A263,'TB Final'!$B:$H,7,0),0)</f>
        <v>0</v>
      </c>
      <c r="E263">
        <f>+IFERROR(VLOOKUP($A263,'TB Final'!$B:$H,10,0),0)</f>
        <v>0</v>
      </c>
      <c r="F263">
        <f t="shared" si="6"/>
        <v>0</v>
      </c>
      <c r="G263">
        <f t="shared" si="7"/>
        <v>160600</v>
      </c>
    </row>
    <row r="264" spans="1:7">
      <c r="A264" s="1607" t="s">
        <v>545</v>
      </c>
      <c r="B264" s="1609">
        <v>1916000</v>
      </c>
      <c r="C264" s="1608"/>
      <c r="D264">
        <f>+IFERROR(VLOOKUP($A264,'TB Final'!$B:$H,7,0),0)</f>
        <v>1916000</v>
      </c>
      <c r="E264">
        <f>+IFERROR(VLOOKUP($A264,'TB Final'!$B:$H,10,0),0)</f>
        <v>0</v>
      </c>
      <c r="F264">
        <f t="shared" si="6"/>
        <v>0</v>
      </c>
      <c r="G264">
        <f t="shared" si="7"/>
        <v>0</v>
      </c>
    </row>
    <row r="265" spans="1:7">
      <c r="A265" s="1607" t="s">
        <v>309</v>
      </c>
      <c r="B265" s="1609">
        <v>400168</v>
      </c>
      <c r="C265" s="1608"/>
      <c r="D265">
        <f>+IFERROR(VLOOKUP($A265,'TB Final'!$B:$H,7,0),0)</f>
        <v>400168</v>
      </c>
      <c r="E265">
        <f>+IFERROR(VLOOKUP($A265,'TB Final'!$B:$H,10,0),0)</f>
        <v>0</v>
      </c>
      <c r="F265">
        <f t="shared" si="6"/>
        <v>0</v>
      </c>
      <c r="G265">
        <f t="shared" si="7"/>
        <v>0</v>
      </c>
    </row>
    <row r="266" spans="1:7">
      <c r="A266" s="1607" t="s">
        <v>2985</v>
      </c>
      <c r="B266" s="1609">
        <v>51534</v>
      </c>
      <c r="C266" s="1608"/>
      <c r="D266">
        <f>+IFERROR(VLOOKUP($A266,'TB Final'!$B:$H,7,0),0)</f>
        <v>51534</v>
      </c>
      <c r="E266">
        <f>+IFERROR(VLOOKUP($A266,'TB Final'!$B:$H,10,0),0)</f>
        <v>0</v>
      </c>
      <c r="F266">
        <f t="shared" si="6"/>
        <v>0</v>
      </c>
      <c r="G266">
        <f t="shared" si="7"/>
        <v>0</v>
      </c>
    </row>
    <row r="267" spans="1:7">
      <c r="A267" s="1607" t="s">
        <v>311</v>
      </c>
      <c r="B267" s="1609">
        <v>357129.36</v>
      </c>
      <c r="C267" s="1608"/>
      <c r="D267">
        <f>+IFERROR(VLOOKUP($A267,'TB Final'!$B:$H,7,0),0)</f>
        <v>357129.36</v>
      </c>
      <c r="E267">
        <f>+IFERROR(VLOOKUP($A267,'TB Final'!$B:$H,10,0),0)</f>
        <v>0</v>
      </c>
      <c r="F267">
        <f t="shared" si="6"/>
        <v>0</v>
      </c>
      <c r="G267">
        <f t="shared" si="7"/>
        <v>0</v>
      </c>
    </row>
    <row r="268" spans="1:7">
      <c r="A268" s="1607" t="s">
        <v>546</v>
      </c>
      <c r="B268" s="1609">
        <v>263090.43</v>
      </c>
      <c r="C268" s="1608"/>
      <c r="D268">
        <f>+IFERROR(VLOOKUP($A268,'TB Final'!$B:$H,7,0),0)</f>
        <v>263090.43</v>
      </c>
      <c r="E268">
        <f>+IFERROR(VLOOKUP($A268,'TB Final'!$B:$H,10,0),0)</f>
        <v>0</v>
      </c>
      <c r="F268">
        <f t="shared" si="6"/>
        <v>0</v>
      </c>
      <c r="G268">
        <f t="shared" si="7"/>
        <v>0</v>
      </c>
    </row>
    <row r="269" spans="1:7">
      <c r="A269" s="1607" t="s">
        <v>2986</v>
      </c>
      <c r="B269" s="1609">
        <v>58000</v>
      </c>
      <c r="C269" s="1608"/>
      <c r="D269">
        <f>+IFERROR(VLOOKUP($A269,'TB Final'!$B:$H,7,0),0)</f>
        <v>58000</v>
      </c>
      <c r="E269">
        <f>+IFERROR(VLOOKUP($A269,'TB Final'!$B:$H,10,0),0)</f>
        <v>0</v>
      </c>
      <c r="F269">
        <f t="shared" ref="F269:F332" si="8">+B269-D269</f>
        <v>0</v>
      </c>
      <c r="G269">
        <f t="shared" ref="G269:G332" si="9">+C269-E269</f>
        <v>0</v>
      </c>
    </row>
    <row r="270" spans="1:7">
      <c r="A270" s="1607" t="s">
        <v>312</v>
      </c>
      <c r="B270" s="1608"/>
      <c r="C270" s="1609">
        <v>50905004</v>
      </c>
      <c r="D270">
        <f>+IFERROR(VLOOKUP($A270,'TB Final'!$B:$H,7,0),0)</f>
        <v>0</v>
      </c>
      <c r="E270">
        <f>+IFERROR(VLOOKUP($A270,'TB Final'!$B:$H,10,0),0)</f>
        <v>0</v>
      </c>
      <c r="F270">
        <f t="shared" si="8"/>
        <v>0</v>
      </c>
      <c r="G270">
        <f t="shared" si="9"/>
        <v>50905004</v>
      </c>
    </row>
    <row r="271" spans="1:7">
      <c r="A271" s="1607" t="s">
        <v>3064</v>
      </c>
      <c r="B271" s="1608"/>
      <c r="C271" s="1609">
        <v>77396</v>
      </c>
      <c r="D271">
        <f>+IFERROR(VLOOKUP($A271,'TB Final'!$B:$H,7,0),0)</f>
        <v>0</v>
      </c>
      <c r="E271">
        <f>+IFERROR(VLOOKUP($A271,'TB Final'!$B:$H,10,0),0)</f>
        <v>0</v>
      </c>
      <c r="F271">
        <f t="shared" si="8"/>
        <v>0</v>
      </c>
      <c r="G271">
        <f t="shared" si="9"/>
        <v>77396</v>
      </c>
    </row>
    <row r="272" spans="1:7">
      <c r="A272" s="1607" t="s">
        <v>549</v>
      </c>
      <c r="B272" s="1608"/>
      <c r="C272" s="1609">
        <v>54000</v>
      </c>
      <c r="D272">
        <f>+IFERROR(VLOOKUP($A272,'TB Final'!$B:$H,7,0),0)</f>
        <v>0</v>
      </c>
      <c r="E272">
        <f>+IFERROR(VLOOKUP($A272,'TB Final'!$B:$H,10,0),0)</f>
        <v>0</v>
      </c>
      <c r="F272">
        <f t="shared" si="8"/>
        <v>0</v>
      </c>
      <c r="G272">
        <f t="shared" si="9"/>
        <v>54000</v>
      </c>
    </row>
    <row r="273" spans="1:7">
      <c r="A273" s="1607" t="s">
        <v>313</v>
      </c>
      <c r="B273" s="1609">
        <v>4800</v>
      </c>
      <c r="C273" s="1608"/>
      <c r="D273">
        <f>+IFERROR(VLOOKUP($A273,'TB Final'!$B:$H,7,0),0)</f>
        <v>4800</v>
      </c>
      <c r="E273">
        <f>+IFERROR(VLOOKUP($A273,'TB Final'!$B:$H,10,0),0)</f>
        <v>0</v>
      </c>
      <c r="F273">
        <f t="shared" si="8"/>
        <v>0</v>
      </c>
      <c r="G273">
        <f t="shared" si="9"/>
        <v>0</v>
      </c>
    </row>
    <row r="274" spans="1:7">
      <c r="A274" s="1607" t="s">
        <v>405</v>
      </c>
      <c r="B274" s="1609">
        <v>221984</v>
      </c>
      <c r="C274" s="1608"/>
      <c r="D274">
        <f>+IFERROR(VLOOKUP($A274,'TB Final'!$B:$H,7,0),0)</f>
        <v>221984</v>
      </c>
      <c r="E274">
        <f>+IFERROR(VLOOKUP($A274,'TB Final'!$B:$H,10,0),0)</f>
        <v>0</v>
      </c>
      <c r="F274">
        <f t="shared" si="8"/>
        <v>0</v>
      </c>
      <c r="G274">
        <f t="shared" si="9"/>
        <v>0</v>
      </c>
    </row>
    <row r="275" spans="1:7">
      <c r="A275" s="1607" t="s">
        <v>314</v>
      </c>
      <c r="B275" s="1608"/>
      <c r="C275" s="1609">
        <v>3110810</v>
      </c>
      <c r="D275">
        <f>+IFERROR(VLOOKUP($A275,'TB Final'!$B:$H,7,0),0)</f>
        <v>0</v>
      </c>
      <c r="E275">
        <f>+IFERROR(VLOOKUP($A275,'TB Final'!$B:$H,10,0),0)</f>
        <v>0</v>
      </c>
      <c r="F275">
        <f t="shared" si="8"/>
        <v>0</v>
      </c>
      <c r="G275">
        <f t="shared" si="9"/>
        <v>3110810</v>
      </c>
    </row>
    <row r="276" spans="1:7">
      <c r="A276" s="1607" t="s">
        <v>315</v>
      </c>
      <c r="B276" s="1608"/>
      <c r="C276" s="1609">
        <v>245.71</v>
      </c>
      <c r="D276">
        <f>+IFERROR(VLOOKUP($A276,'TB Final'!$B:$H,7,0),0)</f>
        <v>0</v>
      </c>
      <c r="E276">
        <f>+IFERROR(VLOOKUP($A276,'TB Final'!$B:$H,10,0),0)</f>
        <v>0</v>
      </c>
      <c r="F276">
        <f t="shared" si="8"/>
        <v>0</v>
      </c>
      <c r="G276">
        <f t="shared" si="9"/>
        <v>245.71</v>
      </c>
    </row>
    <row r="277" spans="1:7">
      <c r="A277" s="1607" t="s">
        <v>407</v>
      </c>
      <c r="B277" s="1609">
        <v>15353091</v>
      </c>
      <c r="C277" s="1608"/>
      <c r="D277">
        <f>+IFERROR(VLOOKUP($A277,'TB Final'!$B:$H,7,0),0)</f>
        <v>15353091</v>
      </c>
      <c r="E277">
        <f>+IFERROR(VLOOKUP($A277,'TB Final'!$B:$H,10,0),0)</f>
        <v>0</v>
      </c>
      <c r="F277">
        <f t="shared" si="8"/>
        <v>0</v>
      </c>
      <c r="G277">
        <f t="shared" si="9"/>
        <v>0</v>
      </c>
    </row>
    <row r="278" spans="1:7">
      <c r="A278" s="1607" t="s">
        <v>550</v>
      </c>
      <c r="B278" s="1609">
        <v>231709</v>
      </c>
      <c r="C278" s="1608"/>
      <c r="D278">
        <f>+IFERROR(VLOOKUP($A278,'TB Final'!$B:$H,7,0),0)</f>
        <v>231709</v>
      </c>
      <c r="E278">
        <f>+IFERROR(VLOOKUP($A278,'TB Final'!$B:$H,10,0),0)</f>
        <v>0</v>
      </c>
      <c r="F278">
        <f t="shared" si="8"/>
        <v>0</v>
      </c>
      <c r="G278">
        <f t="shared" si="9"/>
        <v>0</v>
      </c>
    </row>
    <row r="279" spans="1:7">
      <c r="A279" s="1607" t="s">
        <v>320</v>
      </c>
      <c r="B279" s="1608"/>
      <c r="C279" s="1609">
        <v>2400131</v>
      </c>
      <c r="D279">
        <f>+IFERROR(VLOOKUP($A279,'TB Final'!$B:$H,7,0),0)</f>
        <v>0</v>
      </c>
      <c r="E279">
        <f>+IFERROR(VLOOKUP($A279,'TB Final'!$B:$H,10,0),0)</f>
        <v>0</v>
      </c>
      <c r="F279">
        <f t="shared" si="8"/>
        <v>0</v>
      </c>
      <c r="G279">
        <f t="shared" si="9"/>
        <v>2400131</v>
      </c>
    </row>
    <row r="280" spans="1:7">
      <c r="A280" s="1607" t="s">
        <v>321</v>
      </c>
      <c r="B280" s="1608"/>
      <c r="C280" s="1609">
        <v>1508372</v>
      </c>
      <c r="D280">
        <f>+IFERROR(VLOOKUP($A280,'TB Final'!$B:$H,7,0),0)</f>
        <v>0</v>
      </c>
      <c r="E280">
        <f>+IFERROR(VLOOKUP($A280,'TB Final'!$B:$H,10,0),0)</f>
        <v>0</v>
      </c>
      <c r="F280">
        <f t="shared" si="8"/>
        <v>0</v>
      </c>
      <c r="G280">
        <f t="shared" si="9"/>
        <v>1508372</v>
      </c>
    </row>
    <row r="281" spans="1:7">
      <c r="A281" s="1607" t="s">
        <v>323</v>
      </c>
      <c r="B281" s="1609">
        <v>252000</v>
      </c>
      <c r="C281" s="1608"/>
      <c r="D281">
        <f>+IFERROR(VLOOKUP($A281,'TB Final'!$B:$H,7,0),0)</f>
        <v>252000</v>
      </c>
      <c r="E281">
        <f>+IFERROR(VLOOKUP($A281,'TB Final'!$B:$H,10,0),0)</f>
        <v>0</v>
      </c>
      <c r="F281">
        <f t="shared" si="8"/>
        <v>0</v>
      </c>
      <c r="G281">
        <f t="shared" si="9"/>
        <v>0</v>
      </c>
    </row>
    <row r="282" spans="1:7">
      <c r="A282" s="1607" t="s">
        <v>552</v>
      </c>
      <c r="B282" s="1609">
        <v>1930419</v>
      </c>
      <c r="C282" s="1608"/>
      <c r="D282">
        <f>+IFERROR(VLOOKUP($A282,'TB Final'!$B:$H,7,0),0)</f>
        <v>1930419</v>
      </c>
      <c r="E282">
        <f>+IFERROR(VLOOKUP($A282,'TB Final'!$B:$H,10,0),0)</f>
        <v>0</v>
      </c>
      <c r="F282">
        <f t="shared" si="8"/>
        <v>0</v>
      </c>
      <c r="G282">
        <f t="shared" si="9"/>
        <v>0</v>
      </c>
    </row>
    <row r="283" spans="1:7">
      <c r="A283" s="1607" t="s">
        <v>553</v>
      </c>
      <c r="B283" s="1609">
        <v>2844200</v>
      </c>
      <c r="C283" s="1608"/>
      <c r="D283">
        <f>+IFERROR(VLOOKUP($A283,'TB Final'!$B:$H,7,0),0)</f>
        <v>2844200</v>
      </c>
      <c r="E283">
        <f>+IFERROR(VLOOKUP($A283,'TB Final'!$B:$H,10,0),0)</f>
        <v>0</v>
      </c>
      <c r="F283">
        <f t="shared" si="8"/>
        <v>0</v>
      </c>
      <c r="G283">
        <f t="shared" si="9"/>
        <v>0</v>
      </c>
    </row>
    <row r="284" spans="1:7">
      <c r="A284" s="1607" t="s">
        <v>554</v>
      </c>
      <c r="B284" s="1609">
        <v>9905920</v>
      </c>
      <c r="C284" s="1608"/>
      <c r="D284">
        <f>+IFERROR(VLOOKUP($A284,'TB Final'!$B:$H,7,0),0)</f>
        <v>9905920</v>
      </c>
      <c r="E284">
        <f>+IFERROR(VLOOKUP($A284,'TB Final'!$B:$H,10,0),0)</f>
        <v>0</v>
      </c>
      <c r="F284">
        <f t="shared" si="8"/>
        <v>0</v>
      </c>
      <c r="G284">
        <f t="shared" si="9"/>
        <v>0</v>
      </c>
    </row>
    <row r="285" spans="1:7">
      <c r="A285" s="1607" t="s">
        <v>2987</v>
      </c>
      <c r="B285" s="1608"/>
      <c r="C285" s="1609">
        <v>1300144</v>
      </c>
      <c r="D285">
        <f>+IFERROR(VLOOKUP($A285,'TB Final'!$B:$H,7,0),0)</f>
        <v>0</v>
      </c>
      <c r="E285">
        <f>+IFERROR(VLOOKUP($A285,'TB Final'!$B:$H,10,0),0)</f>
        <v>0</v>
      </c>
      <c r="F285">
        <f t="shared" si="8"/>
        <v>0</v>
      </c>
      <c r="G285">
        <f t="shared" si="9"/>
        <v>1300144</v>
      </c>
    </row>
    <row r="286" spans="1:7">
      <c r="A286" s="1607" t="s">
        <v>324</v>
      </c>
      <c r="B286" s="1608"/>
      <c r="C286" s="1609">
        <v>512311311.10000002</v>
      </c>
      <c r="D286">
        <f>+IFERROR(VLOOKUP($A286,'TB Final'!$B:$H,7,0),0)</f>
        <v>0</v>
      </c>
      <c r="E286">
        <f>+IFERROR(VLOOKUP($A286,'TB Final'!$B:$H,10,0),0)</f>
        <v>0</v>
      </c>
      <c r="F286">
        <f t="shared" si="8"/>
        <v>0</v>
      </c>
      <c r="G286">
        <f t="shared" si="9"/>
        <v>512311311.10000002</v>
      </c>
    </row>
    <row r="287" spans="1:7">
      <c r="A287" s="1607" t="s">
        <v>145</v>
      </c>
      <c r="B287" s="1608"/>
      <c r="C287" s="1609">
        <v>99943120.799999997</v>
      </c>
      <c r="D287">
        <f>+IFERROR(VLOOKUP($A287,'TB Final'!$B:$H,7,0),0)</f>
        <v>0</v>
      </c>
      <c r="E287">
        <f>+IFERROR(VLOOKUP($A287,'TB Final'!$B:$H,10,0),0)</f>
        <v>0</v>
      </c>
      <c r="F287">
        <f t="shared" si="8"/>
        <v>0</v>
      </c>
      <c r="G287">
        <f t="shared" si="9"/>
        <v>99943120.799999997</v>
      </c>
    </row>
    <row r="288" spans="1:7">
      <c r="A288" s="1607" t="s">
        <v>2988</v>
      </c>
      <c r="B288" s="1609">
        <v>322707</v>
      </c>
      <c r="C288" s="1608"/>
      <c r="D288">
        <f>+IFERROR(VLOOKUP($A288,'TB Final'!$B:$H,7,0),0)</f>
        <v>322707</v>
      </c>
      <c r="E288">
        <f>+IFERROR(VLOOKUP($A288,'TB Final'!$B:$H,10,0),0)</f>
        <v>0</v>
      </c>
      <c r="F288">
        <f t="shared" si="8"/>
        <v>0</v>
      </c>
      <c r="G288">
        <f t="shared" si="9"/>
        <v>0</v>
      </c>
    </row>
    <row r="289" spans="1:7">
      <c r="A289" s="1607" t="s">
        <v>556</v>
      </c>
      <c r="B289" s="1608"/>
      <c r="C289" s="1609">
        <v>409917</v>
      </c>
      <c r="D289">
        <f>+IFERROR(VLOOKUP($A289,'TB Final'!$B:$H,7,0),0)</f>
        <v>0</v>
      </c>
      <c r="E289">
        <f>+IFERROR(VLOOKUP($A289,'TB Final'!$B:$H,10,0),0)</f>
        <v>0</v>
      </c>
      <c r="F289">
        <f t="shared" si="8"/>
        <v>0</v>
      </c>
      <c r="G289">
        <f t="shared" si="9"/>
        <v>409917</v>
      </c>
    </row>
    <row r="290" spans="1:7">
      <c r="A290" s="1607" t="s">
        <v>325</v>
      </c>
      <c r="B290" s="1608"/>
      <c r="C290" s="1609">
        <v>1406203</v>
      </c>
      <c r="D290">
        <f>+IFERROR(VLOOKUP($A290,'TB Final'!$B:$H,7,0),0)</f>
        <v>0</v>
      </c>
      <c r="E290">
        <f>+IFERROR(VLOOKUP($A290,'TB Final'!$B:$H,10,0),0)</f>
        <v>0</v>
      </c>
      <c r="F290">
        <f t="shared" si="8"/>
        <v>0</v>
      </c>
      <c r="G290">
        <f t="shared" si="9"/>
        <v>1406203</v>
      </c>
    </row>
    <row r="291" spans="1:7">
      <c r="A291" s="1607" t="s">
        <v>2989</v>
      </c>
      <c r="B291" s="1608"/>
      <c r="C291" s="1609">
        <v>5290</v>
      </c>
      <c r="D291">
        <f>+IFERROR(VLOOKUP($A291,'TB Final'!$B:$H,7,0),0)</f>
        <v>0</v>
      </c>
      <c r="E291">
        <f>+IFERROR(VLOOKUP($A291,'TB Final'!$B:$H,10,0),0)</f>
        <v>0</v>
      </c>
      <c r="F291">
        <f t="shared" si="8"/>
        <v>0</v>
      </c>
      <c r="G291">
        <f t="shared" si="9"/>
        <v>5290</v>
      </c>
    </row>
    <row r="292" spans="1:7">
      <c r="A292" s="1607" t="s">
        <v>557</v>
      </c>
      <c r="B292" s="1608"/>
      <c r="C292" s="1609">
        <v>2187364</v>
      </c>
      <c r="D292">
        <f>+IFERROR(VLOOKUP($A292,'TB Final'!$B:$H,7,0),0)</f>
        <v>0</v>
      </c>
      <c r="E292">
        <f>+IFERROR(VLOOKUP($A292,'TB Final'!$B:$H,10,0),0)</f>
        <v>0</v>
      </c>
      <c r="F292">
        <f t="shared" si="8"/>
        <v>0</v>
      </c>
      <c r="G292">
        <f t="shared" si="9"/>
        <v>2187364</v>
      </c>
    </row>
    <row r="293" spans="1:7">
      <c r="A293" s="1607" t="s">
        <v>2990</v>
      </c>
      <c r="B293" s="1609">
        <v>1094</v>
      </c>
      <c r="C293" s="1608"/>
      <c r="D293">
        <f>+IFERROR(VLOOKUP($A293,'TB Final'!$B:$H,7,0),0)</f>
        <v>1094</v>
      </c>
      <c r="E293">
        <f>+IFERROR(VLOOKUP($A293,'TB Final'!$B:$H,10,0),0)</f>
        <v>0</v>
      </c>
      <c r="F293">
        <f t="shared" si="8"/>
        <v>0</v>
      </c>
      <c r="G293">
        <f t="shared" si="9"/>
        <v>0</v>
      </c>
    </row>
    <row r="294" spans="1:7">
      <c r="A294" s="1607" t="s">
        <v>42</v>
      </c>
      <c r="B294" s="1609">
        <v>8712571</v>
      </c>
      <c r="C294" s="1608"/>
      <c r="D294">
        <f>+IFERROR(VLOOKUP($A294,'TB Final'!$B:$H,7,0),0)</f>
        <v>8712571</v>
      </c>
      <c r="E294">
        <f>+IFERROR(VLOOKUP($A294,'TB Final'!$B:$H,10,0),0)</f>
        <v>0</v>
      </c>
      <c r="F294">
        <f t="shared" si="8"/>
        <v>0</v>
      </c>
      <c r="G294">
        <f t="shared" si="9"/>
        <v>0</v>
      </c>
    </row>
    <row r="295" spans="1:7">
      <c r="A295" s="1607" t="s">
        <v>558</v>
      </c>
      <c r="B295" s="1608"/>
      <c r="C295" s="1609">
        <v>11159826</v>
      </c>
      <c r="D295">
        <f>+IFERROR(VLOOKUP($A295,'TB Final'!$B:$H,7,0),0)</f>
        <v>0</v>
      </c>
      <c r="E295">
        <f>+IFERROR(VLOOKUP($A295,'TB Final'!$B:$H,10,0),0)</f>
        <v>0</v>
      </c>
      <c r="F295">
        <f t="shared" si="8"/>
        <v>0</v>
      </c>
      <c r="G295">
        <f t="shared" si="9"/>
        <v>11159826</v>
      </c>
    </row>
    <row r="296" spans="1:7">
      <c r="A296" s="1607" t="s">
        <v>409</v>
      </c>
      <c r="B296" s="1608"/>
      <c r="C296" s="1609">
        <v>6263137</v>
      </c>
      <c r="D296">
        <f>+IFERROR(VLOOKUP($A296,'TB Final'!$B:$H,7,0),0)</f>
        <v>0</v>
      </c>
      <c r="E296">
        <f>+IFERROR(VLOOKUP($A296,'TB Final'!$B:$H,10,0),0)</f>
        <v>0</v>
      </c>
      <c r="F296">
        <f t="shared" si="8"/>
        <v>0</v>
      </c>
      <c r="G296">
        <f t="shared" si="9"/>
        <v>6263137</v>
      </c>
    </row>
    <row r="297" spans="1:7">
      <c r="A297" s="1607" t="s">
        <v>437</v>
      </c>
      <c r="B297" s="1608"/>
      <c r="C297" s="1609">
        <v>68723.86</v>
      </c>
      <c r="D297">
        <f>+IFERROR(VLOOKUP($A297,'TB Final'!$B:$H,7,0),0)</f>
        <v>0</v>
      </c>
      <c r="E297">
        <f>+IFERROR(VLOOKUP($A297,'TB Final'!$B:$H,10,0),0)</f>
        <v>0</v>
      </c>
      <c r="F297">
        <f t="shared" si="8"/>
        <v>0</v>
      </c>
      <c r="G297">
        <f t="shared" si="9"/>
        <v>68723.86</v>
      </c>
    </row>
    <row r="298" spans="1:7">
      <c r="A298" s="1607" t="s">
        <v>316</v>
      </c>
      <c r="B298" s="1609">
        <v>8810.64</v>
      </c>
      <c r="C298" s="1608"/>
      <c r="D298">
        <f>+IFERROR(VLOOKUP($A298,'TB Final'!$B:$H,7,0),0)</f>
        <v>8810.64</v>
      </c>
      <c r="E298">
        <f>+IFERROR(VLOOKUP($A298,'TB Final'!$B:$H,10,0),0)</f>
        <v>0</v>
      </c>
      <c r="F298">
        <f t="shared" si="8"/>
        <v>0</v>
      </c>
      <c r="G298">
        <f t="shared" si="9"/>
        <v>0</v>
      </c>
    </row>
    <row r="299" spans="1:7">
      <c r="A299" s="1607" t="s">
        <v>2991</v>
      </c>
      <c r="B299" s="1608"/>
      <c r="C299" s="1609">
        <v>28972386</v>
      </c>
      <c r="D299">
        <f>+IFERROR(VLOOKUP($A299,'TB Final'!$B:$H,7,0),0)</f>
        <v>0</v>
      </c>
      <c r="E299">
        <f>+IFERROR(VLOOKUP($A299,'TB Final'!$B:$H,10,0),0)</f>
        <v>0</v>
      </c>
      <c r="F299">
        <f t="shared" si="8"/>
        <v>0</v>
      </c>
      <c r="G299">
        <f t="shared" si="9"/>
        <v>28972386</v>
      </c>
    </row>
    <row r="300" spans="1:7">
      <c r="A300" s="1607" t="s">
        <v>410</v>
      </c>
      <c r="B300" s="1608"/>
      <c r="C300" s="1609">
        <v>46199076</v>
      </c>
      <c r="D300">
        <f>+IFERROR(VLOOKUP($A300,'TB Final'!$B:$H,7,0),0)</f>
        <v>0</v>
      </c>
      <c r="E300">
        <f>+IFERROR(VLOOKUP($A300,'TB Final'!$B:$H,10,0),0)</f>
        <v>0</v>
      </c>
      <c r="F300">
        <f t="shared" si="8"/>
        <v>0</v>
      </c>
      <c r="G300">
        <f t="shared" si="9"/>
        <v>46199076</v>
      </c>
    </row>
    <row r="301" spans="1:7">
      <c r="A301" s="1607" t="s">
        <v>326</v>
      </c>
      <c r="B301" s="1608"/>
      <c r="C301" s="1609">
        <v>8664946</v>
      </c>
      <c r="D301">
        <f>+IFERROR(VLOOKUP($A301,'TB Final'!$B:$H,7,0),0)</f>
        <v>0</v>
      </c>
      <c r="E301">
        <f>+IFERROR(VLOOKUP($A301,'TB Final'!$B:$H,10,0),0)</f>
        <v>0</v>
      </c>
      <c r="F301">
        <f t="shared" si="8"/>
        <v>0</v>
      </c>
      <c r="G301">
        <f t="shared" si="9"/>
        <v>8664946</v>
      </c>
    </row>
    <row r="302" spans="1:7">
      <c r="A302" s="1607" t="s">
        <v>328</v>
      </c>
      <c r="B302" s="1609">
        <v>827794</v>
      </c>
      <c r="C302" s="1608"/>
      <c r="D302">
        <f>+IFERROR(VLOOKUP($A302,'TB Final'!$B:$H,7,0),0)</f>
        <v>827794</v>
      </c>
      <c r="E302">
        <f>+IFERROR(VLOOKUP($A302,'TB Final'!$B:$H,10,0),0)</f>
        <v>0</v>
      </c>
      <c r="F302">
        <f t="shared" si="8"/>
        <v>0</v>
      </c>
      <c r="G302">
        <f t="shared" si="9"/>
        <v>0</v>
      </c>
    </row>
    <row r="303" spans="1:7">
      <c r="A303" s="1607" t="s">
        <v>411</v>
      </c>
      <c r="B303" s="1608"/>
      <c r="C303" s="1609">
        <v>1397710</v>
      </c>
      <c r="D303">
        <f>+IFERROR(VLOOKUP($A303,'TB Final'!$B:$H,7,0),0)</f>
        <v>0</v>
      </c>
      <c r="E303">
        <f>+IFERROR(VLOOKUP($A303,'TB Final'!$B:$H,10,0),0)</f>
        <v>0</v>
      </c>
      <c r="F303">
        <f t="shared" si="8"/>
        <v>0</v>
      </c>
      <c r="G303">
        <f t="shared" si="9"/>
        <v>1397710</v>
      </c>
    </row>
    <row r="304" spans="1:7">
      <c r="A304" s="1607" t="s">
        <v>16</v>
      </c>
      <c r="B304" s="1608"/>
      <c r="C304" s="1609">
        <v>210890</v>
      </c>
      <c r="D304">
        <f>+IFERROR(VLOOKUP($A304,'TB Final'!$B:$H,7,0),0)</f>
        <v>0</v>
      </c>
      <c r="E304">
        <f>+IFERROR(VLOOKUP($A304,'TB Final'!$B:$H,10,0),0)</f>
        <v>0</v>
      </c>
      <c r="F304">
        <f t="shared" si="8"/>
        <v>0</v>
      </c>
      <c r="G304">
        <f t="shared" si="9"/>
        <v>210890</v>
      </c>
    </row>
    <row r="305" spans="1:7">
      <c r="A305" s="1607" t="s">
        <v>2992</v>
      </c>
      <c r="B305" s="1608"/>
      <c r="C305" s="1609">
        <v>633932.32999999996</v>
      </c>
      <c r="D305">
        <f>+IFERROR(VLOOKUP($A305,'TB Final'!$B:$H,7,0),0)</f>
        <v>0</v>
      </c>
      <c r="E305">
        <f>+IFERROR(VLOOKUP($A305,'TB Final'!$B:$H,10,0),0)</f>
        <v>0</v>
      </c>
      <c r="F305">
        <f t="shared" si="8"/>
        <v>0</v>
      </c>
      <c r="G305">
        <f t="shared" si="9"/>
        <v>633932.32999999996</v>
      </c>
    </row>
    <row r="306" spans="1:7">
      <c r="A306" s="1607" t="s">
        <v>2993</v>
      </c>
      <c r="B306" s="1608"/>
      <c r="C306" s="1609">
        <v>41335.42</v>
      </c>
      <c r="D306">
        <f>+IFERROR(VLOOKUP($A306,'TB Final'!$B:$H,7,0),0)</f>
        <v>0</v>
      </c>
      <c r="E306">
        <f>+IFERROR(VLOOKUP($A306,'TB Final'!$B:$H,10,0),0)</f>
        <v>0</v>
      </c>
      <c r="F306">
        <f t="shared" si="8"/>
        <v>0</v>
      </c>
      <c r="G306">
        <f t="shared" si="9"/>
        <v>41335.42</v>
      </c>
    </row>
    <row r="307" spans="1:7">
      <c r="A307" s="1607" t="s">
        <v>217</v>
      </c>
      <c r="B307" s="1608"/>
      <c r="C307" s="1609">
        <v>474189</v>
      </c>
      <c r="D307">
        <f>+IFERROR(VLOOKUP($A307,'TB Final'!$B:$H,7,0),0)</f>
        <v>0</v>
      </c>
      <c r="E307">
        <f>+IFERROR(VLOOKUP($A307,'TB Final'!$B:$H,10,0),0)</f>
        <v>0</v>
      </c>
      <c r="F307">
        <f t="shared" si="8"/>
        <v>0</v>
      </c>
      <c r="G307">
        <f t="shared" si="9"/>
        <v>474189</v>
      </c>
    </row>
    <row r="308" spans="1:7">
      <c r="A308" s="1607" t="s">
        <v>332</v>
      </c>
      <c r="B308" s="1609">
        <v>719897</v>
      </c>
      <c r="C308" s="1608"/>
      <c r="D308">
        <f>+IFERROR(VLOOKUP($A308,'TB Final'!$B:$H,7,0),0)</f>
        <v>719897</v>
      </c>
      <c r="E308">
        <f>+IFERROR(VLOOKUP($A308,'TB Final'!$B:$H,10,0),0)</f>
        <v>0</v>
      </c>
      <c r="F308">
        <f t="shared" si="8"/>
        <v>0</v>
      </c>
      <c r="G308">
        <f t="shared" si="9"/>
        <v>0</v>
      </c>
    </row>
    <row r="309" spans="1:7">
      <c r="A309" s="1607" t="s">
        <v>2994</v>
      </c>
      <c r="B309" s="1609">
        <v>1651.44</v>
      </c>
      <c r="C309" s="1608"/>
      <c r="D309">
        <f>+IFERROR(VLOOKUP($A309,'TB Final'!$B:$H,7,0),0)</f>
        <v>1651.44</v>
      </c>
      <c r="E309">
        <f>+IFERROR(VLOOKUP($A309,'TB Final'!$B:$H,10,0),0)</f>
        <v>0</v>
      </c>
      <c r="F309">
        <f t="shared" si="8"/>
        <v>0</v>
      </c>
      <c r="G309">
        <f t="shared" si="9"/>
        <v>0</v>
      </c>
    </row>
    <row r="310" spans="1:7">
      <c r="A310" s="1607" t="s">
        <v>333</v>
      </c>
      <c r="B310" s="1608"/>
      <c r="C310" s="1609">
        <v>1449699.7</v>
      </c>
      <c r="D310">
        <f>+IFERROR(VLOOKUP($A310,'TB Final'!$B:$H,7,0),0)</f>
        <v>0</v>
      </c>
      <c r="E310">
        <f>+IFERROR(VLOOKUP($A310,'TB Final'!$B:$H,10,0),0)</f>
        <v>0</v>
      </c>
      <c r="F310">
        <f t="shared" si="8"/>
        <v>0</v>
      </c>
      <c r="G310">
        <f t="shared" si="9"/>
        <v>1449699.7</v>
      </c>
    </row>
    <row r="311" spans="1:7">
      <c r="A311" s="1607" t="s">
        <v>3065</v>
      </c>
      <c r="B311" s="1608"/>
      <c r="C311" s="1609">
        <v>22492</v>
      </c>
      <c r="D311">
        <f>+IFERROR(VLOOKUP($A311,'TB Final'!$B:$H,7,0),0)</f>
        <v>0</v>
      </c>
      <c r="E311">
        <f>+IFERROR(VLOOKUP($A311,'TB Final'!$B:$H,10,0),0)</f>
        <v>0</v>
      </c>
      <c r="F311">
        <f t="shared" si="8"/>
        <v>0</v>
      </c>
      <c r="G311">
        <f t="shared" si="9"/>
        <v>22492</v>
      </c>
    </row>
    <row r="312" spans="1:7">
      <c r="A312" s="1607" t="s">
        <v>414</v>
      </c>
      <c r="B312" s="1609">
        <v>221637</v>
      </c>
      <c r="C312" s="1608"/>
      <c r="D312">
        <f>+IFERROR(VLOOKUP($A312,'TB Final'!$B:$H,7,0),0)</f>
        <v>221637</v>
      </c>
      <c r="E312">
        <f>+IFERROR(VLOOKUP($A312,'TB Final'!$B:$H,10,0),0)</f>
        <v>0</v>
      </c>
      <c r="F312">
        <f t="shared" si="8"/>
        <v>0</v>
      </c>
      <c r="G312">
        <f t="shared" si="9"/>
        <v>0</v>
      </c>
    </row>
    <row r="313" spans="1:7">
      <c r="A313" s="1607" t="s">
        <v>336</v>
      </c>
      <c r="B313" s="1609">
        <v>125</v>
      </c>
      <c r="C313" s="1608"/>
      <c r="D313">
        <f>+IFERROR(VLOOKUP($A313,'TB Final'!$B:$H,7,0),0)</f>
        <v>125</v>
      </c>
      <c r="E313">
        <f>+IFERROR(VLOOKUP($A313,'TB Final'!$B:$H,10,0),0)</f>
        <v>0</v>
      </c>
      <c r="F313">
        <f t="shared" si="8"/>
        <v>0</v>
      </c>
      <c r="G313">
        <f t="shared" si="9"/>
        <v>0</v>
      </c>
    </row>
    <row r="314" spans="1:7">
      <c r="A314" s="1607" t="s">
        <v>2995</v>
      </c>
      <c r="B314" s="1608"/>
      <c r="C314" s="1609">
        <v>258302</v>
      </c>
      <c r="D314">
        <f>+IFERROR(VLOOKUP($A314,'TB Final'!$B:$H,7,0),0)</f>
        <v>0</v>
      </c>
      <c r="E314">
        <f>+IFERROR(VLOOKUP($A314,'TB Final'!$B:$H,10,0),0)</f>
        <v>0</v>
      </c>
      <c r="F314">
        <f t="shared" si="8"/>
        <v>0</v>
      </c>
      <c r="G314">
        <f t="shared" si="9"/>
        <v>258302</v>
      </c>
    </row>
    <row r="315" spans="1:7">
      <c r="A315" s="1607" t="s">
        <v>2996</v>
      </c>
      <c r="B315" s="1608"/>
      <c r="C315" s="1609">
        <v>114628</v>
      </c>
      <c r="D315">
        <f>+IFERROR(VLOOKUP($A315,'TB Final'!$B:$H,7,0),0)</f>
        <v>0</v>
      </c>
      <c r="E315">
        <f>+IFERROR(VLOOKUP($A315,'TB Final'!$B:$H,10,0),0)</f>
        <v>0</v>
      </c>
      <c r="F315">
        <f t="shared" si="8"/>
        <v>0</v>
      </c>
      <c r="G315">
        <f t="shared" si="9"/>
        <v>114628</v>
      </c>
    </row>
    <row r="316" spans="1:7">
      <c r="A316" s="1607" t="s">
        <v>337</v>
      </c>
      <c r="B316" s="1608"/>
      <c r="C316" s="1609">
        <v>559911</v>
      </c>
      <c r="D316">
        <f>+IFERROR(VLOOKUP($A316,'TB Final'!$B:$H,7,0),0)</f>
        <v>0</v>
      </c>
      <c r="E316">
        <f>+IFERROR(VLOOKUP($A316,'TB Final'!$B:$H,10,0),0)</f>
        <v>0</v>
      </c>
      <c r="F316">
        <f t="shared" si="8"/>
        <v>0</v>
      </c>
      <c r="G316">
        <f t="shared" si="9"/>
        <v>559911</v>
      </c>
    </row>
    <row r="317" spans="1:7">
      <c r="A317" s="1607" t="s">
        <v>338</v>
      </c>
      <c r="B317" s="1608"/>
      <c r="C317" s="1609">
        <v>14175</v>
      </c>
      <c r="D317">
        <f>+IFERROR(VLOOKUP($A317,'TB Final'!$B:$H,7,0),0)</f>
        <v>0</v>
      </c>
      <c r="E317">
        <f>+IFERROR(VLOOKUP($A317,'TB Final'!$B:$H,10,0),0)</f>
        <v>0</v>
      </c>
      <c r="F317">
        <f t="shared" si="8"/>
        <v>0</v>
      </c>
      <c r="G317">
        <f t="shared" si="9"/>
        <v>14175</v>
      </c>
    </row>
    <row r="318" spans="1:7">
      <c r="A318" s="1607" t="s">
        <v>416</v>
      </c>
      <c r="B318" s="1609">
        <v>12900</v>
      </c>
      <c r="C318" s="1608"/>
      <c r="D318">
        <f>+IFERROR(VLOOKUP($A318,'TB Final'!$B:$H,7,0),0)</f>
        <v>12900</v>
      </c>
      <c r="E318">
        <f>+IFERROR(VLOOKUP($A318,'TB Final'!$B:$H,10,0),0)</f>
        <v>0</v>
      </c>
      <c r="F318">
        <f t="shared" si="8"/>
        <v>0</v>
      </c>
      <c r="G318">
        <f t="shared" si="9"/>
        <v>0</v>
      </c>
    </row>
    <row r="319" spans="1:7">
      <c r="A319" s="1607" t="s">
        <v>562</v>
      </c>
      <c r="B319" s="1608"/>
      <c r="C319" s="1609">
        <v>89643931.159999996</v>
      </c>
      <c r="D319">
        <f>+IFERROR(VLOOKUP($A319,'TB Final'!$B:$H,7,0),0)</f>
        <v>0</v>
      </c>
      <c r="E319">
        <f>+IFERROR(VLOOKUP($A319,'TB Final'!$B:$H,10,0),0)</f>
        <v>0</v>
      </c>
      <c r="F319">
        <f t="shared" si="8"/>
        <v>0</v>
      </c>
      <c r="G319">
        <f t="shared" si="9"/>
        <v>89643931.159999996</v>
      </c>
    </row>
    <row r="320" spans="1:7">
      <c r="A320" s="1607" t="s">
        <v>341</v>
      </c>
      <c r="B320" s="1609">
        <v>5149248</v>
      </c>
      <c r="C320" s="1608"/>
      <c r="D320">
        <f>+IFERROR(VLOOKUP($A320,'TB Final'!$B:$H,7,0),0)</f>
        <v>5149248</v>
      </c>
      <c r="E320">
        <f>+IFERROR(VLOOKUP($A320,'TB Final'!$B:$H,10,0),0)</f>
        <v>0</v>
      </c>
      <c r="F320">
        <f t="shared" si="8"/>
        <v>0</v>
      </c>
      <c r="G320">
        <f t="shared" si="9"/>
        <v>0</v>
      </c>
    </row>
    <row r="321" spans="1:7">
      <c r="A321" s="1607" t="s">
        <v>563</v>
      </c>
      <c r="B321" s="1609">
        <v>217506.58</v>
      </c>
      <c r="C321" s="1608"/>
      <c r="D321">
        <f>+IFERROR(VLOOKUP($A321,'TB Final'!$B:$H,7,0),0)</f>
        <v>217506.58</v>
      </c>
      <c r="E321">
        <f>+IFERROR(VLOOKUP($A321,'TB Final'!$B:$H,10,0),0)</f>
        <v>0</v>
      </c>
      <c r="F321">
        <f t="shared" si="8"/>
        <v>0</v>
      </c>
      <c r="G321">
        <f t="shared" si="9"/>
        <v>0</v>
      </c>
    </row>
    <row r="322" spans="1:7">
      <c r="A322" s="1607" t="s">
        <v>343</v>
      </c>
      <c r="B322" s="1609">
        <v>275000</v>
      </c>
      <c r="C322" s="1608"/>
      <c r="D322">
        <f>+IFERROR(VLOOKUP($A322,'TB Final'!$B:$H,7,0),0)</f>
        <v>275000</v>
      </c>
      <c r="E322">
        <f>+IFERROR(VLOOKUP($A322,'TB Final'!$B:$H,10,0),0)</f>
        <v>0</v>
      </c>
      <c r="F322">
        <f t="shared" si="8"/>
        <v>0</v>
      </c>
      <c r="G322">
        <f t="shared" si="9"/>
        <v>0</v>
      </c>
    </row>
    <row r="323" spans="1:7">
      <c r="A323" s="1607" t="s">
        <v>345</v>
      </c>
      <c r="B323" s="1609">
        <v>46000</v>
      </c>
      <c r="C323" s="1608"/>
      <c r="D323">
        <f>+IFERROR(VLOOKUP($A323,'TB Final'!$B:$H,7,0),0)</f>
        <v>46000</v>
      </c>
      <c r="E323">
        <f>+IFERROR(VLOOKUP($A323,'TB Final'!$B:$H,10,0),0)</f>
        <v>0</v>
      </c>
      <c r="F323">
        <f t="shared" si="8"/>
        <v>0</v>
      </c>
      <c r="G323">
        <f t="shared" si="9"/>
        <v>0</v>
      </c>
    </row>
    <row r="324" spans="1:7">
      <c r="A324" s="1607" t="s">
        <v>564</v>
      </c>
      <c r="B324" s="1608"/>
      <c r="C324" s="1609">
        <v>548430</v>
      </c>
      <c r="D324">
        <f>+IFERROR(VLOOKUP($A324,'TB Final'!$B:$H,7,0),0)</f>
        <v>0</v>
      </c>
      <c r="E324">
        <f>+IFERROR(VLOOKUP($A324,'TB Final'!$B:$H,10,0),0)</f>
        <v>0</v>
      </c>
      <c r="F324">
        <f t="shared" si="8"/>
        <v>0</v>
      </c>
      <c r="G324">
        <f t="shared" si="9"/>
        <v>548430</v>
      </c>
    </row>
    <row r="325" spans="1:7">
      <c r="A325" s="1607" t="s">
        <v>565</v>
      </c>
      <c r="B325" s="1609">
        <v>23840.5</v>
      </c>
      <c r="C325" s="1608"/>
      <c r="D325">
        <f>+IFERROR(VLOOKUP($A325,'TB Final'!$B:$H,7,0),0)</f>
        <v>188020.5</v>
      </c>
      <c r="E325">
        <f>+IFERROR(VLOOKUP($A325,'TB Final'!$B:$H,10,0),0)</f>
        <v>0</v>
      </c>
      <c r="F325">
        <f t="shared" si="8"/>
        <v>-164180</v>
      </c>
      <c r="G325">
        <f t="shared" si="9"/>
        <v>0</v>
      </c>
    </row>
    <row r="326" spans="1:7">
      <c r="A326" s="1607" t="s">
        <v>349</v>
      </c>
      <c r="B326" s="1609">
        <v>30000</v>
      </c>
      <c r="C326" s="1608"/>
      <c r="D326">
        <f>+IFERROR(VLOOKUP($A326,'TB Final'!$B:$H,7,0),0)</f>
        <v>30000</v>
      </c>
      <c r="E326">
        <f>+IFERROR(VLOOKUP($A326,'TB Final'!$B:$H,10,0),0)</f>
        <v>0</v>
      </c>
      <c r="F326">
        <f t="shared" si="8"/>
        <v>0</v>
      </c>
      <c r="G326">
        <f t="shared" si="9"/>
        <v>0</v>
      </c>
    </row>
    <row r="327" spans="1:7">
      <c r="A327" s="1607" t="s">
        <v>2997</v>
      </c>
      <c r="B327" s="1608"/>
      <c r="C327" s="1609">
        <v>122997</v>
      </c>
      <c r="D327">
        <f>+IFERROR(VLOOKUP($A327,'TB Final'!$B:$H,7,0),0)</f>
        <v>0</v>
      </c>
      <c r="E327">
        <f>+IFERROR(VLOOKUP($A327,'TB Final'!$B:$H,10,0),0)</f>
        <v>0</v>
      </c>
      <c r="F327">
        <f t="shared" si="8"/>
        <v>0</v>
      </c>
      <c r="G327">
        <f t="shared" si="9"/>
        <v>122997</v>
      </c>
    </row>
    <row r="328" spans="1:7">
      <c r="A328" s="1607" t="s">
        <v>2998</v>
      </c>
      <c r="B328" s="1608"/>
      <c r="C328" s="1609">
        <v>423547</v>
      </c>
      <c r="D328">
        <f>+IFERROR(VLOOKUP($A328,'TB Final'!$B:$H,7,0),0)</f>
        <v>0</v>
      </c>
      <c r="E328">
        <f>+IFERROR(VLOOKUP($A328,'TB Final'!$B:$H,10,0),0)</f>
        <v>0</v>
      </c>
      <c r="F328">
        <f t="shared" si="8"/>
        <v>0</v>
      </c>
      <c r="G328">
        <f t="shared" si="9"/>
        <v>423547</v>
      </c>
    </row>
    <row r="329" spans="1:7">
      <c r="A329" s="1607" t="s">
        <v>350</v>
      </c>
      <c r="B329" s="1608"/>
      <c r="C329" s="1609">
        <v>1046424</v>
      </c>
      <c r="D329">
        <f>+IFERROR(VLOOKUP($A329,'TB Final'!$B:$H,7,0),0)</f>
        <v>0</v>
      </c>
      <c r="E329">
        <f>+IFERROR(VLOOKUP($A329,'TB Final'!$B:$H,10,0),0)</f>
        <v>0</v>
      </c>
      <c r="F329">
        <f t="shared" si="8"/>
        <v>0</v>
      </c>
      <c r="G329">
        <f t="shared" si="9"/>
        <v>1046424</v>
      </c>
    </row>
    <row r="330" spans="1:7">
      <c r="A330" s="1607" t="s">
        <v>2999</v>
      </c>
      <c r="B330" s="1608"/>
      <c r="C330" s="1609">
        <v>103673</v>
      </c>
      <c r="D330">
        <f>+IFERROR(VLOOKUP($A330,'TB Final'!$B:$H,7,0),0)</f>
        <v>0</v>
      </c>
      <c r="E330">
        <f>+IFERROR(VLOOKUP($A330,'TB Final'!$B:$H,10,0),0)</f>
        <v>0</v>
      </c>
      <c r="F330">
        <f t="shared" si="8"/>
        <v>0</v>
      </c>
      <c r="G330">
        <f t="shared" si="9"/>
        <v>103673</v>
      </c>
    </row>
    <row r="331" spans="1:7">
      <c r="A331" s="1607" t="s">
        <v>568</v>
      </c>
      <c r="B331" s="1609">
        <v>11611</v>
      </c>
      <c r="C331" s="1608"/>
      <c r="D331">
        <f>+IFERROR(VLOOKUP($A331,'TB Final'!$B:$H,7,0),0)</f>
        <v>11611</v>
      </c>
      <c r="E331">
        <f>+IFERROR(VLOOKUP($A331,'TB Final'!$B:$H,10,0),0)</f>
        <v>0</v>
      </c>
      <c r="F331">
        <f t="shared" si="8"/>
        <v>0</v>
      </c>
      <c r="G331">
        <f t="shared" si="9"/>
        <v>0</v>
      </c>
    </row>
    <row r="332" spans="1:7">
      <c r="A332" s="1607" t="s">
        <v>3000</v>
      </c>
      <c r="B332" s="1609">
        <v>52979.92</v>
      </c>
      <c r="C332" s="1608"/>
      <c r="D332">
        <f>+IFERROR(VLOOKUP($A332,'TB Final'!$B:$H,7,0),0)</f>
        <v>52979.92</v>
      </c>
      <c r="E332">
        <f>+IFERROR(VLOOKUP($A332,'TB Final'!$B:$H,10,0),0)</f>
        <v>0</v>
      </c>
      <c r="F332">
        <f t="shared" si="8"/>
        <v>0</v>
      </c>
      <c r="G332">
        <f t="shared" si="9"/>
        <v>0</v>
      </c>
    </row>
    <row r="333" spans="1:7">
      <c r="A333" s="1607" t="s">
        <v>351</v>
      </c>
      <c r="B333" s="1608"/>
      <c r="C333" s="1609">
        <v>14885.01</v>
      </c>
      <c r="D333">
        <f>+IFERROR(VLOOKUP($A333,'TB Final'!$B:$H,7,0),0)</f>
        <v>0</v>
      </c>
      <c r="E333">
        <f>+IFERROR(VLOOKUP($A333,'TB Final'!$B:$H,10,0),0)</f>
        <v>0</v>
      </c>
      <c r="F333">
        <f t="shared" ref="F333:F373" si="10">+B333-D333</f>
        <v>0</v>
      </c>
      <c r="G333">
        <f t="shared" ref="G333:G373" si="11">+C333-E333</f>
        <v>14885.01</v>
      </c>
    </row>
    <row r="334" spans="1:7">
      <c r="A334" s="1607" t="s">
        <v>420</v>
      </c>
      <c r="B334" s="1609">
        <v>24886</v>
      </c>
      <c r="C334" s="1608"/>
      <c r="D334">
        <f>+IFERROR(VLOOKUP($A334,'TB Final'!$B:$H,7,0),0)</f>
        <v>24886</v>
      </c>
      <c r="E334">
        <f>+IFERROR(VLOOKUP($A334,'TB Final'!$B:$H,10,0),0)</f>
        <v>0</v>
      </c>
      <c r="F334">
        <f t="shared" si="10"/>
        <v>0</v>
      </c>
      <c r="G334">
        <f t="shared" si="11"/>
        <v>0</v>
      </c>
    </row>
    <row r="335" spans="1:7">
      <c r="A335" s="1607" t="s">
        <v>569</v>
      </c>
      <c r="B335" s="1609">
        <v>15998</v>
      </c>
      <c r="C335" s="1608"/>
      <c r="D335">
        <f>+IFERROR(VLOOKUP($A335,'TB Final'!$B:$H,7,0),0)</f>
        <v>15998</v>
      </c>
      <c r="E335">
        <f>+IFERROR(VLOOKUP($A335,'TB Final'!$B:$H,10,0),0)</f>
        <v>0</v>
      </c>
      <c r="F335">
        <f t="shared" si="10"/>
        <v>0</v>
      </c>
      <c r="G335">
        <f t="shared" si="11"/>
        <v>0</v>
      </c>
    </row>
    <row r="336" spans="1:7">
      <c r="A336" s="1607" t="s">
        <v>3001</v>
      </c>
      <c r="B336" s="1609">
        <v>435758</v>
      </c>
      <c r="C336" s="1608"/>
      <c r="D336">
        <f>+IFERROR(VLOOKUP($A336,'TB Final'!$B:$H,7,0),0)</f>
        <v>435758</v>
      </c>
      <c r="E336">
        <f>+IFERROR(VLOOKUP($A336,'TB Final'!$B:$H,10,0),0)</f>
        <v>0</v>
      </c>
      <c r="F336">
        <f t="shared" si="10"/>
        <v>0</v>
      </c>
      <c r="G336">
        <f t="shared" si="11"/>
        <v>0</v>
      </c>
    </row>
    <row r="337" spans="1:7">
      <c r="A337" s="1607" t="s">
        <v>571</v>
      </c>
      <c r="B337" s="1608"/>
      <c r="C337" s="1609">
        <v>18590.04</v>
      </c>
      <c r="D337">
        <f>+IFERROR(VLOOKUP($A337,'TB Final'!$B:$H,7,0),0)</f>
        <v>0</v>
      </c>
      <c r="E337">
        <f>+IFERROR(VLOOKUP($A337,'TB Final'!$B:$H,10,0),0)</f>
        <v>0</v>
      </c>
      <c r="F337">
        <f t="shared" si="10"/>
        <v>0</v>
      </c>
      <c r="G337">
        <f t="shared" si="11"/>
        <v>18590.04</v>
      </c>
    </row>
    <row r="338" spans="1:7">
      <c r="A338" s="1607" t="s">
        <v>572</v>
      </c>
      <c r="B338" s="1608"/>
      <c r="C338" s="1609">
        <v>31456</v>
      </c>
      <c r="D338">
        <f>+IFERROR(VLOOKUP($A338,'TB Final'!$B:$H,7,0),0)</f>
        <v>0</v>
      </c>
      <c r="E338">
        <f>+IFERROR(VLOOKUP($A338,'TB Final'!$B:$H,10,0),0)</f>
        <v>0</v>
      </c>
      <c r="F338">
        <f t="shared" si="10"/>
        <v>0</v>
      </c>
      <c r="G338">
        <f t="shared" si="11"/>
        <v>31456</v>
      </c>
    </row>
    <row r="339" spans="1:7">
      <c r="A339" s="1607" t="s">
        <v>573</v>
      </c>
      <c r="B339" s="1608"/>
      <c r="C339" s="1609">
        <v>5513</v>
      </c>
      <c r="D339">
        <f>+IFERROR(VLOOKUP($A339,'TB Final'!$B:$H,7,0),0)</f>
        <v>0</v>
      </c>
      <c r="E339">
        <f>+IFERROR(VLOOKUP($A339,'TB Final'!$B:$H,10,0),0)</f>
        <v>0</v>
      </c>
      <c r="F339">
        <f t="shared" si="10"/>
        <v>0</v>
      </c>
      <c r="G339">
        <f t="shared" si="11"/>
        <v>5513</v>
      </c>
    </row>
    <row r="340" spans="1:7">
      <c r="A340" s="1607" t="s">
        <v>574</v>
      </c>
      <c r="B340" s="1608"/>
      <c r="C340" s="1609">
        <v>48309</v>
      </c>
      <c r="D340">
        <f>+IFERROR(VLOOKUP($A340,'TB Final'!$B:$H,7,0),0)</f>
        <v>0</v>
      </c>
      <c r="E340">
        <f>+IFERROR(VLOOKUP($A340,'TB Final'!$B:$H,10,0),0)</f>
        <v>0</v>
      </c>
      <c r="F340">
        <f t="shared" si="10"/>
        <v>0</v>
      </c>
      <c r="G340">
        <f t="shared" si="11"/>
        <v>48309</v>
      </c>
    </row>
    <row r="341" spans="1:7">
      <c r="A341" s="1607" t="s">
        <v>421</v>
      </c>
      <c r="B341" s="1608"/>
      <c r="C341" s="1609">
        <v>33692</v>
      </c>
      <c r="D341">
        <f>+IFERROR(VLOOKUP($A341,'TB Final'!$B:$H,7,0),0)</f>
        <v>0</v>
      </c>
      <c r="E341">
        <f>+IFERROR(VLOOKUP($A341,'TB Final'!$B:$H,10,0),0)</f>
        <v>0</v>
      </c>
      <c r="F341">
        <f t="shared" si="10"/>
        <v>0</v>
      </c>
      <c r="G341">
        <f t="shared" si="11"/>
        <v>33692</v>
      </c>
    </row>
    <row r="342" spans="1:7">
      <c r="A342" s="1607" t="s">
        <v>354</v>
      </c>
      <c r="B342" s="1608"/>
      <c r="C342" s="1609">
        <v>34000</v>
      </c>
      <c r="D342">
        <f>+IFERROR(VLOOKUP($A342,'TB Final'!$B:$H,7,0),0)</f>
        <v>0</v>
      </c>
      <c r="E342">
        <f>+IFERROR(VLOOKUP($A342,'TB Final'!$B:$H,10,0),0)</f>
        <v>0</v>
      </c>
      <c r="F342">
        <f t="shared" si="10"/>
        <v>0</v>
      </c>
      <c r="G342">
        <f t="shared" si="11"/>
        <v>34000</v>
      </c>
    </row>
    <row r="343" spans="1:7">
      <c r="A343" s="1607" t="s">
        <v>575</v>
      </c>
      <c r="B343" s="1608"/>
      <c r="C343" s="1609">
        <v>8000</v>
      </c>
      <c r="D343">
        <f>+IFERROR(VLOOKUP($A343,'TB Final'!$B:$H,7,0),0)</f>
        <v>0</v>
      </c>
      <c r="E343">
        <f>+IFERROR(VLOOKUP($A343,'TB Final'!$B:$H,10,0),0)</f>
        <v>0</v>
      </c>
      <c r="F343">
        <f t="shared" si="10"/>
        <v>0</v>
      </c>
      <c r="G343">
        <f t="shared" si="11"/>
        <v>8000</v>
      </c>
    </row>
    <row r="344" spans="1:7">
      <c r="A344" s="1607" t="s">
        <v>353</v>
      </c>
      <c r="B344" s="1608"/>
      <c r="C344" s="1609">
        <v>23905</v>
      </c>
      <c r="D344">
        <f>+IFERROR(VLOOKUP($A344,'TB Final'!$B:$H,7,0),0)</f>
        <v>0</v>
      </c>
      <c r="E344">
        <f>+IFERROR(VLOOKUP($A344,'TB Final'!$B:$H,10,0),0)</f>
        <v>0</v>
      </c>
      <c r="F344">
        <f t="shared" si="10"/>
        <v>0</v>
      </c>
      <c r="G344">
        <f t="shared" si="11"/>
        <v>23905</v>
      </c>
    </row>
    <row r="345" spans="1:7">
      <c r="A345" s="1607" t="s">
        <v>576</v>
      </c>
      <c r="B345" s="1609">
        <v>933217.36</v>
      </c>
      <c r="C345" s="1608"/>
      <c r="D345">
        <f>+IFERROR(VLOOKUP($A345,'TB Final'!$B:$H,7,0),0)</f>
        <v>933217.36</v>
      </c>
      <c r="E345">
        <f>+IFERROR(VLOOKUP($A345,'TB Final'!$B:$H,10,0),0)</f>
        <v>0</v>
      </c>
      <c r="F345">
        <f t="shared" si="10"/>
        <v>0</v>
      </c>
      <c r="G345">
        <f t="shared" si="11"/>
        <v>0</v>
      </c>
    </row>
    <row r="346" spans="1:7">
      <c r="A346" s="1607" t="s">
        <v>577</v>
      </c>
      <c r="B346" s="1609">
        <v>72945</v>
      </c>
      <c r="C346" s="1608"/>
      <c r="D346">
        <f>+IFERROR(VLOOKUP($A346,'TB Final'!$B:$H,7,0),0)</f>
        <v>72945</v>
      </c>
      <c r="E346">
        <f>+IFERROR(VLOOKUP($A346,'TB Final'!$B:$H,10,0),0)</f>
        <v>0</v>
      </c>
      <c r="F346">
        <f t="shared" si="10"/>
        <v>0</v>
      </c>
      <c r="G346">
        <f t="shared" si="11"/>
        <v>0</v>
      </c>
    </row>
    <row r="347" spans="1:7">
      <c r="A347" s="1607" t="s">
        <v>358</v>
      </c>
      <c r="B347" s="1609">
        <v>99717</v>
      </c>
      <c r="C347" s="1608"/>
      <c r="D347">
        <f>+IFERROR(VLOOKUP($A347,'TB Final'!$B:$H,7,0),0)</f>
        <v>99717</v>
      </c>
      <c r="E347">
        <f>+IFERROR(VLOOKUP($A347,'TB Final'!$B:$H,10,0),0)</f>
        <v>0</v>
      </c>
      <c r="F347">
        <f t="shared" si="10"/>
        <v>0</v>
      </c>
      <c r="G347">
        <f t="shared" si="11"/>
        <v>0</v>
      </c>
    </row>
    <row r="348" spans="1:7">
      <c r="A348" s="1607" t="s">
        <v>3002</v>
      </c>
      <c r="B348" s="1608"/>
      <c r="C348" s="1609">
        <v>197478</v>
      </c>
      <c r="D348">
        <f>+IFERROR(VLOOKUP($A348,'TB Final'!$B:$H,7,0),0)</f>
        <v>0</v>
      </c>
      <c r="E348">
        <f>+IFERROR(VLOOKUP($A348,'TB Final'!$B:$H,10,0),0)</f>
        <v>0</v>
      </c>
      <c r="F348">
        <f t="shared" si="10"/>
        <v>0</v>
      </c>
      <c r="G348">
        <f t="shared" si="11"/>
        <v>197478</v>
      </c>
    </row>
    <row r="349" spans="1:7">
      <c r="A349" s="1607" t="s">
        <v>578</v>
      </c>
      <c r="B349" s="1609">
        <v>59132.5</v>
      </c>
      <c r="C349" s="1608"/>
      <c r="D349">
        <f>+IFERROR(VLOOKUP($A349,'TB Final'!$B:$H,7,0),0)</f>
        <v>59132.5</v>
      </c>
      <c r="E349">
        <f>+IFERROR(VLOOKUP($A349,'TB Final'!$B:$H,10,0),0)</f>
        <v>0</v>
      </c>
      <c r="F349">
        <f t="shared" si="10"/>
        <v>0</v>
      </c>
      <c r="G349">
        <f t="shared" si="11"/>
        <v>0</v>
      </c>
    </row>
    <row r="350" spans="1:7">
      <c r="A350" s="1607" t="s">
        <v>359</v>
      </c>
      <c r="B350" s="1609">
        <v>225492</v>
      </c>
      <c r="C350" s="1608"/>
      <c r="D350">
        <f>+IFERROR(VLOOKUP($A350,'TB Final'!$B:$H,7,0),0)</f>
        <v>368810</v>
      </c>
      <c r="E350">
        <f>+IFERROR(VLOOKUP($A350,'TB Final'!$B:$H,10,0),0)</f>
        <v>0</v>
      </c>
      <c r="F350">
        <f t="shared" si="10"/>
        <v>-143318</v>
      </c>
      <c r="G350">
        <f t="shared" si="11"/>
        <v>0</v>
      </c>
    </row>
    <row r="351" spans="1:7">
      <c r="A351" s="1607" t="s">
        <v>582</v>
      </c>
      <c r="B351" s="1609">
        <v>313340</v>
      </c>
      <c r="C351" s="1608"/>
      <c r="D351">
        <f>+IFERROR(VLOOKUP($A351,'TB Final'!$B:$H,7,0),0)</f>
        <v>313340</v>
      </c>
      <c r="E351">
        <f>+IFERROR(VLOOKUP($A351,'TB Final'!$B:$H,10,0),0)</f>
        <v>0</v>
      </c>
      <c r="F351">
        <f t="shared" si="10"/>
        <v>0</v>
      </c>
      <c r="G351">
        <f t="shared" si="11"/>
        <v>0</v>
      </c>
    </row>
    <row r="352" spans="1:7">
      <c r="A352" s="1607" t="s">
        <v>583</v>
      </c>
      <c r="B352" s="1609">
        <v>1977842</v>
      </c>
      <c r="C352" s="1608"/>
      <c r="D352">
        <f>+IFERROR(VLOOKUP($A352,'TB Final'!$B:$H,7,0),0)</f>
        <v>1977842</v>
      </c>
      <c r="E352">
        <f>+IFERROR(VLOOKUP($A352,'TB Final'!$B:$H,10,0),0)</f>
        <v>0</v>
      </c>
      <c r="F352">
        <f t="shared" si="10"/>
        <v>0</v>
      </c>
      <c r="G352">
        <f t="shared" si="11"/>
        <v>0</v>
      </c>
    </row>
    <row r="353" spans="1:7">
      <c r="A353" s="1607" t="s">
        <v>427</v>
      </c>
      <c r="B353" s="1608"/>
      <c r="C353" s="1609">
        <v>27540</v>
      </c>
      <c r="D353">
        <f>+IFERROR(VLOOKUP($A353,'TB Final'!$B:$H,7,0),0)</f>
        <v>0</v>
      </c>
      <c r="E353">
        <f>+IFERROR(VLOOKUP($A353,'TB Final'!$B:$H,10,0),0)</f>
        <v>0</v>
      </c>
      <c r="F353">
        <f t="shared" si="10"/>
        <v>0</v>
      </c>
      <c r="G353">
        <f t="shared" si="11"/>
        <v>27540</v>
      </c>
    </row>
    <row r="354" spans="1:7">
      <c r="A354" s="1607" t="s">
        <v>10</v>
      </c>
      <c r="B354" s="1608"/>
      <c r="C354" s="1609">
        <v>1018930</v>
      </c>
      <c r="D354">
        <f>+IFERROR(VLOOKUP($A354,'TB Final'!$B:$H,7,0),0)</f>
        <v>0</v>
      </c>
      <c r="E354">
        <f>+IFERROR(VLOOKUP($A354,'TB Final'!$B:$H,10,0),0)</f>
        <v>0</v>
      </c>
      <c r="F354">
        <f t="shared" si="10"/>
        <v>0</v>
      </c>
      <c r="G354">
        <f t="shared" si="11"/>
        <v>1018930</v>
      </c>
    </row>
    <row r="355" spans="1:7">
      <c r="A355" s="1607" t="s">
        <v>3003</v>
      </c>
      <c r="B355" s="1608"/>
      <c r="C355" s="1609">
        <v>18125083</v>
      </c>
      <c r="D355">
        <f>+IFERROR(VLOOKUP($A355,'TB Final'!$B:$H,7,0),0)</f>
        <v>0</v>
      </c>
      <c r="E355">
        <f>+IFERROR(VLOOKUP($A355,'TB Final'!$B:$H,10,0),0)</f>
        <v>0</v>
      </c>
      <c r="F355">
        <f t="shared" si="10"/>
        <v>0</v>
      </c>
      <c r="G355">
        <f t="shared" si="11"/>
        <v>18125083</v>
      </c>
    </row>
    <row r="356" spans="1:7">
      <c r="A356" s="1607" t="s">
        <v>3004</v>
      </c>
      <c r="B356" s="1608"/>
      <c r="C356" s="1609">
        <v>162657.20000000001</v>
      </c>
      <c r="D356">
        <f>+IFERROR(VLOOKUP($A356,'TB Final'!$B:$H,7,0),0)</f>
        <v>0</v>
      </c>
      <c r="E356">
        <f>+IFERROR(VLOOKUP($A356,'TB Final'!$B:$H,10,0),0)</f>
        <v>0</v>
      </c>
      <c r="F356">
        <f t="shared" si="10"/>
        <v>0</v>
      </c>
      <c r="G356">
        <f t="shared" si="11"/>
        <v>162657.20000000001</v>
      </c>
    </row>
    <row r="357" spans="1:7">
      <c r="A357" s="1607" t="s">
        <v>3005</v>
      </c>
      <c r="B357" s="1609">
        <v>306572</v>
      </c>
      <c r="C357" s="1608"/>
      <c r="D357">
        <f>+IFERROR(VLOOKUP($A357,'TB Final'!$B:$H,7,0),0)</f>
        <v>306572</v>
      </c>
      <c r="E357">
        <f>+IFERROR(VLOOKUP($A357,'TB Final'!$B:$H,10,0),0)</f>
        <v>0</v>
      </c>
      <c r="F357">
        <f t="shared" si="10"/>
        <v>0</v>
      </c>
      <c r="G357">
        <f t="shared" si="11"/>
        <v>0</v>
      </c>
    </row>
    <row r="358" spans="1:7">
      <c r="A358" s="1607" t="s">
        <v>438</v>
      </c>
      <c r="B358" s="1609">
        <v>2991111</v>
      </c>
      <c r="C358" s="1608"/>
      <c r="D358">
        <f>+IFERROR(VLOOKUP($A358,'TB Final'!$B:$H,7,0),0)</f>
        <v>2991111</v>
      </c>
      <c r="E358">
        <f>+IFERROR(VLOOKUP($A358,'TB Final'!$B:$H,10,0),0)</f>
        <v>0</v>
      </c>
      <c r="F358">
        <f t="shared" si="10"/>
        <v>0</v>
      </c>
      <c r="G358">
        <f t="shared" si="11"/>
        <v>0</v>
      </c>
    </row>
    <row r="359" spans="1:7">
      <c r="A359" s="1607" t="s">
        <v>584</v>
      </c>
      <c r="B359" s="1609">
        <v>765698</v>
      </c>
      <c r="C359" s="1608"/>
      <c r="D359">
        <f>+IFERROR(VLOOKUP($A359,'TB Final'!$B:$H,7,0),0)</f>
        <v>765698</v>
      </c>
      <c r="E359">
        <f>+IFERROR(VLOOKUP($A359,'TB Final'!$B:$H,10,0),0)</f>
        <v>0</v>
      </c>
      <c r="F359">
        <f t="shared" si="10"/>
        <v>0</v>
      </c>
      <c r="G359">
        <f t="shared" si="11"/>
        <v>0</v>
      </c>
    </row>
    <row r="360" spans="1:7">
      <c r="A360" s="1607" t="s">
        <v>440</v>
      </c>
      <c r="B360" s="1609">
        <v>253880</v>
      </c>
      <c r="C360" s="1608"/>
      <c r="D360">
        <f>+IFERROR(VLOOKUP($A360,'TB Final'!$B:$H,7,0),0)</f>
        <v>253880</v>
      </c>
      <c r="E360">
        <f>+IFERROR(VLOOKUP($A360,'TB Final'!$B:$H,10,0),0)</f>
        <v>0</v>
      </c>
      <c r="F360">
        <f t="shared" si="10"/>
        <v>0</v>
      </c>
      <c r="G360">
        <f t="shared" si="11"/>
        <v>0</v>
      </c>
    </row>
    <row r="361" spans="1:7">
      <c r="A361" s="1607" t="s">
        <v>441</v>
      </c>
      <c r="B361" s="1608"/>
      <c r="C361" s="1609">
        <v>9434468</v>
      </c>
      <c r="D361">
        <f>+IFERROR(VLOOKUP($A361,'TB Final'!$B:$H,7,0),0)</f>
        <v>0</v>
      </c>
      <c r="E361">
        <f>+IFERROR(VLOOKUP($A361,'TB Final'!$B:$H,10,0),0)</f>
        <v>0</v>
      </c>
      <c r="F361">
        <f t="shared" si="10"/>
        <v>0</v>
      </c>
      <c r="G361">
        <f t="shared" si="11"/>
        <v>9434468</v>
      </c>
    </row>
    <row r="362" spans="1:7">
      <c r="A362" s="1607" t="s">
        <v>442</v>
      </c>
      <c r="B362" s="1608"/>
      <c r="C362" s="1609">
        <v>560256</v>
      </c>
      <c r="D362">
        <f>+IFERROR(VLOOKUP($A362,'TB Final'!$B:$H,7,0),0)</f>
        <v>0</v>
      </c>
      <c r="E362">
        <f>+IFERROR(VLOOKUP($A362,'TB Final'!$B:$H,10,0),0)</f>
        <v>0</v>
      </c>
      <c r="F362">
        <f t="shared" si="10"/>
        <v>0</v>
      </c>
      <c r="G362">
        <f t="shared" si="11"/>
        <v>560256</v>
      </c>
    </row>
    <row r="363" spans="1:7">
      <c r="A363" s="1607" t="s">
        <v>587</v>
      </c>
      <c r="B363" s="1608"/>
      <c r="C363" s="1609">
        <v>7622054</v>
      </c>
      <c r="D363">
        <f>+IFERROR(VLOOKUP($A363,'TB Final'!$B:$H,7,0),0)</f>
        <v>0</v>
      </c>
      <c r="E363">
        <f>+IFERROR(VLOOKUP($A363,'TB Final'!$B:$H,10,0),0)</f>
        <v>0</v>
      </c>
      <c r="F363">
        <f t="shared" si="10"/>
        <v>0</v>
      </c>
      <c r="G363">
        <f t="shared" si="11"/>
        <v>7622054</v>
      </c>
    </row>
    <row r="364" spans="1:7">
      <c r="A364" s="1607" t="s">
        <v>3006</v>
      </c>
      <c r="B364" s="1609">
        <v>30768</v>
      </c>
      <c r="C364" s="1608"/>
      <c r="D364">
        <f>+IFERROR(VLOOKUP($A364,'TB Final'!$B:$H,7,0),0)</f>
        <v>30768</v>
      </c>
      <c r="E364">
        <f>+IFERROR(VLOOKUP($A364,'TB Final'!$B:$H,10,0),0)</f>
        <v>0</v>
      </c>
      <c r="F364">
        <f t="shared" si="10"/>
        <v>0</v>
      </c>
      <c r="G364">
        <f t="shared" si="11"/>
        <v>0</v>
      </c>
    </row>
    <row r="365" spans="1:7">
      <c r="A365" s="1607" t="s">
        <v>3007</v>
      </c>
      <c r="B365" s="1609">
        <v>246345</v>
      </c>
      <c r="C365" s="1608"/>
      <c r="D365">
        <f>+IFERROR(VLOOKUP($A365,'TB Final'!$B:$H,7,0),0)</f>
        <v>246345</v>
      </c>
      <c r="E365">
        <f>+IFERROR(VLOOKUP($A365,'TB Final'!$B:$H,10,0),0)</f>
        <v>0</v>
      </c>
      <c r="F365">
        <f t="shared" si="10"/>
        <v>0</v>
      </c>
      <c r="G365">
        <f t="shared" si="11"/>
        <v>0</v>
      </c>
    </row>
    <row r="366" spans="1:7">
      <c r="A366" s="1607" t="s">
        <v>3008</v>
      </c>
      <c r="B366" s="1609">
        <v>42376</v>
      </c>
      <c r="C366" s="1608"/>
      <c r="D366">
        <f>+IFERROR(VLOOKUP($A366,'TB Final'!$B:$H,7,0),0)</f>
        <v>42376</v>
      </c>
      <c r="E366">
        <f>+IFERROR(VLOOKUP($A366,'TB Final'!$B:$H,10,0),0)</f>
        <v>0</v>
      </c>
      <c r="F366">
        <f t="shared" si="10"/>
        <v>0</v>
      </c>
      <c r="G366">
        <f t="shared" si="11"/>
        <v>0</v>
      </c>
    </row>
    <row r="367" spans="1:7">
      <c r="A367" s="1607" t="s">
        <v>445</v>
      </c>
      <c r="B367" s="1609">
        <v>4714336.38</v>
      </c>
      <c r="C367" s="1608"/>
      <c r="D367">
        <f>+IFERROR(VLOOKUP($A367,'TB Final'!$B:$H,7,0),0)</f>
        <v>4714336.38</v>
      </c>
      <c r="E367">
        <f>+IFERROR(VLOOKUP($A367,'TB Final'!$B:$H,10,0),0)</f>
        <v>0</v>
      </c>
      <c r="F367">
        <f t="shared" si="10"/>
        <v>0</v>
      </c>
      <c r="G367">
        <f t="shared" si="11"/>
        <v>0</v>
      </c>
    </row>
    <row r="368" spans="1:7">
      <c r="A368" s="1607" t="s">
        <v>447</v>
      </c>
      <c r="B368" s="1609">
        <v>239312224.5</v>
      </c>
      <c r="C368" s="1608"/>
      <c r="D368">
        <f>+IFERROR(VLOOKUP($A368,'TB Final'!$B:$H,7,0),0)</f>
        <v>239312224.5</v>
      </c>
      <c r="E368">
        <f>+IFERROR(VLOOKUP($A368,'TB Final'!$B:$H,10,0),0)</f>
        <v>0</v>
      </c>
      <c r="F368">
        <f t="shared" si="10"/>
        <v>0</v>
      </c>
      <c r="G368">
        <f t="shared" si="11"/>
        <v>0</v>
      </c>
    </row>
    <row r="369" spans="1:7">
      <c r="A369" s="1607" t="s">
        <v>448</v>
      </c>
      <c r="B369" s="1609">
        <v>2933800.43</v>
      </c>
      <c r="C369" s="1608"/>
      <c r="D369">
        <f>+IFERROR(VLOOKUP($A369,'TB Final'!$B:$H,7,0),0)</f>
        <v>2933800.43</v>
      </c>
      <c r="E369">
        <f>+IFERROR(VLOOKUP($A369,'TB Final'!$B:$H,10,0),0)</f>
        <v>0</v>
      </c>
      <c r="F369">
        <f t="shared" si="10"/>
        <v>0</v>
      </c>
      <c r="G369">
        <f t="shared" si="11"/>
        <v>0</v>
      </c>
    </row>
    <row r="370" spans="1:7">
      <c r="A370" s="1607" t="s">
        <v>3009</v>
      </c>
      <c r="B370" s="1608"/>
      <c r="C370" s="1609">
        <v>714051</v>
      </c>
      <c r="D370">
        <f>+IFERROR(VLOOKUP($A370,'TB Final'!$B:$H,7,0),0)</f>
        <v>0</v>
      </c>
      <c r="E370">
        <f>+IFERROR(VLOOKUP($A370,'TB Final'!$B:$H,10,0),0)</f>
        <v>0</v>
      </c>
      <c r="F370">
        <f t="shared" si="10"/>
        <v>0</v>
      </c>
      <c r="G370">
        <f t="shared" si="11"/>
        <v>714051</v>
      </c>
    </row>
    <row r="371" spans="1:7">
      <c r="A371" s="1607" t="s">
        <v>3010</v>
      </c>
      <c r="B371" s="1608"/>
      <c r="C371" s="1609">
        <v>351471</v>
      </c>
      <c r="D371">
        <f>+IFERROR(VLOOKUP($A371,'TB Final'!$B:$H,7,0),0)</f>
        <v>0</v>
      </c>
      <c r="E371">
        <f>+IFERROR(VLOOKUP($A371,'TB Final'!$B:$H,10,0),0)</f>
        <v>0</v>
      </c>
      <c r="F371">
        <f t="shared" si="10"/>
        <v>0</v>
      </c>
      <c r="G371">
        <f t="shared" si="11"/>
        <v>351471</v>
      </c>
    </row>
    <row r="372" spans="1:7">
      <c r="A372" s="1607" t="s">
        <v>590</v>
      </c>
      <c r="B372" s="1609">
        <v>8923</v>
      </c>
      <c r="C372" s="1608"/>
      <c r="D372">
        <f>+IFERROR(VLOOKUP($A372,'TB Final'!$B:$H,7,0),0)</f>
        <v>8923</v>
      </c>
      <c r="E372">
        <f>+IFERROR(VLOOKUP($A372,'TB Final'!$B:$H,10,0),0)</f>
        <v>0</v>
      </c>
      <c r="F372">
        <f t="shared" si="10"/>
        <v>0</v>
      </c>
      <c r="G372">
        <f t="shared" si="11"/>
        <v>0</v>
      </c>
    </row>
    <row r="373" spans="1:7">
      <c r="A373" s="1607" t="s">
        <v>451</v>
      </c>
      <c r="B373" s="1609">
        <v>14904501.640000001</v>
      </c>
      <c r="C373" s="1608"/>
      <c r="D373">
        <f>+IFERROR(VLOOKUP($A373,'TB Final'!$B:$H,7,0),0)</f>
        <v>14904501.640000001</v>
      </c>
      <c r="E373">
        <f>+IFERROR(VLOOKUP($A373,'TB Final'!$B:$H,10,0),0)</f>
        <v>0</v>
      </c>
      <c r="F373">
        <f t="shared" si="10"/>
        <v>0</v>
      </c>
      <c r="G373">
        <f t="shared" si="11"/>
        <v>0</v>
      </c>
    </row>
    <row r="374" spans="1:7">
      <c r="A374" s="1610" t="s">
        <v>591</v>
      </c>
      <c r="B374" s="1751">
        <v>1396932082.6400001</v>
      </c>
      <c r="C374" s="1751">
        <v>1396932082.6400001</v>
      </c>
    </row>
  </sheetData>
  <customSheetViews>
    <customSheetView guid="{ADEA4918-0326-423A-8D00-FB47A486004B}" topLeftCell="A350">
      <selection activeCell="B374" sqref="B374:C374"/>
      <pageMargins left="0.7" right="0.7" top="0.75" bottom="0.75" header="0.3" footer="0.3"/>
    </customSheetView>
    <customSheetView guid="{2A78E287-3113-4387-BB62-BE98FA5C13C2}" state="hidden" topLeftCell="A350">
      <selection activeCell="B374" sqref="B374:C374"/>
      <pageMargins left="0.7" right="0.7" top="0.75" bottom="0.75" header="0.3" footer="0.3"/>
    </customSheetView>
    <customSheetView guid="{DC5DA12B-0FA6-4F41-A983-6E433AD4604D}" state="hidden" topLeftCell="A350">
      <selection activeCell="B374" sqref="B374:C374"/>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50"/>
  <sheetViews>
    <sheetView view="pageBreakPreview" topLeftCell="A28" zoomScaleNormal="100" zoomScaleSheetLayoutView="100" workbookViewId="0">
      <selection activeCell="J44" sqref="J44"/>
    </sheetView>
  </sheetViews>
  <sheetFormatPr defaultColWidth="9.109375" defaultRowHeight="14.4"/>
  <cols>
    <col min="2" max="2" width="2.33203125" customWidth="1"/>
    <col min="3" max="3" width="87.6640625" customWidth="1"/>
    <col min="4" max="4" width="24.44140625" style="1" bestFit="1" customWidth="1"/>
    <col min="5" max="5" width="17.44140625" style="1" customWidth="1"/>
    <col min="6" max="6" width="5.109375" customWidth="1"/>
  </cols>
  <sheetData>
    <row r="1" spans="2:5">
      <c r="B1">
        <v>100000</v>
      </c>
      <c r="E1" s="1">
        <v>100000</v>
      </c>
    </row>
    <row r="2" spans="2:5" ht="15" thickBot="1"/>
    <row r="3" spans="2:5" ht="22.95" customHeight="1">
      <c r="C3" s="2245" t="s">
        <v>702</v>
      </c>
      <c r="D3" s="2246"/>
      <c r="E3" s="2247"/>
    </row>
    <row r="4" spans="2:5" ht="15.6">
      <c r="C4" s="2248" t="s">
        <v>4704</v>
      </c>
      <c r="D4" s="2249"/>
      <c r="E4" s="2250"/>
    </row>
    <row r="5" spans="2:5" ht="15.75" customHeight="1">
      <c r="C5" s="957" t="s">
        <v>2748</v>
      </c>
      <c r="D5" s="958">
        <v>45382</v>
      </c>
      <c r="E5" s="959">
        <v>45016</v>
      </c>
    </row>
    <row r="6" spans="2:5" ht="15.6">
      <c r="C6" s="960" t="s">
        <v>2314</v>
      </c>
      <c r="D6" s="961" t="s">
        <v>2702</v>
      </c>
      <c r="E6" s="962" t="s">
        <v>2702</v>
      </c>
    </row>
    <row r="7" spans="2:5" ht="15.6">
      <c r="C7" s="957" t="s">
        <v>2315</v>
      </c>
      <c r="D7" s="963">
        <f>+'Cash Flow'!B7/'Result 3 CF'!$E$1</f>
        <v>-687.2024672673333</v>
      </c>
      <c r="E7" s="964">
        <f>+'Cash Flow'!C7/'Result 3 CF'!$E$1</f>
        <v>-497.75048144347909</v>
      </c>
    </row>
    <row r="8" spans="2:5" ht="15.6">
      <c r="C8" s="965" t="s">
        <v>2316</v>
      </c>
      <c r="D8" s="904"/>
      <c r="E8" s="966"/>
    </row>
    <row r="9" spans="2:5" ht="17.25" customHeight="1">
      <c r="C9" s="965" t="s">
        <v>2317</v>
      </c>
      <c r="D9" s="905">
        <f>+'Cash Flow'!B9/'Result 3 CF'!$E$1</f>
        <v>14.51163</v>
      </c>
      <c r="E9" s="967">
        <f>+'Cash Flow'!C9/'Result 3 CF'!$E$1</f>
        <v>4.5342099999999999</v>
      </c>
    </row>
    <row r="10" spans="2:5" ht="15.6">
      <c r="C10" s="965" t="s">
        <v>2318</v>
      </c>
      <c r="D10" s="905">
        <f>+'Cash Flow'!B10/'Result 3 CF'!$E$1</f>
        <v>195.83895999999999</v>
      </c>
      <c r="E10" s="967">
        <f>+'Cash Flow'!C10/'Result 3 CF'!$E$1</f>
        <v>180.81667364197128</v>
      </c>
    </row>
    <row r="11" spans="2:5" ht="15.6">
      <c r="C11" s="965" t="s">
        <v>766</v>
      </c>
      <c r="D11" s="905">
        <f>+'Cash Flow'!B11/'Result 3 CF'!$E$1</f>
        <v>156.44945000000001</v>
      </c>
      <c r="E11" s="967">
        <f>+'Cash Flow'!C11/'Result 3 CF'!$E$1</f>
        <v>85.876410000000007</v>
      </c>
    </row>
    <row r="12" spans="2:5" ht="15.6">
      <c r="C12" s="965" t="s">
        <v>2319</v>
      </c>
      <c r="D12" s="905"/>
      <c r="E12" s="967"/>
    </row>
    <row r="13" spans="2:5" ht="15.6">
      <c r="C13" s="957" t="s">
        <v>2320</v>
      </c>
      <c r="D13" s="968">
        <f>SUM(D7:D12)</f>
        <v>-320.40242726733334</v>
      </c>
      <c r="E13" s="969">
        <f>SUM(E7:E12)</f>
        <v>-226.52318780150785</v>
      </c>
    </row>
    <row r="14" spans="2:5" ht="15.6">
      <c r="C14" s="960" t="s">
        <v>2322</v>
      </c>
      <c r="D14" s="905"/>
      <c r="E14" s="967"/>
    </row>
    <row r="15" spans="2:5" ht="15.6">
      <c r="C15" s="965" t="s">
        <v>2331</v>
      </c>
      <c r="D15" s="905">
        <f>+'Cash Flow'!B16/'Result 3 CF'!$E$1</f>
        <v>357.39150266733213</v>
      </c>
      <c r="E15" s="967">
        <f>+'Cash Flow'!C16/'Result 3 CF'!$E$1</f>
        <v>-110.694138336384</v>
      </c>
    </row>
    <row r="16" spans="2:5" ht="15.6">
      <c r="C16" s="965" t="s">
        <v>2332</v>
      </c>
      <c r="D16" s="905">
        <f>+'Cash Flow'!B17/'Result 3 CF'!$E$1</f>
        <v>346.41471120000006</v>
      </c>
      <c r="E16" s="967">
        <f>+'Cash Flow'!C17/'Result 3 CF'!$E$1</f>
        <v>507.52504290000007</v>
      </c>
    </row>
    <row r="17" spans="3:5" ht="15.6">
      <c r="C17" s="965" t="s">
        <v>2333</v>
      </c>
      <c r="D17" s="905">
        <f>+'Cash Flow'!B18/'Result 3 CF'!$E$1</f>
        <v>35.418410000000002</v>
      </c>
      <c r="E17" s="967">
        <f>+'Cash Flow'!C18/'Result 3 CF'!$E$1</f>
        <v>9.3550000000000004</v>
      </c>
    </row>
    <row r="18" spans="3:5" ht="15.6">
      <c r="C18" s="965" t="s">
        <v>2334</v>
      </c>
      <c r="D18" s="905">
        <f>+'Cash Flow'!B19/'Result 2 BS'!$E$3</f>
        <v>24.245075700000005</v>
      </c>
      <c r="E18" s="967">
        <f>+'Cash Flow'!C19/'Result 2 BS'!$E$3</f>
        <v>-37.814469800000005</v>
      </c>
    </row>
    <row r="19" spans="3:5" ht="15.6">
      <c r="C19" s="965" t="s">
        <v>2338</v>
      </c>
      <c r="D19" s="905">
        <f>+'Cash Flow'!B21/'Result 3 CF'!$E$1</f>
        <v>178.9699347984901</v>
      </c>
      <c r="E19" s="967">
        <f>+'Cash Flow'!C21/'Result 3 CF'!$E$1</f>
        <v>42.414431501510144</v>
      </c>
    </row>
    <row r="20" spans="3:5" ht="15.6">
      <c r="C20" s="965" t="s">
        <v>2341</v>
      </c>
      <c r="D20" s="905">
        <f>+'Cash Flow'!B22/'Result 3 CF'!$E$1</f>
        <v>-3.4322400000000095</v>
      </c>
      <c r="E20" s="967">
        <f>+'Cash Flow'!C22/'Result 3 CF'!$E$1</f>
        <v>-1.36086</v>
      </c>
    </row>
    <row r="21" spans="3:5" ht="15.6">
      <c r="C21" s="965" t="s">
        <v>2344</v>
      </c>
      <c r="D21" s="905">
        <f>+'Cash Flow'!B23/'Result 3 CF'!$E$1</f>
        <v>-38.208689999999997</v>
      </c>
      <c r="E21" s="967">
        <f>+'Cash Flow'!C23/'Result 3 CF'!$E$1</f>
        <v>-0.64788000000000001</v>
      </c>
    </row>
    <row r="22" spans="3:5" ht="15.6">
      <c r="C22" s="965" t="s">
        <v>2347</v>
      </c>
      <c r="D22" s="905">
        <f>+'Cash Flow'!B24/'Result 3 CF'!$E$1</f>
        <v>2.3023989000000107</v>
      </c>
      <c r="E22" s="967">
        <f>+'Cash Flow'!C24/'Result 3 CF'!$E$1</f>
        <v>-42.558381400000009</v>
      </c>
    </row>
    <row r="23" spans="3:5" ht="15.6">
      <c r="C23" s="965" t="s">
        <v>2348</v>
      </c>
      <c r="D23" s="905">
        <f>+'Cash Flow'!B25/'Result 3 CF'!$E$1</f>
        <v>-3.3771800000000001</v>
      </c>
      <c r="E23" s="967">
        <f>+'Cash Flow'!C25/'Result 3 CF'!$E$1</f>
        <v>-14.00961</v>
      </c>
    </row>
    <row r="24" spans="3:5" ht="15.6">
      <c r="C24" s="965" t="s">
        <v>2351</v>
      </c>
      <c r="D24" s="905">
        <f>+'Cash Flow'!B26/'Result 3 CF'!$E$1</f>
        <v>0.12295</v>
      </c>
      <c r="E24" s="967">
        <f>+'Cash Flow'!C26/'Result 3 CF'!$E$1</f>
        <v>-10.861473900000002</v>
      </c>
    </row>
    <row r="25" spans="3:5" ht="15.6">
      <c r="C25" s="965" t="s">
        <v>2353</v>
      </c>
      <c r="D25" s="905">
        <f>+'Cash Flow'!B27/'Result 3 CF'!$E$1</f>
        <v>-31.963799999999999</v>
      </c>
      <c r="E25" s="967">
        <f>+'Cash Flow'!C27/'Result 3 CF'!$E$1</f>
        <v>-63.435540000000003</v>
      </c>
    </row>
    <row r="26" spans="3:5" ht="15.6">
      <c r="C26" s="957" t="s">
        <v>2356</v>
      </c>
      <c r="D26" s="968">
        <f>SUM(D14:D25)</f>
        <v>867.88307326582219</v>
      </c>
      <c r="E26" s="969">
        <f>SUM(E14:E25)</f>
        <v>277.91212096512618</v>
      </c>
    </row>
    <row r="27" spans="3:5" ht="15.6">
      <c r="C27" s="957" t="s">
        <v>2357</v>
      </c>
      <c r="D27" s="968">
        <f>+D26+D13</f>
        <v>547.48064599848885</v>
      </c>
      <c r="E27" s="969">
        <f>+E26+E13</f>
        <v>51.388933163618333</v>
      </c>
    </row>
    <row r="28" spans="3:5" ht="15.6">
      <c r="C28" s="960" t="s">
        <v>2358</v>
      </c>
      <c r="D28" s="904">
        <f>+'Cash Flow'!B31/'Result 3 CF'!$E$1</f>
        <v>-4.6112891999999999</v>
      </c>
      <c r="E28" s="966">
        <f>+'Cash Flow'!C31/'Result 3 CF'!$E$1</f>
        <v>-12.274425463122041</v>
      </c>
    </row>
    <row r="29" spans="3:5" ht="15.6">
      <c r="C29" s="957" t="s">
        <v>2360</v>
      </c>
      <c r="D29" s="968">
        <f>+D27+D28</f>
        <v>542.86935679848887</v>
      </c>
      <c r="E29" s="969">
        <f>+E27+E28</f>
        <v>39.11450770049629</v>
      </c>
    </row>
    <row r="30" spans="3:5" ht="15.6">
      <c r="C30" s="960" t="s">
        <v>2363</v>
      </c>
      <c r="D30" s="905"/>
      <c r="E30" s="967"/>
    </row>
    <row r="31" spans="3:5" ht="15.6">
      <c r="C31" s="965" t="s">
        <v>2365</v>
      </c>
      <c r="D31" s="905">
        <f>+'Cash Flow'!B35/'Result 3 CF'!$E$1</f>
        <v>-498.87521660000084</v>
      </c>
      <c r="E31" s="967">
        <f>+'Cash Flow'!C35/'Result 3 CF'!$E$1</f>
        <v>-907.51787390000015</v>
      </c>
    </row>
    <row r="32" spans="3:5" ht="15.6">
      <c r="C32" s="965" t="s">
        <v>2367</v>
      </c>
      <c r="D32" s="905">
        <v>0</v>
      </c>
      <c r="E32" s="967">
        <v>0</v>
      </c>
    </row>
    <row r="33" spans="3:5" ht="15.6" hidden="1">
      <c r="C33" s="965" t="s">
        <v>2368</v>
      </c>
      <c r="D33" s="905"/>
      <c r="E33" s="967"/>
    </row>
    <row r="34" spans="3:5" ht="15.6" hidden="1">
      <c r="C34" s="965" t="s">
        <v>2369</v>
      </c>
      <c r="D34" s="905"/>
      <c r="E34" s="967"/>
    </row>
    <row r="35" spans="3:5" ht="15.6" hidden="1">
      <c r="C35" s="965" t="s">
        <v>2370</v>
      </c>
      <c r="D35" s="905"/>
      <c r="E35" s="967"/>
    </row>
    <row r="36" spans="3:5" ht="15.6" hidden="1">
      <c r="C36" s="965" t="s">
        <v>2371</v>
      </c>
      <c r="D36" s="905"/>
      <c r="E36" s="967"/>
    </row>
    <row r="37" spans="3:5" ht="15.6">
      <c r="C37" s="957" t="s">
        <v>2372</v>
      </c>
      <c r="D37" s="968">
        <f>SUM(D31:D36)</f>
        <v>-498.87521660000084</v>
      </c>
      <c r="E37" s="969">
        <f>SUM(E31:E36)</f>
        <v>-907.51787390000015</v>
      </c>
    </row>
    <row r="38" spans="3:5" ht="15.6">
      <c r="C38" s="960" t="s">
        <v>2373</v>
      </c>
      <c r="D38" s="905"/>
      <c r="E38" s="967"/>
    </row>
    <row r="39" spans="3:5" ht="15.6">
      <c r="C39" s="965" t="s">
        <v>2375</v>
      </c>
      <c r="D39" s="905">
        <f>+'Cash Flow'!B46/'Result 3 CF'!$E$1</f>
        <v>112.85221649999991</v>
      </c>
      <c r="E39" s="967">
        <f>+'Cash Flow'!C46/'Result 3 CF'!$E$1</f>
        <v>1039.2345271000002</v>
      </c>
    </row>
    <row r="40" spans="3:5" ht="15.6">
      <c r="C40" s="965" t="s">
        <v>2377</v>
      </c>
      <c r="D40" s="905">
        <f>+'Cash Flow'!B47/'Result 3 CF'!$E$1</f>
        <v>0</v>
      </c>
      <c r="E40" s="967">
        <f>+'Cash Flow'!C47/'Result 3 CF'!$E$1</f>
        <v>-83.348459099999999</v>
      </c>
    </row>
    <row r="41" spans="3:5" ht="15.6">
      <c r="C41" s="965" t="s">
        <v>2378</v>
      </c>
      <c r="D41" s="905">
        <f>+'Cash Flow'!B48/'Result 3 CF'!$E$1</f>
        <v>-156.44945000000001</v>
      </c>
      <c r="E41" s="967">
        <f>+'Cash Flow'!C48/'Result 3 CF'!$E$1</f>
        <v>-85.876410000000007</v>
      </c>
    </row>
    <row r="42" spans="3:5" ht="15.6">
      <c r="C42" s="965"/>
      <c r="D42" s="905"/>
      <c r="E42" s="967"/>
    </row>
    <row r="43" spans="3:5" ht="15.6">
      <c r="C43" s="957" t="s">
        <v>2379</v>
      </c>
      <c r="D43" s="968">
        <f>SUM(D39:D42)</f>
        <v>-43.597233500000101</v>
      </c>
      <c r="E43" s="969">
        <f>SUM(E39:E42)</f>
        <v>870.00965800000017</v>
      </c>
    </row>
    <row r="44" spans="3:5" ht="15.6">
      <c r="C44" s="960"/>
      <c r="D44" s="905"/>
      <c r="E44" s="967"/>
    </row>
    <row r="45" spans="3:5" ht="15.6">
      <c r="C45" s="970" t="s">
        <v>2380</v>
      </c>
      <c r="D45" s="968">
        <f>+D43+D37+D29</f>
        <v>0.39690669848789639</v>
      </c>
      <c r="E45" s="969">
        <f>+E43+E37+E29</f>
        <v>1.606291800496308</v>
      </c>
    </row>
    <row r="46" spans="3:5" ht="15.6">
      <c r="C46" s="971" t="s">
        <v>2381</v>
      </c>
      <c r="D46" s="909">
        <f>+'Cash Flow'!B54/'Result 3 CF'!$E$1</f>
        <v>2.3977661521909153</v>
      </c>
      <c r="E46" s="972">
        <f>+'Cash Flow'!C54/'Result 3 CF'!$E$1</f>
        <v>0.7914743516946211</v>
      </c>
    </row>
    <row r="47" spans="3:5" ht="16.2" thickBot="1">
      <c r="C47" s="973" t="s">
        <v>2382</v>
      </c>
      <c r="D47" s="974">
        <f>+D45+D46</f>
        <v>2.7946728506788117</v>
      </c>
      <c r="E47" s="975">
        <f>+E45+E46</f>
        <v>2.397766152190929</v>
      </c>
    </row>
    <row r="49" spans="3:5">
      <c r="C49" s="328"/>
      <c r="D49" s="328"/>
      <c r="E49" s="328"/>
    </row>
    <row r="50" spans="3:5">
      <c r="C50" s="328"/>
      <c r="D50" s="328"/>
      <c r="E50" s="328"/>
    </row>
  </sheetData>
  <customSheetViews>
    <customSheetView guid="{ADEA4918-0326-423A-8D00-FB47A486004B}" showPageBreaks="1" printArea="1" hiddenRows="1" view="pageBreakPreview">
      <selection activeCell="G11" sqref="G11"/>
      <colBreaks count="1" manualBreakCount="1">
        <brk id="2" min="2" max="48" man="1"/>
      </colBreaks>
      <pageMargins left="0.7" right="0.7" top="0.75" bottom="0.75" header="0.3" footer="0.3"/>
      <pageSetup scale="69" orientation="portrait" r:id="rId1"/>
    </customSheetView>
    <customSheetView guid="{2A78E287-3113-4387-BB62-BE98FA5C13C2}" showPageBreaks="1" printArea="1" hiddenRows="1" view="pageBreakPreview" topLeftCell="A25">
      <selection activeCell="D595" sqref="D595"/>
      <colBreaks count="1" manualBreakCount="1">
        <brk id="2" min="2" max="48" man="1"/>
      </colBreaks>
      <pageMargins left="0.7" right="0.7" top="0.75" bottom="0.75" header="0.3" footer="0.3"/>
      <pageSetup scale="69" orientation="portrait" r:id="rId2"/>
    </customSheetView>
    <customSheetView guid="{DC5DA12B-0FA6-4F41-A983-6E433AD4604D}" showPageBreaks="1" printArea="1" hiddenRows="1" view="pageBreakPreview">
      <selection activeCell="D595" sqref="D595"/>
      <colBreaks count="1" manualBreakCount="1">
        <brk id="2" min="2" max="48" man="1"/>
      </colBreaks>
      <pageMargins left="0.7" right="0.7" top="0.75" bottom="0.75" header="0.3" footer="0.3"/>
      <pageSetup scale="69" orientation="portrait" r:id="rId3"/>
    </customSheetView>
  </customSheetViews>
  <mergeCells count="2">
    <mergeCell ref="C3:E3"/>
    <mergeCell ref="C4:E4"/>
  </mergeCells>
  <pageMargins left="0.7" right="0.7" top="0.75" bottom="0.75" header="0.3" footer="0.3"/>
  <pageSetup scale="69" orientation="portrait" r:id="rId4"/>
  <colBreaks count="1" manualBreakCount="1">
    <brk id="2" min="2" max="4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8848-87B8-437C-A799-0542D38CEEF4}">
  <dimension ref="A1:G382"/>
  <sheetViews>
    <sheetView topLeftCell="A8" workbookViewId="0">
      <selection activeCell="A10" sqref="A10"/>
    </sheetView>
  </sheetViews>
  <sheetFormatPr defaultRowHeight="14.4"/>
  <cols>
    <col min="1" max="1" width="44.6640625" bestFit="1" customWidth="1"/>
    <col min="2" max="3" width="13.33203125" bestFit="1" customWidth="1"/>
    <col min="4" max="5" width="16.33203125" bestFit="1" customWidth="1"/>
    <col min="6" max="6" width="14.88671875" bestFit="1" customWidth="1"/>
    <col min="7" max="7" width="13.109375" bestFit="1" customWidth="1"/>
  </cols>
  <sheetData>
    <row r="1" spans="1:7" ht="15.6">
      <c r="A1" s="1618" t="s">
        <v>456</v>
      </c>
      <c r="B1" s="1618"/>
      <c r="C1" s="1618"/>
    </row>
    <row r="2" spans="1:7">
      <c r="A2" s="1612" t="s">
        <v>457</v>
      </c>
      <c r="B2" s="1612"/>
      <c r="C2" s="1612"/>
    </row>
    <row r="3" spans="1:7">
      <c r="A3" s="1612" t="s">
        <v>458</v>
      </c>
      <c r="B3" s="1612"/>
      <c r="C3" s="1612"/>
    </row>
    <row r="4" spans="1:7">
      <c r="A4" s="1612" t="s">
        <v>459</v>
      </c>
      <c r="B4" s="1612"/>
      <c r="C4" s="1612"/>
    </row>
    <row r="5" spans="1:7">
      <c r="A5" s="1619" t="s">
        <v>460</v>
      </c>
      <c r="B5" s="1619"/>
      <c r="C5" s="1619"/>
    </row>
    <row r="6" spans="1:7" ht="15.6">
      <c r="A6" s="1620" t="s">
        <v>461</v>
      </c>
      <c r="B6" s="1620"/>
      <c r="C6" s="1620"/>
    </row>
    <row r="7" spans="1:7">
      <c r="A7" s="1612" t="s">
        <v>2940</v>
      </c>
      <c r="B7" s="1612"/>
      <c r="C7" s="1612"/>
    </row>
    <row r="8" spans="1:7" ht="14.4" customHeight="1">
      <c r="A8" s="1600" t="s">
        <v>462</v>
      </c>
      <c r="B8" s="1613" t="s">
        <v>2941</v>
      </c>
      <c r="C8" s="1614"/>
    </row>
    <row r="9" spans="1:7" ht="14.4" customHeight="1">
      <c r="B9" s="1615" t="s">
        <v>2940</v>
      </c>
      <c r="C9" s="1616"/>
    </row>
    <row r="10" spans="1:7">
      <c r="A10" s="1601" t="s">
        <v>462</v>
      </c>
      <c r="B10" s="1740" t="s">
        <v>464</v>
      </c>
      <c r="C10" s="1617"/>
      <c r="D10" s="1740" t="s">
        <v>464</v>
      </c>
      <c r="E10" s="1617"/>
      <c r="F10" t="s">
        <v>3066</v>
      </c>
    </row>
    <row r="11" spans="1:7">
      <c r="A11" s="1741" t="s">
        <v>463</v>
      </c>
      <c r="B11" s="1603" t="s">
        <v>465</v>
      </c>
      <c r="C11" s="1603" t="s">
        <v>466</v>
      </c>
      <c r="D11" s="1603" t="s">
        <v>465</v>
      </c>
      <c r="E11" s="1603" t="s">
        <v>466</v>
      </c>
      <c r="F11" s="1603" t="s">
        <v>465</v>
      </c>
      <c r="G11" s="1603" t="s">
        <v>466</v>
      </c>
    </row>
    <row r="12" spans="1:7">
      <c r="A12" s="1604" t="s">
        <v>251</v>
      </c>
      <c r="B12" s="1742">
        <v>62662681</v>
      </c>
      <c r="C12" s="1742"/>
      <c r="D12" s="1">
        <f>+VLOOKUP($A12,'TB Final'!$B:$K,7,0)</f>
        <v>62662681</v>
      </c>
      <c r="E12" s="1">
        <f>+VLOOKUP($A12,'TB Final'!$B:$K,10,0)</f>
        <v>0</v>
      </c>
      <c r="F12" s="1">
        <f>+B12-D12</f>
        <v>0</v>
      </c>
      <c r="G12" s="1">
        <f>+C12-E12</f>
        <v>0</v>
      </c>
    </row>
    <row r="13" spans="1:7">
      <c r="A13" s="1607" t="s">
        <v>20</v>
      </c>
      <c r="B13" s="1743"/>
      <c r="C13" s="1743">
        <v>2485320</v>
      </c>
      <c r="D13" s="1">
        <f>+VLOOKUP($A13,'TB Final'!$B:$K,7,0)</f>
        <v>0</v>
      </c>
      <c r="E13" s="1">
        <f>+VLOOKUP($A13,'TB Final'!$B:$K,10,0)</f>
        <v>2485320</v>
      </c>
      <c r="F13" s="1">
        <f t="shared" ref="F13:F76" si="0">+B13-D13</f>
        <v>0</v>
      </c>
      <c r="G13" s="1">
        <f t="shared" ref="G13:G76" si="1">+C13-E13</f>
        <v>0</v>
      </c>
    </row>
    <row r="14" spans="1:7">
      <c r="A14" s="1607" t="s">
        <v>2942</v>
      </c>
      <c r="B14" s="1743"/>
      <c r="C14" s="1743">
        <v>115749</v>
      </c>
      <c r="D14" s="1">
        <f>+VLOOKUP($A14,'TB Final'!$B:$K,7,0)</f>
        <v>0</v>
      </c>
      <c r="E14" s="1">
        <f>+VLOOKUP($A14,'TB Final'!$B:$K,10,0)</f>
        <v>115749</v>
      </c>
      <c r="F14" s="1">
        <f t="shared" si="0"/>
        <v>0</v>
      </c>
      <c r="G14" s="1">
        <f t="shared" si="1"/>
        <v>0</v>
      </c>
    </row>
    <row r="15" spans="1:7">
      <c r="A15" s="1607" t="s">
        <v>27</v>
      </c>
      <c r="B15" s="1743">
        <v>156102</v>
      </c>
      <c r="C15" s="1743"/>
      <c r="D15" s="1">
        <f>+VLOOKUP($A15,'TB Final'!$B:$K,7,0)</f>
        <v>156102</v>
      </c>
      <c r="E15" s="1">
        <f>+VLOOKUP($A15,'TB Final'!$B:$K,10,0)</f>
        <v>0</v>
      </c>
      <c r="F15" s="1">
        <f t="shared" si="0"/>
        <v>0</v>
      </c>
      <c r="G15" s="1">
        <f t="shared" si="1"/>
        <v>0</v>
      </c>
    </row>
    <row r="16" spans="1:7">
      <c r="A16" s="1607" t="s">
        <v>298</v>
      </c>
      <c r="B16" s="1743"/>
      <c r="C16" s="1743">
        <v>169429</v>
      </c>
      <c r="D16" s="1">
        <f>+VLOOKUP($A16,'TB Final'!$B:$K,7,0)</f>
        <v>0</v>
      </c>
      <c r="E16" s="1">
        <f>+VLOOKUP($A16,'TB Final'!$B:$K,10,0)</f>
        <v>169429</v>
      </c>
      <c r="F16" s="1">
        <f t="shared" si="0"/>
        <v>0</v>
      </c>
      <c r="G16" s="1">
        <f t="shared" si="1"/>
        <v>0</v>
      </c>
    </row>
    <row r="17" spans="1:7">
      <c r="A17" s="1607" t="s">
        <v>7</v>
      </c>
      <c r="B17" s="1743"/>
      <c r="C17" s="1743">
        <v>208440</v>
      </c>
      <c r="D17" s="1">
        <f>+VLOOKUP($A17,'TB Final'!$B:$K,7,0)</f>
        <v>0</v>
      </c>
      <c r="E17" s="1">
        <f>+VLOOKUP($A17,'TB Final'!$B:$K,10,0)</f>
        <v>208440</v>
      </c>
      <c r="F17" s="1">
        <f t="shared" si="0"/>
        <v>0</v>
      </c>
      <c r="G17" s="1">
        <f t="shared" si="1"/>
        <v>0</v>
      </c>
    </row>
    <row r="18" spans="1:7">
      <c r="A18" s="1607" t="s">
        <v>70</v>
      </c>
      <c r="B18" s="1743">
        <v>2742627</v>
      </c>
      <c r="C18" s="1743"/>
      <c r="D18" s="1">
        <f>+VLOOKUP($A18,'TB Final'!$B:$K,7,0)</f>
        <v>2734455</v>
      </c>
      <c r="E18" s="1">
        <f>+VLOOKUP($A18,'TB Final'!$B:$K,10,0)</f>
        <v>0</v>
      </c>
      <c r="F18" s="1">
        <f t="shared" si="0"/>
        <v>8172</v>
      </c>
      <c r="G18" s="1">
        <f t="shared" si="1"/>
        <v>0</v>
      </c>
    </row>
    <row r="19" spans="1:7">
      <c r="A19" s="1607" t="s">
        <v>469</v>
      </c>
      <c r="B19" s="1743"/>
      <c r="C19" s="1743">
        <v>4465191</v>
      </c>
      <c r="D19" s="1">
        <f>+VLOOKUP($A19,'TB Final'!$B:$K,7,0)</f>
        <v>0</v>
      </c>
      <c r="E19" s="1">
        <f>+VLOOKUP($A19,'TB Final'!$B:$K,10,0)</f>
        <v>4465191</v>
      </c>
      <c r="F19" s="1">
        <f t="shared" si="0"/>
        <v>0</v>
      </c>
      <c r="G19" s="1">
        <f t="shared" si="1"/>
        <v>0</v>
      </c>
    </row>
    <row r="20" spans="1:7">
      <c r="A20" s="1607" t="s">
        <v>2943</v>
      </c>
      <c r="B20" s="1743"/>
      <c r="C20" s="1743">
        <v>83200</v>
      </c>
      <c r="D20" s="1">
        <f>+VLOOKUP($A20,'TB Final'!$B:$K,7,0)</f>
        <v>0</v>
      </c>
      <c r="E20" s="1">
        <f>+VLOOKUP($A20,'TB Final'!$B:$K,10,0)</f>
        <v>0</v>
      </c>
      <c r="F20" s="1">
        <f t="shared" si="0"/>
        <v>0</v>
      </c>
      <c r="G20" s="1">
        <f t="shared" si="1"/>
        <v>83200</v>
      </c>
    </row>
    <row r="21" spans="1:7">
      <c r="A21" s="1607" t="s">
        <v>50</v>
      </c>
      <c r="B21" s="1743">
        <v>18000</v>
      </c>
      <c r="C21" s="1743"/>
      <c r="D21" s="1">
        <f>+VLOOKUP($A21,'TB Final'!$B:$K,7,0)</f>
        <v>18000</v>
      </c>
      <c r="E21" s="1">
        <f>+VLOOKUP($A21,'TB Final'!$B:$K,10,0)</f>
        <v>0</v>
      </c>
      <c r="F21" s="1">
        <f t="shared" si="0"/>
        <v>0</v>
      </c>
      <c r="G21" s="1">
        <f t="shared" si="1"/>
        <v>0</v>
      </c>
    </row>
    <row r="22" spans="1:7">
      <c r="A22" s="1607" t="s">
        <v>51</v>
      </c>
      <c r="B22" s="1743">
        <v>55000</v>
      </c>
      <c r="C22" s="1743"/>
      <c r="D22" s="1">
        <f>+VLOOKUP($A22,'TB Final'!$B:$K,7,0)</f>
        <v>55000</v>
      </c>
      <c r="E22" s="1">
        <f>+VLOOKUP($A22,'TB Final'!$B:$K,10,0)</f>
        <v>0</v>
      </c>
      <c r="F22" s="1">
        <f t="shared" si="0"/>
        <v>0</v>
      </c>
      <c r="G22" s="1">
        <f t="shared" si="1"/>
        <v>0</v>
      </c>
    </row>
    <row r="23" spans="1:7">
      <c r="A23" s="1607" t="s">
        <v>2944</v>
      </c>
      <c r="B23" s="1743">
        <v>70000</v>
      </c>
      <c r="C23" s="1743"/>
      <c r="D23" s="1">
        <f>+VLOOKUP($A23,'TB Final'!$B:$K,7,0)</f>
        <v>70000</v>
      </c>
      <c r="E23" s="1">
        <f>+VLOOKUP($A23,'TB Final'!$B:$K,10,0)</f>
        <v>0</v>
      </c>
      <c r="F23" s="1">
        <f t="shared" si="0"/>
        <v>0</v>
      </c>
      <c r="G23" s="1">
        <f t="shared" si="1"/>
        <v>0</v>
      </c>
    </row>
    <row r="24" spans="1:7">
      <c r="A24" s="1607" t="s">
        <v>2945</v>
      </c>
      <c r="B24" s="1743">
        <v>244640</v>
      </c>
      <c r="C24" s="1743"/>
      <c r="D24" s="1">
        <f>+VLOOKUP($A24,'TB Final'!$B:$K,7,0)</f>
        <v>244640</v>
      </c>
      <c r="E24" s="1">
        <f>+VLOOKUP($A24,'TB Final'!$B:$K,10,0)</f>
        <v>0</v>
      </c>
      <c r="F24" s="1">
        <f t="shared" si="0"/>
        <v>0</v>
      </c>
      <c r="G24" s="1">
        <f t="shared" si="1"/>
        <v>0</v>
      </c>
    </row>
    <row r="25" spans="1:7">
      <c r="A25" s="1607" t="s">
        <v>56</v>
      </c>
      <c r="B25" s="1743">
        <v>7403</v>
      </c>
      <c r="C25" s="1743"/>
      <c r="D25" s="1">
        <f>+VLOOKUP($A25,'TB Final'!$B:$K,7,0)</f>
        <v>7403</v>
      </c>
      <c r="E25" s="1">
        <f>+VLOOKUP($A25,'TB Final'!$B:$K,10,0)</f>
        <v>0</v>
      </c>
      <c r="F25" s="1">
        <f t="shared" si="0"/>
        <v>0</v>
      </c>
      <c r="G25" s="1">
        <f t="shared" si="1"/>
        <v>0</v>
      </c>
    </row>
    <row r="26" spans="1:7">
      <c r="A26" s="1607" t="s">
        <v>58</v>
      </c>
      <c r="B26" s="1743"/>
      <c r="C26" s="1743">
        <v>247500</v>
      </c>
      <c r="D26" s="1">
        <f>+VLOOKUP($A26,'TB Final'!$B:$K,7,0)</f>
        <v>0</v>
      </c>
      <c r="E26" s="1">
        <f>+VLOOKUP($A26,'TB Final'!$B:$K,10,0)</f>
        <v>247500</v>
      </c>
      <c r="F26" s="1">
        <f t="shared" si="0"/>
        <v>0</v>
      </c>
      <c r="G26" s="1">
        <f t="shared" si="1"/>
        <v>0</v>
      </c>
    </row>
    <row r="27" spans="1:7">
      <c r="A27" s="1607" t="s">
        <v>472</v>
      </c>
      <c r="B27" s="1743">
        <v>1489956</v>
      </c>
      <c r="C27" s="1743"/>
      <c r="D27" s="1">
        <f>+VLOOKUP($A27,'TB Final'!$B:$K,7,0)</f>
        <v>1489956</v>
      </c>
      <c r="E27" s="1">
        <f>+VLOOKUP($A27,'TB Final'!$B:$K,10,0)</f>
        <v>0</v>
      </c>
      <c r="F27" s="1">
        <f t="shared" si="0"/>
        <v>0</v>
      </c>
      <c r="G27" s="1">
        <f t="shared" si="1"/>
        <v>0</v>
      </c>
    </row>
    <row r="28" spans="1:7">
      <c r="A28" s="1607" t="s">
        <v>473</v>
      </c>
      <c r="B28" s="1743"/>
      <c r="C28" s="1743">
        <v>641767.5</v>
      </c>
      <c r="D28" s="1">
        <f>+VLOOKUP($A28,'TB Final'!$B:$K,7,0)</f>
        <v>0</v>
      </c>
      <c r="E28" s="1">
        <f>+VLOOKUP($A28,'TB Final'!$B:$K,10,0)</f>
        <v>641767.5</v>
      </c>
      <c r="F28" s="1">
        <f t="shared" si="0"/>
        <v>0</v>
      </c>
      <c r="G28" s="1">
        <f t="shared" si="1"/>
        <v>0</v>
      </c>
    </row>
    <row r="29" spans="1:7">
      <c r="A29" s="1607" t="s">
        <v>60</v>
      </c>
      <c r="B29" s="1743"/>
      <c r="C29" s="1743">
        <v>233402</v>
      </c>
      <c r="D29" s="1">
        <f>+VLOOKUP($A29,'TB Final'!$B:$K,7,0)</f>
        <v>0</v>
      </c>
      <c r="E29" s="1">
        <f>+VLOOKUP($A29,'TB Final'!$B:$K,10,0)</f>
        <v>233402</v>
      </c>
      <c r="F29" s="1">
        <f t="shared" si="0"/>
        <v>0</v>
      </c>
      <c r="G29" s="1">
        <f t="shared" si="1"/>
        <v>0</v>
      </c>
    </row>
    <row r="30" spans="1:7">
      <c r="A30" s="1607" t="s">
        <v>61</v>
      </c>
      <c r="B30" s="1743"/>
      <c r="C30" s="1743">
        <v>383005</v>
      </c>
      <c r="D30" s="1">
        <f>+VLOOKUP($A30,'TB Final'!$B:$K,7,0)</f>
        <v>0</v>
      </c>
      <c r="E30" s="1">
        <f>+VLOOKUP($A30,'TB Final'!$B:$K,10,0)</f>
        <v>383005</v>
      </c>
      <c r="F30" s="1">
        <f t="shared" si="0"/>
        <v>0</v>
      </c>
      <c r="G30" s="1">
        <f t="shared" si="1"/>
        <v>0</v>
      </c>
    </row>
    <row r="31" spans="1:7">
      <c r="A31" s="1607" t="s">
        <v>2946</v>
      </c>
      <c r="B31" s="1743">
        <v>350000</v>
      </c>
      <c r="C31" s="1743"/>
      <c r="D31" s="1">
        <f>+VLOOKUP($A31,'TB Final'!$B:$K,7,0)</f>
        <v>350000</v>
      </c>
      <c r="E31" s="1">
        <f>+VLOOKUP($A31,'TB Final'!$B:$K,10,0)</f>
        <v>0</v>
      </c>
      <c r="F31" s="1">
        <f t="shared" si="0"/>
        <v>0</v>
      </c>
      <c r="G31" s="1">
        <f t="shared" si="1"/>
        <v>0</v>
      </c>
    </row>
    <row r="32" spans="1:7">
      <c r="A32" s="1607" t="s">
        <v>62</v>
      </c>
      <c r="B32" s="1743">
        <v>181893.48</v>
      </c>
      <c r="C32" s="1743"/>
      <c r="D32" s="1">
        <f>+VLOOKUP($A32,'TB Final'!$B:$K,7,0)</f>
        <v>182542.48</v>
      </c>
      <c r="E32" s="1">
        <f>+VLOOKUP($A32,'TB Final'!$B:$K,10,0)</f>
        <v>0</v>
      </c>
      <c r="F32" s="1">
        <f t="shared" si="0"/>
        <v>-649</v>
      </c>
      <c r="G32" s="1">
        <f t="shared" si="1"/>
        <v>0</v>
      </c>
    </row>
    <row r="33" spans="1:7">
      <c r="A33" s="1607" t="s">
        <v>66</v>
      </c>
      <c r="B33" s="1743">
        <v>262544</v>
      </c>
      <c r="C33" s="1743"/>
      <c r="D33" s="1">
        <f>+VLOOKUP($A33,'TB Final'!$B:$K,7,0)</f>
        <v>262544</v>
      </c>
      <c r="E33" s="1">
        <f>+VLOOKUP($A33,'TB Final'!$B:$K,10,0)</f>
        <v>0</v>
      </c>
      <c r="F33" s="1">
        <f t="shared" si="0"/>
        <v>0</v>
      </c>
      <c r="G33" s="1">
        <f t="shared" si="1"/>
        <v>0</v>
      </c>
    </row>
    <row r="34" spans="1:7">
      <c r="A34" s="1607" t="s">
        <v>2947</v>
      </c>
      <c r="B34" s="1743">
        <v>586700</v>
      </c>
      <c r="C34" s="1743"/>
      <c r="D34" s="1">
        <f>+VLOOKUP($A34,'TB Final'!$B:$K,7,0)</f>
        <v>586700</v>
      </c>
      <c r="E34" s="1">
        <f>+VLOOKUP($A34,'TB Final'!$B:$K,10,0)</f>
        <v>0</v>
      </c>
      <c r="F34" s="1">
        <f t="shared" si="0"/>
        <v>0</v>
      </c>
      <c r="G34" s="1">
        <f t="shared" si="1"/>
        <v>0</v>
      </c>
    </row>
    <row r="35" spans="1:7">
      <c r="A35" s="1607" t="s">
        <v>2948</v>
      </c>
      <c r="B35" s="1743"/>
      <c r="C35" s="1743">
        <v>430509</v>
      </c>
      <c r="D35" s="1">
        <f>+VLOOKUP($A35,'TB Final'!$B:$K,7,0)</f>
        <v>0</v>
      </c>
      <c r="E35" s="1">
        <f>+VLOOKUP($A35,'TB Final'!$B:$K,10,0)</f>
        <v>430509</v>
      </c>
      <c r="F35" s="1">
        <f t="shared" si="0"/>
        <v>0</v>
      </c>
      <c r="G35" s="1">
        <f t="shared" si="1"/>
        <v>0</v>
      </c>
    </row>
    <row r="36" spans="1:7">
      <c r="A36" s="1607" t="s">
        <v>69</v>
      </c>
      <c r="B36" s="1743"/>
      <c r="C36" s="1743">
        <v>757002</v>
      </c>
      <c r="D36" s="1">
        <f>+VLOOKUP($A36,'TB Final'!$B:$K,7,0)</f>
        <v>0</v>
      </c>
      <c r="E36" s="1">
        <f>+VLOOKUP($A36,'TB Final'!$B:$K,10,0)</f>
        <v>757002</v>
      </c>
      <c r="F36" s="1">
        <f t="shared" si="0"/>
        <v>0</v>
      </c>
      <c r="G36" s="1">
        <f t="shared" si="1"/>
        <v>0</v>
      </c>
    </row>
    <row r="37" spans="1:7">
      <c r="A37" s="1607" t="s">
        <v>2949</v>
      </c>
      <c r="B37" s="1743"/>
      <c r="C37" s="1743">
        <v>1762334</v>
      </c>
      <c r="D37" s="1">
        <f>+VLOOKUP($A37,'TB Final'!$B:$K,7,0)</f>
        <v>0</v>
      </c>
      <c r="E37" s="1">
        <f>+VLOOKUP($A37,'TB Final'!$B:$K,10,0)</f>
        <v>1762334</v>
      </c>
      <c r="F37" s="1">
        <f t="shared" si="0"/>
        <v>0</v>
      </c>
      <c r="G37" s="1">
        <f t="shared" si="1"/>
        <v>0</v>
      </c>
    </row>
    <row r="38" spans="1:7">
      <c r="A38" s="1607" t="s">
        <v>2950</v>
      </c>
      <c r="B38" s="1743"/>
      <c r="C38" s="1743">
        <v>38700</v>
      </c>
      <c r="D38" s="1">
        <f>+VLOOKUP($A38,'TB Final'!$B:$K,7,0)</f>
        <v>0</v>
      </c>
      <c r="E38" s="1">
        <f>+VLOOKUP($A38,'TB Final'!$B:$K,10,0)</f>
        <v>38700</v>
      </c>
      <c r="F38" s="1">
        <f t="shared" si="0"/>
        <v>0</v>
      </c>
      <c r="G38" s="1">
        <f t="shared" si="1"/>
        <v>0</v>
      </c>
    </row>
    <row r="39" spans="1:7">
      <c r="A39" s="1607" t="s">
        <v>72</v>
      </c>
      <c r="B39" s="1743">
        <v>3742571.88</v>
      </c>
      <c r="C39" s="1743"/>
      <c r="D39" s="1">
        <f>+VLOOKUP($A39,'TB Final'!$B:$K,7,0)</f>
        <v>3742571.88</v>
      </c>
      <c r="E39" s="1">
        <f>+VLOOKUP($A39,'TB Final'!$B:$K,10,0)</f>
        <v>0</v>
      </c>
      <c r="F39" s="1">
        <f t="shared" si="0"/>
        <v>0</v>
      </c>
      <c r="G39" s="1">
        <f t="shared" si="1"/>
        <v>0</v>
      </c>
    </row>
    <row r="40" spans="1:7">
      <c r="A40" s="1607" t="s">
        <v>475</v>
      </c>
      <c r="B40" s="1743">
        <v>3164</v>
      </c>
      <c r="C40" s="1743"/>
      <c r="D40" s="1">
        <f>+VLOOKUP($A40,'TB Final'!$B:$K,7,0)</f>
        <v>3164</v>
      </c>
      <c r="E40" s="1">
        <f>+VLOOKUP($A40,'TB Final'!$B:$K,10,0)</f>
        <v>0</v>
      </c>
      <c r="F40" s="1">
        <f t="shared" si="0"/>
        <v>0</v>
      </c>
      <c r="G40" s="1">
        <f t="shared" si="1"/>
        <v>0</v>
      </c>
    </row>
    <row r="41" spans="1:7">
      <c r="A41" s="1607" t="s">
        <v>2951</v>
      </c>
      <c r="B41" s="1743">
        <v>50118</v>
      </c>
      <c r="C41" s="1743"/>
      <c r="D41" s="1">
        <f>+VLOOKUP($A41,'TB Final'!$B:$K,7,0)</f>
        <v>50118</v>
      </c>
      <c r="E41" s="1">
        <f>+VLOOKUP($A41,'TB Final'!$B:$K,10,0)</f>
        <v>0</v>
      </c>
      <c r="F41" s="1">
        <f t="shared" si="0"/>
        <v>0</v>
      </c>
      <c r="G41" s="1">
        <f t="shared" si="1"/>
        <v>0</v>
      </c>
    </row>
    <row r="42" spans="1:7">
      <c r="A42" s="1607" t="s">
        <v>476</v>
      </c>
      <c r="B42" s="1743">
        <v>71582379.390000001</v>
      </c>
      <c r="C42" s="1743"/>
      <c r="D42" s="1">
        <f>+VLOOKUP($A42,'TB Final'!$B:$K,7,0)</f>
        <v>74323684.409999996</v>
      </c>
      <c r="E42" s="1">
        <f>+VLOOKUP($A42,'TB Final'!$B:$K,10,0)</f>
        <v>0</v>
      </c>
      <c r="F42" s="1">
        <f t="shared" si="0"/>
        <v>-2741305.0199999958</v>
      </c>
      <c r="G42" s="1">
        <f t="shared" si="1"/>
        <v>0</v>
      </c>
    </row>
    <row r="43" spans="1:7">
      <c r="A43" s="1607" t="s">
        <v>79</v>
      </c>
      <c r="B43" s="1743"/>
      <c r="C43" s="1743">
        <v>20413989</v>
      </c>
      <c r="D43" s="1">
        <f>+VLOOKUP($A43,'TB Final'!$B:$K,7,0)</f>
        <v>0</v>
      </c>
      <c r="E43" s="1">
        <f>+VLOOKUP($A43,'TB Final'!$B:$K,10,0)</f>
        <v>20413989</v>
      </c>
      <c r="F43" s="1">
        <f t="shared" si="0"/>
        <v>0</v>
      </c>
      <c r="G43" s="1">
        <f t="shared" si="1"/>
        <v>0</v>
      </c>
    </row>
    <row r="44" spans="1:7">
      <c r="A44" s="1607" t="s">
        <v>84</v>
      </c>
      <c r="B44" s="1743">
        <v>369720</v>
      </c>
      <c r="C44" s="1743"/>
      <c r="D44" s="1">
        <f>+VLOOKUP($A44,'TB Final'!$B:$K,7,0)</f>
        <v>369720</v>
      </c>
      <c r="E44" s="1">
        <f>+VLOOKUP($A44,'TB Final'!$B:$K,10,0)</f>
        <v>0</v>
      </c>
      <c r="F44" s="1">
        <f t="shared" si="0"/>
        <v>0</v>
      </c>
      <c r="G44" s="1">
        <f t="shared" si="1"/>
        <v>0</v>
      </c>
    </row>
    <row r="45" spans="1:7">
      <c r="A45" s="1607" t="s">
        <v>86</v>
      </c>
      <c r="B45" s="1743">
        <v>201977</v>
      </c>
      <c r="C45" s="1743"/>
      <c r="D45" s="1">
        <f>+VLOOKUP($A45,'TB Final'!$B:$K,7,0)</f>
        <v>201977</v>
      </c>
      <c r="E45" s="1">
        <f>+VLOOKUP($A45,'TB Final'!$B:$K,10,0)</f>
        <v>0</v>
      </c>
      <c r="F45" s="1">
        <f t="shared" si="0"/>
        <v>0</v>
      </c>
      <c r="G45" s="1">
        <f t="shared" si="1"/>
        <v>0</v>
      </c>
    </row>
    <row r="46" spans="1:7">
      <c r="A46" s="1607" t="s">
        <v>87</v>
      </c>
      <c r="B46" s="1743">
        <v>276683</v>
      </c>
      <c r="C46" s="1743"/>
      <c r="D46" s="1">
        <f>+VLOOKUP($A46,'TB Final'!$B:$K,7,0)</f>
        <v>276683</v>
      </c>
      <c r="E46" s="1">
        <f>+VLOOKUP($A46,'TB Final'!$B:$K,10,0)</f>
        <v>0</v>
      </c>
      <c r="F46" s="1">
        <f t="shared" si="0"/>
        <v>0</v>
      </c>
      <c r="G46" s="1">
        <f t="shared" si="1"/>
        <v>0</v>
      </c>
    </row>
    <row r="47" spans="1:7">
      <c r="A47" s="1607" t="s">
        <v>478</v>
      </c>
      <c r="B47" s="1743">
        <v>270656</v>
      </c>
      <c r="C47" s="1743"/>
      <c r="D47" s="1">
        <f>+VLOOKUP($A47,'TB Final'!$B:$K,7,0)</f>
        <v>270656</v>
      </c>
      <c r="E47" s="1">
        <f>+VLOOKUP($A47,'TB Final'!$B:$K,10,0)</f>
        <v>0</v>
      </c>
      <c r="F47" s="1">
        <f t="shared" si="0"/>
        <v>0</v>
      </c>
      <c r="G47" s="1">
        <f t="shared" si="1"/>
        <v>0</v>
      </c>
    </row>
    <row r="48" spans="1:7">
      <c r="A48" s="1607" t="s">
        <v>2952</v>
      </c>
      <c r="B48" s="1743"/>
      <c r="C48" s="1743">
        <v>833</v>
      </c>
      <c r="D48" s="1">
        <f>+VLOOKUP($A48,'TB Final'!$B:$K,7,0)</f>
        <v>0</v>
      </c>
      <c r="E48" s="1">
        <f>+VLOOKUP($A48,'TB Final'!$B:$K,10,0)</f>
        <v>0</v>
      </c>
      <c r="F48" s="1">
        <f t="shared" si="0"/>
        <v>0</v>
      </c>
      <c r="G48" s="1">
        <f t="shared" si="1"/>
        <v>833</v>
      </c>
    </row>
    <row r="49" spans="1:7">
      <c r="A49" s="1607" t="s">
        <v>2953</v>
      </c>
      <c r="B49" s="1743">
        <v>780000</v>
      </c>
      <c r="C49" s="1743"/>
      <c r="D49" s="1">
        <f>+VLOOKUP($A49,'TB Final'!$B:$K,7,0)</f>
        <v>780000</v>
      </c>
      <c r="E49" s="1">
        <f>+VLOOKUP($A49,'TB Final'!$B:$K,10,0)</f>
        <v>0</v>
      </c>
      <c r="F49" s="1">
        <f t="shared" si="0"/>
        <v>0</v>
      </c>
      <c r="G49" s="1">
        <f t="shared" si="1"/>
        <v>0</v>
      </c>
    </row>
    <row r="50" spans="1:7">
      <c r="A50" s="1607" t="s">
        <v>2954</v>
      </c>
      <c r="B50" s="1743"/>
      <c r="C50" s="1743">
        <v>633932.4</v>
      </c>
      <c r="D50" s="1">
        <f>+VLOOKUP($A50,'TB Final'!$B:$K,7,0)</f>
        <v>0</v>
      </c>
      <c r="E50" s="1">
        <f>+VLOOKUP($A50,'TB Final'!$B:$K,10,0)</f>
        <v>633932.4</v>
      </c>
      <c r="F50" s="1">
        <f t="shared" si="0"/>
        <v>0</v>
      </c>
      <c r="G50" s="1">
        <f t="shared" si="1"/>
        <v>0</v>
      </c>
    </row>
    <row r="51" spans="1:7">
      <c r="A51" s="1607" t="s">
        <v>95</v>
      </c>
      <c r="B51" s="1743">
        <v>39746292.5</v>
      </c>
      <c r="C51" s="1743"/>
      <c r="D51" s="1">
        <f>+VLOOKUP($A51,'TB Final'!$B:$K,7,0)</f>
        <v>39746292.5</v>
      </c>
      <c r="E51" s="1">
        <f>+VLOOKUP($A51,'TB Final'!$B:$K,10,0)</f>
        <v>0</v>
      </c>
      <c r="F51" s="1">
        <f t="shared" si="0"/>
        <v>0</v>
      </c>
      <c r="G51" s="1">
        <f t="shared" si="1"/>
        <v>0</v>
      </c>
    </row>
    <row r="52" spans="1:7">
      <c r="A52" s="1607" t="s">
        <v>481</v>
      </c>
      <c r="B52" s="1743">
        <v>233302.6</v>
      </c>
      <c r="C52" s="1743"/>
      <c r="D52" s="1">
        <f>+VLOOKUP($A52,'TB Final'!$B:$K,7,0)</f>
        <v>233302.6</v>
      </c>
      <c r="E52" s="1">
        <f>+VLOOKUP($A52,'TB Final'!$B:$K,10,0)</f>
        <v>0</v>
      </c>
      <c r="F52" s="1">
        <f t="shared" si="0"/>
        <v>0</v>
      </c>
      <c r="G52" s="1">
        <f t="shared" si="1"/>
        <v>0</v>
      </c>
    </row>
    <row r="53" spans="1:7">
      <c r="A53" s="1607" t="s">
        <v>2956</v>
      </c>
      <c r="B53" s="1743">
        <v>245381</v>
      </c>
      <c r="C53" s="1743"/>
      <c r="D53" s="1">
        <f>+VLOOKUP($A53,'TB Final'!$B:$K,7,0)</f>
        <v>245381</v>
      </c>
      <c r="E53" s="1">
        <f>+VLOOKUP($A53,'TB Final'!$B:$K,10,0)</f>
        <v>0</v>
      </c>
      <c r="F53" s="1">
        <f t="shared" si="0"/>
        <v>0</v>
      </c>
      <c r="G53" s="1">
        <f t="shared" si="1"/>
        <v>0</v>
      </c>
    </row>
    <row r="54" spans="1:7">
      <c r="A54" s="1607" t="s">
        <v>99</v>
      </c>
      <c r="B54" s="1743">
        <v>22889262</v>
      </c>
      <c r="C54" s="1743"/>
      <c r="D54" s="1">
        <f>+VLOOKUP($A54,'TB Final'!$B:$K,7,0)</f>
        <v>22889262</v>
      </c>
      <c r="E54" s="1">
        <f>+VLOOKUP($A54,'TB Final'!$B:$K,10,0)</f>
        <v>0</v>
      </c>
      <c r="F54" s="1">
        <f t="shared" si="0"/>
        <v>0</v>
      </c>
      <c r="G54" s="1">
        <f t="shared" si="1"/>
        <v>0</v>
      </c>
    </row>
    <row r="55" spans="1:7">
      <c r="A55" s="1607" t="s">
        <v>2957</v>
      </c>
      <c r="B55" s="1743">
        <v>3656000</v>
      </c>
      <c r="C55" s="1743"/>
      <c r="D55" s="1">
        <f>+VLOOKUP($A55,'TB Final'!$B:$K,7,0)</f>
        <v>3656000</v>
      </c>
      <c r="E55" s="1">
        <f>+VLOOKUP($A55,'TB Final'!$B:$K,10,0)</f>
        <v>0</v>
      </c>
      <c r="F55" s="1">
        <f t="shared" si="0"/>
        <v>0</v>
      </c>
      <c r="G55" s="1">
        <f t="shared" si="1"/>
        <v>0</v>
      </c>
    </row>
    <row r="56" spans="1:7">
      <c r="A56" s="1607" t="s">
        <v>101</v>
      </c>
      <c r="B56" s="1743">
        <v>58412480.560000002</v>
      </c>
      <c r="C56" s="1743"/>
      <c r="D56" s="1">
        <f>+VLOOKUP($A56,'TB Final'!$B:$K,7,0)</f>
        <v>58412480.560000002</v>
      </c>
      <c r="E56" s="1">
        <f>+VLOOKUP($A56,'TB Final'!$B:$K,10,0)</f>
        <v>0</v>
      </c>
      <c r="F56" s="1">
        <f t="shared" si="0"/>
        <v>0</v>
      </c>
      <c r="G56" s="1">
        <f t="shared" si="1"/>
        <v>0</v>
      </c>
    </row>
    <row r="57" spans="1:7">
      <c r="A57" s="1607" t="s">
        <v>370</v>
      </c>
      <c r="B57" s="1743">
        <v>44654</v>
      </c>
      <c r="C57" s="1743"/>
      <c r="D57" s="1">
        <f>+VLOOKUP($A57,'TB Final'!$B:$K,7,0)</f>
        <v>44654</v>
      </c>
      <c r="E57" s="1">
        <f>+VLOOKUP($A57,'TB Final'!$B:$K,10,0)</f>
        <v>0</v>
      </c>
      <c r="F57" s="1">
        <f t="shared" si="0"/>
        <v>0</v>
      </c>
      <c r="G57" s="1">
        <f t="shared" si="1"/>
        <v>0</v>
      </c>
    </row>
    <row r="58" spans="1:7">
      <c r="A58" s="1607" t="s">
        <v>102</v>
      </c>
      <c r="B58" s="1743">
        <v>1056621.7</v>
      </c>
      <c r="C58" s="1743"/>
      <c r="D58" s="1">
        <f>+VLOOKUP($A58,'TB Final'!$B:$K,7,0)</f>
        <v>1056621.7</v>
      </c>
      <c r="E58" s="1">
        <f>+VLOOKUP($A58,'TB Final'!$B:$K,10,0)</f>
        <v>0</v>
      </c>
      <c r="F58" s="1">
        <f t="shared" si="0"/>
        <v>0</v>
      </c>
      <c r="G58" s="1">
        <f t="shared" si="1"/>
        <v>0</v>
      </c>
    </row>
    <row r="59" spans="1:7">
      <c r="A59" s="1607" t="s">
        <v>103</v>
      </c>
      <c r="B59" s="1743">
        <v>150000</v>
      </c>
      <c r="C59" s="1743"/>
      <c r="D59" s="1">
        <f>+VLOOKUP($A59,'TB Final'!$B:$K,7,0)</f>
        <v>150000</v>
      </c>
      <c r="E59" s="1">
        <f>+VLOOKUP($A59,'TB Final'!$B:$K,10,0)</f>
        <v>0</v>
      </c>
      <c r="F59" s="1">
        <f t="shared" si="0"/>
        <v>0</v>
      </c>
      <c r="G59" s="1">
        <f t="shared" si="1"/>
        <v>0</v>
      </c>
    </row>
    <row r="60" spans="1:7">
      <c r="A60" s="1607" t="s">
        <v>105</v>
      </c>
      <c r="B60" s="1743">
        <v>73085</v>
      </c>
      <c r="C60" s="1743"/>
      <c r="D60" s="1">
        <f>+VLOOKUP($A60,'TB Final'!$B:$K,7,0)</f>
        <v>73085</v>
      </c>
      <c r="E60" s="1">
        <f>+VLOOKUP($A60,'TB Final'!$B:$K,10,0)</f>
        <v>0</v>
      </c>
      <c r="F60" s="1">
        <f t="shared" si="0"/>
        <v>0</v>
      </c>
      <c r="G60" s="1">
        <f t="shared" si="1"/>
        <v>0</v>
      </c>
    </row>
    <row r="61" spans="1:7">
      <c r="A61" s="1607" t="s">
        <v>106</v>
      </c>
      <c r="B61" s="1743"/>
      <c r="C61" s="1743">
        <v>49748</v>
      </c>
      <c r="D61" s="1">
        <f>+VLOOKUP($A61,'TB Final'!$B:$K,7,0)</f>
        <v>0</v>
      </c>
      <c r="E61" s="1">
        <f>+VLOOKUP($A61,'TB Final'!$B:$K,10,0)</f>
        <v>49748</v>
      </c>
      <c r="F61" s="1">
        <f t="shared" si="0"/>
        <v>0</v>
      </c>
      <c r="G61" s="1">
        <f t="shared" si="1"/>
        <v>0</v>
      </c>
    </row>
    <row r="62" spans="1:7">
      <c r="A62" s="1607" t="s">
        <v>482</v>
      </c>
      <c r="B62" s="1743"/>
      <c r="C62" s="1743">
        <v>254452</v>
      </c>
      <c r="D62" s="1">
        <f>+VLOOKUP($A62,'TB Final'!$B:$K,7,0)</f>
        <v>0</v>
      </c>
      <c r="E62" s="1">
        <f>+VLOOKUP($A62,'TB Final'!$B:$K,10,0)</f>
        <v>254452</v>
      </c>
      <c r="F62" s="1">
        <f t="shared" si="0"/>
        <v>0</v>
      </c>
      <c r="G62" s="1">
        <f t="shared" si="1"/>
        <v>0</v>
      </c>
    </row>
    <row r="63" spans="1:7">
      <c r="A63" s="1607" t="s">
        <v>483</v>
      </c>
      <c r="B63" s="1743">
        <v>65874</v>
      </c>
      <c r="C63" s="1743"/>
      <c r="D63" s="1">
        <f>+VLOOKUP($A63,'TB Final'!$B:$K,7,0)</f>
        <v>65874</v>
      </c>
      <c r="E63" s="1">
        <f>+VLOOKUP($A63,'TB Final'!$B:$K,10,0)</f>
        <v>0</v>
      </c>
      <c r="F63" s="1">
        <f t="shared" si="0"/>
        <v>0</v>
      </c>
      <c r="G63" s="1">
        <f t="shared" si="1"/>
        <v>0</v>
      </c>
    </row>
    <row r="64" spans="1:7">
      <c r="A64" s="1607" t="s">
        <v>484</v>
      </c>
      <c r="B64" s="1743">
        <v>44110.5</v>
      </c>
      <c r="C64" s="1743"/>
      <c r="D64" s="1">
        <f>+VLOOKUP($A64,'TB Final'!$B:$K,7,0)</f>
        <v>44110.5</v>
      </c>
      <c r="E64" s="1">
        <f>+VLOOKUP($A64,'TB Final'!$B:$K,10,0)</f>
        <v>0</v>
      </c>
      <c r="F64" s="1">
        <f t="shared" si="0"/>
        <v>0</v>
      </c>
      <c r="G64" s="1">
        <f t="shared" si="1"/>
        <v>0</v>
      </c>
    </row>
    <row r="65" spans="1:7">
      <c r="A65" s="1607" t="s">
        <v>373</v>
      </c>
      <c r="B65" s="1743">
        <v>2229150</v>
      </c>
      <c r="C65" s="1743"/>
      <c r="D65" s="1">
        <f>+VLOOKUP($A65,'TB Final'!$B:$K,7,0)</f>
        <v>2229150</v>
      </c>
      <c r="E65" s="1">
        <f>+VLOOKUP($A65,'TB Final'!$B:$K,10,0)</f>
        <v>0</v>
      </c>
      <c r="F65" s="1">
        <f t="shared" si="0"/>
        <v>0</v>
      </c>
      <c r="G65" s="1">
        <f t="shared" si="1"/>
        <v>0</v>
      </c>
    </row>
    <row r="66" spans="1:7">
      <c r="A66" s="1607" t="s">
        <v>429</v>
      </c>
      <c r="B66" s="1743"/>
      <c r="C66" s="1743">
        <v>30858</v>
      </c>
      <c r="D66" s="1">
        <f>+VLOOKUP($A66,'TB Final'!$B:$K,7,0)</f>
        <v>0</v>
      </c>
      <c r="E66" s="1">
        <f>+VLOOKUP($A66,'TB Final'!$B:$K,10,0)</f>
        <v>30858</v>
      </c>
      <c r="F66" s="1">
        <f t="shared" si="0"/>
        <v>0</v>
      </c>
      <c r="G66" s="1">
        <f t="shared" si="1"/>
        <v>0</v>
      </c>
    </row>
    <row r="67" spans="1:7">
      <c r="A67" s="1607" t="s">
        <v>113</v>
      </c>
      <c r="B67" s="1743"/>
      <c r="C67" s="1743">
        <v>25061810.07</v>
      </c>
      <c r="D67" s="1">
        <f>+VLOOKUP($A67,'TB Final'!$B:$K,7,0)</f>
        <v>0</v>
      </c>
      <c r="E67" s="1">
        <f>+VLOOKUP($A67,'TB Final'!$B:$K,10,0)</f>
        <v>25061810.07</v>
      </c>
      <c r="F67" s="1">
        <f t="shared" si="0"/>
        <v>0</v>
      </c>
      <c r="G67" s="1">
        <f t="shared" si="1"/>
        <v>0</v>
      </c>
    </row>
    <row r="68" spans="1:7">
      <c r="A68" s="1607" t="s">
        <v>114</v>
      </c>
      <c r="B68" s="1743"/>
      <c r="C68" s="1743">
        <v>4105758</v>
      </c>
      <c r="D68" s="1">
        <f>+VLOOKUP($A68,'TB Final'!$B:$K,7,0)</f>
        <v>0</v>
      </c>
      <c r="E68" s="1">
        <f>+VLOOKUP($A68,'TB Final'!$B:$K,10,0)</f>
        <v>4105758</v>
      </c>
      <c r="F68" s="1">
        <f t="shared" si="0"/>
        <v>0</v>
      </c>
      <c r="G68" s="1">
        <f t="shared" si="1"/>
        <v>0</v>
      </c>
    </row>
    <row r="69" spans="1:7">
      <c r="A69" s="1607" t="s">
        <v>2958</v>
      </c>
      <c r="B69" s="1743">
        <v>25000</v>
      </c>
      <c r="C69" s="1743"/>
      <c r="D69" s="1">
        <f>+VLOOKUP($A69,'TB Final'!$B:$K,7,0)</f>
        <v>25000</v>
      </c>
      <c r="E69" s="1">
        <f>+VLOOKUP($A69,'TB Final'!$B:$K,10,0)</f>
        <v>0</v>
      </c>
      <c r="F69" s="1">
        <f t="shared" si="0"/>
        <v>0</v>
      </c>
      <c r="G69" s="1">
        <f t="shared" si="1"/>
        <v>0</v>
      </c>
    </row>
    <row r="70" spans="1:7">
      <c r="A70" s="1607" t="s">
        <v>117</v>
      </c>
      <c r="B70" s="1743">
        <v>1296000</v>
      </c>
      <c r="C70" s="1743"/>
      <c r="D70" s="1">
        <f>+VLOOKUP($A70,'TB Final'!$B:$K,7,0)</f>
        <v>1296000</v>
      </c>
      <c r="E70" s="1">
        <f>+VLOOKUP($A70,'TB Final'!$B:$K,10,0)</f>
        <v>0</v>
      </c>
      <c r="F70" s="1">
        <f t="shared" si="0"/>
        <v>0</v>
      </c>
      <c r="G70" s="1">
        <f t="shared" si="1"/>
        <v>0</v>
      </c>
    </row>
    <row r="71" spans="1:7">
      <c r="A71" s="1607" t="s">
        <v>118</v>
      </c>
      <c r="B71" s="1743">
        <v>6800</v>
      </c>
      <c r="C71" s="1743"/>
      <c r="D71" s="1">
        <f>+VLOOKUP($A71,'TB Final'!$B:$K,7,0)</f>
        <v>6800</v>
      </c>
      <c r="E71" s="1">
        <f>+VLOOKUP($A71,'TB Final'!$B:$K,10,0)</f>
        <v>0</v>
      </c>
      <c r="F71" s="1">
        <f t="shared" si="0"/>
        <v>0</v>
      </c>
      <c r="G71" s="1">
        <f t="shared" si="1"/>
        <v>0</v>
      </c>
    </row>
    <row r="72" spans="1:7">
      <c r="A72" s="1607" t="s">
        <v>485</v>
      </c>
      <c r="B72" s="1743">
        <v>200000</v>
      </c>
      <c r="C72" s="1743"/>
      <c r="D72" s="1">
        <f>+VLOOKUP($A72,'TB Final'!$B:$K,7,0)</f>
        <v>200000</v>
      </c>
      <c r="E72" s="1">
        <f>+VLOOKUP($A72,'TB Final'!$B:$K,10,0)</f>
        <v>0</v>
      </c>
      <c r="F72" s="1">
        <f t="shared" si="0"/>
        <v>0</v>
      </c>
      <c r="G72" s="1">
        <f t="shared" si="1"/>
        <v>0</v>
      </c>
    </row>
    <row r="73" spans="1:7">
      <c r="A73" s="1607" t="s">
        <v>486</v>
      </c>
      <c r="B73" s="1743">
        <v>10777</v>
      </c>
      <c r="C73" s="1743"/>
      <c r="D73" s="1">
        <f>+VLOOKUP($A73,'TB Final'!$B:$K,7,0)</f>
        <v>10777</v>
      </c>
      <c r="E73" s="1">
        <f>+VLOOKUP($A73,'TB Final'!$B:$K,10,0)</f>
        <v>0</v>
      </c>
      <c r="F73" s="1">
        <f t="shared" si="0"/>
        <v>0</v>
      </c>
      <c r="G73" s="1">
        <f t="shared" si="1"/>
        <v>0</v>
      </c>
    </row>
    <row r="74" spans="1:7">
      <c r="A74" s="1607" t="s">
        <v>128</v>
      </c>
      <c r="B74" s="1743">
        <v>588864</v>
      </c>
      <c r="C74" s="1743"/>
      <c r="D74" s="1">
        <f>+VLOOKUP($A74,'TB Final'!$B:$K,7,0)</f>
        <v>619250</v>
      </c>
      <c r="E74" s="1">
        <f>+VLOOKUP($A74,'TB Final'!$B:$K,10,0)</f>
        <v>0</v>
      </c>
      <c r="F74" s="1">
        <f t="shared" si="0"/>
        <v>-30386</v>
      </c>
      <c r="G74" s="1">
        <f t="shared" si="1"/>
        <v>0</v>
      </c>
    </row>
    <row r="75" spans="1:7">
      <c r="A75" s="1607" t="s">
        <v>129</v>
      </c>
      <c r="B75" s="1743">
        <v>4728691</v>
      </c>
      <c r="C75" s="1743"/>
      <c r="D75" s="1">
        <f>+VLOOKUP($A75,'TB Final'!$B:$K,7,0)</f>
        <v>5042406</v>
      </c>
      <c r="E75" s="1">
        <f>+VLOOKUP($A75,'TB Final'!$B:$K,10,0)</f>
        <v>0</v>
      </c>
      <c r="F75" s="1">
        <f t="shared" si="0"/>
        <v>-313715</v>
      </c>
      <c r="G75" s="1">
        <f t="shared" si="1"/>
        <v>0</v>
      </c>
    </row>
    <row r="76" spans="1:7">
      <c r="A76" s="1607" t="s">
        <v>123</v>
      </c>
      <c r="B76" s="1743">
        <v>330000</v>
      </c>
      <c r="C76" s="1743"/>
      <c r="D76" s="1">
        <f>+VLOOKUP($A76,'TB Final'!$B:$K,7,0)</f>
        <v>330000</v>
      </c>
      <c r="E76" s="1">
        <f>+VLOOKUP($A76,'TB Final'!$B:$K,10,0)</f>
        <v>0</v>
      </c>
      <c r="F76" s="1">
        <f t="shared" si="0"/>
        <v>0</v>
      </c>
      <c r="G76" s="1">
        <f t="shared" si="1"/>
        <v>0</v>
      </c>
    </row>
    <row r="77" spans="1:7">
      <c r="A77" s="1607" t="s">
        <v>124</v>
      </c>
      <c r="B77" s="1743">
        <v>6248400</v>
      </c>
      <c r="C77" s="1743"/>
      <c r="D77" s="1">
        <f>+VLOOKUP($A77,'TB Final'!$B:$K,7,0)</f>
        <v>6248400</v>
      </c>
      <c r="E77" s="1">
        <f>+VLOOKUP($A77,'TB Final'!$B:$K,10,0)</f>
        <v>0</v>
      </c>
      <c r="F77" s="1">
        <f t="shared" ref="F77:F140" si="2">+B77-D77</f>
        <v>0</v>
      </c>
      <c r="G77" s="1">
        <f t="shared" ref="G77:G140" si="3">+C77-E77</f>
        <v>0</v>
      </c>
    </row>
    <row r="78" spans="1:7">
      <c r="A78" s="1607" t="s">
        <v>487</v>
      </c>
      <c r="B78" s="1743">
        <v>900000</v>
      </c>
      <c r="C78" s="1743"/>
      <c r="D78" s="1">
        <f>+VLOOKUP($A78,'TB Final'!$B:$K,7,0)</f>
        <v>900000</v>
      </c>
      <c r="E78" s="1">
        <f>+VLOOKUP($A78,'TB Final'!$B:$K,10,0)</f>
        <v>0</v>
      </c>
      <c r="F78" s="1">
        <f t="shared" si="2"/>
        <v>0</v>
      </c>
      <c r="G78" s="1">
        <f t="shared" si="3"/>
        <v>0</v>
      </c>
    </row>
    <row r="79" spans="1:7">
      <c r="A79" s="1607" t="s">
        <v>122</v>
      </c>
      <c r="B79" s="1743">
        <v>239987</v>
      </c>
      <c r="C79" s="1743"/>
      <c r="D79" s="1">
        <f>+VLOOKUP($A79,'TB Final'!$B:$K,7,0)</f>
        <v>239987</v>
      </c>
      <c r="E79" s="1">
        <f>+VLOOKUP($A79,'TB Final'!$B:$K,10,0)</f>
        <v>0</v>
      </c>
      <c r="F79" s="1">
        <f t="shared" si="2"/>
        <v>0</v>
      </c>
      <c r="G79" s="1">
        <f t="shared" si="3"/>
        <v>0</v>
      </c>
    </row>
    <row r="80" spans="1:7">
      <c r="A80" s="1607" t="s">
        <v>2959</v>
      </c>
      <c r="B80" s="1743">
        <v>150294</v>
      </c>
      <c r="C80" s="1743"/>
      <c r="D80" s="1">
        <f>+VLOOKUP($A80,'TB Final'!$B:$K,7,0)</f>
        <v>150294</v>
      </c>
      <c r="E80" s="1">
        <f>+VLOOKUP($A80,'TB Final'!$B:$K,10,0)</f>
        <v>0</v>
      </c>
      <c r="F80" s="1">
        <f t="shared" si="2"/>
        <v>0</v>
      </c>
      <c r="G80" s="1">
        <f t="shared" si="3"/>
        <v>0</v>
      </c>
    </row>
    <row r="81" spans="1:7">
      <c r="A81" s="1607" t="s">
        <v>130</v>
      </c>
      <c r="B81" s="1743">
        <v>1857088</v>
      </c>
      <c r="C81" s="1743"/>
      <c r="D81" s="1">
        <f>+VLOOKUP($A81,'TB Final'!$B:$K,7,0)</f>
        <v>2791142</v>
      </c>
      <c r="E81" s="1">
        <f>+VLOOKUP($A81,'TB Final'!$B:$K,10,0)</f>
        <v>0</v>
      </c>
      <c r="F81" s="1">
        <f t="shared" si="2"/>
        <v>-934054</v>
      </c>
      <c r="G81" s="1">
        <f t="shared" si="3"/>
        <v>0</v>
      </c>
    </row>
    <row r="82" spans="1:7">
      <c r="A82" s="1607" t="s">
        <v>488</v>
      </c>
      <c r="B82" s="1743">
        <v>1989109</v>
      </c>
      <c r="C82" s="1743"/>
      <c r="D82" s="1">
        <f>+VLOOKUP($A82,'TB Final'!$B:$K,7,0)</f>
        <v>2104855</v>
      </c>
      <c r="E82" s="1">
        <f>+VLOOKUP($A82,'TB Final'!$B:$K,10,0)</f>
        <v>0</v>
      </c>
      <c r="F82" s="1">
        <f t="shared" si="2"/>
        <v>-115746</v>
      </c>
      <c r="G82" s="1">
        <f t="shared" si="3"/>
        <v>0</v>
      </c>
    </row>
    <row r="83" spans="1:7">
      <c r="A83" s="1607" t="s">
        <v>489</v>
      </c>
      <c r="B83" s="1743">
        <v>45170</v>
      </c>
      <c r="C83" s="1743"/>
      <c r="D83" s="1">
        <f>+VLOOKUP($A83,'TB Final'!$B:$K,7,0)</f>
        <v>97152</v>
      </c>
      <c r="E83" s="1">
        <f>+VLOOKUP($A83,'TB Final'!$B:$K,10,0)</f>
        <v>0</v>
      </c>
      <c r="F83" s="1">
        <f t="shared" si="2"/>
        <v>-51982</v>
      </c>
      <c r="G83" s="1">
        <f t="shared" si="3"/>
        <v>0</v>
      </c>
    </row>
    <row r="84" spans="1:7">
      <c r="A84" s="1607" t="s">
        <v>133</v>
      </c>
      <c r="B84" s="1743">
        <v>56194</v>
      </c>
      <c r="C84" s="1743"/>
      <c r="D84" s="1">
        <f>+VLOOKUP($A84,'TB Final'!$B:$K,7,0)</f>
        <v>103879</v>
      </c>
      <c r="E84" s="1">
        <f>+VLOOKUP($A84,'TB Final'!$B:$K,10,0)</f>
        <v>0</v>
      </c>
      <c r="F84" s="1">
        <f t="shared" si="2"/>
        <v>-47685</v>
      </c>
      <c r="G84" s="1">
        <f t="shared" si="3"/>
        <v>0</v>
      </c>
    </row>
    <row r="85" spans="1:7">
      <c r="A85" s="1607" t="s">
        <v>134</v>
      </c>
      <c r="B85" s="1743">
        <v>114072</v>
      </c>
      <c r="C85" s="1743"/>
      <c r="D85" s="1">
        <f>+VLOOKUP($A85,'TB Final'!$B:$K,7,0)</f>
        <v>109389</v>
      </c>
      <c r="E85" s="1">
        <f>+VLOOKUP($A85,'TB Final'!$B:$K,10,0)</f>
        <v>0</v>
      </c>
      <c r="F85" s="1">
        <f t="shared" si="2"/>
        <v>4683</v>
      </c>
      <c r="G85" s="1">
        <f t="shared" si="3"/>
        <v>0</v>
      </c>
    </row>
    <row r="86" spans="1:7">
      <c r="A86" s="1607" t="s">
        <v>490</v>
      </c>
      <c r="B86" s="1743">
        <v>13650885</v>
      </c>
      <c r="C86" s="1743"/>
      <c r="D86" s="1">
        <f>+VLOOKUP($A86,'TB Final'!$B:$K,7,0)</f>
        <v>14032176</v>
      </c>
      <c r="E86" s="1">
        <f>+VLOOKUP($A86,'TB Final'!$B:$K,10,0)</f>
        <v>0</v>
      </c>
      <c r="F86" s="1">
        <f t="shared" si="2"/>
        <v>-381291</v>
      </c>
      <c r="G86" s="1">
        <f t="shared" si="3"/>
        <v>0</v>
      </c>
    </row>
    <row r="87" spans="1:7">
      <c r="A87" s="1607" t="s">
        <v>135</v>
      </c>
      <c r="B87" s="1743">
        <v>369149</v>
      </c>
      <c r="C87" s="1743"/>
      <c r="D87" s="1">
        <f>+VLOOKUP($A87,'TB Final'!$B:$K,7,0)</f>
        <v>345303</v>
      </c>
      <c r="E87" s="1">
        <f>+VLOOKUP($A87,'TB Final'!$B:$K,10,0)</f>
        <v>0</v>
      </c>
      <c r="F87" s="1">
        <f t="shared" si="2"/>
        <v>23846</v>
      </c>
      <c r="G87" s="1">
        <f t="shared" si="3"/>
        <v>0</v>
      </c>
    </row>
    <row r="88" spans="1:7">
      <c r="A88" s="1607" t="s">
        <v>138</v>
      </c>
      <c r="B88" s="1743">
        <v>50000</v>
      </c>
      <c r="C88" s="1743"/>
      <c r="D88" s="1">
        <f>+VLOOKUP($A88,'TB Final'!$B:$K,7,0)</f>
        <v>50000</v>
      </c>
      <c r="E88" s="1">
        <f>+VLOOKUP($A88,'TB Final'!$B:$K,10,0)</f>
        <v>0</v>
      </c>
      <c r="F88" s="1">
        <f t="shared" si="2"/>
        <v>0</v>
      </c>
      <c r="G88" s="1">
        <f t="shared" si="3"/>
        <v>0</v>
      </c>
    </row>
    <row r="89" spans="1:7">
      <c r="A89" s="1607" t="s">
        <v>139</v>
      </c>
      <c r="B89" s="1743">
        <v>34500</v>
      </c>
      <c r="C89" s="1743"/>
      <c r="D89" s="1">
        <f>+VLOOKUP($A89,'TB Final'!$B:$K,7,0)</f>
        <v>34500</v>
      </c>
      <c r="E89" s="1">
        <f>+VLOOKUP($A89,'TB Final'!$B:$K,10,0)</f>
        <v>0</v>
      </c>
      <c r="F89" s="1">
        <f t="shared" si="2"/>
        <v>0</v>
      </c>
      <c r="G89" s="1">
        <f t="shared" si="3"/>
        <v>0</v>
      </c>
    </row>
    <row r="90" spans="1:7">
      <c r="A90" s="1607" t="s">
        <v>3062</v>
      </c>
      <c r="B90" s="1743"/>
      <c r="C90" s="1743">
        <v>13700</v>
      </c>
      <c r="D90" s="1">
        <f>+VLOOKUP($A90,'TB Final'!$B:$K,7,0)</f>
        <v>0</v>
      </c>
      <c r="E90" s="1">
        <f>+VLOOKUP($A90,'TB Final'!$B:$K,10,0)</f>
        <v>13700</v>
      </c>
      <c r="F90" s="1">
        <f t="shared" si="2"/>
        <v>0</v>
      </c>
      <c r="G90" s="1">
        <f t="shared" si="3"/>
        <v>0</v>
      </c>
    </row>
    <row r="91" spans="1:7">
      <c r="A91" s="1607" t="s">
        <v>142</v>
      </c>
      <c r="B91" s="1743">
        <v>469</v>
      </c>
      <c r="C91" s="1743"/>
      <c r="D91" s="1">
        <f>+VLOOKUP($A91,'TB Final'!$B:$K,7,0)</f>
        <v>469</v>
      </c>
      <c r="E91" s="1">
        <f>+VLOOKUP($A91,'TB Final'!$B:$K,10,0)</f>
        <v>0</v>
      </c>
      <c r="F91" s="1">
        <f t="shared" si="2"/>
        <v>0</v>
      </c>
      <c r="G91" s="1">
        <f t="shared" si="3"/>
        <v>0</v>
      </c>
    </row>
    <row r="92" spans="1:7">
      <c r="A92" s="1607" t="s">
        <v>374</v>
      </c>
      <c r="B92" s="1743">
        <v>32898534</v>
      </c>
      <c r="C92" s="1743"/>
      <c r="D92" s="1">
        <f>+VLOOKUP($A92,'TB Final'!$B:$K,7,0)</f>
        <v>32898534</v>
      </c>
      <c r="E92" s="1">
        <f>+VLOOKUP($A92,'TB Final'!$B:$K,10,0)</f>
        <v>0</v>
      </c>
      <c r="F92" s="1">
        <f t="shared" si="2"/>
        <v>0</v>
      </c>
      <c r="G92" s="1">
        <f t="shared" si="3"/>
        <v>0</v>
      </c>
    </row>
    <row r="93" spans="1:7">
      <c r="A93" s="1607" t="s">
        <v>146</v>
      </c>
      <c r="B93" s="1743">
        <v>168203.84</v>
      </c>
      <c r="C93" s="1743"/>
      <c r="D93" s="1">
        <f>+VLOOKUP($A93,'TB Final'!$B:$K,7,0)</f>
        <v>168203.84</v>
      </c>
      <c r="E93" s="1">
        <f>+VLOOKUP($A93,'TB Final'!$B:$K,10,0)</f>
        <v>0</v>
      </c>
      <c r="F93" s="1">
        <f t="shared" si="2"/>
        <v>0</v>
      </c>
      <c r="G93" s="1">
        <f t="shared" si="3"/>
        <v>0</v>
      </c>
    </row>
    <row r="94" spans="1:7">
      <c r="A94" s="1607" t="s">
        <v>147</v>
      </c>
      <c r="B94" s="1743">
        <v>2500</v>
      </c>
      <c r="C94" s="1743"/>
      <c r="D94" s="1">
        <f>+VLOOKUP($A94,'TB Final'!$B:$K,7,0)</f>
        <v>2500</v>
      </c>
      <c r="E94" s="1">
        <f>+VLOOKUP($A94,'TB Final'!$B:$K,10,0)</f>
        <v>0</v>
      </c>
      <c r="F94" s="1">
        <f t="shared" si="2"/>
        <v>0</v>
      </c>
      <c r="G94" s="1">
        <f t="shared" si="3"/>
        <v>0</v>
      </c>
    </row>
    <row r="95" spans="1:7">
      <c r="A95" s="1607" t="s">
        <v>150</v>
      </c>
      <c r="B95" s="1743"/>
      <c r="C95" s="1743">
        <v>66909</v>
      </c>
      <c r="D95" s="1">
        <f>+VLOOKUP($A95,'TB Final'!$B:$K,7,0)</f>
        <v>0</v>
      </c>
      <c r="E95" s="1">
        <f>+VLOOKUP($A95,'TB Final'!$B:$K,10,0)</f>
        <v>66909</v>
      </c>
      <c r="F95" s="1">
        <f t="shared" si="2"/>
        <v>0</v>
      </c>
      <c r="G95" s="1">
        <f t="shared" si="3"/>
        <v>0</v>
      </c>
    </row>
    <row r="96" spans="1:7">
      <c r="A96" s="1607" t="s">
        <v>151</v>
      </c>
      <c r="B96" s="1743"/>
      <c r="C96" s="1743">
        <v>1502067</v>
      </c>
      <c r="D96" s="1">
        <f>+VLOOKUP($A96,'TB Final'!$B:$K,7,0)</f>
        <v>0</v>
      </c>
      <c r="E96" s="1">
        <f>+VLOOKUP($A96,'TB Final'!$B:$K,10,0)</f>
        <v>1502067</v>
      </c>
      <c r="F96" s="1">
        <f t="shared" si="2"/>
        <v>0</v>
      </c>
      <c r="G96" s="1">
        <f t="shared" si="3"/>
        <v>0</v>
      </c>
    </row>
    <row r="97" spans="1:7">
      <c r="A97" s="1607" t="s">
        <v>152</v>
      </c>
      <c r="B97" s="1743">
        <v>58859679.659999996</v>
      </c>
      <c r="C97" s="1743"/>
      <c r="D97" s="1">
        <f>+VLOOKUP($A97,'TB Final'!$B:$K,7,0)</f>
        <v>69445250.989999995</v>
      </c>
      <c r="E97" s="1">
        <f>+VLOOKUP($A97,'TB Final'!$B:$K,10,0)</f>
        <v>0</v>
      </c>
      <c r="F97" s="1">
        <f t="shared" si="2"/>
        <v>-10585571.329999998</v>
      </c>
      <c r="G97" s="1">
        <f t="shared" si="3"/>
        <v>0</v>
      </c>
    </row>
    <row r="98" spans="1:7">
      <c r="A98" s="1607" t="s">
        <v>377</v>
      </c>
      <c r="B98" s="1743"/>
      <c r="C98" s="1743">
        <v>93574</v>
      </c>
      <c r="D98" s="1">
        <f>+VLOOKUP($A98,'TB Final'!$B:$K,7,0)</f>
        <v>0</v>
      </c>
      <c r="E98" s="1">
        <f>+VLOOKUP($A98,'TB Final'!$B:$K,10,0)</f>
        <v>93574</v>
      </c>
      <c r="F98" s="1">
        <f t="shared" si="2"/>
        <v>0</v>
      </c>
      <c r="G98" s="1">
        <f t="shared" si="3"/>
        <v>0</v>
      </c>
    </row>
    <row r="99" spans="1:7">
      <c r="A99" s="1607" t="s">
        <v>153</v>
      </c>
      <c r="B99" s="1743"/>
      <c r="C99" s="1743">
        <v>26922650</v>
      </c>
      <c r="D99" s="1">
        <f>+VLOOKUP($A99,'TB Final'!$B:$K,7,0)</f>
        <v>0</v>
      </c>
      <c r="E99" s="1">
        <f>+VLOOKUP($A99,'TB Final'!$B:$K,10,0)</f>
        <v>26922650</v>
      </c>
      <c r="F99" s="1">
        <f t="shared" si="2"/>
        <v>0</v>
      </c>
      <c r="G99" s="1">
        <f t="shared" si="3"/>
        <v>0</v>
      </c>
    </row>
    <row r="100" spans="1:7">
      <c r="A100" s="1607" t="s">
        <v>156</v>
      </c>
      <c r="B100" s="1743">
        <v>267233</v>
      </c>
      <c r="C100" s="1743"/>
      <c r="D100" s="1">
        <f>+VLOOKUP($A100,'TB Final'!$B:$K,7,0)</f>
        <v>267233</v>
      </c>
      <c r="E100" s="1">
        <f>+VLOOKUP($A100,'TB Final'!$B:$K,10,0)</f>
        <v>0</v>
      </c>
      <c r="F100" s="1">
        <f t="shared" si="2"/>
        <v>0</v>
      </c>
      <c r="G100" s="1">
        <f t="shared" si="3"/>
        <v>0</v>
      </c>
    </row>
    <row r="101" spans="1:7">
      <c r="A101" s="1607" t="s">
        <v>158</v>
      </c>
      <c r="B101" s="1743">
        <v>5000</v>
      </c>
      <c r="C101" s="1743"/>
      <c r="D101" s="1">
        <f>+VLOOKUP($A101,'TB Final'!$B:$K,7,0)</f>
        <v>4167</v>
      </c>
      <c r="E101" s="1">
        <f>+VLOOKUP($A101,'TB Final'!$B:$K,10,0)</f>
        <v>0</v>
      </c>
      <c r="F101" s="1">
        <f t="shared" si="2"/>
        <v>833</v>
      </c>
      <c r="G101" s="1">
        <f t="shared" si="3"/>
        <v>0</v>
      </c>
    </row>
    <row r="102" spans="1:7">
      <c r="A102" s="1607" t="s">
        <v>164</v>
      </c>
      <c r="B102" s="1743">
        <v>72800</v>
      </c>
      <c r="C102" s="1743"/>
      <c r="D102" s="1">
        <f>+VLOOKUP($A102,'TB Final'!$B:$K,7,0)</f>
        <v>72800</v>
      </c>
      <c r="E102" s="1">
        <f>+VLOOKUP($A102,'TB Final'!$B:$K,10,0)</f>
        <v>0</v>
      </c>
      <c r="F102" s="1">
        <f t="shared" si="2"/>
        <v>0</v>
      </c>
      <c r="G102" s="1">
        <f t="shared" si="3"/>
        <v>0</v>
      </c>
    </row>
    <row r="103" spans="1:7">
      <c r="A103" s="1607" t="s">
        <v>165</v>
      </c>
      <c r="B103" s="1743">
        <v>267589</v>
      </c>
      <c r="C103" s="1743"/>
      <c r="D103" s="1">
        <f>+VLOOKUP($A103,'TB Final'!$B:$K,7,0)</f>
        <v>267589</v>
      </c>
      <c r="E103" s="1">
        <f>+VLOOKUP($A103,'TB Final'!$B:$K,10,0)</f>
        <v>0</v>
      </c>
      <c r="F103" s="1">
        <f t="shared" si="2"/>
        <v>0</v>
      </c>
      <c r="G103" s="1">
        <f t="shared" si="3"/>
        <v>0</v>
      </c>
    </row>
    <row r="104" spans="1:7">
      <c r="A104" s="1607" t="s">
        <v>166</v>
      </c>
      <c r="B104" s="1743">
        <v>53196916.659999996</v>
      </c>
      <c r="C104" s="1743"/>
      <c r="D104" s="1">
        <f>+VLOOKUP($A104,'TB Final'!$B:$K,7,0)</f>
        <v>53196916.659999996</v>
      </c>
      <c r="E104" s="1">
        <f>+VLOOKUP($A104,'TB Final'!$B:$K,10,0)</f>
        <v>0</v>
      </c>
      <c r="F104" s="1">
        <f t="shared" si="2"/>
        <v>0</v>
      </c>
      <c r="G104" s="1">
        <f t="shared" si="3"/>
        <v>0</v>
      </c>
    </row>
    <row r="105" spans="1:7">
      <c r="A105" s="1607" t="s">
        <v>167</v>
      </c>
      <c r="B105" s="1743">
        <v>249410</v>
      </c>
      <c r="C105" s="1743"/>
      <c r="D105" s="1">
        <f>+VLOOKUP($A105,'TB Final'!$B:$K,7,0)</f>
        <v>249410</v>
      </c>
      <c r="E105" s="1">
        <f>+VLOOKUP($A105,'TB Final'!$B:$K,10,0)</f>
        <v>0</v>
      </c>
      <c r="F105" s="1">
        <f t="shared" si="2"/>
        <v>0</v>
      </c>
      <c r="G105" s="1">
        <f t="shared" si="3"/>
        <v>0</v>
      </c>
    </row>
    <row r="106" spans="1:7">
      <c r="A106" s="1607" t="s">
        <v>493</v>
      </c>
      <c r="B106" s="1743">
        <v>25018</v>
      </c>
      <c r="C106" s="1743"/>
      <c r="D106" s="1">
        <f>+VLOOKUP($A106,'TB Final'!$B:$K,7,0)</f>
        <v>25018</v>
      </c>
      <c r="E106" s="1">
        <f>+VLOOKUP($A106,'TB Final'!$B:$K,10,0)</f>
        <v>0</v>
      </c>
      <c r="F106" s="1">
        <f t="shared" si="2"/>
        <v>0</v>
      </c>
      <c r="G106" s="1">
        <f t="shared" si="3"/>
        <v>0</v>
      </c>
    </row>
    <row r="107" spans="1:7">
      <c r="A107" s="1607" t="s">
        <v>47</v>
      </c>
      <c r="B107" s="1743">
        <v>129204</v>
      </c>
      <c r="C107" s="1743"/>
      <c r="D107" s="1">
        <f>+VLOOKUP($A107,'TB Final'!$B:$K,7,0)</f>
        <v>129204</v>
      </c>
      <c r="E107" s="1">
        <f>+VLOOKUP($A107,'TB Final'!$B:$K,10,0)</f>
        <v>0</v>
      </c>
      <c r="F107" s="1">
        <f t="shared" si="2"/>
        <v>0</v>
      </c>
      <c r="G107" s="1">
        <f t="shared" si="3"/>
        <v>0</v>
      </c>
    </row>
    <row r="108" spans="1:7">
      <c r="A108" s="1607" t="s">
        <v>169</v>
      </c>
      <c r="B108" s="1743">
        <v>3611803</v>
      </c>
      <c r="C108" s="1743"/>
      <c r="D108" s="1">
        <f>+VLOOKUP($A108,'TB Final'!$B:$K,7,0)</f>
        <v>3611803</v>
      </c>
      <c r="E108" s="1">
        <f>+VLOOKUP($A108,'TB Final'!$B:$K,10,0)</f>
        <v>0</v>
      </c>
      <c r="F108" s="1">
        <f t="shared" si="2"/>
        <v>0</v>
      </c>
      <c r="G108" s="1">
        <f t="shared" si="3"/>
        <v>0</v>
      </c>
    </row>
    <row r="109" spans="1:7">
      <c r="A109" s="1607" t="s">
        <v>494</v>
      </c>
      <c r="B109" s="1743"/>
      <c r="C109" s="1743">
        <v>387602</v>
      </c>
      <c r="D109" s="1">
        <f>+VLOOKUP($A109,'TB Final'!$B:$K,7,0)</f>
        <v>0</v>
      </c>
      <c r="E109" s="1">
        <f>+VLOOKUP($A109,'TB Final'!$B:$K,10,0)</f>
        <v>387602</v>
      </c>
      <c r="F109" s="1">
        <f t="shared" si="2"/>
        <v>0</v>
      </c>
      <c r="G109" s="1">
        <f t="shared" si="3"/>
        <v>0</v>
      </c>
    </row>
    <row r="110" spans="1:7">
      <c r="A110" s="1607" t="s">
        <v>378</v>
      </c>
      <c r="B110" s="1743">
        <v>273693</v>
      </c>
      <c r="C110" s="1743"/>
      <c r="D110" s="1">
        <f>+VLOOKUP($A110,'TB Final'!$B:$K,7,0)</f>
        <v>273693</v>
      </c>
      <c r="E110" s="1">
        <f>+VLOOKUP($A110,'TB Final'!$B:$K,10,0)</f>
        <v>0</v>
      </c>
      <c r="F110" s="1">
        <f t="shared" si="2"/>
        <v>0</v>
      </c>
      <c r="G110" s="1">
        <f t="shared" si="3"/>
        <v>0</v>
      </c>
    </row>
    <row r="111" spans="1:7">
      <c r="A111" s="1607" t="s">
        <v>171</v>
      </c>
      <c r="B111" s="1743">
        <v>1893357</v>
      </c>
      <c r="C111" s="1743"/>
      <c r="D111" s="1">
        <f>+VLOOKUP($A111,'TB Final'!$B:$K,7,0)</f>
        <v>1893357</v>
      </c>
      <c r="E111" s="1">
        <f>+VLOOKUP($A111,'TB Final'!$B:$K,10,0)</f>
        <v>0</v>
      </c>
      <c r="F111" s="1">
        <f t="shared" si="2"/>
        <v>0</v>
      </c>
      <c r="G111" s="1">
        <f t="shared" si="3"/>
        <v>0</v>
      </c>
    </row>
    <row r="112" spans="1:7">
      <c r="A112" s="1607" t="s">
        <v>172</v>
      </c>
      <c r="B112" s="1743"/>
      <c r="C112" s="1743">
        <v>729285</v>
      </c>
      <c r="D112" s="1">
        <f>+VLOOKUP($A112,'TB Final'!$B:$K,7,0)</f>
        <v>0</v>
      </c>
      <c r="E112" s="1">
        <f>+VLOOKUP($A112,'TB Final'!$B:$K,10,0)</f>
        <v>729285</v>
      </c>
      <c r="F112" s="1">
        <f t="shared" si="2"/>
        <v>0</v>
      </c>
      <c r="G112" s="1">
        <f t="shared" si="3"/>
        <v>0</v>
      </c>
    </row>
    <row r="113" spans="1:7">
      <c r="A113" s="1607" t="s">
        <v>175</v>
      </c>
      <c r="B113" s="1743">
        <v>33965000</v>
      </c>
      <c r="C113" s="1743"/>
      <c r="D113" s="1">
        <f>+VLOOKUP($A113,'TB Final'!$B:$K,7,0)</f>
        <v>33965000</v>
      </c>
      <c r="E113" s="1">
        <f>+VLOOKUP($A113,'TB Final'!$B:$K,10,0)</f>
        <v>0</v>
      </c>
      <c r="F113" s="1">
        <f t="shared" si="2"/>
        <v>0</v>
      </c>
      <c r="G113" s="1">
        <f t="shared" si="3"/>
        <v>0</v>
      </c>
    </row>
    <row r="114" spans="1:7">
      <c r="A114" s="1607" t="s">
        <v>2960</v>
      </c>
      <c r="B114" s="1743">
        <v>314100</v>
      </c>
      <c r="C114" s="1743"/>
      <c r="D114" s="1">
        <f>+VLOOKUP($A114,'TB Final'!$B:$K,7,0)</f>
        <v>314100</v>
      </c>
      <c r="E114" s="1">
        <f>+VLOOKUP($A114,'TB Final'!$B:$K,10,0)</f>
        <v>0</v>
      </c>
      <c r="F114" s="1">
        <f t="shared" si="2"/>
        <v>0</v>
      </c>
      <c r="G114" s="1">
        <f t="shared" si="3"/>
        <v>0</v>
      </c>
    </row>
    <row r="115" spans="1:7">
      <c r="A115" s="1607" t="s">
        <v>2961</v>
      </c>
      <c r="B115" s="1743"/>
      <c r="C115" s="1743">
        <v>23600</v>
      </c>
      <c r="D115" s="1">
        <f>+VLOOKUP($A115,'TB Final'!$B:$K,7,0)</f>
        <v>0</v>
      </c>
      <c r="E115" s="1">
        <f>+VLOOKUP($A115,'TB Final'!$B:$K,10,0)</f>
        <v>23600</v>
      </c>
      <c r="F115" s="1">
        <f t="shared" si="2"/>
        <v>0</v>
      </c>
      <c r="G115" s="1">
        <f t="shared" si="3"/>
        <v>0</v>
      </c>
    </row>
    <row r="116" spans="1:7">
      <c r="A116" s="1607" t="s">
        <v>176</v>
      </c>
      <c r="B116" s="1743">
        <v>1982848.03</v>
      </c>
      <c r="C116" s="1743"/>
      <c r="D116" s="1">
        <f>+VLOOKUP($A116,'TB Final'!$B:$K,7,0)</f>
        <v>1982848.03</v>
      </c>
      <c r="E116" s="1">
        <f>+VLOOKUP($A116,'TB Final'!$B:$K,10,0)</f>
        <v>0</v>
      </c>
      <c r="F116" s="1">
        <f t="shared" si="2"/>
        <v>0</v>
      </c>
      <c r="G116" s="1">
        <f t="shared" si="3"/>
        <v>0</v>
      </c>
    </row>
    <row r="117" spans="1:7">
      <c r="A117" s="1607" t="s">
        <v>177</v>
      </c>
      <c r="B117" s="1743"/>
      <c r="C117" s="1743">
        <v>156751</v>
      </c>
      <c r="D117" s="1">
        <f>+VLOOKUP($A117,'TB Final'!$B:$K,7,0)</f>
        <v>0</v>
      </c>
      <c r="E117" s="1">
        <f>+VLOOKUP($A117,'TB Final'!$B:$K,10,0)</f>
        <v>156751</v>
      </c>
      <c r="F117" s="1">
        <f t="shared" si="2"/>
        <v>0</v>
      </c>
      <c r="G117" s="1">
        <f t="shared" si="3"/>
        <v>0</v>
      </c>
    </row>
    <row r="118" spans="1:7">
      <c r="A118" s="1607" t="s">
        <v>380</v>
      </c>
      <c r="B118" s="1743"/>
      <c r="C118" s="1743">
        <v>1562798</v>
      </c>
      <c r="D118" s="1">
        <f>+VLOOKUP($A118,'TB Final'!$B:$K,7,0)</f>
        <v>0</v>
      </c>
      <c r="E118" s="1">
        <f>+VLOOKUP($A118,'TB Final'!$B:$K,10,0)</f>
        <v>1562798</v>
      </c>
      <c r="F118" s="1">
        <f t="shared" si="2"/>
        <v>0</v>
      </c>
      <c r="G118" s="1">
        <f t="shared" si="3"/>
        <v>0</v>
      </c>
    </row>
    <row r="119" spans="1:7">
      <c r="A119" s="1607" t="s">
        <v>178</v>
      </c>
      <c r="B119" s="1743"/>
      <c r="C119" s="1743">
        <v>1800000</v>
      </c>
      <c r="D119" s="1">
        <f>+VLOOKUP($A119,'TB Final'!$B:$K,7,0)</f>
        <v>0</v>
      </c>
      <c r="E119" s="1">
        <f>+VLOOKUP($A119,'TB Final'!$B:$K,10,0)</f>
        <v>1800000</v>
      </c>
      <c r="F119" s="1">
        <f t="shared" si="2"/>
        <v>0</v>
      </c>
      <c r="G119" s="1">
        <f t="shared" si="3"/>
        <v>0</v>
      </c>
    </row>
    <row r="120" spans="1:7">
      <c r="A120" s="1607" t="s">
        <v>430</v>
      </c>
      <c r="B120" s="1743"/>
      <c r="C120" s="1743">
        <v>13500</v>
      </c>
      <c r="D120" s="1">
        <f>+VLOOKUP($A120,'TB Final'!$B:$K,7,0)</f>
        <v>0</v>
      </c>
      <c r="E120" s="1">
        <f>+VLOOKUP($A120,'TB Final'!$B:$K,10,0)</f>
        <v>13500</v>
      </c>
      <c r="F120" s="1">
        <f t="shared" si="2"/>
        <v>0</v>
      </c>
      <c r="G120" s="1">
        <f t="shared" si="3"/>
        <v>0</v>
      </c>
    </row>
    <row r="121" spans="1:7">
      <c r="A121" s="1607" t="s">
        <v>180</v>
      </c>
      <c r="B121" s="1743"/>
      <c r="C121" s="1743">
        <v>111510</v>
      </c>
      <c r="D121" s="1">
        <f>+VLOOKUP($A121,'TB Final'!$B:$K,7,0)</f>
        <v>0</v>
      </c>
      <c r="E121" s="1">
        <f>+VLOOKUP($A121,'TB Final'!$B:$K,10,0)</f>
        <v>111510</v>
      </c>
      <c r="F121" s="1">
        <f t="shared" si="2"/>
        <v>0</v>
      </c>
      <c r="G121" s="1">
        <f t="shared" si="3"/>
        <v>0</v>
      </c>
    </row>
    <row r="122" spans="1:7">
      <c r="A122" s="1607" t="s">
        <v>497</v>
      </c>
      <c r="B122" s="1743">
        <v>840000</v>
      </c>
      <c r="C122" s="1743"/>
      <c r="D122" s="1">
        <f>+VLOOKUP($A122,'TB Final'!$B:$K,7,0)</f>
        <v>887750</v>
      </c>
      <c r="E122" s="1">
        <f>+VLOOKUP($A122,'TB Final'!$B:$K,10,0)</f>
        <v>0</v>
      </c>
      <c r="F122" s="1">
        <f t="shared" si="2"/>
        <v>-47750</v>
      </c>
      <c r="G122" s="1">
        <f t="shared" si="3"/>
        <v>0</v>
      </c>
    </row>
    <row r="123" spans="1:7">
      <c r="A123" s="1607" t="s">
        <v>184</v>
      </c>
      <c r="B123" s="1743">
        <v>36000</v>
      </c>
      <c r="C123" s="1743"/>
      <c r="D123" s="1">
        <f>+VLOOKUP($A123,'TB Final'!$B:$K,7,0)</f>
        <v>36000</v>
      </c>
      <c r="E123" s="1">
        <f>+VLOOKUP($A123,'TB Final'!$B:$K,10,0)</f>
        <v>0</v>
      </c>
      <c r="F123" s="1">
        <f t="shared" si="2"/>
        <v>0</v>
      </c>
      <c r="G123" s="1">
        <f t="shared" si="3"/>
        <v>0</v>
      </c>
    </row>
    <row r="124" spans="1:7">
      <c r="A124" s="1607" t="s">
        <v>499</v>
      </c>
      <c r="B124" s="1743"/>
      <c r="C124" s="1743">
        <v>183581</v>
      </c>
      <c r="D124" s="1">
        <f>+VLOOKUP($A124,'TB Final'!$B:$K,7,0)</f>
        <v>0</v>
      </c>
      <c r="E124" s="1">
        <f>+VLOOKUP($A124,'TB Final'!$B:$K,10,0)</f>
        <v>183581</v>
      </c>
      <c r="F124" s="1">
        <f t="shared" si="2"/>
        <v>0</v>
      </c>
      <c r="G124" s="1">
        <f t="shared" si="3"/>
        <v>0</v>
      </c>
    </row>
    <row r="125" spans="1:7">
      <c r="A125" s="1607" t="s">
        <v>186</v>
      </c>
      <c r="B125" s="1743"/>
      <c r="C125" s="1743">
        <v>1524277</v>
      </c>
      <c r="D125" s="1">
        <f>+VLOOKUP($A125,'TB Final'!$B:$K,7,0)</f>
        <v>0</v>
      </c>
      <c r="E125" s="1">
        <f>+VLOOKUP($A125,'TB Final'!$B:$K,10,0)</f>
        <v>1524277</v>
      </c>
      <c r="F125" s="1">
        <f t="shared" si="2"/>
        <v>0</v>
      </c>
      <c r="G125" s="1">
        <f t="shared" si="3"/>
        <v>0</v>
      </c>
    </row>
    <row r="126" spans="1:7">
      <c r="A126" s="1607" t="s">
        <v>500</v>
      </c>
      <c r="B126" s="1743">
        <v>21000</v>
      </c>
      <c r="C126" s="1743"/>
      <c r="D126" s="1">
        <f>+VLOOKUP($A126,'TB Final'!$B:$K,7,0)</f>
        <v>21000</v>
      </c>
      <c r="E126" s="1">
        <f>+VLOOKUP($A126,'TB Final'!$B:$K,10,0)</f>
        <v>0</v>
      </c>
      <c r="F126" s="1">
        <f t="shared" si="2"/>
        <v>0</v>
      </c>
      <c r="G126" s="1">
        <f t="shared" si="3"/>
        <v>0</v>
      </c>
    </row>
    <row r="127" spans="1:7">
      <c r="A127" s="1607" t="s">
        <v>188</v>
      </c>
      <c r="B127" s="1743"/>
      <c r="C127" s="1743">
        <v>514599</v>
      </c>
      <c r="D127" s="1">
        <f>+VLOOKUP($A127,'TB Final'!$B:$K,7,0)</f>
        <v>0</v>
      </c>
      <c r="E127" s="1">
        <f>+VLOOKUP($A127,'TB Final'!$B:$K,10,0)</f>
        <v>514599</v>
      </c>
      <c r="F127" s="1">
        <f t="shared" si="2"/>
        <v>0</v>
      </c>
      <c r="G127" s="1">
        <f t="shared" si="3"/>
        <v>0</v>
      </c>
    </row>
    <row r="128" spans="1:7">
      <c r="A128" s="1607" t="s">
        <v>2962</v>
      </c>
      <c r="B128" s="1743"/>
      <c r="C128" s="1743">
        <v>532764.55000000005</v>
      </c>
      <c r="D128" s="1">
        <f>+VLOOKUP($A128,'TB Final'!$B:$K,7,0)</f>
        <v>0</v>
      </c>
      <c r="E128" s="1">
        <f>+VLOOKUP($A128,'TB Final'!$B:$K,10,0)</f>
        <v>532764.55000000005</v>
      </c>
      <c r="F128" s="1">
        <f t="shared" si="2"/>
        <v>0</v>
      </c>
      <c r="G128" s="1">
        <f t="shared" si="3"/>
        <v>0</v>
      </c>
    </row>
    <row r="129" spans="1:7">
      <c r="A129" s="1607" t="s">
        <v>191</v>
      </c>
      <c r="B129" s="1743">
        <v>81135916.489999995</v>
      </c>
      <c r="C129" s="1743"/>
      <c r="D129" s="1">
        <f>+VLOOKUP($A129,'TB Final'!$B:$K,7,0)</f>
        <v>81135916.489999995</v>
      </c>
      <c r="E129" s="1">
        <f>+VLOOKUP($A129,'TB Final'!$B:$K,10,0)</f>
        <v>0</v>
      </c>
      <c r="F129" s="1">
        <f t="shared" si="2"/>
        <v>0</v>
      </c>
      <c r="G129" s="1">
        <f t="shared" si="3"/>
        <v>0</v>
      </c>
    </row>
    <row r="130" spans="1:7">
      <c r="A130" s="1607" t="s">
        <v>386</v>
      </c>
      <c r="B130" s="1743">
        <v>192500</v>
      </c>
      <c r="C130" s="1743"/>
      <c r="D130" s="1">
        <f>+VLOOKUP($A130,'TB Final'!$B:$K,7,0)</f>
        <v>192500</v>
      </c>
      <c r="E130" s="1">
        <f>+VLOOKUP($A130,'TB Final'!$B:$K,10,0)</f>
        <v>0</v>
      </c>
      <c r="F130" s="1">
        <f t="shared" si="2"/>
        <v>0</v>
      </c>
      <c r="G130" s="1">
        <f t="shared" si="3"/>
        <v>0</v>
      </c>
    </row>
    <row r="131" spans="1:7">
      <c r="A131" s="1607" t="s">
        <v>194</v>
      </c>
      <c r="B131" s="1743">
        <v>400000</v>
      </c>
      <c r="C131" s="1743"/>
      <c r="D131" s="1">
        <f>+VLOOKUP($A131,'TB Final'!$B:$K,7,0)</f>
        <v>400000</v>
      </c>
      <c r="E131" s="1">
        <f>+VLOOKUP($A131,'TB Final'!$B:$K,10,0)</f>
        <v>0</v>
      </c>
      <c r="F131" s="1">
        <f t="shared" si="2"/>
        <v>0</v>
      </c>
      <c r="G131" s="1">
        <f t="shared" si="3"/>
        <v>0</v>
      </c>
    </row>
    <row r="132" spans="1:7">
      <c r="A132" s="1607" t="s">
        <v>287</v>
      </c>
      <c r="B132" s="1743">
        <v>17190</v>
      </c>
      <c r="C132" s="1743"/>
      <c r="D132" s="1">
        <f>+VLOOKUP($A132,'TB Final'!$B:$K,7,0)</f>
        <v>17190</v>
      </c>
      <c r="E132" s="1">
        <f>+VLOOKUP($A132,'TB Final'!$B:$K,10,0)</f>
        <v>0</v>
      </c>
      <c r="F132" s="1">
        <f t="shared" si="2"/>
        <v>0</v>
      </c>
      <c r="G132" s="1">
        <f t="shared" si="3"/>
        <v>0</v>
      </c>
    </row>
    <row r="133" spans="1:7">
      <c r="A133" s="1607" t="s">
        <v>503</v>
      </c>
      <c r="B133" s="1743">
        <v>1891381</v>
      </c>
      <c r="C133" s="1743"/>
      <c r="D133" s="1">
        <f>+VLOOKUP($A133,'TB Final'!$B:$K,7,0)</f>
        <v>1891381</v>
      </c>
      <c r="E133" s="1">
        <f>+VLOOKUP($A133,'TB Final'!$B:$K,10,0)</f>
        <v>0</v>
      </c>
      <c r="F133" s="1">
        <f t="shared" si="2"/>
        <v>0</v>
      </c>
      <c r="G133" s="1">
        <f t="shared" si="3"/>
        <v>0</v>
      </c>
    </row>
    <row r="134" spans="1:7">
      <c r="A134" s="1607" t="s">
        <v>289</v>
      </c>
      <c r="B134" s="1743">
        <v>88213</v>
      </c>
      <c r="C134" s="1743"/>
      <c r="D134" s="1">
        <f>+VLOOKUP($A134,'TB Final'!$B:$K,7,0)</f>
        <v>88213</v>
      </c>
      <c r="E134" s="1">
        <f>+VLOOKUP($A134,'TB Final'!$B:$K,10,0)</f>
        <v>0</v>
      </c>
      <c r="F134" s="1">
        <f t="shared" si="2"/>
        <v>0</v>
      </c>
      <c r="G134" s="1">
        <f t="shared" si="3"/>
        <v>0</v>
      </c>
    </row>
    <row r="135" spans="1:7">
      <c r="A135" s="1607" t="s">
        <v>195</v>
      </c>
      <c r="B135" s="1743"/>
      <c r="C135" s="1743">
        <v>400020</v>
      </c>
      <c r="D135" s="1">
        <f>+VLOOKUP($A135,'TB Final'!$B:$K,7,0)</f>
        <v>0</v>
      </c>
      <c r="E135" s="1">
        <f>+VLOOKUP($A135,'TB Final'!$B:$K,10,0)</f>
        <v>400020</v>
      </c>
      <c r="F135" s="1">
        <f t="shared" si="2"/>
        <v>0</v>
      </c>
      <c r="G135" s="1">
        <f t="shared" si="3"/>
        <v>0</v>
      </c>
    </row>
    <row r="136" spans="1:7">
      <c r="A136" s="1607" t="s">
        <v>2964</v>
      </c>
      <c r="B136" s="1743">
        <v>152598</v>
      </c>
      <c r="C136" s="1743"/>
      <c r="D136" s="1">
        <f>+VLOOKUP($A136,'TB Final'!$B:$K,7,0)</f>
        <v>152598</v>
      </c>
      <c r="E136" s="1">
        <f>+VLOOKUP($A136,'TB Final'!$B:$K,10,0)</f>
        <v>0</v>
      </c>
      <c r="F136" s="1">
        <f t="shared" si="2"/>
        <v>0</v>
      </c>
      <c r="G136" s="1">
        <f t="shared" si="3"/>
        <v>0</v>
      </c>
    </row>
    <row r="137" spans="1:7">
      <c r="A137" s="1607" t="s">
        <v>504</v>
      </c>
      <c r="B137" s="1743">
        <v>170957</v>
      </c>
      <c r="C137" s="1743"/>
      <c r="D137" s="1">
        <f>+VLOOKUP($A137,'TB Final'!$B:$K,7,0)</f>
        <v>170957</v>
      </c>
      <c r="E137" s="1">
        <f>+VLOOKUP($A137,'TB Final'!$B:$K,10,0)</f>
        <v>0</v>
      </c>
      <c r="F137" s="1">
        <f t="shared" si="2"/>
        <v>0</v>
      </c>
      <c r="G137" s="1">
        <f t="shared" si="3"/>
        <v>0</v>
      </c>
    </row>
    <row r="138" spans="1:7">
      <c r="A138" s="1607" t="s">
        <v>505</v>
      </c>
      <c r="B138" s="1743">
        <v>1196371</v>
      </c>
      <c r="C138" s="1743"/>
      <c r="D138" s="1">
        <f>+VLOOKUP($A138,'TB Final'!$B:$K,7,0)</f>
        <v>1196371</v>
      </c>
      <c r="E138" s="1">
        <f>+VLOOKUP($A138,'TB Final'!$B:$K,10,0)</f>
        <v>0</v>
      </c>
      <c r="F138" s="1">
        <f t="shared" si="2"/>
        <v>0</v>
      </c>
      <c r="G138" s="1">
        <f t="shared" si="3"/>
        <v>0</v>
      </c>
    </row>
    <row r="139" spans="1:7">
      <c r="A139" s="1607" t="s">
        <v>389</v>
      </c>
      <c r="B139" s="1743">
        <v>24320</v>
      </c>
      <c r="C139" s="1743"/>
      <c r="D139" s="1">
        <f>+VLOOKUP($A139,'TB Final'!$B:$K,7,0)</f>
        <v>24320</v>
      </c>
      <c r="E139" s="1">
        <f>+VLOOKUP($A139,'TB Final'!$B:$K,10,0)</f>
        <v>0</v>
      </c>
      <c r="F139" s="1">
        <f t="shared" si="2"/>
        <v>0</v>
      </c>
      <c r="G139" s="1">
        <f t="shared" si="3"/>
        <v>0</v>
      </c>
    </row>
    <row r="140" spans="1:7">
      <c r="A140" s="1607" t="s">
        <v>198</v>
      </c>
      <c r="B140" s="1743">
        <v>170888</v>
      </c>
      <c r="C140" s="1743"/>
      <c r="D140" s="1">
        <f>+VLOOKUP($A140,'TB Final'!$B:$K,7,0)</f>
        <v>170888</v>
      </c>
      <c r="E140" s="1">
        <f>+VLOOKUP($A140,'TB Final'!$B:$K,10,0)</f>
        <v>0</v>
      </c>
      <c r="F140" s="1">
        <f t="shared" si="2"/>
        <v>0</v>
      </c>
      <c r="G140" s="1">
        <f t="shared" si="3"/>
        <v>0</v>
      </c>
    </row>
    <row r="141" spans="1:7">
      <c r="A141" s="1607" t="s">
        <v>200</v>
      </c>
      <c r="B141" s="1743">
        <v>486928</v>
      </c>
      <c r="C141" s="1743"/>
      <c r="D141" s="1">
        <f>+VLOOKUP($A141,'TB Final'!$B:$K,7,0)</f>
        <v>486928</v>
      </c>
      <c r="E141" s="1">
        <f>+VLOOKUP($A141,'TB Final'!$B:$K,10,0)</f>
        <v>0</v>
      </c>
      <c r="F141" s="1">
        <f t="shared" ref="F141:F204" si="4">+B141-D141</f>
        <v>0</v>
      </c>
      <c r="G141" s="1">
        <f t="shared" ref="G141:G204" si="5">+C141-E141</f>
        <v>0</v>
      </c>
    </row>
    <row r="142" spans="1:7">
      <c r="A142" s="1607" t="s">
        <v>203</v>
      </c>
      <c r="B142" s="1743"/>
      <c r="C142" s="1743">
        <v>172494</v>
      </c>
      <c r="D142" s="1">
        <f>+VLOOKUP($A142,'TB Final'!$B:$K,7,0)</f>
        <v>0</v>
      </c>
      <c r="E142" s="1">
        <f>+VLOOKUP($A142,'TB Final'!$B:$K,10,0)</f>
        <v>172494</v>
      </c>
      <c r="F142" s="1">
        <f t="shared" si="4"/>
        <v>0</v>
      </c>
      <c r="G142" s="1">
        <f t="shared" si="5"/>
        <v>0</v>
      </c>
    </row>
    <row r="143" spans="1:7">
      <c r="A143" s="1607" t="s">
        <v>208</v>
      </c>
      <c r="B143" s="1743">
        <v>39606</v>
      </c>
      <c r="C143" s="1743"/>
      <c r="D143" s="1">
        <f>+VLOOKUP($A143,'TB Final'!$B:$K,7,0)</f>
        <v>39606</v>
      </c>
      <c r="E143" s="1">
        <f>+VLOOKUP($A143,'TB Final'!$B:$K,10,0)</f>
        <v>0</v>
      </c>
      <c r="F143" s="1">
        <f t="shared" si="4"/>
        <v>0</v>
      </c>
      <c r="G143" s="1">
        <f t="shared" si="5"/>
        <v>0</v>
      </c>
    </row>
    <row r="144" spans="1:7">
      <c r="A144" s="1607" t="s">
        <v>209</v>
      </c>
      <c r="B144" s="1743">
        <v>30516</v>
      </c>
      <c r="C144" s="1743"/>
      <c r="D144" s="1">
        <f>+VLOOKUP($A144,'TB Final'!$B:$K,7,0)</f>
        <v>30516</v>
      </c>
      <c r="E144" s="1">
        <f>+VLOOKUP($A144,'TB Final'!$B:$K,10,0)</f>
        <v>0</v>
      </c>
      <c r="F144" s="1">
        <f t="shared" si="4"/>
        <v>0</v>
      </c>
      <c r="G144" s="1">
        <f t="shared" si="5"/>
        <v>0</v>
      </c>
    </row>
    <row r="145" spans="1:7">
      <c r="A145" s="1607" t="s">
        <v>431</v>
      </c>
      <c r="B145" s="1743">
        <v>144126</v>
      </c>
      <c r="C145" s="1743"/>
      <c r="D145" s="1">
        <f>+VLOOKUP($A145,'TB Final'!$B:$K,7,0)</f>
        <v>144126</v>
      </c>
      <c r="E145" s="1">
        <f>+VLOOKUP($A145,'TB Final'!$B:$K,10,0)</f>
        <v>0</v>
      </c>
      <c r="F145" s="1">
        <f t="shared" si="4"/>
        <v>0</v>
      </c>
      <c r="G145" s="1">
        <f t="shared" si="5"/>
        <v>0</v>
      </c>
    </row>
    <row r="146" spans="1:7">
      <c r="A146" s="1607" t="s">
        <v>210</v>
      </c>
      <c r="B146" s="1743">
        <v>7332</v>
      </c>
      <c r="C146" s="1743"/>
      <c r="D146" s="1">
        <f>+VLOOKUP($A146,'TB Final'!$B:$K,7,0)</f>
        <v>7332</v>
      </c>
      <c r="E146" s="1">
        <f>+VLOOKUP($A146,'TB Final'!$B:$K,10,0)</f>
        <v>0</v>
      </c>
      <c r="F146" s="1">
        <f t="shared" si="4"/>
        <v>0</v>
      </c>
      <c r="G146" s="1">
        <f t="shared" si="5"/>
        <v>0</v>
      </c>
    </row>
    <row r="147" spans="1:7">
      <c r="A147" s="1607" t="s">
        <v>213</v>
      </c>
      <c r="B147" s="1743">
        <v>41084</v>
      </c>
      <c r="C147" s="1743"/>
      <c r="D147" s="1">
        <f>+VLOOKUP($A147,'TB Final'!$B:$K,7,0)</f>
        <v>41084</v>
      </c>
      <c r="E147" s="1">
        <f>+VLOOKUP($A147,'TB Final'!$B:$K,10,0)</f>
        <v>0</v>
      </c>
      <c r="F147" s="1">
        <f t="shared" si="4"/>
        <v>0</v>
      </c>
      <c r="G147" s="1">
        <f t="shared" si="5"/>
        <v>0</v>
      </c>
    </row>
    <row r="148" spans="1:7">
      <c r="A148" s="1607" t="s">
        <v>83</v>
      </c>
      <c r="B148" s="1743">
        <v>2611</v>
      </c>
      <c r="C148" s="1743"/>
      <c r="D148" s="1">
        <f>+VLOOKUP($A148,'TB Final'!$B:$K,7,0)</f>
        <v>2611</v>
      </c>
      <c r="E148" s="1">
        <f>+VLOOKUP($A148,'TB Final'!$B:$K,10,0)</f>
        <v>0</v>
      </c>
      <c r="F148" s="1">
        <f t="shared" si="4"/>
        <v>0</v>
      </c>
      <c r="G148" s="1">
        <f t="shared" si="5"/>
        <v>0</v>
      </c>
    </row>
    <row r="149" spans="1:7">
      <c r="A149" s="1607" t="s">
        <v>507</v>
      </c>
      <c r="B149" s="1743">
        <v>11646</v>
      </c>
      <c r="C149" s="1743"/>
      <c r="D149" s="1">
        <f>+VLOOKUP($A149,'TB Final'!$B:$K,7,0)</f>
        <v>11646</v>
      </c>
      <c r="E149" s="1">
        <f>+VLOOKUP($A149,'TB Final'!$B:$K,10,0)</f>
        <v>0</v>
      </c>
      <c r="F149" s="1">
        <f t="shared" si="4"/>
        <v>0</v>
      </c>
      <c r="G149" s="1">
        <f t="shared" si="5"/>
        <v>0</v>
      </c>
    </row>
    <row r="150" spans="1:7">
      <c r="A150" s="1607" t="s">
        <v>2966</v>
      </c>
      <c r="B150" s="1743">
        <v>98549</v>
      </c>
      <c r="C150" s="1743"/>
      <c r="D150" s="1">
        <f>+VLOOKUP($A150,'TB Final'!$B:$K,7,0)</f>
        <v>290224</v>
      </c>
      <c r="E150" s="1">
        <f>+VLOOKUP($A150,'TB Final'!$B:$K,10,0)</f>
        <v>0</v>
      </c>
      <c r="F150" s="1">
        <f t="shared" si="4"/>
        <v>-191675</v>
      </c>
      <c r="G150" s="1">
        <f t="shared" si="5"/>
        <v>0</v>
      </c>
    </row>
    <row r="151" spans="1:7">
      <c r="A151" s="1607" t="s">
        <v>2967</v>
      </c>
      <c r="B151" s="1743">
        <v>467386</v>
      </c>
      <c r="C151" s="1743"/>
      <c r="D151" s="1">
        <f>+VLOOKUP($A151,'TB Final'!$B:$K,7,0)</f>
        <v>467386</v>
      </c>
      <c r="E151" s="1">
        <f>+VLOOKUP($A151,'TB Final'!$B:$K,10,0)</f>
        <v>0</v>
      </c>
      <c r="F151" s="1">
        <f t="shared" si="4"/>
        <v>0</v>
      </c>
      <c r="G151" s="1">
        <f t="shared" si="5"/>
        <v>0</v>
      </c>
    </row>
    <row r="152" spans="1:7">
      <c r="A152" s="1607" t="s">
        <v>2968</v>
      </c>
      <c r="B152" s="1743">
        <v>408311</v>
      </c>
      <c r="C152" s="1743"/>
      <c r="D152" s="1">
        <f>+VLOOKUP($A152,'TB Final'!$B:$K,7,0)</f>
        <v>1199821</v>
      </c>
      <c r="E152" s="1">
        <f>+VLOOKUP($A152,'TB Final'!$B:$K,10,0)</f>
        <v>0</v>
      </c>
      <c r="F152" s="1">
        <f t="shared" si="4"/>
        <v>-791510</v>
      </c>
      <c r="G152" s="1">
        <f t="shared" si="5"/>
        <v>0</v>
      </c>
    </row>
    <row r="153" spans="1:7">
      <c r="A153" s="1607" t="s">
        <v>274</v>
      </c>
      <c r="B153" s="1743">
        <v>164180</v>
      </c>
      <c r="C153" s="1743"/>
      <c r="D153" s="1">
        <f>+VLOOKUP($A153,'TB Final'!$B:$K,7,0)</f>
        <v>0</v>
      </c>
      <c r="E153" s="1">
        <f>+VLOOKUP($A153,'TB Final'!$B:$K,10,0)</f>
        <v>0</v>
      </c>
      <c r="F153" s="1">
        <f t="shared" si="4"/>
        <v>164180</v>
      </c>
      <c r="G153" s="1">
        <f t="shared" si="5"/>
        <v>0</v>
      </c>
    </row>
    <row r="154" spans="1:7">
      <c r="A154" s="1607" t="s">
        <v>202</v>
      </c>
      <c r="B154" s="1743">
        <v>319057</v>
      </c>
      <c r="C154" s="1743"/>
      <c r="D154" s="1">
        <f>+VLOOKUP($A154,'TB Final'!$B:$K,7,0)</f>
        <v>319057</v>
      </c>
      <c r="E154" s="1">
        <f>+VLOOKUP($A154,'TB Final'!$B:$K,10,0)</f>
        <v>0</v>
      </c>
      <c r="F154" s="1">
        <f t="shared" si="4"/>
        <v>0</v>
      </c>
      <c r="G154" s="1">
        <f t="shared" si="5"/>
        <v>0</v>
      </c>
    </row>
    <row r="155" spans="1:7">
      <c r="A155" s="1607" t="s">
        <v>508</v>
      </c>
      <c r="B155" s="1743">
        <v>8855907</v>
      </c>
      <c r="C155" s="1743"/>
      <c r="D155" s="1">
        <f>+VLOOKUP($A155,'TB Final'!$B:$K,7,0)</f>
        <v>8855907</v>
      </c>
      <c r="E155" s="1">
        <f>+VLOOKUP($A155,'TB Final'!$B:$K,10,0)</f>
        <v>0</v>
      </c>
      <c r="F155" s="1">
        <f t="shared" si="4"/>
        <v>0</v>
      </c>
      <c r="G155" s="1">
        <f t="shared" si="5"/>
        <v>0</v>
      </c>
    </row>
    <row r="156" spans="1:7">
      <c r="A156" s="1607" t="s">
        <v>391</v>
      </c>
      <c r="B156" s="1743">
        <v>488813</v>
      </c>
      <c r="C156" s="1743"/>
      <c r="D156" s="1">
        <f>+VLOOKUP($A156,'TB Final'!$B:$K,7,0)</f>
        <v>488813</v>
      </c>
      <c r="E156" s="1">
        <f>+VLOOKUP($A156,'TB Final'!$B:$K,10,0)</f>
        <v>0</v>
      </c>
      <c r="F156" s="1">
        <f t="shared" si="4"/>
        <v>0</v>
      </c>
      <c r="G156" s="1">
        <f t="shared" si="5"/>
        <v>0</v>
      </c>
    </row>
    <row r="157" spans="1:7">
      <c r="A157" s="1607" t="s">
        <v>509</v>
      </c>
      <c r="B157" s="1743">
        <v>2953424</v>
      </c>
      <c r="C157" s="1743"/>
      <c r="D157" s="1">
        <f>+VLOOKUP($A157,'TB Final'!$B:$K,7,0)</f>
        <v>2953424</v>
      </c>
      <c r="E157" s="1">
        <f>+VLOOKUP($A157,'TB Final'!$B:$K,10,0)</f>
        <v>0</v>
      </c>
      <c r="F157" s="1">
        <f t="shared" si="4"/>
        <v>0</v>
      </c>
      <c r="G157" s="1">
        <f t="shared" si="5"/>
        <v>0</v>
      </c>
    </row>
    <row r="158" spans="1:7">
      <c r="A158" s="1607" t="s">
        <v>215</v>
      </c>
      <c r="B158" s="1743">
        <v>200000</v>
      </c>
      <c r="C158" s="1743"/>
      <c r="D158" s="1">
        <f>+VLOOKUP($A158,'TB Final'!$B:$K,7,0)</f>
        <v>200000</v>
      </c>
      <c r="E158" s="1">
        <f>+VLOOKUP($A158,'TB Final'!$B:$K,10,0)</f>
        <v>0</v>
      </c>
      <c r="F158" s="1">
        <f t="shared" si="4"/>
        <v>0</v>
      </c>
      <c r="G158" s="1">
        <f t="shared" si="5"/>
        <v>0</v>
      </c>
    </row>
    <row r="159" spans="1:7">
      <c r="A159" s="1607" t="s">
        <v>432</v>
      </c>
      <c r="B159" s="1743"/>
      <c r="C159" s="1743">
        <v>68027</v>
      </c>
      <c r="D159" s="1">
        <f>+VLOOKUP($A159,'TB Final'!$B:$K,7,0)</f>
        <v>0</v>
      </c>
      <c r="E159" s="1">
        <f>+VLOOKUP($A159,'TB Final'!$B:$K,10,0)</f>
        <v>68027</v>
      </c>
      <c r="F159" s="1">
        <f t="shared" si="4"/>
        <v>0</v>
      </c>
      <c r="G159" s="1">
        <f t="shared" si="5"/>
        <v>0</v>
      </c>
    </row>
    <row r="160" spans="1:7">
      <c r="A160" s="1607" t="s">
        <v>218</v>
      </c>
      <c r="B160" s="1743">
        <v>231314</v>
      </c>
      <c r="C160" s="1743"/>
      <c r="D160" s="1">
        <f>+VLOOKUP($A160,'TB Final'!$B:$K,7,0)</f>
        <v>231314</v>
      </c>
      <c r="E160" s="1">
        <f>+VLOOKUP($A160,'TB Final'!$B:$K,10,0)</f>
        <v>0</v>
      </c>
      <c r="F160" s="1">
        <f t="shared" si="4"/>
        <v>0</v>
      </c>
      <c r="G160" s="1">
        <f t="shared" si="5"/>
        <v>0</v>
      </c>
    </row>
    <row r="161" spans="1:7">
      <c r="A161" s="1607" t="s">
        <v>220</v>
      </c>
      <c r="B161" s="1743"/>
      <c r="C161" s="1743">
        <v>7756259</v>
      </c>
      <c r="D161" s="1">
        <f>+VLOOKUP($A161,'TB Final'!$B:$K,7,0)</f>
        <v>0</v>
      </c>
      <c r="E161" s="1">
        <f>+VLOOKUP($A161,'TB Final'!$B:$K,10,0)</f>
        <v>7756259</v>
      </c>
      <c r="F161" s="1">
        <f t="shared" si="4"/>
        <v>0</v>
      </c>
      <c r="G161" s="1">
        <f t="shared" si="5"/>
        <v>0</v>
      </c>
    </row>
    <row r="162" spans="1:7">
      <c r="A162" s="1607" t="s">
        <v>2969</v>
      </c>
      <c r="B162" s="1743"/>
      <c r="C162" s="1743">
        <v>25200</v>
      </c>
      <c r="D162" s="1">
        <f>+VLOOKUP($A162,'TB Final'!$B:$K,7,0)</f>
        <v>0</v>
      </c>
      <c r="E162" s="1">
        <f>+VLOOKUP($A162,'TB Final'!$B:$K,10,0)</f>
        <v>0</v>
      </c>
      <c r="F162" s="1">
        <f t="shared" si="4"/>
        <v>0</v>
      </c>
      <c r="G162" s="1">
        <f t="shared" si="5"/>
        <v>25200</v>
      </c>
    </row>
    <row r="163" spans="1:7">
      <c r="A163" s="1607" t="s">
        <v>433</v>
      </c>
      <c r="B163" s="1743">
        <v>250430</v>
      </c>
      <c r="C163" s="1743"/>
      <c r="D163" s="1">
        <f>+VLOOKUP($A163,'TB Final'!$B:$K,7,0)</f>
        <v>250430</v>
      </c>
      <c r="E163" s="1">
        <f>+VLOOKUP($A163,'TB Final'!$B:$K,10,0)</f>
        <v>0</v>
      </c>
      <c r="F163" s="1">
        <f t="shared" si="4"/>
        <v>0</v>
      </c>
      <c r="G163" s="1">
        <f t="shared" si="5"/>
        <v>0</v>
      </c>
    </row>
    <row r="164" spans="1:7">
      <c r="A164" s="1607" t="s">
        <v>511</v>
      </c>
      <c r="B164" s="1743"/>
      <c r="C164" s="1743">
        <v>5453561</v>
      </c>
      <c r="D164" s="1">
        <f>+VLOOKUP($A164,'TB Final'!$B:$K,7,0)</f>
        <v>0</v>
      </c>
      <c r="E164" s="1">
        <f>+VLOOKUP($A164,'TB Final'!$B:$K,10,0)</f>
        <v>5453561</v>
      </c>
      <c r="F164" s="1">
        <f t="shared" si="4"/>
        <v>0</v>
      </c>
      <c r="G164" s="1">
        <f t="shared" si="5"/>
        <v>0</v>
      </c>
    </row>
    <row r="165" spans="1:7">
      <c r="A165" s="1607" t="s">
        <v>2970</v>
      </c>
      <c r="B165" s="1743"/>
      <c r="C165" s="1743">
        <v>25200</v>
      </c>
      <c r="D165" s="1">
        <f>+VLOOKUP($A165,'TB Final'!$B:$K,7,0)</f>
        <v>0</v>
      </c>
      <c r="E165" s="1">
        <f>+VLOOKUP($A165,'TB Final'!$B:$K,10,0)</f>
        <v>0</v>
      </c>
      <c r="F165" s="1">
        <f t="shared" si="4"/>
        <v>0</v>
      </c>
      <c r="G165" s="1">
        <f t="shared" si="5"/>
        <v>25200</v>
      </c>
    </row>
    <row r="166" spans="1:7">
      <c r="A166" s="1607" t="s">
        <v>512</v>
      </c>
      <c r="B166" s="1743"/>
      <c r="C166" s="1743">
        <v>7299688</v>
      </c>
      <c r="D166" s="1">
        <f>+VLOOKUP($A166,'TB Final'!$B:$K,7,0)</f>
        <v>0</v>
      </c>
      <c r="E166" s="1">
        <f>+VLOOKUP($A166,'TB Final'!$B:$K,10,0)</f>
        <v>7299688</v>
      </c>
      <c r="F166" s="1">
        <f t="shared" si="4"/>
        <v>0</v>
      </c>
      <c r="G166" s="1">
        <f t="shared" si="5"/>
        <v>0</v>
      </c>
    </row>
    <row r="167" spans="1:7">
      <c r="A167" s="1607" t="s">
        <v>224</v>
      </c>
      <c r="B167" s="1743"/>
      <c r="C167" s="1743">
        <v>4374722</v>
      </c>
      <c r="D167" s="1">
        <f>+VLOOKUP($A167,'TB Final'!$B:$K,7,0)</f>
        <v>0</v>
      </c>
      <c r="E167" s="1">
        <f>+VLOOKUP($A167,'TB Final'!$B:$K,10,0)</f>
        <v>4374722</v>
      </c>
      <c r="F167" s="1">
        <f t="shared" si="4"/>
        <v>0</v>
      </c>
      <c r="G167" s="1">
        <f t="shared" si="5"/>
        <v>0</v>
      </c>
    </row>
    <row r="168" spans="1:7">
      <c r="A168" s="1607" t="s">
        <v>225</v>
      </c>
      <c r="B168" s="1743"/>
      <c r="C168" s="1743">
        <v>0.3</v>
      </c>
      <c r="D168" s="1">
        <f>+VLOOKUP($A168,'TB Final'!$B:$K,7,0)</f>
        <v>0</v>
      </c>
      <c r="E168" s="1">
        <f>+VLOOKUP($A168,'TB Final'!$B:$K,10,0)</f>
        <v>0</v>
      </c>
      <c r="F168" s="1">
        <f t="shared" si="4"/>
        <v>0</v>
      </c>
      <c r="G168" s="1">
        <f t="shared" si="5"/>
        <v>0.3</v>
      </c>
    </row>
    <row r="169" spans="1:7">
      <c r="A169" s="1607" t="s">
        <v>452</v>
      </c>
      <c r="B169" s="1743"/>
      <c r="C169" s="1743">
        <v>220853</v>
      </c>
      <c r="D169" s="1">
        <f>+VLOOKUP($A169,'TB Final'!$B:$K,7,0)</f>
        <v>0</v>
      </c>
      <c r="E169" s="1">
        <f>+VLOOKUP($A169,'TB Final'!$B:$K,10,0)</f>
        <v>220853</v>
      </c>
      <c r="F169" s="1">
        <f t="shared" si="4"/>
        <v>0</v>
      </c>
      <c r="G169" s="1">
        <f t="shared" si="5"/>
        <v>0</v>
      </c>
    </row>
    <row r="170" spans="1:7">
      <c r="A170" s="1607" t="s">
        <v>2971</v>
      </c>
      <c r="B170" s="1743"/>
      <c r="C170" s="1743">
        <v>135000</v>
      </c>
      <c r="D170" s="1">
        <f>+VLOOKUP($A170,'TB Final'!$B:$K,7,0)</f>
        <v>0</v>
      </c>
      <c r="E170" s="1">
        <f>+VLOOKUP($A170,'TB Final'!$B:$K,10,0)</f>
        <v>135000</v>
      </c>
      <c r="F170" s="1">
        <f t="shared" si="4"/>
        <v>0</v>
      </c>
      <c r="G170" s="1">
        <f t="shared" si="5"/>
        <v>0</v>
      </c>
    </row>
    <row r="171" spans="1:7">
      <c r="A171" s="1607" t="s">
        <v>223</v>
      </c>
      <c r="B171" s="1743"/>
      <c r="C171" s="1743">
        <v>3154</v>
      </c>
      <c r="D171" s="1">
        <f>+VLOOKUP($A171,'TB Final'!$B:$K,7,0)</f>
        <v>0</v>
      </c>
      <c r="E171" s="1">
        <f>+VLOOKUP($A171,'TB Final'!$B:$K,10,0)</f>
        <v>3154</v>
      </c>
      <c r="F171" s="1">
        <f t="shared" si="4"/>
        <v>0</v>
      </c>
      <c r="G171" s="1">
        <f t="shared" si="5"/>
        <v>0</v>
      </c>
    </row>
    <row r="172" spans="1:7">
      <c r="A172" s="1607" t="s">
        <v>229</v>
      </c>
      <c r="B172" s="1743">
        <v>14544</v>
      </c>
      <c r="C172" s="1743"/>
      <c r="D172" s="1">
        <f>+VLOOKUP($A172,'TB Final'!$B:$K,7,0)</f>
        <v>14544</v>
      </c>
      <c r="E172" s="1">
        <f>+VLOOKUP($A172,'TB Final'!$B:$K,10,0)</f>
        <v>0</v>
      </c>
      <c r="F172" s="1">
        <f t="shared" si="4"/>
        <v>0</v>
      </c>
      <c r="G172" s="1">
        <f t="shared" si="5"/>
        <v>0</v>
      </c>
    </row>
    <row r="173" spans="1:7">
      <c r="A173" s="1607" t="s">
        <v>230</v>
      </c>
      <c r="B173" s="1743">
        <v>19977798</v>
      </c>
      <c r="C173" s="1743"/>
      <c r="D173" s="1">
        <f>+VLOOKUP($A173,'TB Final'!$B:$K,7,0)</f>
        <v>19977798</v>
      </c>
      <c r="E173" s="1">
        <f>+VLOOKUP($A173,'TB Final'!$B:$K,10,0)</f>
        <v>0</v>
      </c>
      <c r="F173" s="1">
        <f t="shared" si="4"/>
        <v>0</v>
      </c>
      <c r="G173" s="1">
        <f t="shared" si="5"/>
        <v>0</v>
      </c>
    </row>
    <row r="174" spans="1:7">
      <c r="A174" s="1607" t="s">
        <v>392</v>
      </c>
      <c r="B174" s="1743"/>
      <c r="C174" s="1743">
        <v>10547882</v>
      </c>
      <c r="D174" s="1">
        <f>+VLOOKUP($A174,'TB Final'!$B:$K,7,0)</f>
        <v>0</v>
      </c>
      <c r="E174" s="1">
        <f>+VLOOKUP($A174,'TB Final'!$B:$K,10,0)</f>
        <v>10547882</v>
      </c>
      <c r="F174" s="1">
        <f t="shared" si="4"/>
        <v>0</v>
      </c>
      <c r="G174" s="1">
        <f t="shared" si="5"/>
        <v>0</v>
      </c>
    </row>
    <row r="175" spans="1:7">
      <c r="A175" s="1607" t="s">
        <v>434</v>
      </c>
      <c r="B175" s="1743"/>
      <c r="C175" s="1743">
        <v>754370</v>
      </c>
      <c r="D175" s="1">
        <f>+VLOOKUP($A175,'TB Final'!$B:$K,7,0)</f>
        <v>0</v>
      </c>
      <c r="E175" s="1">
        <f>+VLOOKUP($A175,'TB Final'!$B:$K,10,0)</f>
        <v>754370</v>
      </c>
      <c r="F175" s="1">
        <f t="shared" si="4"/>
        <v>0</v>
      </c>
      <c r="G175" s="1">
        <f t="shared" si="5"/>
        <v>0</v>
      </c>
    </row>
    <row r="176" spans="1:7">
      <c r="A176" s="1607" t="s">
        <v>2972</v>
      </c>
      <c r="B176" s="1743">
        <v>781839</v>
      </c>
      <c r="C176" s="1743"/>
      <c r="D176" s="1">
        <f>+VLOOKUP($A176,'TB Final'!$B:$K,7,0)</f>
        <v>781839</v>
      </c>
      <c r="E176" s="1">
        <f>+VLOOKUP($A176,'TB Final'!$B:$K,10,0)</f>
        <v>0</v>
      </c>
      <c r="F176" s="1">
        <f t="shared" si="4"/>
        <v>0</v>
      </c>
      <c r="G176" s="1">
        <f t="shared" si="5"/>
        <v>0</v>
      </c>
    </row>
    <row r="177" spans="1:7">
      <c r="A177" s="1607" t="s">
        <v>232</v>
      </c>
      <c r="B177" s="1743">
        <v>343164</v>
      </c>
      <c r="C177" s="1743"/>
      <c r="D177" s="1">
        <f>+VLOOKUP($A177,'TB Final'!$B:$K,7,0)</f>
        <v>343164</v>
      </c>
      <c r="E177" s="1">
        <f>+VLOOKUP($A177,'TB Final'!$B:$K,10,0)</f>
        <v>0</v>
      </c>
      <c r="F177" s="1">
        <f t="shared" si="4"/>
        <v>0</v>
      </c>
      <c r="G177" s="1">
        <f t="shared" si="5"/>
        <v>0</v>
      </c>
    </row>
    <row r="178" spans="1:7">
      <c r="A178" s="1607" t="s">
        <v>233</v>
      </c>
      <c r="B178" s="1743"/>
      <c r="C178" s="1743">
        <v>343164</v>
      </c>
      <c r="D178" s="1">
        <f>+VLOOKUP($A178,'TB Final'!$B:$K,7,0)</f>
        <v>0</v>
      </c>
      <c r="E178" s="1">
        <f>+VLOOKUP($A178,'TB Final'!$B:$K,10,0)</f>
        <v>343164</v>
      </c>
      <c r="F178" s="1">
        <f t="shared" si="4"/>
        <v>0</v>
      </c>
      <c r="G178" s="1">
        <f t="shared" si="5"/>
        <v>0</v>
      </c>
    </row>
    <row r="179" spans="1:7">
      <c r="A179" s="1607" t="s">
        <v>234</v>
      </c>
      <c r="B179" s="1743">
        <v>112800</v>
      </c>
      <c r="C179" s="1743"/>
      <c r="D179" s="1">
        <f>+VLOOKUP($A179,'TB Final'!$B:$K,7,0)</f>
        <v>112800</v>
      </c>
      <c r="E179" s="1">
        <f>+VLOOKUP($A179,'TB Final'!$B:$K,10,0)</f>
        <v>0</v>
      </c>
      <c r="F179" s="1">
        <f t="shared" si="4"/>
        <v>0</v>
      </c>
      <c r="G179" s="1">
        <f t="shared" si="5"/>
        <v>0</v>
      </c>
    </row>
    <row r="180" spans="1:7">
      <c r="A180" s="1607" t="s">
        <v>228</v>
      </c>
      <c r="B180" s="1743"/>
      <c r="C180" s="1743">
        <v>40147</v>
      </c>
      <c r="D180" s="1">
        <f>+VLOOKUP($A180,'TB Final'!$B:$K,7,0)</f>
        <v>0</v>
      </c>
      <c r="E180" s="1">
        <f>+VLOOKUP($A180,'TB Final'!$B:$K,10,0)</f>
        <v>40147</v>
      </c>
      <c r="F180" s="1">
        <f t="shared" si="4"/>
        <v>0</v>
      </c>
      <c r="G180" s="1">
        <f t="shared" si="5"/>
        <v>0</v>
      </c>
    </row>
    <row r="181" spans="1:7">
      <c r="A181" s="1607" t="s">
        <v>236</v>
      </c>
      <c r="B181" s="1743">
        <v>402863.5</v>
      </c>
      <c r="C181" s="1743"/>
      <c r="D181" s="1">
        <f>+VLOOKUP($A181,'TB Final'!$B:$K,7,0)</f>
        <v>402863.5</v>
      </c>
      <c r="E181" s="1">
        <f>+VLOOKUP($A181,'TB Final'!$B:$K,10,0)</f>
        <v>0</v>
      </c>
      <c r="F181" s="1">
        <f t="shared" si="4"/>
        <v>0</v>
      </c>
      <c r="G181" s="1">
        <f t="shared" si="5"/>
        <v>0</v>
      </c>
    </row>
    <row r="182" spans="1:7">
      <c r="A182" s="1607" t="s">
        <v>237</v>
      </c>
      <c r="B182" s="1743">
        <v>1501316</v>
      </c>
      <c r="C182" s="1743"/>
      <c r="D182" s="1">
        <f>+VLOOKUP($A182,'TB Final'!$B:$K,7,0)</f>
        <v>1501316</v>
      </c>
      <c r="E182" s="1">
        <f>+VLOOKUP($A182,'TB Final'!$B:$K,10,0)</f>
        <v>0</v>
      </c>
      <c r="F182" s="1">
        <f t="shared" si="4"/>
        <v>0</v>
      </c>
      <c r="G182" s="1">
        <f t="shared" si="5"/>
        <v>0</v>
      </c>
    </row>
    <row r="183" spans="1:7">
      <c r="A183" s="1607" t="s">
        <v>238</v>
      </c>
      <c r="B183" s="1743">
        <v>4085580.78</v>
      </c>
      <c r="C183" s="1743"/>
      <c r="D183" s="1">
        <f>+VLOOKUP($A183,'TB Final'!$B:$K,7,0)</f>
        <v>4136012.77</v>
      </c>
      <c r="E183" s="1">
        <f>+VLOOKUP($A183,'TB Final'!$B:$K,10,0)</f>
        <v>0</v>
      </c>
      <c r="F183" s="1">
        <f t="shared" si="4"/>
        <v>-50431.990000000224</v>
      </c>
      <c r="G183" s="1">
        <f t="shared" si="5"/>
        <v>0</v>
      </c>
    </row>
    <row r="184" spans="1:7">
      <c r="A184" s="1607" t="s">
        <v>513</v>
      </c>
      <c r="B184" s="1743">
        <v>193134.65</v>
      </c>
      <c r="C184" s="1743"/>
      <c r="D184" s="1">
        <f>+VLOOKUP($A184,'TB Final'!$B:$K,7,0)</f>
        <v>193134.65</v>
      </c>
      <c r="E184" s="1">
        <f>+VLOOKUP($A184,'TB Final'!$B:$K,10,0)</f>
        <v>0</v>
      </c>
      <c r="F184" s="1">
        <f t="shared" si="4"/>
        <v>0</v>
      </c>
      <c r="G184" s="1">
        <f t="shared" si="5"/>
        <v>0</v>
      </c>
    </row>
    <row r="185" spans="1:7">
      <c r="A185" s="1607" t="s">
        <v>239</v>
      </c>
      <c r="B185" s="1743">
        <v>2465865</v>
      </c>
      <c r="C185" s="1743"/>
      <c r="D185" s="1">
        <f>+VLOOKUP($A185,'TB Final'!$B:$K,7,0)</f>
        <v>2465865</v>
      </c>
      <c r="E185" s="1">
        <f>+VLOOKUP($A185,'TB Final'!$B:$K,10,0)</f>
        <v>0</v>
      </c>
      <c r="F185" s="1">
        <f t="shared" si="4"/>
        <v>0</v>
      </c>
      <c r="G185" s="1">
        <f t="shared" si="5"/>
        <v>0</v>
      </c>
    </row>
    <row r="186" spans="1:7">
      <c r="A186" s="1607" t="s">
        <v>19</v>
      </c>
      <c r="B186" s="1743"/>
      <c r="C186" s="1743">
        <v>5463715</v>
      </c>
      <c r="D186" s="1">
        <f>+VLOOKUP($A186,'TB Final'!$B:$K,7,0)</f>
        <v>0</v>
      </c>
      <c r="E186" s="1">
        <f>+VLOOKUP($A186,'TB Final'!$B:$K,10,0)</f>
        <v>5463715</v>
      </c>
      <c r="F186" s="1">
        <f t="shared" si="4"/>
        <v>0</v>
      </c>
      <c r="G186" s="1">
        <f t="shared" si="5"/>
        <v>0</v>
      </c>
    </row>
    <row r="187" spans="1:7">
      <c r="A187" s="1607" t="s">
        <v>515</v>
      </c>
      <c r="B187" s="1743">
        <v>255943</v>
      </c>
      <c r="C187" s="1743"/>
      <c r="D187" s="1">
        <f>+VLOOKUP($A187,'TB Final'!$B:$K,7,0)</f>
        <v>255943</v>
      </c>
      <c r="E187" s="1">
        <f>+VLOOKUP($A187,'TB Final'!$B:$K,10,0)</f>
        <v>0</v>
      </c>
      <c r="F187" s="1">
        <f t="shared" si="4"/>
        <v>0</v>
      </c>
      <c r="G187" s="1">
        <f t="shared" si="5"/>
        <v>0</v>
      </c>
    </row>
    <row r="188" spans="1:7">
      <c r="A188" s="1607" t="s">
        <v>435</v>
      </c>
      <c r="B188" s="1743"/>
      <c r="C188" s="1743">
        <v>35044</v>
      </c>
      <c r="D188" s="1">
        <f>+VLOOKUP($A188,'TB Final'!$B:$K,7,0)</f>
        <v>0</v>
      </c>
      <c r="E188" s="1">
        <f>+VLOOKUP($A188,'TB Final'!$B:$K,10,0)</f>
        <v>35044</v>
      </c>
      <c r="F188" s="1">
        <f t="shared" si="4"/>
        <v>0</v>
      </c>
      <c r="G188" s="1">
        <f t="shared" si="5"/>
        <v>0</v>
      </c>
    </row>
    <row r="189" spans="1:7">
      <c r="A189" s="1607" t="s">
        <v>516</v>
      </c>
      <c r="B189" s="1743"/>
      <c r="C189" s="1743">
        <v>218551</v>
      </c>
      <c r="D189" s="1">
        <f>+VLOOKUP($A189,'TB Final'!$B:$K,7,0)</f>
        <v>0</v>
      </c>
      <c r="E189" s="1">
        <f>+VLOOKUP($A189,'TB Final'!$B:$K,10,0)</f>
        <v>218551</v>
      </c>
      <c r="F189" s="1">
        <f t="shared" si="4"/>
        <v>0</v>
      </c>
      <c r="G189" s="1">
        <f t="shared" si="5"/>
        <v>0</v>
      </c>
    </row>
    <row r="190" spans="1:7">
      <c r="A190" s="1607" t="s">
        <v>393</v>
      </c>
      <c r="B190" s="1743">
        <v>3000</v>
      </c>
      <c r="C190" s="1743"/>
      <c r="D190" s="1">
        <f>+VLOOKUP($A190,'TB Final'!$B:$K,7,0)</f>
        <v>3000</v>
      </c>
      <c r="E190" s="1">
        <f>+VLOOKUP($A190,'TB Final'!$B:$K,10,0)</f>
        <v>0</v>
      </c>
      <c r="F190" s="1">
        <f t="shared" si="4"/>
        <v>0</v>
      </c>
      <c r="G190" s="1">
        <f t="shared" si="5"/>
        <v>0</v>
      </c>
    </row>
    <row r="191" spans="1:7">
      <c r="A191" s="1607" t="s">
        <v>21</v>
      </c>
      <c r="B191" s="1743"/>
      <c r="C191" s="1743">
        <v>632914</v>
      </c>
      <c r="D191" s="1">
        <f>+VLOOKUP($A191,'TB Final'!$B:$K,7,0)</f>
        <v>0</v>
      </c>
      <c r="E191" s="1">
        <f>+VLOOKUP($A191,'TB Final'!$B:$K,10,0)</f>
        <v>632914</v>
      </c>
      <c r="F191" s="1">
        <f t="shared" si="4"/>
        <v>0</v>
      </c>
      <c r="G191" s="1">
        <f t="shared" si="5"/>
        <v>0</v>
      </c>
    </row>
    <row r="192" spans="1:7">
      <c r="A192" s="1607" t="s">
        <v>248</v>
      </c>
      <c r="B192" s="1743">
        <v>6000</v>
      </c>
      <c r="C192" s="1743"/>
      <c r="D192" s="1">
        <f>+VLOOKUP($A192,'TB Final'!$B:$K,7,0)</f>
        <v>6000</v>
      </c>
      <c r="E192" s="1">
        <f>+VLOOKUP($A192,'TB Final'!$B:$K,10,0)</f>
        <v>0</v>
      </c>
      <c r="F192" s="1">
        <f t="shared" si="4"/>
        <v>0</v>
      </c>
      <c r="G192" s="1">
        <f t="shared" si="5"/>
        <v>0</v>
      </c>
    </row>
    <row r="193" spans="1:7">
      <c r="A193" s="1607" t="s">
        <v>38</v>
      </c>
      <c r="B193" s="1743">
        <v>40000</v>
      </c>
      <c r="C193" s="1743"/>
      <c r="D193" s="1">
        <f>+VLOOKUP($A193,'TB Final'!$B:$K,7,0)</f>
        <v>40000</v>
      </c>
      <c r="E193" s="1">
        <f>+VLOOKUP($A193,'TB Final'!$B:$K,10,0)</f>
        <v>0</v>
      </c>
      <c r="F193" s="1">
        <f t="shared" si="4"/>
        <v>0</v>
      </c>
      <c r="G193" s="1">
        <f t="shared" si="5"/>
        <v>0</v>
      </c>
    </row>
    <row r="194" spans="1:7">
      <c r="A194" s="1607" t="s">
        <v>2973</v>
      </c>
      <c r="B194" s="1743"/>
      <c r="C194" s="1743">
        <v>21830</v>
      </c>
      <c r="D194" s="1">
        <f>+VLOOKUP($A194,'TB Final'!$B:$K,7,0)</f>
        <v>0</v>
      </c>
      <c r="E194" s="1">
        <f>+VLOOKUP($A194,'TB Final'!$B:$K,10,0)</f>
        <v>21830</v>
      </c>
      <c r="F194" s="1">
        <f t="shared" si="4"/>
        <v>0</v>
      </c>
      <c r="G194" s="1">
        <f t="shared" si="5"/>
        <v>0</v>
      </c>
    </row>
    <row r="195" spans="1:7">
      <c r="A195" s="1607" t="s">
        <v>517</v>
      </c>
      <c r="B195" s="1743">
        <v>153600</v>
      </c>
      <c r="C195" s="1743"/>
      <c r="D195" s="1">
        <f>+VLOOKUP($A195,'TB Final'!$B:$K,7,0)</f>
        <v>153600</v>
      </c>
      <c r="E195" s="1">
        <f>+VLOOKUP($A195,'TB Final'!$B:$K,10,0)</f>
        <v>0</v>
      </c>
      <c r="F195" s="1">
        <f t="shared" si="4"/>
        <v>0</v>
      </c>
      <c r="G195" s="1">
        <f t="shared" si="5"/>
        <v>0</v>
      </c>
    </row>
    <row r="196" spans="1:7">
      <c r="A196" s="1607" t="s">
        <v>518</v>
      </c>
      <c r="B196" s="1743">
        <v>104700</v>
      </c>
      <c r="C196" s="1743"/>
      <c r="D196" s="1">
        <f>+VLOOKUP($A196,'TB Final'!$B:$K,7,0)</f>
        <v>104700</v>
      </c>
      <c r="E196" s="1">
        <f>+VLOOKUP($A196,'TB Final'!$B:$K,10,0)</f>
        <v>0</v>
      </c>
      <c r="F196" s="1">
        <f t="shared" si="4"/>
        <v>0</v>
      </c>
      <c r="G196" s="1">
        <f t="shared" si="5"/>
        <v>0</v>
      </c>
    </row>
    <row r="197" spans="1:7">
      <c r="A197" s="1607" t="s">
        <v>249</v>
      </c>
      <c r="B197" s="1743">
        <v>1208365.8799999999</v>
      </c>
      <c r="C197" s="1743"/>
      <c r="D197" s="1">
        <f>+VLOOKUP($A197,'TB Final'!$B:$K,7,0)</f>
        <v>1208365.8799999999</v>
      </c>
      <c r="E197" s="1">
        <f>+VLOOKUP($A197,'TB Final'!$B:$K,10,0)</f>
        <v>0</v>
      </c>
      <c r="F197" s="1">
        <f t="shared" si="4"/>
        <v>0</v>
      </c>
      <c r="G197" s="1">
        <f t="shared" si="5"/>
        <v>0</v>
      </c>
    </row>
    <row r="198" spans="1:7">
      <c r="A198" s="1607" t="s">
        <v>519</v>
      </c>
      <c r="B198" s="1743">
        <v>54090.28</v>
      </c>
      <c r="C198" s="1743"/>
      <c r="D198" s="1">
        <f>+VLOOKUP($A198,'TB Final'!$B:$K,7,0)</f>
        <v>54090.28</v>
      </c>
      <c r="E198" s="1">
        <f>+VLOOKUP($A198,'TB Final'!$B:$K,10,0)</f>
        <v>0</v>
      </c>
      <c r="F198" s="1">
        <f t="shared" si="4"/>
        <v>0</v>
      </c>
      <c r="G198" s="1">
        <f t="shared" si="5"/>
        <v>0</v>
      </c>
    </row>
    <row r="199" spans="1:7">
      <c r="A199" s="1607" t="s">
        <v>520</v>
      </c>
      <c r="B199" s="1743">
        <v>643125</v>
      </c>
      <c r="C199" s="1743"/>
      <c r="D199" s="1">
        <f>+VLOOKUP($A199,'TB Final'!$B:$K,7,0)</f>
        <v>643125</v>
      </c>
      <c r="E199" s="1">
        <f>+VLOOKUP($A199,'TB Final'!$B:$K,10,0)</f>
        <v>0</v>
      </c>
      <c r="F199" s="1">
        <f t="shared" si="4"/>
        <v>0</v>
      </c>
      <c r="G199" s="1">
        <f t="shared" si="5"/>
        <v>0</v>
      </c>
    </row>
    <row r="200" spans="1:7">
      <c r="A200" s="1607" t="s">
        <v>521</v>
      </c>
      <c r="B200" s="1743">
        <v>53221</v>
      </c>
      <c r="C200" s="1743"/>
      <c r="D200" s="1">
        <f>+VLOOKUP($A200,'TB Final'!$B:$K,7,0)</f>
        <v>53221</v>
      </c>
      <c r="E200" s="1">
        <f>+VLOOKUP($A200,'TB Final'!$B:$K,10,0)</f>
        <v>0</v>
      </c>
      <c r="F200" s="1">
        <f t="shared" si="4"/>
        <v>0</v>
      </c>
      <c r="G200" s="1">
        <f t="shared" si="5"/>
        <v>0</v>
      </c>
    </row>
    <row r="201" spans="1:7">
      <c r="A201" s="1607" t="s">
        <v>522</v>
      </c>
      <c r="B201" s="1743"/>
      <c r="C201" s="1743">
        <v>5700468</v>
      </c>
      <c r="D201" s="1">
        <f>+VLOOKUP($A201,'TB Final'!$B:$K,7,0)</f>
        <v>0</v>
      </c>
      <c r="E201" s="1">
        <f>+VLOOKUP($A201,'TB Final'!$B:$K,10,0)</f>
        <v>5700468</v>
      </c>
      <c r="F201" s="1">
        <f t="shared" si="4"/>
        <v>0</v>
      </c>
      <c r="G201" s="1">
        <f t="shared" si="5"/>
        <v>0</v>
      </c>
    </row>
    <row r="202" spans="1:7">
      <c r="A202" s="1607" t="s">
        <v>2251</v>
      </c>
      <c r="B202" s="1743"/>
      <c r="C202" s="1743">
        <v>27000</v>
      </c>
      <c r="D202" s="1">
        <f>+VLOOKUP($A202,'TB Final'!$B:$K,7,0)</f>
        <v>0</v>
      </c>
      <c r="E202" s="1">
        <f>+VLOOKUP($A202,'TB Final'!$B:$K,10,0)</f>
        <v>0</v>
      </c>
      <c r="F202" s="1">
        <f t="shared" si="4"/>
        <v>0</v>
      </c>
      <c r="G202" s="1">
        <f t="shared" si="5"/>
        <v>27000</v>
      </c>
    </row>
    <row r="203" spans="1:7">
      <c r="A203" s="1607" t="s">
        <v>253</v>
      </c>
      <c r="B203" s="1743">
        <v>131217.84</v>
      </c>
      <c r="C203" s="1743"/>
      <c r="D203" s="1">
        <f>+VLOOKUP($A203,'TB Final'!$B:$K,7,0)</f>
        <v>131217.84</v>
      </c>
      <c r="E203" s="1">
        <f>+VLOOKUP($A203,'TB Final'!$B:$K,10,0)</f>
        <v>0</v>
      </c>
      <c r="F203" s="1">
        <f t="shared" si="4"/>
        <v>0</v>
      </c>
      <c r="G203" s="1">
        <f t="shared" si="5"/>
        <v>0</v>
      </c>
    </row>
    <row r="204" spans="1:7">
      <c r="A204" s="1607" t="s">
        <v>394</v>
      </c>
      <c r="B204" s="1743"/>
      <c r="C204" s="1743">
        <v>313012</v>
      </c>
      <c r="D204" s="1">
        <f>+VLOOKUP($A204,'TB Final'!$B:$K,7,0)</f>
        <v>0</v>
      </c>
      <c r="E204" s="1">
        <f>+VLOOKUP($A204,'TB Final'!$B:$K,10,0)</f>
        <v>313012</v>
      </c>
      <c r="F204" s="1">
        <f t="shared" si="4"/>
        <v>0</v>
      </c>
      <c r="G204" s="1">
        <f t="shared" si="5"/>
        <v>0</v>
      </c>
    </row>
    <row r="205" spans="1:7">
      <c r="A205" s="1607" t="s">
        <v>254</v>
      </c>
      <c r="B205" s="1743">
        <v>56914</v>
      </c>
      <c r="C205" s="1743"/>
      <c r="D205" s="1">
        <f>+VLOOKUP($A205,'TB Final'!$B:$K,7,0)</f>
        <v>56914</v>
      </c>
      <c r="E205" s="1">
        <f>+VLOOKUP($A205,'TB Final'!$B:$K,10,0)</f>
        <v>0</v>
      </c>
      <c r="F205" s="1">
        <f t="shared" ref="F205:F268" si="6">+B205-D205</f>
        <v>0</v>
      </c>
      <c r="G205" s="1">
        <f t="shared" ref="G205:G268" si="7">+C205-E205</f>
        <v>0</v>
      </c>
    </row>
    <row r="206" spans="1:7">
      <c r="A206" s="1607" t="s">
        <v>256</v>
      </c>
      <c r="B206" s="1743">
        <v>470140.39</v>
      </c>
      <c r="C206" s="1743"/>
      <c r="D206" s="1">
        <f>+VLOOKUP($A206,'TB Final'!$B:$K,7,0)</f>
        <v>470140.39</v>
      </c>
      <c r="E206" s="1">
        <f>+VLOOKUP($A206,'TB Final'!$B:$K,10,0)</f>
        <v>0</v>
      </c>
      <c r="F206" s="1">
        <f t="shared" si="6"/>
        <v>0</v>
      </c>
      <c r="G206" s="1">
        <f t="shared" si="7"/>
        <v>0</v>
      </c>
    </row>
    <row r="207" spans="1:7">
      <c r="A207" s="1607" t="s">
        <v>258</v>
      </c>
      <c r="B207" s="1743">
        <v>12870</v>
      </c>
      <c r="C207" s="1743"/>
      <c r="D207" s="1">
        <f>+VLOOKUP($A207,'TB Final'!$B:$K,7,0)</f>
        <v>12870</v>
      </c>
      <c r="E207" s="1">
        <f>+VLOOKUP($A207,'TB Final'!$B:$K,10,0)</f>
        <v>0</v>
      </c>
      <c r="F207" s="1">
        <f t="shared" si="6"/>
        <v>0</v>
      </c>
      <c r="G207" s="1">
        <f t="shared" si="7"/>
        <v>0</v>
      </c>
    </row>
    <row r="208" spans="1:7">
      <c r="A208" s="1607" t="s">
        <v>260</v>
      </c>
      <c r="B208" s="1743">
        <v>54676</v>
      </c>
      <c r="C208" s="1743"/>
      <c r="D208" s="1">
        <f>+VLOOKUP($A208,'TB Final'!$B:$K,7,0)</f>
        <v>54676</v>
      </c>
      <c r="E208" s="1">
        <f>+VLOOKUP($A208,'TB Final'!$B:$K,10,0)</f>
        <v>0</v>
      </c>
      <c r="F208" s="1">
        <f t="shared" si="6"/>
        <v>0</v>
      </c>
      <c r="G208" s="1">
        <f t="shared" si="7"/>
        <v>0</v>
      </c>
    </row>
    <row r="209" spans="1:7">
      <c r="A209" s="1607" t="s">
        <v>2974</v>
      </c>
      <c r="B209" s="1743"/>
      <c r="C209" s="1743">
        <v>534000</v>
      </c>
      <c r="D209" s="1">
        <f>+VLOOKUP($A209,'TB Final'!$B:$K,7,0)</f>
        <v>0</v>
      </c>
      <c r="E209" s="1">
        <f>+VLOOKUP($A209,'TB Final'!$B:$K,10,0)</f>
        <v>0</v>
      </c>
      <c r="F209" s="1">
        <f t="shared" si="6"/>
        <v>0</v>
      </c>
      <c r="G209" s="1">
        <f t="shared" si="7"/>
        <v>534000</v>
      </c>
    </row>
    <row r="210" spans="1:7">
      <c r="A210" s="1607" t="s">
        <v>261</v>
      </c>
      <c r="B210" s="1743"/>
      <c r="C210" s="1743">
        <v>354825</v>
      </c>
      <c r="D210" s="1">
        <f>+VLOOKUP($A210,'TB Final'!$B:$K,7,0)</f>
        <v>0</v>
      </c>
      <c r="E210" s="1">
        <f>+VLOOKUP($A210,'TB Final'!$B:$K,10,0)</f>
        <v>354825</v>
      </c>
      <c r="F210" s="1">
        <f t="shared" si="6"/>
        <v>0</v>
      </c>
      <c r="G210" s="1">
        <f t="shared" si="7"/>
        <v>0</v>
      </c>
    </row>
    <row r="211" spans="1:7">
      <c r="A211" s="1607" t="s">
        <v>257</v>
      </c>
      <c r="B211" s="1743">
        <v>5210528.92</v>
      </c>
      <c r="C211" s="1743"/>
      <c r="D211" s="1">
        <f>+VLOOKUP($A211,'TB Final'!$B:$K,7,0)</f>
        <v>5210528.92</v>
      </c>
      <c r="E211" s="1">
        <f>+VLOOKUP($A211,'TB Final'!$B:$K,10,0)</f>
        <v>0</v>
      </c>
      <c r="F211" s="1">
        <f t="shared" si="6"/>
        <v>0</v>
      </c>
      <c r="G211" s="1">
        <f t="shared" si="7"/>
        <v>0</v>
      </c>
    </row>
    <row r="212" spans="1:7">
      <c r="A212" s="1607" t="s">
        <v>262</v>
      </c>
      <c r="B212" s="1743">
        <v>490236</v>
      </c>
      <c r="C212" s="1743"/>
      <c r="D212" s="1">
        <f>+VLOOKUP($A212,'TB Final'!$B:$K,7,0)</f>
        <v>490236</v>
      </c>
      <c r="E212" s="1">
        <f>+VLOOKUP($A212,'TB Final'!$B:$K,10,0)</f>
        <v>0</v>
      </c>
      <c r="F212" s="1">
        <f t="shared" si="6"/>
        <v>0</v>
      </c>
      <c r="G212" s="1">
        <f t="shared" si="7"/>
        <v>0</v>
      </c>
    </row>
    <row r="213" spans="1:7">
      <c r="A213" s="1607" t="s">
        <v>263</v>
      </c>
      <c r="B213" s="1743"/>
      <c r="C213" s="1743">
        <v>16497</v>
      </c>
      <c r="D213" s="1">
        <f>+VLOOKUP($A213,'TB Final'!$B:$K,7,0)</f>
        <v>0</v>
      </c>
      <c r="E213" s="1">
        <f>+VLOOKUP($A213,'TB Final'!$B:$K,10,0)</f>
        <v>16497</v>
      </c>
      <c r="F213" s="1">
        <f t="shared" si="6"/>
        <v>0</v>
      </c>
      <c r="G213" s="1">
        <f t="shared" si="7"/>
        <v>0</v>
      </c>
    </row>
    <row r="214" spans="1:7">
      <c r="A214" s="1607" t="s">
        <v>264</v>
      </c>
      <c r="B214" s="1743"/>
      <c r="C214" s="1743">
        <v>430942</v>
      </c>
      <c r="D214" s="1">
        <f>+VLOOKUP($A214,'TB Final'!$B:$K,7,0)</f>
        <v>0</v>
      </c>
      <c r="E214" s="1">
        <f>+VLOOKUP($A214,'TB Final'!$B:$K,10,0)</f>
        <v>430942</v>
      </c>
      <c r="F214" s="1">
        <f t="shared" si="6"/>
        <v>0</v>
      </c>
      <c r="G214" s="1">
        <f t="shared" si="7"/>
        <v>0</v>
      </c>
    </row>
    <row r="215" spans="1:7">
      <c r="A215" s="1607" t="s">
        <v>525</v>
      </c>
      <c r="B215" s="1743"/>
      <c r="C215" s="1743">
        <v>437513</v>
      </c>
      <c r="D215" s="1">
        <f>+VLOOKUP($A215,'TB Final'!$B:$K,7,0)</f>
        <v>0</v>
      </c>
      <c r="E215" s="1">
        <f>+VLOOKUP($A215,'TB Final'!$B:$K,10,0)</f>
        <v>437513</v>
      </c>
      <c r="F215" s="1">
        <f t="shared" si="6"/>
        <v>0</v>
      </c>
      <c r="G215" s="1">
        <f t="shared" si="7"/>
        <v>0</v>
      </c>
    </row>
    <row r="216" spans="1:7">
      <c r="A216" s="1607" t="s">
        <v>265</v>
      </c>
      <c r="B216" s="1743"/>
      <c r="C216" s="1743">
        <v>544625</v>
      </c>
      <c r="D216" s="1">
        <f>+VLOOKUP($A216,'TB Final'!$B:$K,7,0)</f>
        <v>0</v>
      </c>
      <c r="E216" s="1">
        <f>+VLOOKUP($A216,'TB Final'!$B:$K,10,0)</f>
        <v>544625</v>
      </c>
      <c r="F216" s="1">
        <f t="shared" si="6"/>
        <v>0</v>
      </c>
      <c r="G216" s="1">
        <f t="shared" si="7"/>
        <v>0</v>
      </c>
    </row>
    <row r="217" spans="1:7">
      <c r="A217" s="1607" t="s">
        <v>266</v>
      </c>
      <c r="B217" s="1743">
        <v>450</v>
      </c>
      <c r="C217" s="1743"/>
      <c r="D217" s="1">
        <f>+VLOOKUP($A217,'TB Final'!$B:$K,7,0)</f>
        <v>450</v>
      </c>
      <c r="E217" s="1">
        <f>+VLOOKUP($A217,'TB Final'!$B:$K,10,0)</f>
        <v>0</v>
      </c>
      <c r="F217" s="1">
        <f t="shared" si="6"/>
        <v>0</v>
      </c>
      <c r="G217" s="1">
        <f t="shared" si="7"/>
        <v>0</v>
      </c>
    </row>
    <row r="218" spans="1:7">
      <c r="A218" s="1607" t="s">
        <v>267</v>
      </c>
      <c r="B218" s="1743">
        <v>5000</v>
      </c>
      <c r="C218" s="1743"/>
      <c r="D218" s="1">
        <f>+VLOOKUP($A218,'TB Final'!$B:$K,7,0)</f>
        <v>5000</v>
      </c>
      <c r="E218" s="1">
        <f>+VLOOKUP($A218,'TB Final'!$B:$K,10,0)</f>
        <v>0</v>
      </c>
      <c r="F218" s="1">
        <f t="shared" si="6"/>
        <v>0</v>
      </c>
      <c r="G218" s="1">
        <f t="shared" si="7"/>
        <v>0</v>
      </c>
    </row>
    <row r="219" spans="1:7">
      <c r="A219" s="1607" t="s">
        <v>268</v>
      </c>
      <c r="B219" s="1743">
        <v>450</v>
      </c>
      <c r="C219" s="1743"/>
      <c r="D219" s="1">
        <f>+VLOOKUP($A219,'TB Final'!$B:$K,7,0)</f>
        <v>450</v>
      </c>
      <c r="E219" s="1">
        <f>+VLOOKUP($A219,'TB Final'!$B:$K,10,0)</f>
        <v>0</v>
      </c>
      <c r="F219" s="1">
        <f t="shared" si="6"/>
        <v>0</v>
      </c>
      <c r="G219" s="1">
        <f t="shared" si="7"/>
        <v>0</v>
      </c>
    </row>
    <row r="220" spans="1:7">
      <c r="A220" s="1607" t="s">
        <v>2976</v>
      </c>
      <c r="B220" s="1743">
        <v>217</v>
      </c>
      <c r="C220" s="1743"/>
      <c r="D220" s="1">
        <f>+VLOOKUP($A220,'TB Final'!$B:$K,7,0)</f>
        <v>217</v>
      </c>
      <c r="E220" s="1">
        <f>+VLOOKUP($A220,'TB Final'!$B:$K,10,0)</f>
        <v>0</v>
      </c>
      <c r="F220" s="1">
        <f t="shared" si="6"/>
        <v>0</v>
      </c>
      <c r="G220" s="1">
        <f t="shared" si="7"/>
        <v>0</v>
      </c>
    </row>
    <row r="221" spans="1:7">
      <c r="A221" s="1607" t="s">
        <v>270</v>
      </c>
      <c r="B221" s="1743">
        <v>354020087.63</v>
      </c>
      <c r="C221" s="1743"/>
      <c r="D221" s="1">
        <f>+VLOOKUP($A221,'TB Final'!$B:$K,7,0)</f>
        <v>348624149.81</v>
      </c>
      <c r="E221" s="1">
        <f>+VLOOKUP($A221,'TB Final'!$B:$K,10,0)</f>
        <v>0</v>
      </c>
      <c r="F221" s="1">
        <f t="shared" si="6"/>
        <v>5395937.8199999928</v>
      </c>
      <c r="G221" s="1">
        <f t="shared" si="7"/>
        <v>0</v>
      </c>
    </row>
    <row r="222" spans="1:7">
      <c r="A222" s="1607" t="s">
        <v>526</v>
      </c>
      <c r="B222" s="1743"/>
      <c r="C222" s="1743">
        <v>333000</v>
      </c>
      <c r="D222" s="1">
        <f>+VLOOKUP($A222,'TB Final'!$B:$K,7,0)</f>
        <v>0</v>
      </c>
      <c r="E222" s="1">
        <f>+VLOOKUP($A222,'TB Final'!$B:$K,10,0)</f>
        <v>333000</v>
      </c>
      <c r="F222" s="1">
        <f t="shared" si="6"/>
        <v>0</v>
      </c>
      <c r="G222" s="1">
        <f t="shared" si="7"/>
        <v>0</v>
      </c>
    </row>
    <row r="223" spans="1:7">
      <c r="A223" s="1607" t="s">
        <v>527</v>
      </c>
      <c r="B223" s="1743">
        <v>72027</v>
      </c>
      <c r="C223" s="1743"/>
      <c r="D223" s="1">
        <f>+VLOOKUP($A223,'TB Final'!$B:$K,7,0)</f>
        <v>72027</v>
      </c>
      <c r="E223" s="1">
        <f>+VLOOKUP($A223,'TB Final'!$B:$K,10,0)</f>
        <v>0</v>
      </c>
      <c r="F223" s="1">
        <f t="shared" si="6"/>
        <v>0</v>
      </c>
      <c r="G223" s="1">
        <f t="shared" si="7"/>
        <v>0</v>
      </c>
    </row>
    <row r="224" spans="1:7">
      <c r="A224" s="1607" t="s">
        <v>271</v>
      </c>
      <c r="B224" s="1743"/>
      <c r="C224" s="1743">
        <v>1103470</v>
      </c>
      <c r="D224" s="1">
        <f>+VLOOKUP($A224,'TB Final'!$B:$K,7,0)</f>
        <v>0</v>
      </c>
      <c r="E224" s="1">
        <f>+VLOOKUP($A224,'TB Final'!$B:$K,10,0)</f>
        <v>1103470</v>
      </c>
      <c r="F224" s="1">
        <f t="shared" si="6"/>
        <v>0</v>
      </c>
      <c r="G224" s="1">
        <f t="shared" si="7"/>
        <v>0</v>
      </c>
    </row>
    <row r="225" spans="1:7">
      <c r="A225" s="1607" t="s">
        <v>2977</v>
      </c>
      <c r="B225" s="1743">
        <v>2498493</v>
      </c>
      <c r="C225" s="1743"/>
      <c r="D225" s="1">
        <f>+VLOOKUP($A225,'TB Final'!$B:$K,7,0)</f>
        <v>2498493</v>
      </c>
      <c r="E225" s="1">
        <f>+VLOOKUP($A225,'TB Final'!$B:$K,10,0)</f>
        <v>0</v>
      </c>
      <c r="F225" s="1">
        <f t="shared" si="6"/>
        <v>0</v>
      </c>
      <c r="G225" s="1">
        <f t="shared" si="7"/>
        <v>0</v>
      </c>
    </row>
    <row r="226" spans="1:7">
      <c r="A226" s="1607" t="s">
        <v>2978</v>
      </c>
      <c r="B226" s="1743"/>
      <c r="C226" s="1743">
        <v>40020</v>
      </c>
      <c r="D226" s="1">
        <f>+VLOOKUP($A226,'TB Final'!$B:$K,7,0)</f>
        <v>0</v>
      </c>
      <c r="E226" s="1">
        <f>+VLOOKUP($A226,'TB Final'!$B:$K,10,0)</f>
        <v>40020</v>
      </c>
      <c r="F226" s="1">
        <f t="shared" si="6"/>
        <v>0</v>
      </c>
      <c r="G226" s="1">
        <f t="shared" si="7"/>
        <v>0</v>
      </c>
    </row>
    <row r="227" spans="1:7">
      <c r="A227" s="1607" t="s">
        <v>2979</v>
      </c>
      <c r="B227" s="1743"/>
      <c r="C227" s="1743">
        <v>93400</v>
      </c>
      <c r="D227" s="1">
        <f>+VLOOKUP($A227,'TB Final'!$B:$K,7,0)</f>
        <v>0</v>
      </c>
      <c r="E227" s="1">
        <f>+VLOOKUP($A227,'TB Final'!$B:$K,10,0)</f>
        <v>93400</v>
      </c>
      <c r="F227" s="1">
        <f t="shared" si="6"/>
        <v>0</v>
      </c>
      <c r="G227" s="1">
        <f t="shared" si="7"/>
        <v>0</v>
      </c>
    </row>
    <row r="228" spans="1:7">
      <c r="A228" s="1607" t="s">
        <v>398</v>
      </c>
      <c r="B228" s="1743">
        <v>1374004</v>
      </c>
      <c r="C228" s="1743"/>
      <c r="D228" s="1">
        <f>+VLOOKUP($A228,'TB Final'!$B:$K,7,0)</f>
        <v>0</v>
      </c>
      <c r="E228" s="1">
        <f>+VLOOKUP($A228,'TB Final'!$B:$K,10,0)</f>
        <v>0</v>
      </c>
      <c r="F228" s="1">
        <f t="shared" si="6"/>
        <v>1374004</v>
      </c>
      <c r="G228" s="1">
        <f t="shared" si="7"/>
        <v>0</v>
      </c>
    </row>
    <row r="229" spans="1:7">
      <c r="A229" s="1607" t="s">
        <v>400</v>
      </c>
      <c r="B229" s="1743">
        <v>7673731</v>
      </c>
      <c r="C229" s="1743"/>
      <c r="D229" s="1">
        <f>+VLOOKUP($A229,'TB Final'!$B:$K,7,0)</f>
        <v>0</v>
      </c>
      <c r="E229" s="1">
        <f>+VLOOKUP($A229,'TB Final'!$B:$K,10,0)</f>
        <v>0</v>
      </c>
      <c r="F229" s="1">
        <f t="shared" si="6"/>
        <v>7673731</v>
      </c>
      <c r="G229" s="1">
        <f t="shared" si="7"/>
        <v>0</v>
      </c>
    </row>
    <row r="230" spans="1:7">
      <c r="A230" s="1607" t="s">
        <v>401</v>
      </c>
      <c r="B230" s="1743">
        <v>16261921</v>
      </c>
      <c r="C230" s="1743"/>
      <c r="D230" s="1">
        <f>+VLOOKUP($A230,'TB Final'!$B:$K,7,0)</f>
        <v>0</v>
      </c>
      <c r="E230" s="1">
        <f>+VLOOKUP($A230,'TB Final'!$B:$K,10,0)</f>
        <v>0</v>
      </c>
      <c r="F230" s="1">
        <f t="shared" si="6"/>
        <v>16261921</v>
      </c>
      <c r="G230" s="1">
        <f t="shared" si="7"/>
        <v>0</v>
      </c>
    </row>
    <row r="231" spans="1:7">
      <c r="A231" s="1607" t="s">
        <v>402</v>
      </c>
      <c r="B231" s="1743">
        <v>1196817</v>
      </c>
      <c r="C231" s="1743"/>
      <c r="D231" s="1">
        <f>+VLOOKUP($A231,'TB Final'!$B:$K,7,0)</f>
        <v>0</v>
      </c>
      <c r="E231" s="1">
        <f>+VLOOKUP($A231,'TB Final'!$B:$K,10,0)</f>
        <v>0</v>
      </c>
      <c r="F231" s="1">
        <f t="shared" si="6"/>
        <v>1196817</v>
      </c>
      <c r="G231" s="1">
        <f t="shared" si="7"/>
        <v>0</v>
      </c>
    </row>
    <row r="232" spans="1:7">
      <c r="A232" s="1607" t="s">
        <v>273</v>
      </c>
      <c r="B232" s="1743">
        <v>990425</v>
      </c>
      <c r="C232" s="1743"/>
      <c r="D232" s="1">
        <f>+VLOOKUP($A232,'TB Final'!$B:$K,7,0)</f>
        <v>990425</v>
      </c>
      <c r="E232" s="1">
        <f>+VLOOKUP($A232,'TB Final'!$B:$K,10,0)</f>
        <v>0</v>
      </c>
      <c r="F232" s="1">
        <f t="shared" si="6"/>
        <v>0</v>
      </c>
      <c r="G232" s="1">
        <f t="shared" si="7"/>
        <v>0</v>
      </c>
    </row>
    <row r="233" spans="1:7">
      <c r="A233" s="1607" t="s">
        <v>2980</v>
      </c>
      <c r="B233" s="1743">
        <v>515309</v>
      </c>
      <c r="C233" s="1743"/>
      <c r="D233" s="1">
        <f>+VLOOKUP($A233,'TB Final'!$B:$K,7,0)</f>
        <v>515309</v>
      </c>
      <c r="E233" s="1">
        <f>+VLOOKUP($A233,'TB Final'!$B:$K,10,0)</f>
        <v>0</v>
      </c>
      <c r="F233" s="1">
        <f t="shared" si="6"/>
        <v>0</v>
      </c>
      <c r="G233" s="1">
        <f t="shared" si="7"/>
        <v>0</v>
      </c>
    </row>
    <row r="234" spans="1:7">
      <c r="A234" s="1607" t="s">
        <v>3063</v>
      </c>
      <c r="B234" s="1743"/>
      <c r="C234" s="1743">
        <v>19514</v>
      </c>
      <c r="D234" s="1">
        <f>+VLOOKUP($A234,'TB Final'!$B:$K,7,0)</f>
        <v>0</v>
      </c>
      <c r="E234" s="1">
        <f>+VLOOKUP($A234,'TB Final'!$B:$K,10,0)</f>
        <v>19514</v>
      </c>
      <c r="F234" s="1">
        <f t="shared" si="6"/>
        <v>0</v>
      </c>
      <c r="G234" s="1">
        <f t="shared" si="7"/>
        <v>0</v>
      </c>
    </row>
    <row r="235" spans="1:7">
      <c r="A235" s="1607" t="s">
        <v>275</v>
      </c>
      <c r="B235" s="1743">
        <v>774063</v>
      </c>
      <c r="C235" s="1743"/>
      <c r="D235" s="1">
        <f>+VLOOKUP($A235,'TB Final'!$B:$K,7,0)</f>
        <v>774063</v>
      </c>
      <c r="E235" s="1">
        <f>+VLOOKUP($A235,'TB Final'!$B:$K,10,0)</f>
        <v>0</v>
      </c>
      <c r="F235" s="1">
        <f t="shared" si="6"/>
        <v>0</v>
      </c>
      <c r="G235" s="1">
        <f t="shared" si="7"/>
        <v>0</v>
      </c>
    </row>
    <row r="236" spans="1:7">
      <c r="A236" s="1607" t="s">
        <v>276</v>
      </c>
      <c r="B236" s="1743">
        <v>2500</v>
      </c>
      <c r="C236" s="1743"/>
      <c r="D236" s="1">
        <f>+VLOOKUP($A236,'TB Final'!$B:$K,7,0)</f>
        <v>2500</v>
      </c>
      <c r="E236" s="1">
        <f>+VLOOKUP($A236,'TB Final'!$B:$K,10,0)</f>
        <v>0</v>
      </c>
      <c r="F236" s="1">
        <f t="shared" si="6"/>
        <v>0</v>
      </c>
      <c r="G236" s="1">
        <f t="shared" si="7"/>
        <v>0</v>
      </c>
    </row>
    <row r="237" spans="1:7">
      <c r="A237" s="1607" t="s">
        <v>529</v>
      </c>
      <c r="B237" s="1743"/>
      <c r="C237" s="1743">
        <v>127241303.03</v>
      </c>
      <c r="D237" s="1">
        <f>+VLOOKUP($A237,'TB Final'!$B:$K,7,0)</f>
        <v>0</v>
      </c>
      <c r="E237" s="1">
        <f>+VLOOKUP($A237,'TB Final'!$B:$K,10,0)</f>
        <v>127241303.03</v>
      </c>
      <c r="F237" s="1">
        <f t="shared" si="6"/>
        <v>0</v>
      </c>
      <c r="G237" s="1">
        <f t="shared" si="7"/>
        <v>0</v>
      </c>
    </row>
    <row r="238" spans="1:7">
      <c r="A238" s="1607" t="s">
        <v>279</v>
      </c>
      <c r="B238" s="1743"/>
      <c r="C238" s="1743">
        <v>9444000</v>
      </c>
      <c r="D238" s="1">
        <f>+VLOOKUP($A238,'TB Final'!$B:$K,7,0)</f>
        <v>0</v>
      </c>
      <c r="E238" s="1">
        <f>+VLOOKUP($A238,'TB Final'!$B:$K,10,0)</f>
        <v>9444000</v>
      </c>
      <c r="F238" s="1">
        <f t="shared" si="6"/>
        <v>0</v>
      </c>
      <c r="G238" s="1">
        <f t="shared" si="7"/>
        <v>0</v>
      </c>
    </row>
    <row r="239" spans="1:7">
      <c r="A239" s="1607" t="s">
        <v>530</v>
      </c>
      <c r="B239" s="1743">
        <v>1547993</v>
      </c>
      <c r="C239" s="1743"/>
      <c r="D239" s="1">
        <f>+VLOOKUP($A239,'TB Final'!$B:$K,7,0)</f>
        <v>1547993</v>
      </c>
      <c r="E239" s="1">
        <f>+VLOOKUP($A239,'TB Final'!$B:$K,10,0)</f>
        <v>0</v>
      </c>
      <c r="F239" s="1">
        <f t="shared" si="6"/>
        <v>0</v>
      </c>
      <c r="G239" s="1">
        <f t="shared" si="7"/>
        <v>0</v>
      </c>
    </row>
    <row r="240" spans="1:7">
      <c r="A240" s="1607" t="s">
        <v>281</v>
      </c>
      <c r="B240" s="1743"/>
      <c r="C240" s="1743">
        <v>5868548</v>
      </c>
      <c r="D240" s="1">
        <f>+VLOOKUP($A240,'TB Final'!$B:$K,7,0)</f>
        <v>0</v>
      </c>
      <c r="E240" s="1">
        <f>+VLOOKUP($A240,'TB Final'!$B:$K,10,0)</f>
        <v>5916298</v>
      </c>
      <c r="F240" s="1">
        <f t="shared" si="6"/>
        <v>0</v>
      </c>
      <c r="G240" s="1">
        <f t="shared" si="7"/>
        <v>-47750</v>
      </c>
    </row>
    <row r="241" spans="1:7">
      <c r="A241" s="1607" t="s">
        <v>282</v>
      </c>
      <c r="B241" s="1743"/>
      <c r="C241" s="1743">
        <v>10709998</v>
      </c>
      <c r="D241" s="1">
        <f>+VLOOKUP($A241,'TB Final'!$B:$K,7,0)</f>
        <v>0</v>
      </c>
      <c r="E241" s="1">
        <f>+VLOOKUP($A241,'TB Final'!$B:$K,10,0)</f>
        <v>10989233.91</v>
      </c>
      <c r="F241" s="1">
        <f t="shared" si="6"/>
        <v>0</v>
      </c>
      <c r="G241" s="1">
        <f t="shared" si="7"/>
        <v>-279235.91000000015</v>
      </c>
    </row>
    <row r="242" spans="1:7">
      <c r="A242" s="1607" t="s">
        <v>531</v>
      </c>
      <c r="B242" s="1743"/>
      <c r="C242" s="1743">
        <v>812860</v>
      </c>
      <c r="D242" s="1">
        <f>+VLOOKUP($A242,'TB Final'!$B:$K,7,0)</f>
        <v>0</v>
      </c>
      <c r="E242" s="1">
        <f>+VLOOKUP($A242,'TB Final'!$B:$K,10,0)</f>
        <v>869014.41</v>
      </c>
      <c r="F242" s="1">
        <f t="shared" si="6"/>
        <v>0</v>
      </c>
      <c r="G242" s="1">
        <f t="shared" si="7"/>
        <v>-56154.410000000033</v>
      </c>
    </row>
    <row r="243" spans="1:7">
      <c r="A243" s="1607" t="s">
        <v>532</v>
      </c>
      <c r="B243" s="1743"/>
      <c r="C243" s="1743">
        <v>21589226</v>
      </c>
      <c r="D243" s="1">
        <f>+VLOOKUP($A243,'TB Final'!$B:$K,7,0)</f>
        <v>0</v>
      </c>
      <c r="E243" s="1">
        <f>+VLOOKUP($A243,'TB Final'!$B:$K,10,0)</f>
        <v>17269944.850000001</v>
      </c>
      <c r="F243" s="1">
        <f t="shared" si="6"/>
        <v>0</v>
      </c>
      <c r="G243" s="1">
        <f t="shared" si="7"/>
        <v>4319281.1499999985</v>
      </c>
    </row>
    <row r="244" spans="1:7">
      <c r="A244" s="1607" t="s">
        <v>284</v>
      </c>
      <c r="B244" s="1743"/>
      <c r="C244" s="1743">
        <v>379192</v>
      </c>
      <c r="D244" s="1">
        <f>+VLOOKUP($A244,'TB Final'!$B:$K,7,0)</f>
        <v>0</v>
      </c>
      <c r="E244" s="1">
        <f>+VLOOKUP($A244,'TB Final'!$B:$K,10,0)</f>
        <v>379192</v>
      </c>
      <c r="F244" s="1">
        <f t="shared" si="6"/>
        <v>0</v>
      </c>
      <c r="G244" s="1">
        <f t="shared" si="7"/>
        <v>0</v>
      </c>
    </row>
    <row r="245" spans="1:7">
      <c r="A245" s="1607" t="s">
        <v>533</v>
      </c>
      <c r="B245" s="1743"/>
      <c r="C245" s="1743">
        <v>1166259</v>
      </c>
      <c r="D245" s="1">
        <f>+VLOOKUP($A245,'TB Final'!$B:$K,7,0)</f>
        <v>0</v>
      </c>
      <c r="E245" s="1">
        <f>+VLOOKUP($A245,'TB Final'!$B:$K,10,0)</f>
        <v>1218124.6399999999</v>
      </c>
      <c r="F245" s="1">
        <f t="shared" si="6"/>
        <v>0</v>
      </c>
      <c r="G245" s="1">
        <f t="shared" si="7"/>
        <v>-51865.639999999898</v>
      </c>
    </row>
    <row r="246" spans="1:7">
      <c r="A246" s="1607" t="s">
        <v>534</v>
      </c>
      <c r="B246" s="1743"/>
      <c r="C246" s="1743">
        <v>921977</v>
      </c>
      <c r="D246" s="1">
        <f>+VLOOKUP($A246,'TB Final'!$B:$K,7,0)</f>
        <v>0</v>
      </c>
      <c r="E246" s="1">
        <f>+VLOOKUP($A246,'TB Final'!$B:$K,10,0)</f>
        <v>926478.12</v>
      </c>
      <c r="F246" s="1">
        <f t="shared" si="6"/>
        <v>0</v>
      </c>
      <c r="G246" s="1">
        <f t="shared" si="7"/>
        <v>-4501.1199999999953</v>
      </c>
    </row>
    <row r="247" spans="1:7">
      <c r="A247" s="1607" t="s">
        <v>535</v>
      </c>
      <c r="B247" s="1743"/>
      <c r="C247" s="1743">
        <v>141175873</v>
      </c>
      <c r="D247" s="1">
        <f>+VLOOKUP($A247,'TB Final'!$B:$K,7,0)</f>
        <v>0</v>
      </c>
      <c r="E247" s="1">
        <f>+VLOOKUP($A247,'TB Final'!$B:$K,10,0)</f>
        <v>130154367.81999999</v>
      </c>
      <c r="F247" s="1">
        <f t="shared" si="6"/>
        <v>0</v>
      </c>
      <c r="G247" s="1">
        <f t="shared" si="7"/>
        <v>11021505.180000007</v>
      </c>
    </row>
    <row r="248" spans="1:7">
      <c r="A248" s="1607" t="s">
        <v>536</v>
      </c>
      <c r="B248" s="1743"/>
      <c r="C248" s="1743">
        <v>1602489</v>
      </c>
      <c r="D248" s="1">
        <f>+VLOOKUP($A248,'TB Final'!$B:$K,7,0)</f>
        <v>0</v>
      </c>
      <c r="E248" s="1">
        <f>+VLOOKUP($A248,'TB Final'!$B:$K,10,0)</f>
        <v>1611557.77</v>
      </c>
      <c r="F248" s="1">
        <f t="shared" si="6"/>
        <v>0</v>
      </c>
      <c r="G248" s="1">
        <f t="shared" si="7"/>
        <v>-9068.7700000000186</v>
      </c>
    </row>
    <row r="249" spans="1:7">
      <c r="A249" s="1607" t="s">
        <v>288</v>
      </c>
      <c r="B249" s="1743">
        <v>122153</v>
      </c>
      <c r="C249" s="1743"/>
      <c r="D249" s="1">
        <f>+VLOOKUP($A249,'TB Final'!$B:$K,7,0)</f>
        <v>122153</v>
      </c>
      <c r="E249" s="1">
        <f>+VLOOKUP($A249,'TB Final'!$B:$K,10,0)</f>
        <v>0</v>
      </c>
      <c r="F249" s="1">
        <f t="shared" si="6"/>
        <v>0</v>
      </c>
      <c r="G249" s="1">
        <f t="shared" si="7"/>
        <v>0</v>
      </c>
    </row>
    <row r="250" spans="1:7">
      <c r="A250" s="1607" t="s">
        <v>291</v>
      </c>
      <c r="B250" s="1743">
        <v>271788</v>
      </c>
      <c r="C250" s="1743"/>
      <c r="D250" s="1">
        <f>+VLOOKUP($A250,'TB Final'!$B:$K,7,0)</f>
        <v>271788</v>
      </c>
      <c r="E250" s="1">
        <f>+VLOOKUP($A250,'TB Final'!$B:$K,10,0)</f>
        <v>0</v>
      </c>
      <c r="F250" s="1">
        <f t="shared" si="6"/>
        <v>0</v>
      </c>
      <c r="G250" s="1">
        <f t="shared" si="7"/>
        <v>0</v>
      </c>
    </row>
    <row r="251" spans="1:7">
      <c r="A251" s="1607" t="s">
        <v>290</v>
      </c>
      <c r="B251" s="1743">
        <v>139678</v>
      </c>
      <c r="C251" s="1743"/>
      <c r="D251" s="1">
        <f>+VLOOKUP($A251,'TB Final'!$B:$K,7,0)</f>
        <v>139678</v>
      </c>
      <c r="E251" s="1">
        <f>+VLOOKUP($A251,'TB Final'!$B:$K,10,0)</f>
        <v>0</v>
      </c>
      <c r="F251" s="1">
        <f t="shared" si="6"/>
        <v>0</v>
      </c>
      <c r="G251" s="1">
        <f t="shared" si="7"/>
        <v>0</v>
      </c>
    </row>
    <row r="252" spans="1:7">
      <c r="A252" s="1607" t="s">
        <v>285</v>
      </c>
      <c r="B252" s="1743">
        <v>34285</v>
      </c>
      <c r="C252" s="1743"/>
      <c r="D252" s="1">
        <f>+VLOOKUP($A252,'TB Final'!$B:$K,7,0)</f>
        <v>34285</v>
      </c>
      <c r="E252" s="1">
        <f>+VLOOKUP($A252,'TB Final'!$B:$K,10,0)</f>
        <v>0</v>
      </c>
      <c r="F252" s="1">
        <f t="shared" si="6"/>
        <v>0</v>
      </c>
      <c r="G252" s="1">
        <f t="shared" si="7"/>
        <v>0</v>
      </c>
    </row>
    <row r="253" spans="1:7">
      <c r="A253" s="1607" t="s">
        <v>537</v>
      </c>
      <c r="B253" s="1743"/>
      <c r="C253" s="1743">
        <v>2663935.7000000002</v>
      </c>
      <c r="D253" s="1">
        <f>+VLOOKUP($A253,'TB Final'!$B:$K,7,0)</f>
        <v>0</v>
      </c>
      <c r="E253" s="1">
        <f>+VLOOKUP($A253,'TB Final'!$B:$K,10,0)</f>
        <v>3020979.7</v>
      </c>
      <c r="F253" s="1">
        <f t="shared" si="6"/>
        <v>0</v>
      </c>
      <c r="G253" s="1">
        <f t="shared" si="7"/>
        <v>-357044</v>
      </c>
    </row>
    <row r="254" spans="1:7">
      <c r="A254" s="1607" t="s">
        <v>292</v>
      </c>
      <c r="B254" s="1743">
        <v>11114075</v>
      </c>
      <c r="C254" s="1743"/>
      <c r="D254" s="1">
        <f>+VLOOKUP($A254,'TB Final'!$B:$K,7,0)</f>
        <v>11114075</v>
      </c>
      <c r="E254" s="1">
        <f>+VLOOKUP($A254,'TB Final'!$B:$K,10,0)</f>
        <v>0</v>
      </c>
      <c r="F254" s="1">
        <f t="shared" si="6"/>
        <v>0</v>
      </c>
      <c r="G254" s="1">
        <f t="shared" si="7"/>
        <v>0</v>
      </c>
    </row>
    <row r="255" spans="1:7">
      <c r="A255" s="1607" t="s">
        <v>2981</v>
      </c>
      <c r="B255" s="1743"/>
      <c r="C255" s="1743">
        <v>39629</v>
      </c>
      <c r="D255" s="1">
        <f>+VLOOKUP($A255,'TB Final'!$B:$K,7,0)</f>
        <v>0</v>
      </c>
      <c r="E255" s="1">
        <f>+VLOOKUP($A255,'TB Final'!$B:$K,10,0)</f>
        <v>39629</v>
      </c>
      <c r="F255" s="1">
        <f t="shared" si="6"/>
        <v>0</v>
      </c>
      <c r="G255" s="1">
        <f t="shared" si="7"/>
        <v>0</v>
      </c>
    </row>
    <row r="256" spans="1:7">
      <c r="A256" s="1607" t="s">
        <v>538</v>
      </c>
      <c r="B256" s="1743"/>
      <c r="C256" s="1743">
        <v>570460</v>
      </c>
      <c r="D256" s="1">
        <f>+VLOOKUP($A256,'TB Final'!$B:$K,7,0)</f>
        <v>0</v>
      </c>
      <c r="E256" s="1">
        <f>+VLOOKUP($A256,'TB Final'!$B:$K,10,0)</f>
        <v>570460</v>
      </c>
      <c r="F256" s="1">
        <f t="shared" si="6"/>
        <v>0</v>
      </c>
      <c r="G256" s="1">
        <f t="shared" si="7"/>
        <v>0</v>
      </c>
    </row>
    <row r="257" spans="1:7">
      <c r="A257" s="1607" t="s">
        <v>293</v>
      </c>
      <c r="B257" s="1743">
        <v>248584</v>
      </c>
      <c r="C257" s="1743"/>
      <c r="D257" s="1">
        <f>+VLOOKUP($A257,'TB Final'!$B:$K,7,0)</f>
        <v>248584</v>
      </c>
      <c r="E257" s="1">
        <f>+VLOOKUP($A257,'TB Final'!$B:$K,10,0)</f>
        <v>0</v>
      </c>
      <c r="F257" s="1">
        <f t="shared" si="6"/>
        <v>0</v>
      </c>
      <c r="G257" s="1">
        <f t="shared" si="7"/>
        <v>0</v>
      </c>
    </row>
    <row r="258" spans="1:7">
      <c r="A258" s="1607" t="s">
        <v>294</v>
      </c>
      <c r="B258" s="1743">
        <v>8366598</v>
      </c>
      <c r="C258" s="1743"/>
      <c r="D258" s="1">
        <f>+VLOOKUP($A258,'TB Final'!$B:$K,7,0)</f>
        <v>8366598</v>
      </c>
      <c r="E258" s="1">
        <f>+VLOOKUP($A258,'TB Final'!$B:$K,10,0)</f>
        <v>0</v>
      </c>
      <c r="F258" s="1">
        <f t="shared" si="6"/>
        <v>0</v>
      </c>
      <c r="G258" s="1">
        <f t="shared" si="7"/>
        <v>0</v>
      </c>
    </row>
    <row r="259" spans="1:7">
      <c r="A259" s="1607" t="s">
        <v>295</v>
      </c>
      <c r="B259" s="1743">
        <v>210</v>
      </c>
      <c r="C259" s="1743"/>
      <c r="D259" s="1">
        <f>+VLOOKUP($A259,'TB Final'!$B:$K,7,0)</f>
        <v>210</v>
      </c>
      <c r="E259" s="1">
        <f>+VLOOKUP($A259,'TB Final'!$B:$K,10,0)</f>
        <v>0</v>
      </c>
      <c r="F259" s="1">
        <f t="shared" si="6"/>
        <v>0</v>
      </c>
      <c r="G259" s="1">
        <f t="shared" si="7"/>
        <v>0</v>
      </c>
    </row>
    <row r="260" spans="1:7">
      <c r="A260" s="1607" t="s">
        <v>540</v>
      </c>
      <c r="B260" s="1743">
        <v>11174515.4</v>
      </c>
      <c r="C260" s="1743"/>
      <c r="D260" s="1">
        <f>+VLOOKUP($A260,'TB Final'!$B:$K,7,0)</f>
        <v>11174515.4</v>
      </c>
      <c r="E260" s="1">
        <f>+VLOOKUP($A260,'TB Final'!$B:$K,10,0)</f>
        <v>0</v>
      </c>
      <c r="F260" s="1">
        <f t="shared" si="6"/>
        <v>0</v>
      </c>
      <c r="G260" s="1">
        <f t="shared" si="7"/>
        <v>0</v>
      </c>
    </row>
    <row r="261" spans="1:7">
      <c r="A261" s="1607" t="s">
        <v>2982</v>
      </c>
      <c r="B261" s="1743">
        <v>11449790</v>
      </c>
      <c r="C261" s="1743"/>
      <c r="D261" s="1">
        <f>+VLOOKUP($A261,'TB Final'!$B:$K,7,0)</f>
        <v>11449790</v>
      </c>
      <c r="E261" s="1">
        <f>+VLOOKUP($A261,'TB Final'!$B:$K,10,0)</f>
        <v>0</v>
      </c>
      <c r="F261" s="1">
        <f t="shared" si="6"/>
        <v>0</v>
      </c>
      <c r="G261" s="1">
        <f t="shared" si="7"/>
        <v>0</v>
      </c>
    </row>
    <row r="262" spans="1:7">
      <c r="A262" s="1607" t="s">
        <v>2983</v>
      </c>
      <c r="B262" s="1743"/>
      <c r="C262" s="1743">
        <v>328373</v>
      </c>
      <c r="D262" s="1">
        <f>+VLOOKUP($A262,'TB Final'!$B:$K,7,0)</f>
        <v>0</v>
      </c>
      <c r="E262" s="1">
        <f>+VLOOKUP($A262,'TB Final'!$B:$K,10,0)</f>
        <v>328373</v>
      </c>
      <c r="F262" s="1">
        <f t="shared" si="6"/>
        <v>0</v>
      </c>
      <c r="G262" s="1">
        <f t="shared" si="7"/>
        <v>0</v>
      </c>
    </row>
    <row r="263" spans="1:7">
      <c r="A263" s="1607" t="s">
        <v>301</v>
      </c>
      <c r="B263" s="1743"/>
      <c r="C263" s="1743">
        <v>3493498</v>
      </c>
      <c r="D263" s="1">
        <f>+VLOOKUP($A263,'TB Final'!$B:$K,7,0)</f>
        <v>0</v>
      </c>
      <c r="E263" s="1">
        <f>+VLOOKUP($A263,'TB Final'!$B:$K,10,0)</f>
        <v>3493498</v>
      </c>
      <c r="F263" s="1">
        <f t="shared" si="6"/>
        <v>0</v>
      </c>
      <c r="G263" s="1">
        <f t="shared" si="7"/>
        <v>0</v>
      </c>
    </row>
    <row r="264" spans="1:7">
      <c r="A264" s="1607" t="s">
        <v>2984</v>
      </c>
      <c r="B264" s="1743">
        <v>846</v>
      </c>
      <c r="C264" s="1743"/>
      <c r="D264" s="1">
        <f>+VLOOKUP($A264,'TB Final'!$B:$K,7,0)</f>
        <v>846</v>
      </c>
      <c r="E264" s="1">
        <f>+VLOOKUP($A264,'TB Final'!$B:$K,10,0)</f>
        <v>0</v>
      </c>
      <c r="F264" s="1">
        <f t="shared" si="6"/>
        <v>0</v>
      </c>
      <c r="G264" s="1">
        <f t="shared" si="7"/>
        <v>0</v>
      </c>
    </row>
    <row r="265" spans="1:7">
      <c r="A265" s="1607" t="s">
        <v>82</v>
      </c>
      <c r="B265" s="1743">
        <v>248399</v>
      </c>
      <c r="C265" s="1743"/>
      <c r="D265" s="1">
        <f>+VLOOKUP($A265,'TB Final'!$B:$K,7,0)</f>
        <v>248399</v>
      </c>
      <c r="E265" s="1">
        <f>+VLOOKUP($A265,'TB Final'!$B:$K,10,0)</f>
        <v>0</v>
      </c>
      <c r="F265" s="1">
        <f t="shared" si="6"/>
        <v>0</v>
      </c>
      <c r="G265" s="1">
        <f t="shared" si="7"/>
        <v>0</v>
      </c>
    </row>
    <row r="266" spans="1:7">
      <c r="A266" s="1607" t="s">
        <v>2565</v>
      </c>
      <c r="B266" s="1743">
        <v>15000</v>
      </c>
      <c r="C266" s="1743"/>
      <c r="D266" s="1">
        <f>+VLOOKUP($A266,'TB Final'!$B:$K,7,0)</f>
        <v>15000</v>
      </c>
      <c r="E266" s="1">
        <f>+VLOOKUP($A266,'TB Final'!$B:$K,10,0)</f>
        <v>0</v>
      </c>
      <c r="F266" s="1">
        <f t="shared" si="6"/>
        <v>0</v>
      </c>
      <c r="G266" s="1">
        <f t="shared" si="7"/>
        <v>0</v>
      </c>
    </row>
    <row r="267" spans="1:7">
      <c r="A267" s="1607" t="s">
        <v>303</v>
      </c>
      <c r="B267" s="1743">
        <v>3685087.84</v>
      </c>
      <c r="C267" s="1743"/>
      <c r="D267" s="1">
        <f>+VLOOKUP($A267,'TB Final'!$B:$K,7,0)</f>
        <v>3685087.84</v>
      </c>
      <c r="E267" s="1">
        <f>+VLOOKUP($A267,'TB Final'!$B:$K,10,0)</f>
        <v>0</v>
      </c>
      <c r="F267" s="1">
        <f t="shared" si="6"/>
        <v>0</v>
      </c>
      <c r="G267" s="1">
        <f t="shared" si="7"/>
        <v>0</v>
      </c>
    </row>
    <row r="268" spans="1:7">
      <c r="A268" s="1607" t="s">
        <v>299</v>
      </c>
      <c r="B268" s="1743">
        <v>1924603.5</v>
      </c>
      <c r="C268" s="1743"/>
      <c r="D268" s="1">
        <f>+VLOOKUP($A268,'TB Final'!$B:$K,7,0)</f>
        <v>1924603.5</v>
      </c>
      <c r="E268" s="1">
        <f>+VLOOKUP($A268,'TB Final'!$B:$K,10,0)</f>
        <v>0</v>
      </c>
      <c r="F268" s="1">
        <f t="shared" si="6"/>
        <v>0</v>
      </c>
      <c r="G268" s="1">
        <f t="shared" si="7"/>
        <v>0</v>
      </c>
    </row>
    <row r="269" spans="1:7">
      <c r="A269" s="1607" t="s">
        <v>304</v>
      </c>
      <c r="B269" s="1743"/>
      <c r="C269" s="1743">
        <v>29783</v>
      </c>
      <c r="D269" s="1">
        <f>+VLOOKUP($A269,'TB Final'!$B:$K,7,0)</f>
        <v>0</v>
      </c>
      <c r="E269" s="1">
        <f>+VLOOKUP($A269,'TB Final'!$B:$K,10,0)</f>
        <v>29783</v>
      </c>
      <c r="F269" s="1">
        <f t="shared" ref="F269:F332" si="8">+B269-D269</f>
        <v>0</v>
      </c>
      <c r="G269" s="1">
        <f t="shared" ref="G269:G332" si="9">+C269-E269</f>
        <v>0</v>
      </c>
    </row>
    <row r="270" spans="1:7">
      <c r="A270" s="1607" t="s">
        <v>305</v>
      </c>
      <c r="B270" s="1743"/>
      <c r="C270" s="1743">
        <v>27120</v>
      </c>
      <c r="D270" s="1">
        <f>+VLOOKUP($A270,'TB Final'!$B:$K,7,0)</f>
        <v>0</v>
      </c>
      <c r="E270" s="1">
        <f>+VLOOKUP($A270,'TB Final'!$B:$K,10,0)</f>
        <v>27120</v>
      </c>
      <c r="F270" s="1">
        <f t="shared" si="8"/>
        <v>0</v>
      </c>
      <c r="G270" s="1">
        <f t="shared" si="9"/>
        <v>0</v>
      </c>
    </row>
    <row r="271" spans="1:7">
      <c r="A271" s="1607" t="s">
        <v>306</v>
      </c>
      <c r="B271" s="1743"/>
      <c r="C271" s="1743">
        <v>29783</v>
      </c>
      <c r="D271" s="1">
        <f>+VLOOKUP($A271,'TB Final'!$B:$K,7,0)</f>
        <v>0</v>
      </c>
      <c r="E271" s="1">
        <f>+VLOOKUP($A271,'TB Final'!$B:$K,10,0)</f>
        <v>29783</v>
      </c>
      <c r="F271" s="1">
        <f t="shared" si="8"/>
        <v>0</v>
      </c>
      <c r="G271" s="1">
        <f t="shared" si="9"/>
        <v>0</v>
      </c>
    </row>
    <row r="272" spans="1:7">
      <c r="A272" s="1607" t="s">
        <v>545</v>
      </c>
      <c r="B272" s="1743">
        <v>1916000</v>
      </c>
      <c r="C272" s="1743"/>
      <c r="D272" s="1">
        <f>+VLOOKUP($A272,'TB Final'!$B:$K,7,0)</f>
        <v>1916000</v>
      </c>
      <c r="E272" s="1">
        <f>+VLOOKUP($A272,'TB Final'!$B:$K,10,0)</f>
        <v>0</v>
      </c>
      <c r="F272" s="1">
        <f t="shared" si="8"/>
        <v>0</v>
      </c>
      <c r="G272" s="1">
        <f t="shared" si="9"/>
        <v>0</v>
      </c>
    </row>
    <row r="273" spans="1:7">
      <c r="A273" s="1607" t="s">
        <v>309</v>
      </c>
      <c r="B273" s="1743">
        <v>400168</v>
      </c>
      <c r="C273" s="1743"/>
      <c r="D273" s="1">
        <f>+VLOOKUP($A273,'TB Final'!$B:$K,7,0)</f>
        <v>400168</v>
      </c>
      <c r="E273" s="1">
        <f>+VLOOKUP($A273,'TB Final'!$B:$K,10,0)</f>
        <v>0</v>
      </c>
      <c r="F273" s="1">
        <f t="shared" si="8"/>
        <v>0</v>
      </c>
      <c r="G273" s="1">
        <f t="shared" si="9"/>
        <v>0</v>
      </c>
    </row>
    <row r="274" spans="1:7">
      <c r="A274" s="1607" t="s">
        <v>2985</v>
      </c>
      <c r="B274" s="1743">
        <v>51534</v>
      </c>
      <c r="C274" s="1743"/>
      <c r="D274" s="1">
        <f>+VLOOKUP($A274,'TB Final'!$B:$K,7,0)</f>
        <v>51534</v>
      </c>
      <c r="E274" s="1">
        <f>+VLOOKUP($A274,'TB Final'!$B:$K,10,0)</f>
        <v>0</v>
      </c>
      <c r="F274" s="1">
        <f t="shared" si="8"/>
        <v>0</v>
      </c>
      <c r="G274" s="1">
        <f t="shared" si="9"/>
        <v>0</v>
      </c>
    </row>
    <row r="275" spans="1:7">
      <c r="A275" s="1607" t="s">
        <v>311</v>
      </c>
      <c r="B275" s="1743">
        <v>357129.36</v>
      </c>
      <c r="C275" s="1743"/>
      <c r="D275" s="1">
        <f>+VLOOKUP($A275,'TB Final'!$B:$K,7,0)</f>
        <v>357129.36</v>
      </c>
      <c r="E275" s="1">
        <f>+VLOOKUP($A275,'TB Final'!$B:$K,10,0)</f>
        <v>0</v>
      </c>
      <c r="F275" s="1">
        <f t="shared" si="8"/>
        <v>0</v>
      </c>
      <c r="G275" s="1">
        <f t="shared" si="9"/>
        <v>0</v>
      </c>
    </row>
    <row r="276" spans="1:7">
      <c r="A276" s="1607" t="s">
        <v>546</v>
      </c>
      <c r="B276" s="1743">
        <v>263090.43</v>
      </c>
      <c r="C276" s="1743"/>
      <c r="D276" s="1">
        <f>+VLOOKUP($A276,'TB Final'!$B:$K,7,0)</f>
        <v>263090.43</v>
      </c>
      <c r="E276" s="1">
        <f>+VLOOKUP($A276,'TB Final'!$B:$K,10,0)</f>
        <v>0</v>
      </c>
      <c r="F276" s="1">
        <f t="shared" si="8"/>
        <v>0</v>
      </c>
      <c r="G276" s="1">
        <f t="shared" si="9"/>
        <v>0</v>
      </c>
    </row>
    <row r="277" spans="1:7">
      <c r="A277" s="1607" t="s">
        <v>2986</v>
      </c>
      <c r="B277" s="1743">
        <v>58000</v>
      </c>
      <c r="C277" s="1743"/>
      <c r="D277" s="1">
        <f>+VLOOKUP($A277,'TB Final'!$B:$K,7,0)</f>
        <v>58000</v>
      </c>
      <c r="E277" s="1">
        <f>+VLOOKUP($A277,'TB Final'!$B:$K,10,0)</f>
        <v>0</v>
      </c>
      <c r="F277" s="1">
        <f t="shared" si="8"/>
        <v>0</v>
      </c>
      <c r="G277" s="1">
        <f t="shared" si="9"/>
        <v>0</v>
      </c>
    </row>
    <row r="278" spans="1:7">
      <c r="A278" s="1607" t="s">
        <v>312</v>
      </c>
      <c r="B278" s="1743"/>
      <c r="C278" s="1743">
        <v>50905004</v>
      </c>
      <c r="D278" s="1">
        <f>+VLOOKUP($A278,'TB Final'!$B:$K,7,0)</f>
        <v>0</v>
      </c>
      <c r="E278" s="1">
        <f>+VLOOKUP($A278,'TB Final'!$B:$K,10,0)</f>
        <v>50905004</v>
      </c>
      <c r="F278" s="1">
        <f t="shared" si="8"/>
        <v>0</v>
      </c>
      <c r="G278" s="1">
        <f t="shared" si="9"/>
        <v>0</v>
      </c>
    </row>
    <row r="279" spans="1:7">
      <c r="A279" s="1607" t="s">
        <v>3064</v>
      </c>
      <c r="B279" s="1743"/>
      <c r="C279" s="1743">
        <v>77396</v>
      </c>
      <c r="D279" s="1">
        <f>+VLOOKUP($A279,'TB Final'!$B:$K,7,0)</f>
        <v>0</v>
      </c>
      <c r="E279" s="1">
        <f>+VLOOKUP($A279,'TB Final'!$B:$K,10,0)</f>
        <v>77396</v>
      </c>
      <c r="F279" s="1">
        <f t="shared" si="8"/>
        <v>0</v>
      </c>
      <c r="G279" s="1">
        <f t="shared" si="9"/>
        <v>0</v>
      </c>
    </row>
    <row r="280" spans="1:7">
      <c r="A280" s="1607" t="s">
        <v>549</v>
      </c>
      <c r="B280" s="1743"/>
      <c r="C280" s="1743">
        <v>54000</v>
      </c>
      <c r="D280" s="1">
        <f>+VLOOKUP($A280,'TB Final'!$B:$K,7,0)</f>
        <v>0</v>
      </c>
      <c r="E280" s="1">
        <f>+VLOOKUP($A280,'TB Final'!$B:$K,10,0)</f>
        <v>54000</v>
      </c>
      <c r="F280" s="1">
        <f t="shared" si="8"/>
        <v>0</v>
      </c>
      <c r="G280" s="1">
        <f t="shared" si="9"/>
        <v>0</v>
      </c>
    </row>
    <row r="281" spans="1:7">
      <c r="A281" s="1607" t="s">
        <v>313</v>
      </c>
      <c r="B281" s="1743">
        <v>4800</v>
      </c>
      <c r="C281" s="1743"/>
      <c r="D281" s="1">
        <f>+VLOOKUP($A281,'TB Final'!$B:$K,7,0)</f>
        <v>4800</v>
      </c>
      <c r="E281" s="1">
        <f>+VLOOKUP($A281,'TB Final'!$B:$K,10,0)</f>
        <v>0</v>
      </c>
      <c r="F281" s="1">
        <f t="shared" si="8"/>
        <v>0</v>
      </c>
      <c r="G281" s="1">
        <f t="shared" si="9"/>
        <v>0</v>
      </c>
    </row>
    <row r="282" spans="1:7">
      <c r="A282" s="1607" t="s">
        <v>405</v>
      </c>
      <c r="B282" s="1743">
        <v>221984</v>
      </c>
      <c r="C282" s="1743"/>
      <c r="D282" s="1">
        <f>+VLOOKUP($A282,'TB Final'!$B:$K,7,0)</f>
        <v>221984</v>
      </c>
      <c r="E282" s="1">
        <f>+VLOOKUP($A282,'TB Final'!$B:$K,10,0)</f>
        <v>0</v>
      </c>
      <c r="F282" s="1">
        <f t="shared" si="8"/>
        <v>0</v>
      </c>
      <c r="G282" s="1">
        <f t="shared" si="9"/>
        <v>0</v>
      </c>
    </row>
    <row r="283" spans="1:7">
      <c r="A283" s="1607" t="s">
        <v>314</v>
      </c>
      <c r="B283" s="1743"/>
      <c r="C283" s="1743">
        <v>3110810</v>
      </c>
      <c r="D283" s="1">
        <f>+VLOOKUP($A283,'TB Final'!$B:$K,7,0)</f>
        <v>0</v>
      </c>
      <c r="E283" s="1">
        <f>+VLOOKUP($A283,'TB Final'!$B:$K,10,0)</f>
        <v>3110810</v>
      </c>
      <c r="F283" s="1">
        <f t="shared" si="8"/>
        <v>0</v>
      </c>
      <c r="G283" s="1">
        <f t="shared" si="9"/>
        <v>0</v>
      </c>
    </row>
    <row r="284" spans="1:7">
      <c r="A284" s="1607" t="s">
        <v>315</v>
      </c>
      <c r="B284" s="1743"/>
      <c r="C284" s="1743">
        <v>245.41</v>
      </c>
      <c r="D284" s="1">
        <f>+VLOOKUP($A284,'TB Final'!$B:$K,7,0)</f>
        <v>0</v>
      </c>
      <c r="E284" s="1">
        <f>+VLOOKUP($A284,'TB Final'!$B:$K,10,0)</f>
        <v>245.71</v>
      </c>
      <c r="F284" s="1">
        <f t="shared" si="8"/>
        <v>0</v>
      </c>
      <c r="G284" s="1">
        <f t="shared" si="9"/>
        <v>-0.30000000000001137</v>
      </c>
    </row>
    <row r="285" spans="1:7">
      <c r="A285" s="1607" t="s">
        <v>407</v>
      </c>
      <c r="B285" s="1743">
        <v>15353091</v>
      </c>
      <c r="C285" s="1743"/>
      <c r="D285" s="1">
        <f>+VLOOKUP($A285,'TB Final'!$B:$K,7,0)</f>
        <v>15353091</v>
      </c>
      <c r="E285" s="1">
        <f>+VLOOKUP($A285,'TB Final'!$B:$K,10,0)</f>
        <v>0</v>
      </c>
      <c r="F285" s="1">
        <f t="shared" si="8"/>
        <v>0</v>
      </c>
      <c r="G285" s="1">
        <f t="shared" si="9"/>
        <v>0</v>
      </c>
    </row>
    <row r="286" spans="1:7">
      <c r="A286" s="1607" t="s">
        <v>550</v>
      </c>
      <c r="B286" s="1743">
        <v>231709</v>
      </c>
      <c r="C286" s="1743"/>
      <c r="D286" s="1">
        <f>+VLOOKUP($A286,'TB Final'!$B:$K,7,0)</f>
        <v>231709</v>
      </c>
      <c r="E286" s="1">
        <f>+VLOOKUP($A286,'TB Final'!$B:$K,10,0)</f>
        <v>0</v>
      </c>
      <c r="F286" s="1">
        <f t="shared" si="8"/>
        <v>0</v>
      </c>
      <c r="G286" s="1">
        <f t="shared" si="9"/>
        <v>0</v>
      </c>
    </row>
    <row r="287" spans="1:7">
      <c r="A287" s="1607" t="s">
        <v>320</v>
      </c>
      <c r="B287" s="1743"/>
      <c r="C287" s="1743">
        <v>2400131</v>
      </c>
      <c r="D287" s="1">
        <f>+VLOOKUP($A287,'TB Final'!$B:$K,7,0)</f>
        <v>0</v>
      </c>
      <c r="E287" s="1">
        <f>+VLOOKUP($A287,'TB Final'!$B:$K,10,0)</f>
        <v>2400131</v>
      </c>
      <c r="F287" s="1">
        <f t="shared" si="8"/>
        <v>0</v>
      </c>
      <c r="G287" s="1">
        <f t="shared" si="9"/>
        <v>0</v>
      </c>
    </row>
    <row r="288" spans="1:7">
      <c r="A288" s="1607" t="s">
        <v>321</v>
      </c>
      <c r="B288" s="1743"/>
      <c r="C288" s="1743">
        <v>1508372</v>
      </c>
      <c r="D288" s="1">
        <f>+VLOOKUP($A288,'TB Final'!$B:$K,7,0)</f>
        <v>0</v>
      </c>
      <c r="E288" s="1">
        <f>+VLOOKUP($A288,'TB Final'!$B:$K,10,0)</f>
        <v>1508372</v>
      </c>
      <c r="F288" s="1">
        <f t="shared" si="8"/>
        <v>0</v>
      </c>
      <c r="G288" s="1">
        <f t="shared" si="9"/>
        <v>0</v>
      </c>
    </row>
    <row r="289" spans="1:7">
      <c r="A289" s="1607" t="s">
        <v>323</v>
      </c>
      <c r="B289" s="1743">
        <v>252000</v>
      </c>
      <c r="C289" s="1743"/>
      <c r="D289" s="1">
        <f>+VLOOKUP($A289,'TB Final'!$B:$K,7,0)</f>
        <v>252000</v>
      </c>
      <c r="E289" s="1">
        <f>+VLOOKUP($A289,'TB Final'!$B:$K,10,0)</f>
        <v>0</v>
      </c>
      <c r="F289" s="1">
        <f t="shared" si="8"/>
        <v>0</v>
      </c>
      <c r="G289" s="1">
        <f t="shared" si="9"/>
        <v>0</v>
      </c>
    </row>
    <row r="290" spans="1:7">
      <c r="A290" s="1607" t="s">
        <v>552</v>
      </c>
      <c r="B290" s="1743">
        <v>1930419</v>
      </c>
      <c r="C290" s="1743"/>
      <c r="D290" s="1">
        <f>+VLOOKUP($A290,'TB Final'!$B:$K,7,0)</f>
        <v>1930419</v>
      </c>
      <c r="E290" s="1">
        <f>+VLOOKUP($A290,'TB Final'!$B:$K,10,0)</f>
        <v>0</v>
      </c>
      <c r="F290" s="1">
        <f t="shared" si="8"/>
        <v>0</v>
      </c>
      <c r="G290" s="1">
        <f t="shared" si="9"/>
        <v>0</v>
      </c>
    </row>
    <row r="291" spans="1:7">
      <c r="A291" s="1607" t="s">
        <v>553</v>
      </c>
      <c r="B291" s="1743">
        <v>2844200</v>
      </c>
      <c r="C291" s="1743"/>
      <c r="D291" s="1">
        <f>+VLOOKUP($A291,'TB Final'!$B:$K,7,0)</f>
        <v>2844200</v>
      </c>
      <c r="E291" s="1">
        <f>+VLOOKUP($A291,'TB Final'!$B:$K,10,0)</f>
        <v>0</v>
      </c>
      <c r="F291" s="1">
        <f t="shared" si="8"/>
        <v>0</v>
      </c>
      <c r="G291" s="1">
        <f t="shared" si="9"/>
        <v>0</v>
      </c>
    </row>
    <row r="292" spans="1:7">
      <c r="A292" s="1607" t="s">
        <v>554</v>
      </c>
      <c r="B292" s="1743">
        <v>9905920</v>
      </c>
      <c r="C292" s="1743"/>
      <c r="D292" s="1">
        <f>+VLOOKUP($A292,'TB Final'!$B:$K,7,0)</f>
        <v>9905920</v>
      </c>
      <c r="E292" s="1">
        <f>+VLOOKUP($A292,'TB Final'!$B:$K,10,0)</f>
        <v>0</v>
      </c>
      <c r="F292" s="1">
        <f t="shared" si="8"/>
        <v>0</v>
      </c>
      <c r="G292" s="1">
        <f t="shared" si="9"/>
        <v>0</v>
      </c>
    </row>
    <row r="293" spans="1:7">
      <c r="A293" s="1607" t="s">
        <v>2987</v>
      </c>
      <c r="B293" s="1743"/>
      <c r="C293" s="1743">
        <v>1300144</v>
      </c>
      <c r="D293" s="1">
        <f>+VLOOKUP($A293,'TB Final'!$B:$K,7,0)</f>
        <v>0</v>
      </c>
      <c r="E293" s="1">
        <f>+VLOOKUP($A293,'TB Final'!$B:$K,10,0)</f>
        <v>1300144</v>
      </c>
      <c r="F293" s="1">
        <f t="shared" si="8"/>
        <v>0</v>
      </c>
      <c r="G293" s="1">
        <f t="shared" si="9"/>
        <v>0</v>
      </c>
    </row>
    <row r="294" spans="1:7">
      <c r="A294" s="1607" t="s">
        <v>324</v>
      </c>
      <c r="B294" s="1743"/>
      <c r="C294" s="1743">
        <v>512311311.10000002</v>
      </c>
      <c r="D294" s="1">
        <f>+VLOOKUP($A294,'TB Final'!$B:$K,7,0)</f>
        <v>0</v>
      </c>
      <c r="E294" s="1">
        <f>+VLOOKUP($A294,'TB Final'!$B:$K,10,0)</f>
        <v>512311311.10000002</v>
      </c>
      <c r="F294" s="1">
        <f t="shared" si="8"/>
        <v>0</v>
      </c>
      <c r="G294" s="1">
        <f t="shared" si="9"/>
        <v>0</v>
      </c>
    </row>
    <row r="295" spans="1:7">
      <c r="A295" s="1607" t="s">
        <v>145</v>
      </c>
      <c r="B295" s="1743"/>
      <c r="C295" s="1743">
        <v>99943120.799999997</v>
      </c>
      <c r="D295" s="1">
        <f>+VLOOKUP($A295,'TB Final'!$B:$K,7,0)</f>
        <v>0</v>
      </c>
      <c r="E295" s="1">
        <f>+VLOOKUP($A295,'TB Final'!$B:$K,10,0)</f>
        <v>99943120.799999997</v>
      </c>
      <c r="F295" s="1">
        <f t="shared" si="8"/>
        <v>0</v>
      </c>
      <c r="G295" s="1">
        <f t="shared" si="9"/>
        <v>0</v>
      </c>
    </row>
    <row r="296" spans="1:7">
      <c r="A296" s="1607" t="s">
        <v>2988</v>
      </c>
      <c r="B296" s="1743">
        <v>322707</v>
      </c>
      <c r="C296" s="1743"/>
      <c r="D296" s="1">
        <f>+VLOOKUP($A296,'TB Final'!$B:$K,7,0)</f>
        <v>322707</v>
      </c>
      <c r="E296" s="1">
        <f>+VLOOKUP($A296,'TB Final'!$B:$K,10,0)</f>
        <v>0</v>
      </c>
      <c r="F296" s="1">
        <f t="shared" si="8"/>
        <v>0</v>
      </c>
      <c r="G296" s="1">
        <f t="shared" si="9"/>
        <v>0</v>
      </c>
    </row>
    <row r="297" spans="1:7">
      <c r="A297" s="1607" t="s">
        <v>556</v>
      </c>
      <c r="B297" s="1743"/>
      <c r="C297" s="1743">
        <v>409917</v>
      </c>
      <c r="D297" s="1">
        <f>+VLOOKUP($A297,'TB Final'!$B:$K,7,0)</f>
        <v>0</v>
      </c>
      <c r="E297" s="1">
        <f>+VLOOKUP($A297,'TB Final'!$B:$K,10,0)</f>
        <v>409917</v>
      </c>
      <c r="F297" s="1">
        <f t="shared" si="8"/>
        <v>0</v>
      </c>
      <c r="G297" s="1">
        <f t="shared" si="9"/>
        <v>0</v>
      </c>
    </row>
    <row r="298" spans="1:7">
      <c r="A298" s="1607" t="s">
        <v>325</v>
      </c>
      <c r="B298" s="1743"/>
      <c r="C298" s="1743">
        <v>1406203</v>
      </c>
      <c r="D298" s="1">
        <f>+VLOOKUP($A298,'TB Final'!$B:$K,7,0)</f>
        <v>0</v>
      </c>
      <c r="E298" s="1">
        <f>+VLOOKUP($A298,'TB Final'!$B:$K,10,0)</f>
        <v>1406203</v>
      </c>
      <c r="F298" s="1">
        <f t="shared" si="8"/>
        <v>0</v>
      </c>
      <c r="G298" s="1">
        <f t="shared" si="9"/>
        <v>0</v>
      </c>
    </row>
    <row r="299" spans="1:7">
      <c r="A299" s="1607" t="s">
        <v>2989</v>
      </c>
      <c r="B299" s="1743"/>
      <c r="C299" s="1743">
        <v>5290</v>
      </c>
      <c r="D299" s="1">
        <f>+VLOOKUP($A299,'TB Final'!$B:$K,7,0)</f>
        <v>0</v>
      </c>
      <c r="E299" s="1">
        <f>+VLOOKUP($A299,'TB Final'!$B:$K,10,0)</f>
        <v>5290</v>
      </c>
      <c r="F299" s="1">
        <f t="shared" si="8"/>
        <v>0</v>
      </c>
      <c r="G299" s="1">
        <f t="shared" si="9"/>
        <v>0</v>
      </c>
    </row>
    <row r="300" spans="1:7">
      <c r="A300" s="1607" t="s">
        <v>557</v>
      </c>
      <c r="B300" s="1743"/>
      <c r="C300" s="1743">
        <v>2187364</v>
      </c>
      <c r="D300" s="1">
        <f>+VLOOKUP($A300,'TB Final'!$B:$K,7,0)</f>
        <v>0</v>
      </c>
      <c r="E300" s="1">
        <f>+VLOOKUP($A300,'TB Final'!$B:$K,10,0)</f>
        <v>2187364</v>
      </c>
      <c r="F300" s="1">
        <f t="shared" si="8"/>
        <v>0</v>
      </c>
      <c r="G300" s="1">
        <f t="shared" si="9"/>
        <v>0</v>
      </c>
    </row>
    <row r="301" spans="1:7">
      <c r="A301" s="1607" t="s">
        <v>2990</v>
      </c>
      <c r="B301" s="1743">
        <v>1094</v>
      </c>
      <c r="C301" s="1743"/>
      <c r="D301" s="1">
        <f>+VLOOKUP($A301,'TB Final'!$B:$K,7,0)</f>
        <v>1094</v>
      </c>
      <c r="E301" s="1">
        <f>+VLOOKUP($A301,'TB Final'!$B:$K,10,0)</f>
        <v>0</v>
      </c>
      <c r="F301" s="1">
        <f t="shared" si="8"/>
        <v>0</v>
      </c>
      <c r="G301" s="1">
        <f t="shared" si="9"/>
        <v>0</v>
      </c>
    </row>
    <row r="302" spans="1:7">
      <c r="A302" s="1607" t="s">
        <v>42</v>
      </c>
      <c r="B302" s="1743">
        <v>8712571</v>
      </c>
      <c r="C302" s="1743"/>
      <c r="D302" s="1">
        <f>+VLOOKUP($A302,'TB Final'!$B:$K,7,0)</f>
        <v>8712571</v>
      </c>
      <c r="E302" s="1">
        <f>+VLOOKUP($A302,'TB Final'!$B:$K,10,0)</f>
        <v>0</v>
      </c>
      <c r="F302" s="1">
        <f t="shared" si="8"/>
        <v>0</v>
      </c>
      <c r="G302" s="1">
        <f t="shared" si="9"/>
        <v>0</v>
      </c>
    </row>
    <row r="303" spans="1:7">
      <c r="A303" s="1607" t="s">
        <v>558</v>
      </c>
      <c r="B303" s="1743"/>
      <c r="C303" s="1743">
        <v>11159826</v>
      </c>
      <c r="D303" s="1">
        <f>+VLOOKUP($A303,'TB Final'!$B:$K,7,0)</f>
        <v>0</v>
      </c>
      <c r="E303" s="1">
        <f>+VLOOKUP($A303,'TB Final'!$B:$K,10,0)</f>
        <v>11159826</v>
      </c>
      <c r="F303" s="1">
        <f t="shared" si="8"/>
        <v>0</v>
      </c>
      <c r="G303" s="1">
        <f t="shared" si="9"/>
        <v>0</v>
      </c>
    </row>
    <row r="304" spans="1:7">
      <c r="A304" s="1607" t="s">
        <v>409</v>
      </c>
      <c r="B304" s="1743"/>
      <c r="C304" s="1743">
        <v>6263137</v>
      </c>
      <c r="D304" s="1">
        <f>+VLOOKUP($A304,'TB Final'!$B:$K,7,0)</f>
        <v>0</v>
      </c>
      <c r="E304" s="1">
        <f>+VLOOKUP($A304,'TB Final'!$B:$K,10,0)</f>
        <v>6263137</v>
      </c>
      <c r="F304" s="1">
        <f t="shared" si="8"/>
        <v>0</v>
      </c>
      <c r="G304" s="1">
        <f t="shared" si="9"/>
        <v>0</v>
      </c>
    </row>
    <row r="305" spans="1:7">
      <c r="A305" s="1607" t="s">
        <v>437</v>
      </c>
      <c r="B305" s="1743"/>
      <c r="C305" s="1743">
        <v>68723.86</v>
      </c>
      <c r="D305" s="1">
        <f>+VLOOKUP($A305,'TB Final'!$B:$K,7,0)</f>
        <v>0</v>
      </c>
      <c r="E305" s="1">
        <f>+VLOOKUP($A305,'TB Final'!$B:$K,10,0)</f>
        <v>68723.86</v>
      </c>
      <c r="F305" s="1">
        <f t="shared" si="8"/>
        <v>0</v>
      </c>
      <c r="G305" s="1">
        <f t="shared" si="9"/>
        <v>0</v>
      </c>
    </row>
    <row r="306" spans="1:7">
      <c r="A306" s="1607" t="s">
        <v>316</v>
      </c>
      <c r="B306" s="1743">
        <v>9459.64</v>
      </c>
      <c r="C306" s="1743"/>
      <c r="D306" s="1">
        <f>+VLOOKUP($A306,'TB Final'!$B:$K,7,0)</f>
        <v>8810.64</v>
      </c>
      <c r="E306" s="1">
        <f>+VLOOKUP($A306,'TB Final'!$B:$K,10,0)</f>
        <v>0</v>
      </c>
      <c r="F306" s="1">
        <f t="shared" si="8"/>
        <v>649</v>
      </c>
      <c r="G306" s="1">
        <f t="shared" si="9"/>
        <v>0</v>
      </c>
    </row>
    <row r="307" spans="1:7">
      <c r="A307" s="1607" t="s">
        <v>2991</v>
      </c>
      <c r="B307" s="1743"/>
      <c r="C307" s="1743">
        <v>28972386</v>
      </c>
      <c r="D307" s="1">
        <f>+VLOOKUP($A307,'TB Final'!$B:$K,7,0)</f>
        <v>0</v>
      </c>
      <c r="E307" s="1">
        <f>+VLOOKUP($A307,'TB Final'!$B:$K,10,0)</f>
        <v>28972386</v>
      </c>
      <c r="F307" s="1">
        <f t="shared" si="8"/>
        <v>0</v>
      </c>
      <c r="G307" s="1">
        <f t="shared" si="9"/>
        <v>0</v>
      </c>
    </row>
    <row r="308" spans="1:7">
      <c r="A308" s="1607" t="s">
        <v>410</v>
      </c>
      <c r="B308" s="1743"/>
      <c r="C308" s="1743">
        <v>46199076</v>
      </c>
      <c r="D308" s="1">
        <f>+VLOOKUP($A308,'TB Final'!$B:$K,7,0)</f>
        <v>0</v>
      </c>
      <c r="E308" s="1">
        <f>+VLOOKUP($A308,'TB Final'!$B:$K,10,0)</f>
        <v>46199076</v>
      </c>
      <c r="F308" s="1">
        <f t="shared" si="8"/>
        <v>0</v>
      </c>
      <c r="G308" s="1">
        <f t="shared" si="9"/>
        <v>0</v>
      </c>
    </row>
    <row r="309" spans="1:7">
      <c r="A309" s="1607" t="s">
        <v>326</v>
      </c>
      <c r="B309" s="1743"/>
      <c r="C309" s="1743">
        <v>8664946</v>
      </c>
      <c r="D309" s="1">
        <f>+VLOOKUP($A309,'TB Final'!$B:$K,7,0)</f>
        <v>0</v>
      </c>
      <c r="E309" s="1">
        <f>+VLOOKUP($A309,'TB Final'!$B:$K,10,0)</f>
        <v>8664946</v>
      </c>
      <c r="F309" s="1">
        <f t="shared" si="8"/>
        <v>0</v>
      </c>
      <c r="G309" s="1">
        <f t="shared" si="9"/>
        <v>0</v>
      </c>
    </row>
    <row r="310" spans="1:7">
      <c r="A310" s="1607" t="s">
        <v>328</v>
      </c>
      <c r="B310" s="1743">
        <v>827794</v>
      </c>
      <c r="C310" s="1743"/>
      <c r="D310" s="1">
        <f>+VLOOKUP($A310,'TB Final'!$B:$K,7,0)</f>
        <v>827794</v>
      </c>
      <c r="E310" s="1">
        <f>+VLOOKUP($A310,'TB Final'!$B:$K,10,0)</f>
        <v>0</v>
      </c>
      <c r="F310" s="1">
        <f t="shared" si="8"/>
        <v>0</v>
      </c>
      <c r="G310" s="1">
        <f t="shared" si="9"/>
        <v>0</v>
      </c>
    </row>
    <row r="311" spans="1:7">
      <c r="A311" s="1607" t="s">
        <v>411</v>
      </c>
      <c r="B311" s="1743"/>
      <c r="C311" s="1743">
        <v>1397710</v>
      </c>
      <c r="D311" s="1">
        <f>+VLOOKUP($A311,'TB Final'!$B:$K,7,0)</f>
        <v>0</v>
      </c>
      <c r="E311" s="1">
        <f>+VLOOKUP($A311,'TB Final'!$B:$K,10,0)</f>
        <v>1397710</v>
      </c>
      <c r="F311" s="1">
        <f t="shared" si="8"/>
        <v>0</v>
      </c>
      <c r="G311" s="1">
        <f t="shared" si="9"/>
        <v>0</v>
      </c>
    </row>
    <row r="312" spans="1:7">
      <c r="A312" s="1607" t="s">
        <v>16</v>
      </c>
      <c r="B312" s="1743"/>
      <c r="C312" s="1743">
        <v>210890</v>
      </c>
      <c r="D312" s="1">
        <f>+VLOOKUP($A312,'TB Final'!$B:$K,7,0)</f>
        <v>0</v>
      </c>
      <c r="E312" s="1">
        <f>+VLOOKUP($A312,'TB Final'!$B:$K,10,0)</f>
        <v>210890</v>
      </c>
      <c r="F312" s="1">
        <f t="shared" si="8"/>
        <v>0</v>
      </c>
      <c r="G312" s="1">
        <f t="shared" si="9"/>
        <v>0</v>
      </c>
    </row>
    <row r="313" spans="1:7">
      <c r="A313" s="1607" t="s">
        <v>2992</v>
      </c>
      <c r="B313" s="1743"/>
      <c r="C313" s="1743">
        <v>633932.32999999996</v>
      </c>
      <c r="D313" s="1">
        <f>+VLOOKUP($A313,'TB Final'!$B:$K,7,0)</f>
        <v>0</v>
      </c>
      <c r="E313" s="1">
        <f>+VLOOKUP($A313,'TB Final'!$B:$K,10,0)</f>
        <v>633932.32999999996</v>
      </c>
      <c r="F313" s="1">
        <f t="shared" si="8"/>
        <v>0</v>
      </c>
      <c r="G313" s="1">
        <f t="shared" si="9"/>
        <v>0</v>
      </c>
    </row>
    <row r="314" spans="1:7">
      <c r="A314" s="1607" t="s">
        <v>2993</v>
      </c>
      <c r="B314" s="1743"/>
      <c r="C314" s="1743">
        <v>41335.42</v>
      </c>
      <c r="D314" s="1">
        <f>+VLOOKUP($A314,'TB Final'!$B:$K,7,0)</f>
        <v>0</v>
      </c>
      <c r="E314" s="1">
        <f>+VLOOKUP($A314,'TB Final'!$B:$K,10,0)</f>
        <v>41335.42</v>
      </c>
      <c r="F314" s="1">
        <f t="shared" si="8"/>
        <v>0</v>
      </c>
      <c r="G314" s="1">
        <f t="shared" si="9"/>
        <v>0</v>
      </c>
    </row>
    <row r="315" spans="1:7">
      <c r="A315" s="1607" t="s">
        <v>217</v>
      </c>
      <c r="B315" s="1743"/>
      <c r="C315" s="1743">
        <v>474189</v>
      </c>
      <c r="D315" s="1">
        <f>+VLOOKUP($A315,'TB Final'!$B:$K,7,0)</f>
        <v>0</v>
      </c>
      <c r="E315" s="1">
        <f>+VLOOKUP($A315,'TB Final'!$B:$K,10,0)</f>
        <v>474189</v>
      </c>
      <c r="F315" s="1">
        <f t="shared" si="8"/>
        <v>0</v>
      </c>
      <c r="G315" s="1">
        <f t="shared" si="9"/>
        <v>0</v>
      </c>
    </row>
    <row r="316" spans="1:7">
      <c r="A316" s="1607" t="s">
        <v>332</v>
      </c>
      <c r="B316" s="1743">
        <v>719897</v>
      </c>
      <c r="C316" s="1743"/>
      <c r="D316" s="1">
        <f>+VLOOKUP($A316,'TB Final'!$B:$K,7,0)</f>
        <v>719897</v>
      </c>
      <c r="E316" s="1">
        <f>+VLOOKUP($A316,'TB Final'!$B:$K,10,0)</f>
        <v>0</v>
      </c>
      <c r="F316" s="1">
        <f t="shared" si="8"/>
        <v>0</v>
      </c>
      <c r="G316" s="1">
        <f t="shared" si="9"/>
        <v>0</v>
      </c>
    </row>
    <row r="317" spans="1:7">
      <c r="A317" s="1607" t="s">
        <v>2994</v>
      </c>
      <c r="B317" s="1743">
        <v>1651.44</v>
      </c>
      <c r="C317" s="1743"/>
      <c r="D317" s="1">
        <f>+VLOOKUP($A317,'TB Final'!$B:$K,7,0)</f>
        <v>1651.44</v>
      </c>
      <c r="E317" s="1">
        <f>+VLOOKUP($A317,'TB Final'!$B:$K,10,0)</f>
        <v>0</v>
      </c>
      <c r="F317" s="1">
        <f t="shared" si="8"/>
        <v>0</v>
      </c>
      <c r="G317" s="1">
        <f t="shared" si="9"/>
        <v>0</v>
      </c>
    </row>
    <row r="318" spans="1:7">
      <c r="A318" s="1607" t="s">
        <v>333</v>
      </c>
      <c r="B318" s="1743"/>
      <c r="C318" s="1743">
        <v>1449699.7</v>
      </c>
      <c r="D318" s="1">
        <f>+VLOOKUP($A318,'TB Final'!$B:$K,7,0)</f>
        <v>0</v>
      </c>
      <c r="E318" s="1">
        <f>+VLOOKUP($A318,'TB Final'!$B:$K,10,0)</f>
        <v>1449699.7</v>
      </c>
      <c r="F318" s="1">
        <f t="shared" si="8"/>
        <v>0</v>
      </c>
      <c r="G318" s="1">
        <f t="shared" si="9"/>
        <v>0</v>
      </c>
    </row>
    <row r="319" spans="1:7">
      <c r="A319" s="1607" t="s">
        <v>3065</v>
      </c>
      <c r="B319" s="1743"/>
      <c r="C319" s="1743">
        <v>22492</v>
      </c>
      <c r="D319" s="1">
        <f>+VLOOKUP($A319,'TB Final'!$B:$K,7,0)</f>
        <v>0</v>
      </c>
      <c r="E319" s="1">
        <f>+VLOOKUP($A319,'TB Final'!$B:$K,10,0)</f>
        <v>22492</v>
      </c>
      <c r="F319" s="1">
        <f t="shared" si="8"/>
        <v>0</v>
      </c>
      <c r="G319" s="1">
        <f t="shared" si="9"/>
        <v>0</v>
      </c>
    </row>
    <row r="320" spans="1:7">
      <c r="A320" s="1607" t="s">
        <v>414</v>
      </c>
      <c r="B320" s="1743">
        <v>221637</v>
      </c>
      <c r="C320" s="1743"/>
      <c r="D320" s="1">
        <f>+VLOOKUP($A320,'TB Final'!$B:$K,7,0)</f>
        <v>221637</v>
      </c>
      <c r="E320" s="1">
        <f>+VLOOKUP($A320,'TB Final'!$B:$K,10,0)</f>
        <v>0</v>
      </c>
      <c r="F320" s="1">
        <f t="shared" si="8"/>
        <v>0</v>
      </c>
      <c r="G320" s="1">
        <f t="shared" si="9"/>
        <v>0</v>
      </c>
    </row>
    <row r="321" spans="1:7">
      <c r="A321" s="1607" t="s">
        <v>336</v>
      </c>
      <c r="B321" s="1743">
        <v>125</v>
      </c>
      <c r="C321" s="1743"/>
      <c r="D321" s="1">
        <f>+VLOOKUP($A321,'TB Final'!$B:$K,7,0)</f>
        <v>125</v>
      </c>
      <c r="E321" s="1">
        <f>+VLOOKUP($A321,'TB Final'!$B:$K,10,0)</f>
        <v>0</v>
      </c>
      <c r="F321" s="1">
        <f t="shared" si="8"/>
        <v>0</v>
      </c>
      <c r="G321" s="1">
        <f t="shared" si="9"/>
        <v>0</v>
      </c>
    </row>
    <row r="322" spans="1:7">
      <c r="A322" s="1607" t="s">
        <v>2995</v>
      </c>
      <c r="B322" s="1743"/>
      <c r="C322" s="1743">
        <v>258302</v>
      </c>
      <c r="D322" s="1">
        <f>+VLOOKUP($A322,'TB Final'!$B:$K,7,0)</f>
        <v>0</v>
      </c>
      <c r="E322" s="1">
        <f>+VLOOKUP($A322,'TB Final'!$B:$K,10,0)</f>
        <v>258302</v>
      </c>
      <c r="F322" s="1">
        <f t="shared" si="8"/>
        <v>0</v>
      </c>
      <c r="G322" s="1">
        <f t="shared" si="9"/>
        <v>0</v>
      </c>
    </row>
    <row r="323" spans="1:7">
      <c r="A323" s="1607" t="s">
        <v>2996</v>
      </c>
      <c r="B323" s="1743"/>
      <c r="C323" s="1743">
        <v>114628</v>
      </c>
      <c r="D323" s="1">
        <f>+VLOOKUP($A323,'TB Final'!$B:$K,7,0)</f>
        <v>0</v>
      </c>
      <c r="E323" s="1">
        <f>+VLOOKUP($A323,'TB Final'!$B:$K,10,0)</f>
        <v>114628</v>
      </c>
      <c r="F323" s="1">
        <f t="shared" si="8"/>
        <v>0</v>
      </c>
      <c r="G323" s="1">
        <f t="shared" si="9"/>
        <v>0</v>
      </c>
    </row>
    <row r="324" spans="1:7">
      <c r="A324" s="1607" t="s">
        <v>337</v>
      </c>
      <c r="B324" s="1743"/>
      <c r="C324" s="1743">
        <v>559911</v>
      </c>
      <c r="D324" s="1">
        <f>+VLOOKUP($A324,'TB Final'!$B:$K,7,0)</f>
        <v>0</v>
      </c>
      <c r="E324" s="1">
        <f>+VLOOKUP($A324,'TB Final'!$B:$K,10,0)</f>
        <v>559911</v>
      </c>
      <c r="F324" s="1">
        <f t="shared" si="8"/>
        <v>0</v>
      </c>
      <c r="G324" s="1">
        <f t="shared" si="9"/>
        <v>0</v>
      </c>
    </row>
    <row r="325" spans="1:7">
      <c r="A325" s="1607" t="s">
        <v>338</v>
      </c>
      <c r="B325" s="1743"/>
      <c r="C325" s="1743">
        <v>14175</v>
      </c>
      <c r="D325" s="1">
        <f>+VLOOKUP($A325,'TB Final'!$B:$K,7,0)</f>
        <v>0</v>
      </c>
      <c r="E325" s="1">
        <f>+VLOOKUP($A325,'TB Final'!$B:$K,10,0)</f>
        <v>14175</v>
      </c>
      <c r="F325" s="1">
        <f t="shared" si="8"/>
        <v>0</v>
      </c>
      <c r="G325" s="1">
        <f t="shared" si="9"/>
        <v>0</v>
      </c>
    </row>
    <row r="326" spans="1:7">
      <c r="A326" s="1607" t="s">
        <v>416</v>
      </c>
      <c r="B326" s="1743">
        <v>12900</v>
      </c>
      <c r="C326" s="1743"/>
      <c r="D326" s="1">
        <f>+VLOOKUP($A326,'TB Final'!$B:$K,7,0)</f>
        <v>12900</v>
      </c>
      <c r="E326" s="1">
        <f>+VLOOKUP($A326,'TB Final'!$B:$K,10,0)</f>
        <v>0</v>
      </c>
      <c r="F326" s="1">
        <f t="shared" si="8"/>
        <v>0</v>
      </c>
      <c r="G326" s="1">
        <f t="shared" si="9"/>
        <v>0</v>
      </c>
    </row>
    <row r="327" spans="1:7">
      <c r="A327" s="1607" t="s">
        <v>562</v>
      </c>
      <c r="B327" s="1743"/>
      <c r="C327" s="1743">
        <v>89643931.159999996</v>
      </c>
      <c r="D327" s="1">
        <f>+VLOOKUP($A327,'TB Final'!$B:$K,7,0)</f>
        <v>0</v>
      </c>
      <c r="E327" s="1">
        <f>+VLOOKUP($A327,'TB Final'!$B:$K,10,0)</f>
        <v>89643931.159999996</v>
      </c>
      <c r="F327" s="1">
        <f t="shared" si="8"/>
        <v>0</v>
      </c>
      <c r="G327" s="1">
        <f t="shared" si="9"/>
        <v>0</v>
      </c>
    </row>
    <row r="328" spans="1:7">
      <c r="A328" s="1607" t="s">
        <v>341</v>
      </c>
      <c r="B328" s="1743">
        <v>5149248</v>
      </c>
      <c r="C328" s="1743"/>
      <c r="D328" s="1">
        <f>+VLOOKUP($A328,'TB Final'!$B:$K,7,0)</f>
        <v>5149248</v>
      </c>
      <c r="E328" s="1">
        <f>+VLOOKUP($A328,'TB Final'!$B:$K,10,0)</f>
        <v>0</v>
      </c>
      <c r="F328" s="1">
        <f t="shared" si="8"/>
        <v>0</v>
      </c>
      <c r="G328" s="1">
        <f t="shared" si="9"/>
        <v>0</v>
      </c>
    </row>
    <row r="329" spans="1:7">
      <c r="A329" s="1607" t="s">
        <v>563</v>
      </c>
      <c r="B329" s="1743">
        <v>217506.58</v>
      </c>
      <c r="C329" s="1743"/>
      <c r="D329" s="1">
        <f>+VLOOKUP($A329,'TB Final'!$B:$K,7,0)</f>
        <v>217506.58</v>
      </c>
      <c r="E329" s="1">
        <f>+VLOOKUP($A329,'TB Final'!$B:$K,10,0)</f>
        <v>0</v>
      </c>
      <c r="F329" s="1">
        <f t="shared" si="8"/>
        <v>0</v>
      </c>
      <c r="G329" s="1">
        <f t="shared" si="9"/>
        <v>0</v>
      </c>
    </row>
    <row r="330" spans="1:7">
      <c r="A330" s="1607" t="s">
        <v>343</v>
      </c>
      <c r="B330" s="1743">
        <v>275000</v>
      </c>
      <c r="C330" s="1743"/>
      <c r="D330" s="1">
        <f>+VLOOKUP($A330,'TB Final'!$B:$K,7,0)</f>
        <v>275000</v>
      </c>
      <c r="E330" s="1">
        <f>+VLOOKUP($A330,'TB Final'!$B:$K,10,0)</f>
        <v>0</v>
      </c>
      <c r="F330" s="1">
        <f t="shared" si="8"/>
        <v>0</v>
      </c>
      <c r="G330" s="1">
        <f t="shared" si="9"/>
        <v>0</v>
      </c>
    </row>
    <row r="331" spans="1:7">
      <c r="A331" s="1607" t="s">
        <v>345</v>
      </c>
      <c r="B331" s="1743">
        <v>46000</v>
      </c>
      <c r="C331" s="1743"/>
      <c r="D331" s="1">
        <f>+VLOOKUP($A331,'TB Final'!$B:$K,7,0)</f>
        <v>46000</v>
      </c>
      <c r="E331" s="1">
        <f>+VLOOKUP($A331,'TB Final'!$B:$K,10,0)</f>
        <v>0</v>
      </c>
      <c r="F331" s="1">
        <f t="shared" si="8"/>
        <v>0</v>
      </c>
      <c r="G331" s="1">
        <f t="shared" si="9"/>
        <v>0</v>
      </c>
    </row>
    <row r="332" spans="1:7">
      <c r="A332" s="1607" t="s">
        <v>564</v>
      </c>
      <c r="B332" s="1743"/>
      <c r="C332" s="1743">
        <v>548430</v>
      </c>
      <c r="D332" s="1">
        <f>+VLOOKUP($A332,'TB Final'!$B:$K,7,0)</f>
        <v>0</v>
      </c>
      <c r="E332" s="1">
        <f>+VLOOKUP($A332,'TB Final'!$B:$K,10,0)</f>
        <v>548430</v>
      </c>
      <c r="F332" s="1">
        <f t="shared" si="8"/>
        <v>0</v>
      </c>
      <c r="G332" s="1">
        <f t="shared" si="9"/>
        <v>0</v>
      </c>
    </row>
    <row r="333" spans="1:7">
      <c r="A333" s="1607" t="s">
        <v>565</v>
      </c>
      <c r="B333" s="1743">
        <v>23840.5</v>
      </c>
      <c r="C333" s="1743"/>
      <c r="D333" s="1">
        <f>+VLOOKUP($A333,'TB Final'!$B:$K,7,0)</f>
        <v>188020.5</v>
      </c>
      <c r="E333" s="1">
        <f>+VLOOKUP($A333,'TB Final'!$B:$K,10,0)</f>
        <v>0</v>
      </c>
      <c r="F333" s="1">
        <f t="shared" ref="F333:F381" si="10">+B333-D333</f>
        <v>-164180</v>
      </c>
      <c r="G333" s="1">
        <f t="shared" ref="G333:G381" si="11">+C333-E333</f>
        <v>0</v>
      </c>
    </row>
    <row r="334" spans="1:7">
      <c r="A334" s="1607" t="s">
        <v>349</v>
      </c>
      <c r="B334" s="1743">
        <v>30000</v>
      </c>
      <c r="C334" s="1743"/>
      <c r="D334" s="1">
        <f>+VLOOKUP($A334,'TB Final'!$B:$K,7,0)</f>
        <v>30000</v>
      </c>
      <c r="E334" s="1">
        <f>+VLOOKUP($A334,'TB Final'!$B:$K,10,0)</f>
        <v>0</v>
      </c>
      <c r="F334" s="1">
        <f t="shared" si="10"/>
        <v>0</v>
      </c>
      <c r="G334" s="1">
        <f t="shared" si="11"/>
        <v>0</v>
      </c>
    </row>
    <row r="335" spans="1:7">
      <c r="A335" s="1607" t="s">
        <v>2997</v>
      </c>
      <c r="B335" s="1743"/>
      <c r="C335" s="1743">
        <v>122997</v>
      </c>
      <c r="D335" s="1">
        <f>+VLOOKUP($A335,'TB Final'!$B:$K,7,0)</f>
        <v>0</v>
      </c>
      <c r="E335" s="1">
        <f>+VLOOKUP($A335,'TB Final'!$B:$K,10,0)</f>
        <v>122997</v>
      </c>
      <c r="F335" s="1">
        <f t="shared" si="10"/>
        <v>0</v>
      </c>
      <c r="G335" s="1">
        <f t="shared" si="11"/>
        <v>0</v>
      </c>
    </row>
    <row r="336" spans="1:7">
      <c r="A336" s="1607" t="s">
        <v>2998</v>
      </c>
      <c r="B336" s="1743"/>
      <c r="C336" s="1743">
        <v>423547</v>
      </c>
      <c r="D336" s="1">
        <f>+VLOOKUP($A336,'TB Final'!$B:$K,7,0)</f>
        <v>0</v>
      </c>
      <c r="E336" s="1">
        <f>+VLOOKUP($A336,'TB Final'!$B:$K,10,0)</f>
        <v>423547</v>
      </c>
      <c r="F336" s="1">
        <f t="shared" si="10"/>
        <v>0</v>
      </c>
      <c r="G336" s="1">
        <f t="shared" si="11"/>
        <v>0</v>
      </c>
    </row>
    <row r="337" spans="1:7">
      <c r="A337" s="1607" t="s">
        <v>350</v>
      </c>
      <c r="B337" s="1743"/>
      <c r="C337" s="1743">
        <v>1046424</v>
      </c>
      <c r="D337" s="1">
        <f>+VLOOKUP($A337,'TB Final'!$B:$K,7,0)</f>
        <v>0</v>
      </c>
      <c r="E337" s="1">
        <f>+VLOOKUP($A337,'TB Final'!$B:$K,10,0)</f>
        <v>1046424</v>
      </c>
      <c r="F337" s="1">
        <f t="shared" si="10"/>
        <v>0</v>
      </c>
      <c r="G337" s="1">
        <f t="shared" si="11"/>
        <v>0</v>
      </c>
    </row>
    <row r="338" spans="1:7">
      <c r="A338" s="1607" t="s">
        <v>2999</v>
      </c>
      <c r="B338" s="1743"/>
      <c r="C338" s="1743">
        <v>103673</v>
      </c>
      <c r="D338" s="1">
        <f>+VLOOKUP($A338,'TB Final'!$B:$K,7,0)</f>
        <v>0</v>
      </c>
      <c r="E338" s="1">
        <f>+VLOOKUP($A338,'TB Final'!$B:$K,10,0)</f>
        <v>103673</v>
      </c>
      <c r="F338" s="1">
        <f t="shared" si="10"/>
        <v>0</v>
      </c>
      <c r="G338" s="1">
        <f t="shared" si="11"/>
        <v>0</v>
      </c>
    </row>
    <row r="339" spans="1:7">
      <c r="A339" s="1607" t="s">
        <v>568</v>
      </c>
      <c r="B339" s="1743">
        <v>11611</v>
      </c>
      <c r="C339" s="1743"/>
      <c r="D339" s="1">
        <f>+VLOOKUP($A339,'TB Final'!$B:$K,7,0)</f>
        <v>11611</v>
      </c>
      <c r="E339" s="1">
        <f>+VLOOKUP($A339,'TB Final'!$B:$K,10,0)</f>
        <v>0</v>
      </c>
      <c r="F339" s="1">
        <f t="shared" si="10"/>
        <v>0</v>
      </c>
      <c r="G339" s="1">
        <f t="shared" si="11"/>
        <v>0</v>
      </c>
    </row>
    <row r="340" spans="1:7">
      <c r="A340" s="1607" t="s">
        <v>3000</v>
      </c>
      <c r="B340" s="1743">
        <v>52979.92</v>
      </c>
      <c r="C340" s="1743"/>
      <c r="D340" s="1">
        <f>+VLOOKUP($A340,'TB Final'!$B:$K,7,0)</f>
        <v>52979.92</v>
      </c>
      <c r="E340" s="1">
        <f>+VLOOKUP($A340,'TB Final'!$B:$K,10,0)</f>
        <v>0</v>
      </c>
      <c r="F340" s="1">
        <f t="shared" si="10"/>
        <v>0</v>
      </c>
      <c r="G340" s="1">
        <f t="shared" si="11"/>
        <v>0</v>
      </c>
    </row>
    <row r="341" spans="1:7">
      <c r="A341" s="1607" t="s">
        <v>351</v>
      </c>
      <c r="B341" s="1743"/>
      <c r="C341" s="1743">
        <v>14885.01</v>
      </c>
      <c r="D341" s="1">
        <f>+VLOOKUP($A341,'TB Final'!$B:$K,7,0)</f>
        <v>0</v>
      </c>
      <c r="E341" s="1">
        <f>+VLOOKUP($A341,'TB Final'!$B:$K,10,0)</f>
        <v>14885.01</v>
      </c>
      <c r="F341" s="1">
        <f t="shared" si="10"/>
        <v>0</v>
      </c>
      <c r="G341" s="1">
        <f t="shared" si="11"/>
        <v>0</v>
      </c>
    </row>
    <row r="342" spans="1:7">
      <c r="A342" s="1607" t="s">
        <v>420</v>
      </c>
      <c r="B342" s="1743">
        <v>24886</v>
      </c>
      <c r="C342" s="1743"/>
      <c r="D342" s="1">
        <f>+VLOOKUP($A342,'TB Final'!$B:$K,7,0)</f>
        <v>24886</v>
      </c>
      <c r="E342" s="1">
        <f>+VLOOKUP($A342,'TB Final'!$B:$K,10,0)</f>
        <v>0</v>
      </c>
      <c r="F342" s="1">
        <f t="shared" si="10"/>
        <v>0</v>
      </c>
      <c r="G342" s="1">
        <f t="shared" si="11"/>
        <v>0</v>
      </c>
    </row>
    <row r="343" spans="1:7">
      <c r="A343" s="1607" t="s">
        <v>569</v>
      </c>
      <c r="B343" s="1743">
        <v>15998</v>
      </c>
      <c r="C343" s="1743"/>
      <c r="D343" s="1">
        <f>+VLOOKUP($A343,'TB Final'!$B:$K,7,0)</f>
        <v>15998</v>
      </c>
      <c r="E343" s="1">
        <f>+VLOOKUP($A343,'TB Final'!$B:$K,10,0)</f>
        <v>0</v>
      </c>
      <c r="F343" s="1">
        <f t="shared" si="10"/>
        <v>0</v>
      </c>
      <c r="G343" s="1">
        <f t="shared" si="11"/>
        <v>0</v>
      </c>
    </row>
    <row r="344" spans="1:7">
      <c r="A344" s="1607" t="s">
        <v>3001</v>
      </c>
      <c r="B344" s="1743">
        <v>427586</v>
      </c>
      <c r="C344" s="1743"/>
      <c r="D344" s="1">
        <f>+VLOOKUP($A344,'TB Final'!$B:$K,7,0)</f>
        <v>435758</v>
      </c>
      <c r="E344" s="1">
        <f>+VLOOKUP($A344,'TB Final'!$B:$K,10,0)</f>
        <v>0</v>
      </c>
      <c r="F344" s="1">
        <f t="shared" si="10"/>
        <v>-8172</v>
      </c>
      <c r="G344" s="1">
        <f t="shared" si="11"/>
        <v>0</v>
      </c>
    </row>
    <row r="345" spans="1:7">
      <c r="A345" s="1607" t="s">
        <v>571</v>
      </c>
      <c r="B345" s="1743"/>
      <c r="C345" s="1743">
        <v>18590.04</v>
      </c>
      <c r="D345" s="1">
        <f>+VLOOKUP($A345,'TB Final'!$B:$K,7,0)</f>
        <v>0</v>
      </c>
      <c r="E345" s="1">
        <f>+VLOOKUP($A345,'TB Final'!$B:$K,10,0)</f>
        <v>18590.04</v>
      </c>
      <c r="F345" s="1">
        <f t="shared" si="10"/>
        <v>0</v>
      </c>
      <c r="G345" s="1">
        <f t="shared" si="11"/>
        <v>0</v>
      </c>
    </row>
    <row r="346" spans="1:7">
      <c r="A346" s="1607" t="s">
        <v>572</v>
      </c>
      <c r="B346" s="1743"/>
      <c r="C346" s="1743">
        <v>31456</v>
      </c>
      <c r="D346" s="1">
        <f>+VLOOKUP($A346,'TB Final'!$B:$K,7,0)</f>
        <v>0</v>
      </c>
      <c r="E346" s="1">
        <f>+VLOOKUP($A346,'TB Final'!$B:$K,10,0)</f>
        <v>31456</v>
      </c>
      <c r="F346" s="1">
        <f t="shared" si="10"/>
        <v>0</v>
      </c>
      <c r="G346" s="1">
        <f t="shared" si="11"/>
        <v>0</v>
      </c>
    </row>
    <row r="347" spans="1:7">
      <c r="A347" s="1607" t="s">
        <v>573</v>
      </c>
      <c r="B347" s="1743"/>
      <c r="C347" s="1743">
        <v>5513</v>
      </c>
      <c r="D347" s="1">
        <f>+VLOOKUP($A347,'TB Final'!$B:$K,7,0)</f>
        <v>0</v>
      </c>
      <c r="E347" s="1">
        <f>+VLOOKUP($A347,'TB Final'!$B:$K,10,0)</f>
        <v>5513</v>
      </c>
      <c r="F347" s="1">
        <f t="shared" si="10"/>
        <v>0</v>
      </c>
      <c r="G347" s="1">
        <f t="shared" si="11"/>
        <v>0</v>
      </c>
    </row>
    <row r="348" spans="1:7">
      <c r="A348" s="1607" t="s">
        <v>574</v>
      </c>
      <c r="B348" s="1743"/>
      <c r="C348" s="1743">
        <v>48309</v>
      </c>
      <c r="D348" s="1">
        <f>+VLOOKUP($A348,'TB Final'!$B:$K,7,0)</f>
        <v>0</v>
      </c>
      <c r="E348" s="1">
        <f>+VLOOKUP($A348,'TB Final'!$B:$K,10,0)</f>
        <v>48309</v>
      </c>
      <c r="F348" s="1">
        <f t="shared" si="10"/>
        <v>0</v>
      </c>
      <c r="G348" s="1">
        <f t="shared" si="11"/>
        <v>0</v>
      </c>
    </row>
    <row r="349" spans="1:7">
      <c r="A349" s="1607" t="s">
        <v>421</v>
      </c>
      <c r="B349" s="1743"/>
      <c r="C349" s="1743">
        <v>33692</v>
      </c>
      <c r="D349" s="1">
        <f>+VLOOKUP($A349,'TB Final'!$B:$K,7,0)</f>
        <v>0</v>
      </c>
      <c r="E349" s="1">
        <f>+VLOOKUP($A349,'TB Final'!$B:$K,10,0)</f>
        <v>33692</v>
      </c>
      <c r="F349" s="1">
        <f t="shared" si="10"/>
        <v>0</v>
      </c>
      <c r="G349" s="1">
        <f t="shared" si="11"/>
        <v>0</v>
      </c>
    </row>
    <row r="350" spans="1:7">
      <c r="A350" s="1607" t="s">
        <v>354</v>
      </c>
      <c r="B350" s="1743"/>
      <c r="C350" s="1743">
        <v>34000</v>
      </c>
      <c r="D350" s="1">
        <f>+VLOOKUP($A350,'TB Final'!$B:$K,7,0)</f>
        <v>0</v>
      </c>
      <c r="E350" s="1">
        <f>+VLOOKUP($A350,'TB Final'!$B:$K,10,0)</f>
        <v>34000</v>
      </c>
      <c r="F350" s="1">
        <f t="shared" si="10"/>
        <v>0</v>
      </c>
      <c r="G350" s="1">
        <f t="shared" si="11"/>
        <v>0</v>
      </c>
    </row>
    <row r="351" spans="1:7">
      <c r="A351" s="1607" t="s">
        <v>575</v>
      </c>
      <c r="B351" s="1743"/>
      <c r="C351" s="1743">
        <v>8000</v>
      </c>
      <c r="D351" s="1">
        <f>+VLOOKUP($A351,'TB Final'!$B:$K,7,0)</f>
        <v>0</v>
      </c>
      <c r="E351" s="1">
        <f>+VLOOKUP($A351,'TB Final'!$B:$K,10,0)</f>
        <v>8000</v>
      </c>
      <c r="F351" s="1">
        <f t="shared" si="10"/>
        <v>0</v>
      </c>
      <c r="G351" s="1">
        <f t="shared" si="11"/>
        <v>0</v>
      </c>
    </row>
    <row r="352" spans="1:7">
      <c r="A352" s="1607" t="s">
        <v>353</v>
      </c>
      <c r="B352" s="1743"/>
      <c r="C352" s="1743">
        <v>23905</v>
      </c>
      <c r="D352" s="1">
        <f>+VLOOKUP($A352,'TB Final'!$B:$K,7,0)</f>
        <v>0</v>
      </c>
      <c r="E352" s="1">
        <f>+VLOOKUP($A352,'TB Final'!$B:$K,10,0)</f>
        <v>23905</v>
      </c>
      <c r="F352" s="1">
        <f t="shared" si="10"/>
        <v>0</v>
      </c>
      <c r="G352" s="1">
        <f t="shared" si="11"/>
        <v>0</v>
      </c>
    </row>
    <row r="353" spans="1:7">
      <c r="A353" s="1607" t="s">
        <v>576</v>
      </c>
      <c r="B353" s="1743">
        <v>933217.36</v>
      </c>
      <c r="C353" s="1743"/>
      <c r="D353" s="1">
        <f>+VLOOKUP($A353,'TB Final'!$B:$K,7,0)</f>
        <v>933217.36</v>
      </c>
      <c r="E353" s="1">
        <f>+VLOOKUP($A353,'TB Final'!$B:$K,10,0)</f>
        <v>0</v>
      </c>
      <c r="F353" s="1">
        <f t="shared" si="10"/>
        <v>0</v>
      </c>
      <c r="G353" s="1">
        <f t="shared" si="11"/>
        <v>0</v>
      </c>
    </row>
    <row r="354" spans="1:7">
      <c r="A354" s="1607" t="s">
        <v>577</v>
      </c>
      <c r="B354" s="1743">
        <v>72945</v>
      </c>
      <c r="C354" s="1743"/>
      <c r="D354" s="1">
        <f>+VLOOKUP($A354,'TB Final'!$B:$K,7,0)</f>
        <v>72945</v>
      </c>
      <c r="E354" s="1">
        <f>+VLOOKUP($A354,'TB Final'!$B:$K,10,0)</f>
        <v>0</v>
      </c>
      <c r="F354" s="1">
        <f t="shared" si="10"/>
        <v>0</v>
      </c>
      <c r="G354" s="1">
        <f t="shared" si="11"/>
        <v>0</v>
      </c>
    </row>
    <row r="355" spans="1:7">
      <c r="A355" s="1607" t="s">
        <v>358</v>
      </c>
      <c r="B355" s="1743">
        <v>99717</v>
      </c>
      <c r="C355" s="1743"/>
      <c r="D355" s="1">
        <f>+VLOOKUP($A355,'TB Final'!$B:$K,7,0)</f>
        <v>99717</v>
      </c>
      <c r="E355" s="1">
        <f>+VLOOKUP($A355,'TB Final'!$B:$K,10,0)</f>
        <v>0</v>
      </c>
      <c r="F355" s="1">
        <f t="shared" si="10"/>
        <v>0</v>
      </c>
      <c r="G355" s="1">
        <f t="shared" si="11"/>
        <v>0</v>
      </c>
    </row>
    <row r="356" spans="1:7">
      <c r="A356" s="1607" t="s">
        <v>3002</v>
      </c>
      <c r="B356" s="1743"/>
      <c r="C356" s="1743">
        <v>197478</v>
      </c>
      <c r="D356" s="1">
        <f>+VLOOKUP($A356,'TB Final'!$B:$K,7,0)</f>
        <v>0</v>
      </c>
      <c r="E356" s="1">
        <f>+VLOOKUP($A356,'TB Final'!$B:$K,10,0)</f>
        <v>197478</v>
      </c>
      <c r="F356" s="1">
        <f t="shared" si="10"/>
        <v>0</v>
      </c>
      <c r="G356" s="1">
        <f t="shared" si="11"/>
        <v>0</v>
      </c>
    </row>
    <row r="357" spans="1:7">
      <c r="A357" s="1607" t="s">
        <v>578</v>
      </c>
      <c r="B357" s="1743">
        <v>59132.5</v>
      </c>
      <c r="C357" s="1743"/>
      <c r="D357" s="1">
        <f>+VLOOKUP($A357,'TB Final'!$B:$K,7,0)</f>
        <v>59132.5</v>
      </c>
      <c r="E357" s="1">
        <f>+VLOOKUP($A357,'TB Final'!$B:$K,10,0)</f>
        <v>0</v>
      </c>
      <c r="F357" s="1">
        <f t="shared" si="10"/>
        <v>0</v>
      </c>
      <c r="G357" s="1">
        <f t="shared" si="11"/>
        <v>0</v>
      </c>
    </row>
    <row r="358" spans="1:7">
      <c r="A358" s="1607" t="s">
        <v>359</v>
      </c>
      <c r="B358" s="1743">
        <v>210670</v>
      </c>
      <c r="C358" s="1743"/>
      <c r="D358" s="1">
        <f>+VLOOKUP($A358,'TB Final'!$B:$K,7,0)</f>
        <v>368810</v>
      </c>
      <c r="E358" s="1">
        <f>+VLOOKUP($A358,'TB Final'!$B:$K,10,0)</f>
        <v>0</v>
      </c>
      <c r="F358" s="1">
        <f t="shared" si="10"/>
        <v>-158140</v>
      </c>
      <c r="G358" s="1">
        <f t="shared" si="11"/>
        <v>0</v>
      </c>
    </row>
    <row r="359" spans="1:7">
      <c r="A359" s="1607" t="s">
        <v>582</v>
      </c>
      <c r="B359" s="1743">
        <v>313340</v>
      </c>
      <c r="C359" s="1743"/>
      <c r="D359" s="1">
        <f>+VLOOKUP($A359,'TB Final'!$B:$K,7,0)</f>
        <v>313340</v>
      </c>
      <c r="E359" s="1">
        <f>+VLOOKUP($A359,'TB Final'!$B:$K,10,0)</f>
        <v>0</v>
      </c>
      <c r="F359" s="1">
        <f t="shared" si="10"/>
        <v>0</v>
      </c>
      <c r="G359" s="1">
        <f t="shared" si="11"/>
        <v>0</v>
      </c>
    </row>
    <row r="360" spans="1:7">
      <c r="A360" s="1607" t="s">
        <v>583</v>
      </c>
      <c r="B360" s="1743">
        <v>1977842</v>
      </c>
      <c r="C360" s="1743"/>
      <c r="D360" s="1">
        <f>+VLOOKUP($A360,'TB Final'!$B:$K,7,0)</f>
        <v>1977842</v>
      </c>
      <c r="E360" s="1">
        <f>+VLOOKUP($A360,'TB Final'!$B:$K,10,0)</f>
        <v>0</v>
      </c>
      <c r="F360" s="1">
        <f t="shared" si="10"/>
        <v>0</v>
      </c>
      <c r="G360" s="1">
        <f t="shared" si="11"/>
        <v>0</v>
      </c>
    </row>
    <row r="361" spans="1:7">
      <c r="A361" s="1607" t="s">
        <v>427</v>
      </c>
      <c r="B361" s="1743"/>
      <c r="C361" s="1743">
        <v>27540</v>
      </c>
      <c r="D361" s="1">
        <f>+VLOOKUP($A361,'TB Final'!$B:$K,7,0)</f>
        <v>0</v>
      </c>
      <c r="E361" s="1">
        <f>+VLOOKUP($A361,'TB Final'!$B:$K,10,0)</f>
        <v>27540</v>
      </c>
      <c r="F361" s="1">
        <f t="shared" si="10"/>
        <v>0</v>
      </c>
      <c r="G361" s="1">
        <f t="shared" si="11"/>
        <v>0</v>
      </c>
    </row>
    <row r="362" spans="1:7">
      <c r="A362" s="1607" t="s">
        <v>10</v>
      </c>
      <c r="B362" s="1743"/>
      <c r="C362" s="1743">
        <v>1018930</v>
      </c>
      <c r="D362" s="1">
        <f>+VLOOKUP($A362,'TB Final'!$B:$K,7,0)</f>
        <v>0</v>
      </c>
      <c r="E362" s="1">
        <f>+VLOOKUP($A362,'TB Final'!$B:$K,10,0)</f>
        <v>1018930</v>
      </c>
      <c r="F362" s="1">
        <f t="shared" si="10"/>
        <v>0</v>
      </c>
      <c r="G362" s="1">
        <f t="shared" si="11"/>
        <v>0</v>
      </c>
    </row>
    <row r="363" spans="1:7">
      <c r="A363" s="1607" t="s">
        <v>3003</v>
      </c>
      <c r="B363" s="1743"/>
      <c r="C363" s="1743">
        <v>18125083</v>
      </c>
      <c r="D363" s="1">
        <f>+VLOOKUP($A363,'TB Final'!$B:$K,7,0)</f>
        <v>0</v>
      </c>
      <c r="E363" s="1">
        <f>+VLOOKUP($A363,'TB Final'!$B:$K,10,0)</f>
        <v>18125083</v>
      </c>
      <c r="F363" s="1">
        <f t="shared" si="10"/>
        <v>0</v>
      </c>
      <c r="G363" s="1">
        <f t="shared" si="11"/>
        <v>0</v>
      </c>
    </row>
    <row r="364" spans="1:7">
      <c r="A364" s="1607" t="s">
        <v>3004</v>
      </c>
      <c r="B364" s="1743"/>
      <c r="C364" s="1743">
        <v>162657.20000000001</v>
      </c>
      <c r="D364" s="1">
        <f>+VLOOKUP($A364,'TB Final'!$B:$K,7,0)</f>
        <v>0</v>
      </c>
      <c r="E364" s="1">
        <f>+VLOOKUP($A364,'TB Final'!$B:$K,10,0)</f>
        <v>162657.20000000001</v>
      </c>
      <c r="F364" s="1">
        <f t="shared" si="10"/>
        <v>0</v>
      </c>
      <c r="G364" s="1">
        <f t="shared" si="11"/>
        <v>0</v>
      </c>
    </row>
    <row r="365" spans="1:7">
      <c r="A365" s="1607" t="s">
        <v>3005</v>
      </c>
      <c r="B365" s="1743">
        <v>306572</v>
      </c>
      <c r="C365" s="1743"/>
      <c r="D365" s="1">
        <f>+VLOOKUP($A365,'TB Final'!$B:$K,7,0)</f>
        <v>306572</v>
      </c>
      <c r="E365" s="1">
        <f>+VLOOKUP($A365,'TB Final'!$B:$K,10,0)</f>
        <v>0</v>
      </c>
      <c r="F365" s="1">
        <f t="shared" si="10"/>
        <v>0</v>
      </c>
      <c r="G365" s="1">
        <f t="shared" si="11"/>
        <v>0</v>
      </c>
    </row>
    <row r="366" spans="1:7">
      <c r="A366" s="1607" t="s">
        <v>438</v>
      </c>
      <c r="B366" s="1743">
        <v>2991111</v>
      </c>
      <c r="C366" s="1743"/>
      <c r="D366" s="1">
        <f>+VLOOKUP($A366,'TB Final'!$B:$K,7,0)</f>
        <v>2991111</v>
      </c>
      <c r="E366" s="1">
        <f>+VLOOKUP($A366,'TB Final'!$B:$K,10,0)</f>
        <v>0</v>
      </c>
      <c r="F366" s="1">
        <f t="shared" si="10"/>
        <v>0</v>
      </c>
      <c r="G366" s="1">
        <f t="shared" si="11"/>
        <v>0</v>
      </c>
    </row>
    <row r="367" spans="1:7">
      <c r="A367" s="1607" t="s">
        <v>584</v>
      </c>
      <c r="B367" s="1743">
        <v>765698</v>
      </c>
      <c r="C367" s="1743"/>
      <c r="D367" s="1">
        <f>+VLOOKUP($A367,'TB Final'!$B:$K,7,0)</f>
        <v>765698</v>
      </c>
      <c r="E367" s="1">
        <f>+VLOOKUP($A367,'TB Final'!$B:$K,10,0)</f>
        <v>0</v>
      </c>
      <c r="F367" s="1">
        <f t="shared" si="10"/>
        <v>0</v>
      </c>
      <c r="G367" s="1">
        <f t="shared" si="11"/>
        <v>0</v>
      </c>
    </row>
    <row r="368" spans="1:7">
      <c r="A368" s="1607" t="s">
        <v>440</v>
      </c>
      <c r="B368" s="1743">
        <v>253880</v>
      </c>
      <c r="C368" s="1743"/>
      <c r="D368" s="1">
        <f>+VLOOKUP($A368,'TB Final'!$B:$K,7,0)</f>
        <v>253880</v>
      </c>
      <c r="E368" s="1">
        <f>+VLOOKUP($A368,'TB Final'!$B:$K,10,0)</f>
        <v>0</v>
      </c>
      <c r="F368" s="1">
        <f t="shared" si="10"/>
        <v>0</v>
      </c>
      <c r="G368" s="1">
        <f t="shared" si="11"/>
        <v>0</v>
      </c>
    </row>
    <row r="369" spans="1:7">
      <c r="A369" s="1607" t="s">
        <v>441</v>
      </c>
      <c r="B369" s="1743"/>
      <c r="C369" s="1743">
        <v>9434468</v>
      </c>
      <c r="D369" s="1">
        <f>+VLOOKUP($A369,'TB Final'!$B:$K,7,0)</f>
        <v>0</v>
      </c>
      <c r="E369" s="1">
        <f>+VLOOKUP($A369,'TB Final'!$B:$K,10,0)</f>
        <v>9434468</v>
      </c>
      <c r="F369" s="1">
        <f t="shared" si="10"/>
        <v>0</v>
      </c>
      <c r="G369" s="1">
        <f t="shared" si="11"/>
        <v>0</v>
      </c>
    </row>
    <row r="370" spans="1:7">
      <c r="A370" s="1607" t="s">
        <v>442</v>
      </c>
      <c r="B370" s="1743"/>
      <c r="C370" s="1743">
        <v>560256</v>
      </c>
      <c r="D370" s="1">
        <f>+VLOOKUP($A370,'TB Final'!$B:$K,7,0)</f>
        <v>0</v>
      </c>
      <c r="E370" s="1">
        <f>+VLOOKUP($A370,'TB Final'!$B:$K,10,0)</f>
        <v>560256</v>
      </c>
      <c r="F370" s="1">
        <f t="shared" si="10"/>
        <v>0</v>
      </c>
      <c r="G370" s="1">
        <f t="shared" si="11"/>
        <v>0</v>
      </c>
    </row>
    <row r="371" spans="1:7">
      <c r="A371" s="1607" t="s">
        <v>587</v>
      </c>
      <c r="B371" s="1743"/>
      <c r="C371" s="1743">
        <v>7622054</v>
      </c>
      <c r="D371" s="1">
        <f>+VLOOKUP($A371,'TB Final'!$B:$K,7,0)</f>
        <v>0</v>
      </c>
      <c r="E371" s="1">
        <f>+VLOOKUP($A371,'TB Final'!$B:$K,10,0)</f>
        <v>7622054</v>
      </c>
      <c r="F371" s="1">
        <f t="shared" si="10"/>
        <v>0</v>
      </c>
      <c r="G371" s="1">
        <f t="shared" si="11"/>
        <v>0</v>
      </c>
    </row>
    <row r="372" spans="1:7">
      <c r="A372" s="1607" t="s">
        <v>3006</v>
      </c>
      <c r="B372" s="1743">
        <v>30768</v>
      </c>
      <c r="C372" s="1743"/>
      <c r="D372" s="1">
        <f>+VLOOKUP($A372,'TB Final'!$B:$K,7,0)</f>
        <v>30768</v>
      </c>
      <c r="E372" s="1">
        <f>+VLOOKUP($A372,'TB Final'!$B:$K,10,0)</f>
        <v>0</v>
      </c>
      <c r="F372" s="1">
        <f t="shared" si="10"/>
        <v>0</v>
      </c>
      <c r="G372" s="1">
        <f t="shared" si="11"/>
        <v>0</v>
      </c>
    </row>
    <row r="373" spans="1:7">
      <c r="A373" s="1607" t="s">
        <v>3007</v>
      </c>
      <c r="B373" s="1743">
        <v>246345</v>
      </c>
      <c r="C373" s="1743"/>
      <c r="D373" s="1">
        <f>+VLOOKUP($A373,'TB Final'!$B:$K,7,0)</f>
        <v>246345</v>
      </c>
      <c r="E373" s="1">
        <f>+VLOOKUP($A373,'TB Final'!$B:$K,10,0)</f>
        <v>0</v>
      </c>
      <c r="F373" s="1">
        <f t="shared" si="10"/>
        <v>0</v>
      </c>
      <c r="G373" s="1">
        <f t="shared" si="11"/>
        <v>0</v>
      </c>
    </row>
    <row r="374" spans="1:7">
      <c r="A374" s="1607" t="s">
        <v>3008</v>
      </c>
      <c r="B374" s="1743">
        <v>42376</v>
      </c>
      <c r="C374" s="1743"/>
      <c r="D374" s="1">
        <f>+VLOOKUP($A374,'TB Final'!$B:$K,7,0)</f>
        <v>42376</v>
      </c>
      <c r="E374" s="1">
        <f>+VLOOKUP($A374,'TB Final'!$B:$K,10,0)</f>
        <v>0</v>
      </c>
      <c r="F374" s="1">
        <f t="shared" si="10"/>
        <v>0</v>
      </c>
      <c r="G374" s="1">
        <f t="shared" si="11"/>
        <v>0</v>
      </c>
    </row>
    <row r="375" spans="1:7">
      <c r="A375" s="1607" t="s">
        <v>445</v>
      </c>
      <c r="B375" s="1743">
        <v>4714336.38</v>
      </c>
      <c r="C375" s="1743"/>
      <c r="D375" s="1">
        <f>+VLOOKUP($A375,'TB Final'!$B:$K,7,0)</f>
        <v>4714336.38</v>
      </c>
      <c r="E375" s="1">
        <f>+VLOOKUP($A375,'TB Final'!$B:$K,10,0)</f>
        <v>0</v>
      </c>
      <c r="F375" s="1">
        <f t="shared" si="10"/>
        <v>0</v>
      </c>
      <c r="G375" s="1">
        <f t="shared" si="11"/>
        <v>0</v>
      </c>
    </row>
    <row r="376" spans="1:7">
      <c r="A376" s="1607" t="s">
        <v>447</v>
      </c>
      <c r="B376" s="1743">
        <v>239312224.5</v>
      </c>
      <c r="C376" s="1743"/>
      <c r="D376" s="1">
        <f>+VLOOKUP($A376,'TB Final'!$B:$K,7,0)</f>
        <v>239312224.5</v>
      </c>
      <c r="E376" s="1">
        <f>+VLOOKUP($A376,'TB Final'!$B:$K,10,0)</f>
        <v>0</v>
      </c>
      <c r="F376" s="1">
        <f t="shared" si="10"/>
        <v>0</v>
      </c>
      <c r="G376" s="1">
        <f t="shared" si="11"/>
        <v>0</v>
      </c>
    </row>
    <row r="377" spans="1:7">
      <c r="A377" s="1607" t="s">
        <v>448</v>
      </c>
      <c r="B377" s="1743">
        <v>2933800.43</v>
      </c>
      <c r="C377" s="1743"/>
      <c r="D377" s="1">
        <f>+VLOOKUP($A377,'TB Final'!$B:$K,7,0)</f>
        <v>2933800.43</v>
      </c>
      <c r="E377" s="1">
        <f>+VLOOKUP($A377,'TB Final'!$B:$K,10,0)</f>
        <v>0</v>
      </c>
      <c r="F377" s="1">
        <f t="shared" si="10"/>
        <v>0</v>
      </c>
      <c r="G377" s="1">
        <f t="shared" si="11"/>
        <v>0</v>
      </c>
    </row>
    <row r="378" spans="1:7">
      <c r="A378" s="1607" t="s">
        <v>3009</v>
      </c>
      <c r="B378" s="1743"/>
      <c r="C378" s="1743">
        <v>714051</v>
      </c>
      <c r="D378" s="1">
        <f>+VLOOKUP($A378,'TB Final'!$B:$K,7,0)</f>
        <v>0</v>
      </c>
      <c r="E378" s="1">
        <f>+VLOOKUP($A378,'TB Final'!$B:$K,10,0)</f>
        <v>714051</v>
      </c>
      <c r="F378" s="1">
        <f t="shared" si="10"/>
        <v>0</v>
      </c>
      <c r="G378" s="1">
        <f t="shared" si="11"/>
        <v>0</v>
      </c>
    </row>
    <row r="379" spans="1:7">
      <c r="A379" s="1607" t="s">
        <v>3010</v>
      </c>
      <c r="B379" s="1743"/>
      <c r="C379" s="1743">
        <v>351471</v>
      </c>
      <c r="D379" s="1">
        <f>+VLOOKUP($A379,'TB Final'!$B:$K,7,0)</f>
        <v>0</v>
      </c>
      <c r="E379" s="1">
        <f>+VLOOKUP($A379,'TB Final'!$B:$K,10,0)</f>
        <v>351471</v>
      </c>
      <c r="F379" s="1">
        <f t="shared" si="10"/>
        <v>0</v>
      </c>
      <c r="G379" s="1">
        <f t="shared" si="11"/>
        <v>0</v>
      </c>
    </row>
    <row r="380" spans="1:7">
      <c r="A380" s="1607" t="s">
        <v>590</v>
      </c>
      <c r="B380" s="1743">
        <v>8923</v>
      </c>
      <c r="C380" s="1743"/>
      <c r="D380" s="1">
        <f>+VLOOKUP($A380,'TB Final'!$B:$K,7,0)</f>
        <v>8923</v>
      </c>
      <c r="E380" s="1">
        <f>+VLOOKUP($A380,'TB Final'!$B:$K,10,0)</f>
        <v>0</v>
      </c>
      <c r="F380" s="1">
        <f t="shared" si="10"/>
        <v>0</v>
      </c>
      <c r="G380" s="1">
        <f t="shared" si="11"/>
        <v>0</v>
      </c>
    </row>
    <row r="381" spans="1:7">
      <c r="A381" s="1607" t="s">
        <v>451</v>
      </c>
      <c r="B381" s="1743">
        <v>14904501.640000001</v>
      </c>
      <c r="C381" s="1743"/>
      <c r="D381" s="1">
        <f>+VLOOKUP($A381,'TB Final'!$B:$K,7,0)</f>
        <v>14904501.640000001</v>
      </c>
      <c r="E381" s="1">
        <f>+VLOOKUP($A381,'TB Final'!$B:$K,10,0)</f>
        <v>0</v>
      </c>
      <c r="F381" s="1">
        <f t="shared" si="10"/>
        <v>0</v>
      </c>
      <c r="G381" s="1">
        <f t="shared" si="11"/>
        <v>0</v>
      </c>
    </row>
    <row r="382" spans="1:7">
      <c r="A382" s="1610" t="s">
        <v>591</v>
      </c>
      <c r="B382" s="1611">
        <v>1393192492.5799999</v>
      </c>
      <c r="C382" s="1611">
        <v>1393192492.5799999</v>
      </c>
      <c r="D382" s="3">
        <f>SUM(D12:D381)</f>
        <v>1377701962.1000001</v>
      </c>
      <c r="E382" s="3">
        <f>SUM(E12:E381)</f>
        <v>1377961893.0999999</v>
      </c>
    </row>
  </sheetData>
  <autoFilter ref="A11:G382" xr:uid="{B9ED8848-87B8-437C-A799-0542D38CEEF4}"/>
  <customSheetViews>
    <customSheetView guid="{ADEA4918-0326-423A-8D00-FB47A486004B}" showAutoFilter="1" state="hidden" topLeftCell="A8">
      <selection activeCell="A10" sqref="A10"/>
      <pageMargins left="0.7" right="0.7" top="0.75" bottom="0.75" header="0.3" footer="0.3"/>
      <autoFilter ref="A11:G382" xr:uid="{AA655AA9-CB6C-494B-8DCD-AC722BEE372B}"/>
    </customSheetView>
    <customSheetView guid="{2A78E287-3113-4387-BB62-BE98FA5C13C2}" showAutoFilter="1" state="hidden" topLeftCell="A8">
      <selection activeCell="A10" sqref="A10"/>
      <pageMargins left="0.7" right="0.7" top="0.75" bottom="0.75" header="0.3" footer="0.3"/>
      <autoFilter ref="A11:G382" xr:uid="{8F5E4FBE-4C5F-45D0-B1AF-F460F02F27F1}"/>
    </customSheetView>
    <customSheetView guid="{DC5DA12B-0FA6-4F41-A983-6E433AD4604D}" showAutoFilter="1" state="hidden" topLeftCell="A8">
      <selection activeCell="A10" sqref="A10"/>
      <pageMargins left="0.7" right="0.7" top="0.75" bottom="0.75" header="0.3" footer="0.3"/>
      <autoFilter ref="A11:G382" xr:uid="{FE283CA7-82C6-4E0D-91DD-00C682F37F6D}"/>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8"/>
  <sheetViews>
    <sheetView workbookViewId="0">
      <selection activeCell="L14" sqref="L14"/>
    </sheetView>
  </sheetViews>
  <sheetFormatPr defaultRowHeight="14.4"/>
  <cols>
    <col min="1" max="1" width="59.109375" customWidth="1"/>
    <col min="2" max="2" width="15.88671875" style="1" bestFit="1" customWidth="1"/>
  </cols>
  <sheetData>
    <row r="1" spans="1:2">
      <c r="A1" s="134" t="s">
        <v>2062</v>
      </c>
    </row>
    <row r="3" spans="1:2">
      <c r="A3" s="140" t="s">
        <v>2063</v>
      </c>
      <c r="B3" s="323">
        <f>+BSPL!G24</f>
        <v>123873133.10326679</v>
      </c>
    </row>
    <row r="4" spans="1:2">
      <c r="A4" s="324" t="s">
        <v>2064</v>
      </c>
      <c r="B4" s="325">
        <f>+BSPL!G46</f>
        <v>231232274.24000001</v>
      </c>
    </row>
    <row r="5" spans="1:2" ht="15" thickBot="1">
      <c r="A5" s="326" t="s">
        <v>2065</v>
      </c>
      <c r="B5" s="327">
        <f>+B3-B4</f>
        <v>-107359141.13673322</v>
      </c>
    </row>
    <row r="6" spans="1:2" ht="15" thickTop="1"/>
    <row r="7" spans="1:2">
      <c r="A7" s="328" t="s">
        <v>2066</v>
      </c>
      <c r="B7" s="1">
        <f>+BSPL!G32</f>
        <v>186287678.62719482</v>
      </c>
    </row>
    <row r="9" spans="1:2" ht="15" thickBot="1">
      <c r="B9" s="329">
        <f>+B7-B5</f>
        <v>293646819.76392806</v>
      </c>
    </row>
    <row r="10" spans="1:2" ht="15" thickTop="1"/>
    <row r="11" spans="1:2">
      <c r="A11" s="139" t="s">
        <v>2069</v>
      </c>
    </row>
    <row r="12" spans="1:2">
      <c r="A12" s="328" t="s">
        <v>2067</v>
      </c>
      <c r="B12" s="1">
        <f>+BSPL!G9</f>
        <v>370179117.91074157</v>
      </c>
    </row>
    <row r="13" spans="1:2">
      <c r="A13" s="328" t="s">
        <v>399</v>
      </c>
      <c r="B13" s="1">
        <f>+BSPL!G10</f>
        <v>0</v>
      </c>
    </row>
    <row r="14" spans="1:2">
      <c r="A14" s="328" t="s">
        <v>2068</v>
      </c>
      <c r="B14" s="1">
        <f>+BSPL!G15-'Working Capital'!B12-'Working Capital'!B13</f>
        <v>36166496.548402429</v>
      </c>
    </row>
    <row r="15" spans="1:2">
      <c r="A15" s="328"/>
    </row>
    <row r="16" spans="1:2">
      <c r="A16" s="150" t="s">
        <v>2070</v>
      </c>
    </row>
    <row r="17" spans="1:2" ht="115.2">
      <c r="A17" s="328" t="str">
        <f>+BSPL!B378</f>
        <v>1) Term Loan is secured by the assets to be created out of Bank Finance including Hypothecation of Plant &amp; machineries purchased out of Bank Finance, hypothecation of new additional Plant &amp; Machineries to be bought in, hypothecation of Factory Land and  Buildings bearing Survey No. 31 situated at Kh No 31/1 &amp; 31/2 within the limits of Grampanchayat Ringanboli, Tah : Katol, Mouza Hardoli, Katol, Dist.: Nagpur, Maharashtra - 441103, Admeasuring total area of 42,200 Sq. Mtrs.</v>
      </c>
      <c r="B17" s="330">
        <f>+BSPL!G376</f>
        <v>63531288</v>
      </c>
    </row>
    <row r="18" spans="1:2">
      <c r="A18" s="328"/>
      <c r="B18" s="330">
        <f>+B12-B17</f>
        <v>306647829.91074157</v>
      </c>
    </row>
    <row r="19" spans="1:2" ht="86.4">
      <c r="A19" s="328" t="str">
        <f>+BSPL!B385</f>
        <v>1) Working Capital Term Loan (WCTL) is secured by the hypothecation &amp; first charge on existing as well as future entire stock of raw materials, finished goods, stock-in-process, stores and spares, packing materials at the factory premises or at some other places including goods in transit, outstanding moneys, book debts and receivables with the personal guarantees of the directors.</v>
      </c>
      <c r="B19" s="330">
        <f>+BSPL!G384</f>
        <v>3829801</v>
      </c>
    </row>
    <row r="20" spans="1:2">
      <c r="A20" s="328" t="s">
        <v>891</v>
      </c>
      <c r="B20" s="330"/>
    </row>
    <row r="21" spans="1:2" ht="86.4">
      <c r="A21" s="328" t="str">
        <f>+BSPL!B425</f>
        <v>(Secured by way of hypothecation Factory land and Building, Plant and Machinery and of entire existing and future stock of the unit at its godowns or at some other places including goods in transit, outstanding moneys, book debts, receivables, both present and future including personal guarantee of all the Directors &amp; the Promoters of the Company. These borrowings are repayable on demand.)</v>
      </c>
      <c r="B21" s="330">
        <f>+BSPL!G424</f>
        <v>89643931.159999996</v>
      </c>
    </row>
    <row r="22" spans="1:2">
      <c r="A22" s="328"/>
      <c r="B22" s="1">
        <f>+B13+B14-B19-B21</f>
        <v>-57307235.611597568</v>
      </c>
    </row>
    <row r="23" spans="1:2">
      <c r="A23" s="328"/>
    </row>
    <row r="24" spans="1:2" ht="15" thickBot="1">
      <c r="A24" s="328"/>
      <c r="B24" s="329">
        <f>+B9-B22</f>
        <v>350954055.37552559</v>
      </c>
    </row>
    <row r="25" spans="1:2" ht="15" thickTop="1">
      <c r="A25" s="328"/>
    </row>
    <row r="26" spans="1:2">
      <c r="A26" s="328"/>
    </row>
    <row r="27" spans="1:2">
      <c r="A27" s="328"/>
    </row>
    <row r="28" spans="1:2">
      <c r="A28" s="328"/>
    </row>
  </sheetData>
  <customSheetViews>
    <customSheetView guid="{ADEA4918-0326-423A-8D00-FB47A486004B}" state="hidden">
      <selection activeCell="H46" sqref="H46"/>
      <pageMargins left="0.7" right="0.7" top="0.75" bottom="0.75" header="0.3" footer="0.3"/>
      <pageSetup orientation="portrait" r:id="rId1"/>
    </customSheetView>
    <customSheetView guid="{2A78E287-3113-4387-BB62-BE98FA5C13C2}" topLeftCell="A19">
      <selection activeCell="B18" sqref="B18"/>
      <pageMargins left="0.7" right="0.7" top="0.75" bottom="0.75" header="0.3" footer="0.3"/>
      <pageSetup orientation="portrait" r:id="rId2"/>
    </customSheetView>
    <customSheetView guid="{DC5DA12B-0FA6-4F41-A983-6E433AD4604D}" topLeftCell="A19">
      <selection activeCell="B18" sqref="B18"/>
      <pageMargins left="0.7" right="0.7" top="0.75" bottom="0.75" header="0.3" footer="0.3"/>
      <pageSetup orientation="portrait" r:id="rId3"/>
    </customSheetView>
  </customSheetViews>
  <pageMargins left="0.7" right="0.7" top="0.75" bottom="0.75" header="0.3" footer="0.3"/>
  <pageSetup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3"/>
  <sheetViews>
    <sheetView workbookViewId="0">
      <selection activeCell="D5" sqref="D5"/>
    </sheetView>
  </sheetViews>
  <sheetFormatPr defaultRowHeight="14.4"/>
  <cols>
    <col min="2" max="2" width="10.6640625" customWidth="1"/>
    <col min="3" max="3" width="12.6640625" customWidth="1"/>
    <col min="4" max="4" width="18.88671875" customWidth="1"/>
    <col min="5" max="5" width="11.33203125" bestFit="1" customWidth="1"/>
    <col min="7" max="7" width="13.44140625" bestFit="1" customWidth="1"/>
    <col min="8" max="8" width="22.44140625" bestFit="1" customWidth="1"/>
    <col min="9" max="9" width="10.33203125" bestFit="1" customWidth="1"/>
  </cols>
  <sheetData>
    <row r="2" spans="2:9">
      <c r="B2" s="1895" t="s">
        <v>2771</v>
      </c>
      <c r="C2" s="1896"/>
      <c r="D2" s="1896"/>
      <c r="E2" s="1896"/>
    </row>
    <row r="3" spans="2:9">
      <c r="B3" s="1896"/>
      <c r="C3" s="1896"/>
      <c r="D3" s="1896"/>
      <c r="E3" s="1896"/>
      <c r="G3" t="s">
        <v>2776</v>
      </c>
      <c r="H3" t="s">
        <v>2777</v>
      </c>
    </row>
    <row r="4" spans="2:9">
      <c r="B4" s="2545" t="s">
        <v>381</v>
      </c>
      <c r="C4" s="2545"/>
      <c r="D4" s="2545"/>
      <c r="E4" s="2545"/>
      <c r="F4" s="866"/>
      <c r="I4" s="346"/>
    </row>
    <row r="5" spans="2:9" ht="28.8">
      <c r="B5" s="1897" t="s">
        <v>2571</v>
      </c>
      <c r="C5" s="1897" t="s">
        <v>2772</v>
      </c>
      <c r="D5" s="1897" t="s">
        <v>2773</v>
      </c>
      <c r="E5" s="1897" t="s">
        <v>2774</v>
      </c>
      <c r="G5" s="867"/>
      <c r="H5" s="867"/>
    </row>
    <row r="6" spans="2:9">
      <c r="B6" s="1898">
        <v>44895</v>
      </c>
      <c r="C6" s="1899">
        <v>215515</v>
      </c>
      <c r="D6" s="1899">
        <f>+C6*0.195/12</f>
        <v>3502.1187500000001</v>
      </c>
      <c r="E6" s="1899">
        <f>+C6+D6</f>
        <v>219017.11874999999</v>
      </c>
      <c r="G6" s="1267">
        <v>44809</v>
      </c>
      <c r="H6" s="1267">
        <f>+G6+45</f>
        <v>44854</v>
      </c>
    </row>
    <row r="7" spans="2:9">
      <c r="B7" s="1898">
        <v>44926</v>
      </c>
      <c r="C7" s="1899">
        <f>+E6</f>
        <v>219017.11874999999</v>
      </c>
      <c r="D7" s="1899">
        <f>+C7*0.195/12</f>
        <v>3559.0281796875001</v>
      </c>
      <c r="E7" s="1899">
        <f>+C7+D7</f>
        <v>222576.1469296875</v>
      </c>
      <c r="G7" s="867"/>
      <c r="H7" s="867"/>
    </row>
    <row r="8" spans="2:9">
      <c r="B8" s="1898">
        <v>44957</v>
      </c>
      <c r="C8" s="1899">
        <f>+E7</f>
        <v>222576.1469296875</v>
      </c>
      <c r="D8" s="1899">
        <f>+C8*0.195/12</f>
        <v>3616.8623876074221</v>
      </c>
      <c r="E8" s="1899">
        <f>+C8+D8</f>
        <v>226193.00931729493</v>
      </c>
      <c r="G8" s="867"/>
      <c r="H8" s="867"/>
    </row>
    <row r="9" spans="2:9">
      <c r="B9" s="1898">
        <v>44985</v>
      </c>
      <c r="C9" s="1899">
        <f t="shared" ref="C9:C10" si="0">+E8</f>
        <v>226193.00931729493</v>
      </c>
      <c r="D9" s="1899">
        <f t="shared" ref="D9:D13" si="1">+C9*0.195/12</f>
        <v>3675.6364014060423</v>
      </c>
      <c r="E9" s="1899">
        <f t="shared" ref="E9:E12" si="2">+C9+D9</f>
        <v>229868.64571870098</v>
      </c>
      <c r="G9" s="867"/>
      <c r="H9" s="867"/>
    </row>
    <row r="10" spans="2:9">
      <c r="B10" s="1898">
        <v>45016</v>
      </c>
      <c r="C10" s="1899">
        <f t="shared" si="0"/>
        <v>229868.64571870098</v>
      </c>
      <c r="D10" s="1899">
        <f t="shared" si="1"/>
        <v>3735.3654929288909</v>
      </c>
      <c r="E10" s="1899">
        <f t="shared" si="2"/>
        <v>233604.01121162987</v>
      </c>
      <c r="G10" s="867"/>
      <c r="H10" s="867"/>
    </row>
    <row r="11" spans="2:9">
      <c r="B11" s="1898">
        <v>44957</v>
      </c>
      <c r="C11" s="1899">
        <v>228625</v>
      </c>
      <c r="D11" s="1899">
        <f t="shared" si="1"/>
        <v>3715.15625</v>
      </c>
      <c r="E11" s="1899">
        <f t="shared" si="2"/>
        <v>232340.15625</v>
      </c>
      <c r="G11" s="1267">
        <v>44874</v>
      </c>
      <c r="H11" s="1267">
        <f>+G11+45</f>
        <v>44919</v>
      </c>
    </row>
    <row r="12" spans="2:9">
      <c r="B12" s="1898">
        <v>44985</v>
      </c>
      <c r="C12" s="1900">
        <f>+E11</f>
        <v>232340.15625</v>
      </c>
      <c r="D12" s="1899">
        <f t="shared" si="1"/>
        <v>3775.5275390624997</v>
      </c>
      <c r="E12" s="1899">
        <f t="shared" si="2"/>
        <v>236115.68378906249</v>
      </c>
      <c r="G12" s="867"/>
      <c r="H12" s="867"/>
    </row>
    <row r="13" spans="2:9">
      <c r="B13" s="1898">
        <v>45016</v>
      </c>
      <c r="C13" s="1900">
        <f>+E12</f>
        <v>236115.68378906249</v>
      </c>
      <c r="D13" s="1899">
        <f t="shared" si="1"/>
        <v>3836.8798615722658</v>
      </c>
      <c r="E13" s="1899">
        <f t="shared" ref="E13" si="3">+C13+D13</f>
        <v>239952.56365063475</v>
      </c>
      <c r="G13" s="867"/>
      <c r="H13" s="867"/>
    </row>
    <row r="14" spans="2:9">
      <c r="B14" s="2543" t="s">
        <v>2775</v>
      </c>
      <c r="C14" s="2544"/>
      <c r="D14" s="1901">
        <f>SUM(D6:D13)</f>
        <v>29416.574862264621</v>
      </c>
      <c r="E14" s="1902"/>
      <c r="G14" s="867"/>
      <c r="H14" s="867"/>
    </row>
    <row r="15" spans="2:9">
      <c r="B15" s="2545" t="s">
        <v>385</v>
      </c>
      <c r="C15" s="2545"/>
      <c r="D15" s="2545"/>
      <c r="E15" s="2545"/>
      <c r="G15" s="867"/>
      <c r="H15" s="867"/>
    </row>
    <row r="16" spans="2:9">
      <c r="B16" s="1898">
        <v>44957</v>
      </c>
      <c r="C16" s="1899">
        <v>100000</v>
      </c>
      <c r="D16" s="1899">
        <f>+C16*0.195/12</f>
        <v>1625</v>
      </c>
      <c r="E16" s="1899">
        <f>+C16+D16</f>
        <v>101625</v>
      </c>
      <c r="G16" s="1267">
        <v>44893</v>
      </c>
      <c r="H16" s="1267">
        <f>+G16+45</f>
        <v>44938</v>
      </c>
    </row>
    <row r="17" spans="2:8">
      <c r="B17" s="1898">
        <v>44985</v>
      </c>
      <c r="C17" s="1899">
        <f>+E16</f>
        <v>101625</v>
      </c>
      <c r="D17" s="1899">
        <f>+C17*0.195/12</f>
        <v>1651.40625</v>
      </c>
      <c r="E17" s="1899">
        <f>+C17+D17</f>
        <v>103276.40625</v>
      </c>
      <c r="G17" s="867"/>
      <c r="H17" s="867"/>
    </row>
    <row r="18" spans="2:8">
      <c r="B18" s="1898">
        <v>45016</v>
      </c>
      <c r="C18" s="1899">
        <f>+E17</f>
        <v>103276.40625</v>
      </c>
      <c r="D18" s="1899">
        <f>+C18*0.195/12</f>
        <v>1678.2416015625001</v>
      </c>
      <c r="E18" s="1899">
        <f>+C18+D18</f>
        <v>104954.64785156251</v>
      </c>
      <c r="G18" s="867"/>
      <c r="H18" s="867"/>
    </row>
    <row r="19" spans="2:8">
      <c r="B19" s="2543" t="s">
        <v>2775</v>
      </c>
      <c r="C19" s="2544"/>
      <c r="D19" s="1903">
        <f>SUM(D16:D18)</f>
        <v>4954.6478515625004</v>
      </c>
      <c r="E19" s="1899"/>
      <c r="G19" s="867"/>
      <c r="H19" s="867"/>
    </row>
    <row r="20" spans="2:8">
      <c r="B20" s="2545" t="s">
        <v>589</v>
      </c>
      <c r="C20" s="2545"/>
      <c r="D20" s="2545"/>
      <c r="E20" s="2545"/>
      <c r="G20" s="867"/>
      <c r="H20" s="867"/>
    </row>
    <row r="21" spans="2:8">
      <c r="B21" s="1898">
        <v>45016</v>
      </c>
      <c r="C21" s="1899">
        <v>324000</v>
      </c>
      <c r="D21" s="1899">
        <f>+C21*0.195/12</f>
        <v>5265</v>
      </c>
      <c r="E21" s="1899">
        <f>+C21+D21</f>
        <v>329265</v>
      </c>
      <c r="G21" s="1267">
        <v>44933</v>
      </c>
      <c r="H21" s="1267">
        <f>+G21+45</f>
        <v>44978</v>
      </c>
    </row>
    <row r="22" spans="2:8">
      <c r="B22" s="2543" t="s">
        <v>2775</v>
      </c>
      <c r="C22" s="2544"/>
      <c r="D22" s="1903">
        <f>SUM(D21)</f>
        <v>5265</v>
      </c>
      <c r="E22" s="1902"/>
      <c r="G22" s="867"/>
      <c r="H22" s="867"/>
    </row>
    <row r="23" spans="2:8">
      <c r="B23" s="2545" t="s">
        <v>180</v>
      </c>
      <c r="C23" s="2545"/>
      <c r="D23" s="2545"/>
      <c r="E23" s="2545"/>
      <c r="G23" s="867"/>
      <c r="H23" s="867"/>
    </row>
    <row r="24" spans="2:8">
      <c r="B24" s="1898">
        <v>44957</v>
      </c>
      <c r="C24" s="1899">
        <v>115227</v>
      </c>
      <c r="D24" s="1899">
        <f>+C24*0.195/12</f>
        <v>1872.43875</v>
      </c>
      <c r="E24" s="1899">
        <f>+C24+D24</f>
        <v>117099.43875</v>
      </c>
      <c r="G24" s="1267">
        <v>44874</v>
      </c>
      <c r="H24" s="1267">
        <f>+G24+45</f>
        <v>44919</v>
      </c>
    </row>
    <row r="25" spans="2:8">
      <c r="B25" s="1898">
        <v>44985</v>
      </c>
      <c r="C25" s="1899">
        <f>+E24</f>
        <v>117099.43875</v>
      </c>
      <c r="D25" s="1899">
        <f>+C25*0.195/12</f>
        <v>1902.8658796875</v>
      </c>
      <c r="E25" s="1899">
        <f>+C25+D25</f>
        <v>119002.3046296875</v>
      </c>
      <c r="G25" s="867"/>
      <c r="H25" s="867"/>
    </row>
    <row r="26" spans="2:8">
      <c r="B26" s="1898">
        <v>45016</v>
      </c>
      <c r="C26" s="1899">
        <f>+E25</f>
        <v>119002.3046296875</v>
      </c>
      <c r="D26" s="1899">
        <f>+C26*0.195/12</f>
        <v>1933.7874502324219</v>
      </c>
      <c r="E26" s="1899">
        <f>+C26+D26</f>
        <v>120936.09207991992</v>
      </c>
      <c r="G26" s="867"/>
      <c r="H26" s="867"/>
    </row>
    <row r="27" spans="2:8">
      <c r="B27" s="1898">
        <v>45016</v>
      </c>
      <c r="C27" s="1899">
        <v>127440</v>
      </c>
      <c r="D27" s="1899">
        <f>+C27*0.195/12</f>
        <v>2070.9</v>
      </c>
      <c r="E27" s="1899">
        <f>+C27+D27</f>
        <v>129510.9</v>
      </c>
      <c r="G27" s="1267">
        <v>44943</v>
      </c>
      <c r="H27" s="1267">
        <f>+G27+45</f>
        <v>44988</v>
      </c>
    </row>
    <row r="28" spans="2:8">
      <c r="B28" s="2543" t="s">
        <v>2775</v>
      </c>
      <c r="C28" s="2544"/>
      <c r="D28" s="1901">
        <f>SUM(D24:D27)</f>
        <v>7779.9920799199226</v>
      </c>
      <c r="E28" s="1902"/>
      <c r="G28" s="867"/>
      <c r="H28" s="867"/>
    </row>
    <row r="29" spans="2:8">
      <c r="B29" s="2545" t="s">
        <v>526</v>
      </c>
      <c r="C29" s="2545"/>
      <c r="D29" s="2545"/>
      <c r="E29" s="2545"/>
      <c r="G29" s="867"/>
      <c r="H29" s="867"/>
    </row>
    <row r="30" spans="2:8">
      <c r="B30" s="1898">
        <v>45016</v>
      </c>
      <c r="C30" s="1899">
        <v>16788</v>
      </c>
      <c r="D30" s="1899">
        <f>+C30*0.195/12</f>
        <v>272.80500000000001</v>
      </c>
      <c r="E30" s="1899">
        <f>+C30+D30</f>
        <v>17060.805</v>
      </c>
      <c r="G30" s="1267">
        <v>44930</v>
      </c>
      <c r="H30" s="1267">
        <f>+G30+45</f>
        <v>44975</v>
      </c>
    </row>
    <row r="31" spans="2:8">
      <c r="B31" s="2543" t="s">
        <v>2775</v>
      </c>
      <c r="C31" s="2544"/>
      <c r="D31" s="1903">
        <f>SUM(D30)</f>
        <v>272.80500000000001</v>
      </c>
      <c r="E31" s="1899"/>
      <c r="G31" s="867"/>
      <c r="H31" s="867"/>
    </row>
    <row r="32" spans="2:8">
      <c r="B32" s="2545" t="s">
        <v>591</v>
      </c>
      <c r="C32" s="2545"/>
      <c r="D32" s="1901">
        <f>+D14+D19+D22+D28+D31</f>
        <v>47689.019793747044</v>
      </c>
      <c r="E32" s="1902"/>
      <c r="G32" s="867"/>
      <c r="H32" s="867"/>
    </row>
    <row r="33" spans="7:8">
      <c r="G33" s="867"/>
      <c r="H33" s="867"/>
    </row>
  </sheetData>
  <customSheetViews>
    <customSheetView guid="{ADEA4918-0326-423A-8D00-FB47A486004B}">
      <selection activeCell="D5" sqref="D5"/>
      <pageMargins left="0.7" right="0.7" top="0.75" bottom="0.75" header="0.3" footer="0.3"/>
      <pageSetup orientation="portrait" r:id="rId1"/>
    </customSheetView>
    <customSheetView guid="{2A78E287-3113-4387-BB62-BE98FA5C13C2}">
      <selection activeCell="H26" sqref="H26"/>
      <pageMargins left="0.7" right="0.7" top="0.75" bottom="0.75" header="0.3" footer="0.3"/>
      <pageSetup orientation="portrait" r:id="rId2"/>
    </customSheetView>
    <customSheetView guid="{DC5DA12B-0FA6-4F41-A983-6E433AD4604D}">
      <selection activeCell="H26" sqref="H26"/>
      <pageMargins left="0.7" right="0.7" top="0.75" bottom="0.75" header="0.3" footer="0.3"/>
      <pageSetup orientation="portrait" r:id="rId3"/>
    </customSheetView>
  </customSheetViews>
  <mergeCells count="11">
    <mergeCell ref="B4:E4"/>
    <mergeCell ref="B14:C14"/>
    <mergeCell ref="B15:E15"/>
    <mergeCell ref="B19:C19"/>
    <mergeCell ref="B29:E29"/>
    <mergeCell ref="B31:C31"/>
    <mergeCell ref="B32:C32"/>
    <mergeCell ref="B20:E20"/>
    <mergeCell ref="B22:C22"/>
    <mergeCell ref="B23:E23"/>
    <mergeCell ref="B28:C28"/>
  </mergeCells>
  <pageMargins left="0.7" right="0.7" top="0.75" bottom="0.75" header="0.3" footer="0.3"/>
  <pageSetup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34"/>
  <sheetViews>
    <sheetView showGridLines="0" workbookViewId="0">
      <selection activeCell="H17" sqref="H17"/>
    </sheetView>
  </sheetViews>
  <sheetFormatPr defaultColWidth="8.88671875" defaultRowHeight="13.2"/>
  <cols>
    <col min="1" max="1" width="8.88671875" style="483"/>
    <col min="2" max="2" width="7.109375" style="483" bestFit="1" customWidth="1"/>
    <col min="3" max="3" width="66" style="483" customWidth="1"/>
    <col min="4" max="4" width="23.6640625" style="483" bestFit="1" customWidth="1"/>
    <col min="5" max="5" width="20.5546875" style="483" bestFit="1" customWidth="1"/>
    <col min="6" max="6" width="18.33203125" style="483" bestFit="1" customWidth="1"/>
    <col min="7" max="7" width="15" style="483" customWidth="1"/>
    <col min="8" max="8" width="8.88671875" style="483"/>
    <col min="9" max="9" width="38.5546875" style="483" customWidth="1"/>
    <col min="10" max="10" width="28.6640625" style="483" customWidth="1"/>
    <col min="11" max="11" width="37.5546875" style="483" bestFit="1" customWidth="1"/>
    <col min="12" max="16384" width="8.88671875" style="483"/>
  </cols>
  <sheetData>
    <row r="2" spans="2:11">
      <c r="B2" s="2546" t="s">
        <v>2669</v>
      </c>
      <c r="C2" s="2546"/>
      <c r="D2" s="2546"/>
      <c r="E2" s="2546"/>
      <c r="F2" s="2546"/>
      <c r="G2" s="2546"/>
      <c r="I2" s="2546" t="s">
        <v>2670</v>
      </c>
      <c r="J2" s="2546"/>
      <c r="K2" s="2546"/>
    </row>
    <row r="3" spans="2:11">
      <c r="B3" s="860" t="s">
        <v>2671</v>
      </c>
      <c r="C3" s="860" t="s">
        <v>2672</v>
      </c>
      <c r="D3" s="860" t="s">
        <v>2673</v>
      </c>
      <c r="E3" s="860" t="s">
        <v>2674</v>
      </c>
      <c r="F3" s="860" t="s">
        <v>2675</v>
      </c>
      <c r="G3" s="860" t="s">
        <v>2036</v>
      </c>
      <c r="I3" s="860" t="s">
        <v>2672</v>
      </c>
      <c r="J3" s="860" t="s">
        <v>2676</v>
      </c>
      <c r="K3" s="860" t="s">
        <v>2677</v>
      </c>
    </row>
    <row r="4" spans="2:11">
      <c r="B4" s="861"/>
      <c r="C4" s="861"/>
      <c r="D4" s="861"/>
      <c r="E4" s="861"/>
      <c r="F4" s="861"/>
      <c r="G4" s="861"/>
      <c r="I4" s="861"/>
      <c r="J4" s="861"/>
      <c r="K4" s="861"/>
    </row>
    <row r="5" spans="2:11" ht="15">
      <c r="B5" s="861">
        <v>1</v>
      </c>
      <c r="C5" s="862" t="s">
        <v>2678</v>
      </c>
      <c r="D5" s="861" t="s">
        <v>1971</v>
      </c>
      <c r="E5" s="861" t="s">
        <v>900</v>
      </c>
      <c r="F5" s="861" t="s">
        <v>2679</v>
      </c>
      <c r="G5" s="861">
        <v>3858557</v>
      </c>
      <c r="I5" s="862" t="s">
        <v>2678</v>
      </c>
      <c r="J5" s="861" t="s">
        <v>2680</v>
      </c>
      <c r="K5" s="861" t="s">
        <v>2681</v>
      </c>
    </row>
    <row r="6" spans="2:11" ht="18">
      <c r="B6" s="861">
        <v>2</v>
      </c>
      <c r="C6" s="863" t="s">
        <v>2682</v>
      </c>
      <c r="D6" s="861" t="s">
        <v>1971</v>
      </c>
      <c r="E6" s="861" t="s">
        <v>900</v>
      </c>
      <c r="F6" s="861" t="s">
        <v>2679</v>
      </c>
      <c r="G6" s="861">
        <v>19470315</v>
      </c>
      <c r="I6" s="863" t="s">
        <v>2682</v>
      </c>
      <c r="J6" s="861" t="s">
        <v>2683</v>
      </c>
      <c r="K6" s="861" t="s">
        <v>2681</v>
      </c>
    </row>
    <row r="7" spans="2:11" ht="18">
      <c r="B7" s="864">
        <v>3</v>
      </c>
      <c r="C7" s="865" t="s">
        <v>2684</v>
      </c>
      <c r="D7" s="864" t="s">
        <v>1971</v>
      </c>
      <c r="E7" s="864" t="s">
        <v>900</v>
      </c>
      <c r="F7" s="864" t="s">
        <v>2679</v>
      </c>
      <c r="G7" s="864">
        <v>3516510</v>
      </c>
      <c r="I7" s="863" t="s">
        <v>2684</v>
      </c>
      <c r="J7" s="861" t="s">
        <v>2685</v>
      </c>
      <c r="K7" s="861" t="s">
        <v>2681</v>
      </c>
    </row>
    <row r="8" spans="2:11">
      <c r="B8" s="861"/>
      <c r="C8" s="861"/>
      <c r="D8" s="861"/>
      <c r="E8" s="861"/>
      <c r="F8" s="861"/>
      <c r="G8" s="861"/>
      <c r="I8" s="861"/>
      <c r="J8" s="861"/>
      <c r="K8" s="861"/>
    </row>
    <row r="9" spans="2:11" ht="18">
      <c r="B9" s="861">
        <v>4</v>
      </c>
      <c r="C9" s="863" t="s">
        <v>2686</v>
      </c>
      <c r="D9" s="861" t="s">
        <v>2687</v>
      </c>
      <c r="E9" s="861" t="s">
        <v>900</v>
      </c>
      <c r="F9" s="861" t="s">
        <v>2688</v>
      </c>
      <c r="G9" s="861">
        <f>11512421-1187245</f>
        <v>10325176</v>
      </c>
      <c r="I9" s="863" t="s">
        <v>2686</v>
      </c>
      <c r="J9" s="861" t="s">
        <v>2689</v>
      </c>
      <c r="K9" s="861" t="s">
        <v>2690</v>
      </c>
    </row>
    <row r="10" spans="2:11" ht="18">
      <c r="B10" s="861">
        <v>5</v>
      </c>
      <c r="C10" s="863" t="s">
        <v>2691</v>
      </c>
      <c r="D10" s="861" t="s">
        <v>2687</v>
      </c>
      <c r="E10" s="861" t="s">
        <v>900</v>
      </c>
      <c r="F10" s="861" t="s">
        <v>2688</v>
      </c>
      <c r="G10" s="861">
        <v>115495605</v>
      </c>
      <c r="I10" s="863" t="s">
        <v>2691</v>
      </c>
      <c r="J10" s="861" t="s">
        <v>2689</v>
      </c>
      <c r="K10" s="861" t="s">
        <v>2690</v>
      </c>
    </row>
    <row r="11" spans="2:11">
      <c r="B11" s="861"/>
      <c r="C11" s="861"/>
      <c r="D11" s="861"/>
      <c r="E11" s="861"/>
      <c r="F11" s="861"/>
      <c r="G11" s="861"/>
      <c r="I11" s="861"/>
      <c r="J11" s="861"/>
      <c r="K11" s="861"/>
    </row>
    <row r="12" spans="2:11" ht="18">
      <c r="B12" s="861">
        <v>6</v>
      </c>
      <c r="C12" s="863" t="s">
        <v>2692</v>
      </c>
      <c r="D12" s="861" t="s">
        <v>1971</v>
      </c>
      <c r="E12" s="861" t="s">
        <v>900</v>
      </c>
      <c r="F12" s="861" t="s">
        <v>2679</v>
      </c>
      <c r="G12" s="861">
        <v>2787194</v>
      </c>
      <c r="I12" s="863" t="s">
        <v>2692</v>
      </c>
      <c r="J12" s="861" t="s">
        <v>2689</v>
      </c>
      <c r="K12" s="861" t="s">
        <v>2693</v>
      </c>
    </row>
    <row r="13" spans="2:11" ht="18">
      <c r="B13" s="861"/>
      <c r="C13" s="863"/>
      <c r="D13" s="861"/>
      <c r="E13" s="861"/>
      <c r="F13" s="861"/>
      <c r="G13" s="861"/>
      <c r="I13" s="861"/>
      <c r="J13" s="861"/>
      <c r="K13" s="861"/>
    </row>
    <row r="14" spans="2:11" ht="18">
      <c r="B14" s="861"/>
      <c r="C14" s="863"/>
      <c r="D14" s="861"/>
      <c r="E14" s="861"/>
      <c r="F14" s="861"/>
      <c r="G14" s="861"/>
      <c r="I14" s="861"/>
      <c r="J14" s="861"/>
      <c r="K14" s="861"/>
    </row>
    <row r="15" spans="2:11" ht="18">
      <c r="B15" s="861"/>
      <c r="C15" s="863"/>
      <c r="D15" s="861"/>
      <c r="E15" s="861"/>
      <c r="F15" s="861"/>
      <c r="G15" s="861"/>
      <c r="I15" s="861"/>
      <c r="J15" s="861"/>
      <c r="K15" s="861"/>
    </row>
    <row r="16" spans="2:11" ht="18">
      <c r="B16" s="861">
        <v>7</v>
      </c>
      <c r="C16" s="863" t="s">
        <v>320</v>
      </c>
      <c r="D16" s="861" t="s">
        <v>2694</v>
      </c>
      <c r="E16" s="861"/>
      <c r="F16" s="861" t="s">
        <v>2679</v>
      </c>
      <c r="G16" s="861">
        <v>4493760</v>
      </c>
      <c r="I16" s="863" t="s">
        <v>320</v>
      </c>
      <c r="J16" s="861" t="s">
        <v>2695</v>
      </c>
      <c r="K16" s="861"/>
    </row>
    <row r="17" spans="2:11">
      <c r="B17" s="861">
        <v>8</v>
      </c>
      <c r="C17" s="861" t="s">
        <v>2696</v>
      </c>
      <c r="D17" s="861" t="s">
        <v>2687</v>
      </c>
      <c r="E17" s="861"/>
      <c r="F17" s="861" t="s">
        <v>2688</v>
      </c>
      <c r="G17" s="861">
        <f>14450910-991221</f>
        <v>13459689</v>
      </c>
      <c r="I17" s="861" t="s">
        <v>2696</v>
      </c>
      <c r="J17" s="861" t="s">
        <v>2680</v>
      </c>
      <c r="K17" s="861"/>
    </row>
    <row r="18" spans="2:11">
      <c r="B18" s="861"/>
      <c r="C18" s="861"/>
      <c r="D18" s="861"/>
      <c r="E18" s="861"/>
      <c r="F18" s="861"/>
      <c r="G18" s="861"/>
      <c r="I18" s="861"/>
      <c r="J18" s="861"/>
      <c r="K18" s="861"/>
    </row>
    <row r="19" spans="2:11">
      <c r="B19" s="861"/>
      <c r="C19" s="861"/>
      <c r="D19" s="861"/>
      <c r="E19" s="861"/>
      <c r="F19" s="861"/>
      <c r="G19" s="861"/>
      <c r="I19" s="861"/>
      <c r="J19" s="861"/>
      <c r="K19" s="861"/>
    </row>
    <row r="20" spans="2:11">
      <c r="B20" s="861"/>
      <c r="C20" s="861"/>
      <c r="D20" s="861"/>
      <c r="E20" s="861"/>
      <c r="F20" s="861"/>
      <c r="G20" s="861"/>
      <c r="I20" s="861"/>
      <c r="J20" s="861"/>
      <c r="K20" s="861"/>
    </row>
    <row r="21" spans="2:11">
      <c r="B21" s="861"/>
      <c r="C21" s="861"/>
      <c r="D21" s="861"/>
      <c r="E21" s="861"/>
      <c r="F21" s="861"/>
      <c r="G21" s="861"/>
      <c r="I21" s="861"/>
      <c r="J21" s="861"/>
      <c r="K21" s="861"/>
    </row>
    <row r="22" spans="2:11">
      <c r="B22" s="861"/>
      <c r="C22" s="861"/>
      <c r="D22" s="861"/>
      <c r="E22" s="861"/>
      <c r="F22" s="861"/>
      <c r="G22" s="861"/>
      <c r="I22" s="861"/>
      <c r="J22" s="861"/>
      <c r="K22" s="861"/>
    </row>
    <row r="23" spans="2:11">
      <c r="B23" s="861"/>
      <c r="C23" s="861"/>
      <c r="D23" s="861"/>
      <c r="E23" s="861"/>
      <c r="F23" s="861"/>
      <c r="G23" s="861"/>
      <c r="I23" s="861"/>
      <c r="J23" s="861"/>
      <c r="K23" s="861"/>
    </row>
    <row r="24" spans="2:11">
      <c r="B24" s="861"/>
      <c r="C24" s="861"/>
      <c r="D24" s="861"/>
      <c r="E24" s="861"/>
      <c r="F24" s="861"/>
      <c r="G24" s="861"/>
      <c r="I24" s="861"/>
      <c r="J24" s="861"/>
      <c r="K24" s="861"/>
    </row>
    <row r="25" spans="2:11">
      <c r="B25" s="861"/>
      <c r="C25" s="861"/>
      <c r="D25" s="861"/>
      <c r="E25" s="861"/>
      <c r="F25" s="861"/>
      <c r="G25" s="861"/>
      <c r="I25" s="861"/>
      <c r="J25" s="861"/>
      <c r="K25" s="861"/>
    </row>
    <row r="26" spans="2:11">
      <c r="B26" s="861"/>
      <c r="C26" s="861"/>
      <c r="D26" s="861"/>
      <c r="E26" s="861"/>
      <c r="F26" s="861"/>
      <c r="G26" s="861"/>
      <c r="I26" s="861"/>
      <c r="J26" s="861"/>
      <c r="K26" s="861"/>
    </row>
    <row r="27" spans="2:11">
      <c r="B27" s="861"/>
      <c r="C27" s="861"/>
      <c r="D27" s="861"/>
      <c r="E27" s="861"/>
      <c r="F27" s="861"/>
      <c r="G27" s="861"/>
      <c r="I27" s="861"/>
      <c r="J27" s="861"/>
      <c r="K27" s="861"/>
    </row>
    <row r="28" spans="2:11">
      <c r="B28" s="861"/>
      <c r="C28" s="861"/>
      <c r="D28" s="861"/>
      <c r="E28" s="861"/>
      <c r="F28" s="861"/>
      <c r="G28" s="861"/>
      <c r="I28" s="861"/>
      <c r="J28" s="861"/>
      <c r="K28" s="861"/>
    </row>
    <row r="29" spans="2:11">
      <c r="B29" s="861"/>
      <c r="C29" s="861"/>
      <c r="D29" s="861"/>
      <c r="E29" s="861"/>
      <c r="F29" s="861"/>
      <c r="G29" s="861"/>
      <c r="I29" s="861"/>
      <c r="J29" s="861"/>
      <c r="K29" s="861"/>
    </row>
    <row r="30" spans="2:11">
      <c r="B30" s="861"/>
      <c r="C30" s="861"/>
      <c r="D30" s="861"/>
      <c r="E30" s="861"/>
      <c r="F30" s="861"/>
      <c r="G30" s="861"/>
      <c r="I30" s="861"/>
      <c r="J30" s="861"/>
      <c r="K30" s="861"/>
    </row>
    <row r="31" spans="2:11">
      <c r="B31" s="861"/>
      <c r="C31" s="861"/>
      <c r="D31" s="861"/>
      <c r="E31" s="861"/>
      <c r="F31" s="861"/>
      <c r="G31" s="861"/>
      <c r="I31" s="861"/>
      <c r="J31" s="861"/>
      <c r="K31" s="861"/>
    </row>
    <row r="32" spans="2:11">
      <c r="B32" s="861"/>
      <c r="C32" s="861"/>
      <c r="D32" s="861"/>
      <c r="E32" s="861"/>
      <c r="F32" s="861"/>
      <c r="G32" s="861"/>
      <c r="I32" s="861"/>
      <c r="J32" s="861"/>
      <c r="K32" s="861"/>
    </row>
    <row r="33" spans="2:11">
      <c r="B33" s="861"/>
      <c r="C33" s="861"/>
      <c r="D33" s="861"/>
      <c r="E33" s="861"/>
      <c r="F33" s="861"/>
      <c r="G33" s="861"/>
      <c r="I33" s="861"/>
      <c r="J33" s="861"/>
      <c r="K33" s="861"/>
    </row>
    <row r="34" spans="2:11">
      <c r="B34" s="861"/>
      <c r="C34" s="861"/>
      <c r="D34" s="861"/>
      <c r="E34" s="861"/>
      <c r="F34" s="861"/>
      <c r="G34" s="861"/>
      <c r="I34" s="861"/>
      <c r="J34" s="861"/>
      <c r="K34" s="861"/>
    </row>
  </sheetData>
  <customSheetViews>
    <customSheetView guid="{ADEA4918-0326-423A-8D00-FB47A486004B}" showGridLines="0">
      <selection activeCell="H17" sqref="H17"/>
      <pageMargins left="0.7" right="0.7" top="0.75" bottom="0.75" header="0.3" footer="0.3"/>
    </customSheetView>
    <customSheetView guid="{2A78E287-3113-4387-BB62-BE98FA5C13C2}" showGridLines="0">
      <selection activeCell="L37" sqref="L37"/>
      <pageMargins left="0.7" right="0.7" top="0.75" bottom="0.75" header="0.3" footer="0.3"/>
    </customSheetView>
    <customSheetView guid="{DC5DA12B-0FA6-4F41-A983-6E433AD4604D}" showGridLines="0">
      <selection activeCell="L37" sqref="L37"/>
      <pageMargins left="0.7" right="0.7" top="0.75" bottom="0.75" header="0.3" footer="0.3"/>
    </customSheetView>
  </customSheetViews>
  <mergeCells count="2">
    <mergeCell ref="B2:G2"/>
    <mergeCell ref="I2:K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A4EE0-A6DE-4D0B-BB9E-51A65257552A}">
  <dimension ref="A1:G374"/>
  <sheetViews>
    <sheetView topLeftCell="A158" workbookViewId="0">
      <selection activeCell="A176" sqref="A176"/>
    </sheetView>
  </sheetViews>
  <sheetFormatPr defaultRowHeight="14.4"/>
  <cols>
    <col min="1" max="1" width="47.5546875" bestFit="1" customWidth="1"/>
    <col min="2" max="3" width="13.5546875" bestFit="1" customWidth="1"/>
  </cols>
  <sheetData>
    <row r="1" spans="1:7" ht="15.6">
      <c r="A1" s="1618" t="s">
        <v>456</v>
      </c>
      <c r="B1" s="1618"/>
      <c r="C1" s="1618"/>
    </row>
    <row r="2" spans="1:7">
      <c r="A2" s="1612" t="s">
        <v>457</v>
      </c>
      <c r="B2" s="1612"/>
      <c r="C2" s="1612"/>
    </row>
    <row r="3" spans="1:7">
      <c r="A3" s="1612" t="s">
        <v>458</v>
      </c>
      <c r="B3" s="1612"/>
      <c r="C3" s="1612"/>
    </row>
    <row r="4" spans="1:7">
      <c r="A4" s="1612" t="s">
        <v>459</v>
      </c>
      <c r="B4" s="1612"/>
      <c r="C4" s="1612"/>
    </row>
    <row r="5" spans="1:7">
      <c r="A5" s="1619" t="s">
        <v>460</v>
      </c>
      <c r="B5" s="1619"/>
      <c r="C5" s="1619"/>
    </row>
    <row r="6" spans="1:7" ht="15.6">
      <c r="A6" s="1620" t="s">
        <v>461</v>
      </c>
      <c r="B6" s="1620"/>
      <c r="C6" s="1620"/>
    </row>
    <row r="7" spans="1:7">
      <c r="A7" s="1612" t="s">
        <v>2940</v>
      </c>
      <c r="B7" s="1612"/>
      <c r="C7" s="1612"/>
    </row>
    <row r="8" spans="1:7" ht="15" customHeight="1">
      <c r="A8" s="1891" t="s">
        <v>462</v>
      </c>
      <c r="B8" s="1613" t="s">
        <v>2941</v>
      </c>
      <c r="C8" s="1614"/>
    </row>
    <row r="9" spans="1:7" ht="15" customHeight="1">
      <c r="A9" s="1892" t="s">
        <v>463</v>
      </c>
      <c r="B9" s="1615" t="s">
        <v>2940</v>
      </c>
      <c r="C9" s="1616"/>
    </row>
    <row r="10" spans="1:7">
      <c r="A10" s="1892" t="s">
        <v>462</v>
      </c>
      <c r="B10" s="1740" t="s">
        <v>464</v>
      </c>
      <c r="C10" s="1617"/>
      <c r="D10" s="1740" t="s">
        <v>464</v>
      </c>
      <c r="E10" s="1617"/>
      <c r="F10" s="1740" t="s">
        <v>3066</v>
      </c>
      <c r="G10" s="1617"/>
    </row>
    <row r="11" spans="1:7">
      <c r="A11" s="1893" t="s">
        <v>462</v>
      </c>
      <c r="B11" s="1603" t="s">
        <v>465</v>
      </c>
      <c r="C11" s="1603" t="s">
        <v>466</v>
      </c>
      <c r="D11" s="1603" t="s">
        <v>465</v>
      </c>
      <c r="E11" s="1603" t="s">
        <v>466</v>
      </c>
      <c r="F11" s="1603" t="s">
        <v>465</v>
      </c>
      <c r="G11" s="1603" t="s">
        <v>466</v>
      </c>
    </row>
    <row r="12" spans="1:7">
      <c r="A12" s="1604" t="s">
        <v>251</v>
      </c>
      <c r="B12" s="1605">
        <v>62662681</v>
      </c>
      <c r="C12" s="1606"/>
      <c r="D12">
        <f>+IFERROR(VLOOKUP($A12,'TB Final'!$B:$K,7,0),0)</f>
        <v>62662681</v>
      </c>
      <c r="E12">
        <f>+IFERROR(VLOOKUP($A12,'TB Final'!$B:$K,10,0),0)</f>
        <v>0</v>
      </c>
      <c r="F12" s="1749">
        <f>+B12-D12</f>
        <v>0</v>
      </c>
      <c r="G12" s="1749">
        <f>+C12-E12</f>
        <v>0</v>
      </c>
    </row>
    <row r="13" spans="1:7">
      <c r="A13" s="1607" t="s">
        <v>20</v>
      </c>
      <c r="B13" s="1608"/>
      <c r="C13" s="1609">
        <v>2485320</v>
      </c>
      <c r="D13">
        <f>+IFERROR(VLOOKUP($A13,'TB Final'!$B:$K,7,0),0)</f>
        <v>0</v>
      </c>
      <c r="E13">
        <f>+IFERROR(VLOOKUP($A13,'TB Final'!$B:$K,10,0),0)</f>
        <v>2485320</v>
      </c>
      <c r="F13" s="1749">
        <f t="shared" ref="F13:F76" si="0">+B13-D13</f>
        <v>0</v>
      </c>
      <c r="G13" s="1749">
        <f t="shared" ref="G13:G76" si="1">+C13-E13</f>
        <v>0</v>
      </c>
    </row>
    <row r="14" spans="1:7">
      <c r="A14" s="1607" t="s">
        <v>2942</v>
      </c>
      <c r="B14" s="1608"/>
      <c r="C14" s="1609">
        <v>115749</v>
      </c>
      <c r="D14">
        <f>+IFERROR(VLOOKUP($A14,'TB Final'!$B:$K,7,0),0)</f>
        <v>0</v>
      </c>
      <c r="E14">
        <f>+IFERROR(VLOOKUP($A14,'TB Final'!$B:$K,10,0),0)</f>
        <v>115749</v>
      </c>
      <c r="F14" s="1749">
        <f t="shared" si="0"/>
        <v>0</v>
      </c>
      <c r="G14" s="1749">
        <f t="shared" si="1"/>
        <v>0</v>
      </c>
    </row>
    <row r="15" spans="1:7">
      <c r="A15" s="1607" t="s">
        <v>27</v>
      </c>
      <c r="B15" s="1609">
        <v>156102</v>
      </c>
      <c r="C15" s="1608"/>
      <c r="D15">
        <f>+IFERROR(VLOOKUP($A15,'TB Final'!$B:$K,7,0),0)</f>
        <v>156102</v>
      </c>
      <c r="E15">
        <f>+IFERROR(VLOOKUP($A15,'TB Final'!$B:$K,10,0),0)</f>
        <v>0</v>
      </c>
      <c r="F15" s="1749">
        <f t="shared" si="0"/>
        <v>0</v>
      </c>
      <c r="G15" s="1749">
        <f t="shared" si="1"/>
        <v>0</v>
      </c>
    </row>
    <row r="16" spans="1:7">
      <c r="A16" s="1607" t="s">
        <v>298</v>
      </c>
      <c r="B16" s="1608"/>
      <c r="C16" s="1609">
        <v>169429</v>
      </c>
      <c r="D16">
        <f>+IFERROR(VLOOKUP($A16,'TB Final'!$B:$K,7,0),0)</f>
        <v>0</v>
      </c>
      <c r="E16">
        <f>+IFERROR(VLOOKUP($A16,'TB Final'!$B:$K,10,0),0)</f>
        <v>169429</v>
      </c>
      <c r="F16" s="1749">
        <f t="shared" si="0"/>
        <v>0</v>
      </c>
      <c r="G16" s="1749">
        <f t="shared" si="1"/>
        <v>0</v>
      </c>
    </row>
    <row r="17" spans="1:7">
      <c r="A17" s="1607" t="s">
        <v>7</v>
      </c>
      <c r="B17" s="1608"/>
      <c r="C17" s="1609">
        <v>208440</v>
      </c>
      <c r="D17">
        <f>+IFERROR(VLOOKUP($A17,'TB Final'!$B:$K,7,0),0)</f>
        <v>0</v>
      </c>
      <c r="E17">
        <f>+IFERROR(VLOOKUP($A17,'TB Final'!$B:$K,10,0),0)</f>
        <v>208440</v>
      </c>
      <c r="F17" s="1749">
        <f t="shared" si="0"/>
        <v>0</v>
      </c>
      <c r="G17" s="1749">
        <f t="shared" si="1"/>
        <v>0</v>
      </c>
    </row>
    <row r="18" spans="1:7">
      <c r="A18" s="1607" t="s">
        <v>70</v>
      </c>
      <c r="B18" s="1609">
        <v>2734455</v>
      </c>
      <c r="C18" s="1608"/>
      <c r="D18">
        <f>+IFERROR(VLOOKUP($A18,'TB Final'!$B:$K,7,0),0)</f>
        <v>2734455</v>
      </c>
      <c r="E18">
        <f>+IFERROR(VLOOKUP($A18,'TB Final'!$B:$K,10,0),0)</f>
        <v>0</v>
      </c>
      <c r="F18" s="1749">
        <f t="shared" si="0"/>
        <v>0</v>
      </c>
      <c r="G18" s="1749">
        <f t="shared" si="1"/>
        <v>0</v>
      </c>
    </row>
    <row r="19" spans="1:7">
      <c r="A19" s="1607" t="s">
        <v>469</v>
      </c>
      <c r="B19" s="1608"/>
      <c r="C19" s="1609">
        <v>4465191</v>
      </c>
      <c r="D19">
        <f>+IFERROR(VLOOKUP($A19,'TB Final'!$B:$K,7,0),0)</f>
        <v>0</v>
      </c>
      <c r="E19">
        <f>+IFERROR(VLOOKUP($A19,'TB Final'!$B:$K,10,0),0)</f>
        <v>4465191</v>
      </c>
      <c r="F19" s="1749">
        <f t="shared" si="0"/>
        <v>0</v>
      </c>
      <c r="G19" s="1749">
        <f t="shared" si="1"/>
        <v>0</v>
      </c>
    </row>
    <row r="20" spans="1:7">
      <c r="A20" s="1607" t="s">
        <v>50</v>
      </c>
      <c r="B20" s="1609">
        <v>18000</v>
      </c>
      <c r="C20" s="1608"/>
      <c r="D20">
        <f>+IFERROR(VLOOKUP($A20,'TB Final'!$B:$K,7,0),0)</f>
        <v>18000</v>
      </c>
      <c r="E20">
        <f>+IFERROR(VLOOKUP($A20,'TB Final'!$B:$K,10,0),0)</f>
        <v>0</v>
      </c>
      <c r="F20" s="1749">
        <f t="shared" si="0"/>
        <v>0</v>
      </c>
      <c r="G20" s="1749">
        <f t="shared" si="1"/>
        <v>0</v>
      </c>
    </row>
    <row r="21" spans="1:7">
      <c r="A21" s="1607" t="s">
        <v>51</v>
      </c>
      <c r="B21" s="1609">
        <v>55000</v>
      </c>
      <c r="C21" s="1608"/>
      <c r="D21">
        <f>+IFERROR(VLOOKUP($A21,'TB Final'!$B:$K,7,0),0)</f>
        <v>55000</v>
      </c>
      <c r="E21">
        <f>+IFERROR(VLOOKUP($A21,'TB Final'!$B:$K,10,0),0)</f>
        <v>0</v>
      </c>
      <c r="F21" s="1749">
        <f t="shared" si="0"/>
        <v>0</v>
      </c>
      <c r="G21" s="1749">
        <f t="shared" si="1"/>
        <v>0</v>
      </c>
    </row>
    <row r="22" spans="1:7">
      <c r="A22" s="1607" t="s">
        <v>2944</v>
      </c>
      <c r="B22" s="1609">
        <v>70000</v>
      </c>
      <c r="C22" s="1608"/>
      <c r="D22">
        <f>+IFERROR(VLOOKUP($A22,'TB Final'!$B:$K,7,0),0)</f>
        <v>70000</v>
      </c>
      <c r="E22">
        <f>+IFERROR(VLOOKUP($A22,'TB Final'!$B:$K,10,0),0)</f>
        <v>0</v>
      </c>
      <c r="F22" s="1749">
        <f t="shared" si="0"/>
        <v>0</v>
      </c>
      <c r="G22" s="1749">
        <f t="shared" si="1"/>
        <v>0</v>
      </c>
    </row>
    <row r="23" spans="1:7">
      <c r="A23" s="1607" t="s">
        <v>2945</v>
      </c>
      <c r="B23" s="1609">
        <v>244640</v>
      </c>
      <c r="C23" s="1608"/>
      <c r="D23">
        <f>+IFERROR(VLOOKUP($A23,'TB Final'!$B:$K,7,0),0)</f>
        <v>244640</v>
      </c>
      <c r="E23">
        <f>+IFERROR(VLOOKUP($A23,'TB Final'!$B:$K,10,0),0)</f>
        <v>0</v>
      </c>
      <c r="F23" s="1749">
        <f t="shared" si="0"/>
        <v>0</v>
      </c>
      <c r="G23" s="1749">
        <f t="shared" si="1"/>
        <v>0</v>
      </c>
    </row>
    <row r="24" spans="1:7">
      <c r="A24" s="1607" t="s">
        <v>56</v>
      </c>
      <c r="B24" s="1609">
        <v>7403</v>
      </c>
      <c r="C24" s="1608"/>
      <c r="D24">
        <f>+IFERROR(VLOOKUP($A24,'TB Final'!$B:$K,7,0),0)</f>
        <v>7403</v>
      </c>
      <c r="E24">
        <f>+IFERROR(VLOOKUP($A24,'TB Final'!$B:$K,10,0),0)</f>
        <v>0</v>
      </c>
      <c r="F24" s="1749">
        <f t="shared" si="0"/>
        <v>0</v>
      </c>
      <c r="G24" s="1749">
        <f t="shared" si="1"/>
        <v>0</v>
      </c>
    </row>
    <row r="25" spans="1:7">
      <c r="A25" s="1607" t="s">
        <v>58</v>
      </c>
      <c r="B25" s="1608"/>
      <c r="C25" s="1609">
        <v>247500</v>
      </c>
      <c r="D25">
        <f>+IFERROR(VLOOKUP($A25,'TB Final'!$B:$K,7,0),0)</f>
        <v>0</v>
      </c>
      <c r="E25">
        <f>+IFERROR(VLOOKUP($A25,'TB Final'!$B:$K,10,0),0)</f>
        <v>247500</v>
      </c>
      <c r="F25" s="1749">
        <f t="shared" si="0"/>
        <v>0</v>
      </c>
      <c r="G25" s="1749">
        <f t="shared" si="1"/>
        <v>0</v>
      </c>
    </row>
    <row r="26" spans="1:7">
      <c r="A26" s="1607" t="s">
        <v>472</v>
      </c>
      <c r="B26" s="1609">
        <v>1489956</v>
      </c>
      <c r="C26" s="1608"/>
      <c r="D26">
        <f>+IFERROR(VLOOKUP($A26,'TB Final'!$B:$K,7,0),0)</f>
        <v>1489956</v>
      </c>
      <c r="E26">
        <f>+IFERROR(VLOOKUP($A26,'TB Final'!$B:$K,10,0),0)</f>
        <v>0</v>
      </c>
      <c r="F26" s="1749">
        <f t="shared" si="0"/>
        <v>0</v>
      </c>
      <c r="G26" s="1749">
        <f t="shared" si="1"/>
        <v>0</v>
      </c>
    </row>
    <row r="27" spans="1:7">
      <c r="A27" s="1607" t="s">
        <v>473</v>
      </c>
      <c r="B27" s="1608"/>
      <c r="C27" s="1609">
        <v>641767.5</v>
      </c>
      <c r="D27">
        <f>+IFERROR(VLOOKUP($A27,'TB Final'!$B:$K,7,0),0)</f>
        <v>0</v>
      </c>
      <c r="E27">
        <f>+IFERROR(VLOOKUP($A27,'TB Final'!$B:$K,10,0),0)</f>
        <v>641767.5</v>
      </c>
      <c r="F27" s="1749">
        <f t="shared" si="0"/>
        <v>0</v>
      </c>
      <c r="G27" s="1749">
        <f t="shared" si="1"/>
        <v>0</v>
      </c>
    </row>
    <row r="28" spans="1:7">
      <c r="A28" s="1607" t="s">
        <v>60</v>
      </c>
      <c r="B28" s="1608"/>
      <c r="C28" s="1609">
        <v>233402</v>
      </c>
      <c r="D28">
        <f>+IFERROR(VLOOKUP($A28,'TB Final'!$B:$K,7,0),0)</f>
        <v>0</v>
      </c>
      <c r="E28">
        <f>+IFERROR(VLOOKUP($A28,'TB Final'!$B:$K,10,0),0)</f>
        <v>233402</v>
      </c>
      <c r="F28" s="1749">
        <f t="shared" si="0"/>
        <v>0</v>
      </c>
      <c r="G28" s="1749">
        <f t="shared" si="1"/>
        <v>0</v>
      </c>
    </row>
    <row r="29" spans="1:7">
      <c r="A29" s="1607" t="s">
        <v>61</v>
      </c>
      <c r="B29" s="1608"/>
      <c r="C29" s="1609">
        <v>383005</v>
      </c>
      <c r="D29">
        <f>+IFERROR(VLOOKUP($A29,'TB Final'!$B:$K,7,0),0)</f>
        <v>0</v>
      </c>
      <c r="E29">
        <f>+IFERROR(VLOOKUP($A29,'TB Final'!$B:$K,10,0),0)</f>
        <v>383005</v>
      </c>
      <c r="F29" s="1749">
        <f t="shared" si="0"/>
        <v>0</v>
      </c>
      <c r="G29" s="1749">
        <f t="shared" si="1"/>
        <v>0</v>
      </c>
    </row>
    <row r="30" spans="1:7">
      <c r="A30" s="1607" t="s">
        <v>2946</v>
      </c>
      <c r="B30" s="1609">
        <v>350000</v>
      </c>
      <c r="C30" s="1608"/>
      <c r="D30">
        <f>+IFERROR(VLOOKUP($A30,'TB Final'!$B:$K,7,0),0)</f>
        <v>350000</v>
      </c>
      <c r="E30">
        <f>+IFERROR(VLOOKUP($A30,'TB Final'!$B:$K,10,0),0)</f>
        <v>0</v>
      </c>
      <c r="F30" s="1749">
        <f t="shared" si="0"/>
        <v>0</v>
      </c>
      <c r="G30" s="1749">
        <f t="shared" si="1"/>
        <v>0</v>
      </c>
    </row>
    <row r="31" spans="1:7">
      <c r="A31" s="1607" t="s">
        <v>62</v>
      </c>
      <c r="B31" s="1609">
        <v>182542.48</v>
      </c>
      <c r="C31" s="1608"/>
      <c r="D31">
        <f>+IFERROR(VLOOKUP($A31,'TB Final'!$B:$K,7,0),0)</f>
        <v>182542.48</v>
      </c>
      <c r="E31">
        <f>+IFERROR(VLOOKUP($A31,'TB Final'!$B:$K,10,0),0)</f>
        <v>0</v>
      </c>
      <c r="F31" s="1749">
        <f t="shared" si="0"/>
        <v>0</v>
      </c>
      <c r="G31" s="1749">
        <f t="shared" si="1"/>
        <v>0</v>
      </c>
    </row>
    <row r="32" spans="1:7">
      <c r="A32" s="1607" t="s">
        <v>66</v>
      </c>
      <c r="B32" s="1609">
        <v>262544</v>
      </c>
      <c r="C32" s="1608"/>
      <c r="D32">
        <f>+IFERROR(VLOOKUP($A32,'TB Final'!$B:$K,7,0),0)</f>
        <v>262544</v>
      </c>
      <c r="E32">
        <f>+IFERROR(VLOOKUP($A32,'TB Final'!$B:$K,10,0),0)</f>
        <v>0</v>
      </c>
      <c r="F32" s="1749">
        <f t="shared" si="0"/>
        <v>0</v>
      </c>
      <c r="G32" s="1749">
        <f t="shared" si="1"/>
        <v>0</v>
      </c>
    </row>
    <row r="33" spans="1:7">
      <c r="A33" s="1607" t="s">
        <v>2947</v>
      </c>
      <c r="B33" s="1609">
        <v>586700</v>
      </c>
      <c r="C33" s="1608"/>
      <c r="D33">
        <f>+IFERROR(VLOOKUP($A33,'TB Final'!$B:$K,7,0),0)</f>
        <v>586700</v>
      </c>
      <c r="E33">
        <f>+IFERROR(VLOOKUP($A33,'TB Final'!$B:$K,10,0),0)</f>
        <v>0</v>
      </c>
      <c r="F33" s="1749">
        <f t="shared" si="0"/>
        <v>0</v>
      </c>
      <c r="G33" s="1749">
        <f t="shared" si="1"/>
        <v>0</v>
      </c>
    </row>
    <row r="34" spans="1:7">
      <c r="A34" s="1607" t="s">
        <v>2948</v>
      </c>
      <c r="B34" s="1608"/>
      <c r="C34" s="1609">
        <v>430509</v>
      </c>
      <c r="D34">
        <f>+IFERROR(VLOOKUP($A34,'TB Final'!$B:$K,7,0),0)</f>
        <v>0</v>
      </c>
      <c r="E34">
        <f>+IFERROR(VLOOKUP($A34,'TB Final'!$B:$K,10,0),0)</f>
        <v>430509</v>
      </c>
      <c r="F34" s="1749">
        <f t="shared" si="0"/>
        <v>0</v>
      </c>
      <c r="G34" s="1749">
        <f t="shared" si="1"/>
        <v>0</v>
      </c>
    </row>
    <row r="35" spans="1:7">
      <c r="A35" s="1607" t="s">
        <v>69</v>
      </c>
      <c r="B35" s="1608"/>
      <c r="C35" s="1609">
        <v>757002</v>
      </c>
      <c r="D35">
        <f>+IFERROR(VLOOKUP($A35,'TB Final'!$B:$K,7,0),0)</f>
        <v>0</v>
      </c>
      <c r="E35">
        <f>+IFERROR(VLOOKUP($A35,'TB Final'!$B:$K,10,0),0)</f>
        <v>757002</v>
      </c>
      <c r="F35" s="1749">
        <f t="shared" si="0"/>
        <v>0</v>
      </c>
      <c r="G35" s="1749">
        <f t="shared" si="1"/>
        <v>0</v>
      </c>
    </row>
    <row r="36" spans="1:7">
      <c r="A36" s="1607" t="s">
        <v>2949</v>
      </c>
      <c r="B36" s="1608"/>
      <c r="C36" s="1609">
        <v>1762334</v>
      </c>
      <c r="D36">
        <f>+IFERROR(VLOOKUP($A36,'TB Final'!$B:$K,7,0),0)</f>
        <v>0</v>
      </c>
      <c r="E36">
        <f>+IFERROR(VLOOKUP($A36,'TB Final'!$B:$K,10,0),0)</f>
        <v>1762334</v>
      </c>
      <c r="F36" s="1749">
        <f t="shared" si="0"/>
        <v>0</v>
      </c>
      <c r="G36" s="1749">
        <f t="shared" si="1"/>
        <v>0</v>
      </c>
    </row>
    <row r="37" spans="1:7">
      <c r="A37" s="1607" t="s">
        <v>2950</v>
      </c>
      <c r="B37" s="1608"/>
      <c r="C37" s="1609">
        <v>38700</v>
      </c>
      <c r="D37">
        <f>+IFERROR(VLOOKUP($A37,'TB Final'!$B:$K,7,0),0)</f>
        <v>0</v>
      </c>
      <c r="E37">
        <f>+IFERROR(VLOOKUP($A37,'TB Final'!$B:$K,10,0),0)</f>
        <v>38700</v>
      </c>
      <c r="F37" s="1749">
        <f t="shared" si="0"/>
        <v>0</v>
      </c>
      <c r="G37" s="1749">
        <f t="shared" si="1"/>
        <v>0</v>
      </c>
    </row>
    <row r="38" spans="1:7">
      <c r="A38" s="1607" t="s">
        <v>72</v>
      </c>
      <c r="B38" s="1609">
        <v>3742571.88</v>
      </c>
      <c r="C38" s="1608"/>
      <c r="D38">
        <f>+IFERROR(VLOOKUP($A38,'TB Final'!$B:$K,7,0),0)</f>
        <v>3742571.88</v>
      </c>
      <c r="E38">
        <f>+IFERROR(VLOOKUP($A38,'TB Final'!$B:$K,10,0),0)</f>
        <v>0</v>
      </c>
      <c r="F38" s="1749">
        <f t="shared" si="0"/>
        <v>0</v>
      </c>
      <c r="G38" s="1749">
        <f t="shared" si="1"/>
        <v>0</v>
      </c>
    </row>
    <row r="39" spans="1:7">
      <c r="A39" s="1607" t="s">
        <v>475</v>
      </c>
      <c r="B39" s="1609">
        <v>3164</v>
      </c>
      <c r="C39" s="1608"/>
      <c r="D39">
        <f>+IFERROR(VLOOKUP($A39,'TB Final'!$B:$K,7,0),0)</f>
        <v>3164</v>
      </c>
      <c r="E39">
        <f>+IFERROR(VLOOKUP($A39,'TB Final'!$B:$K,10,0),0)</f>
        <v>0</v>
      </c>
      <c r="F39" s="1749">
        <f t="shared" si="0"/>
        <v>0</v>
      </c>
      <c r="G39" s="1749">
        <f t="shared" si="1"/>
        <v>0</v>
      </c>
    </row>
    <row r="40" spans="1:7">
      <c r="A40" s="1607" t="s">
        <v>2951</v>
      </c>
      <c r="B40" s="1609">
        <v>50118</v>
      </c>
      <c r="C40" s="1608"/>
      <c r="D40">
        <f>+IFERROR(VLOOKUP($A40,'TB Final'!$B:$K,7,0),0)</f>
        <v>50118</v>
      </c>
      <c r="E40">
        <f>+IFERROR(VLOOKUP($A40,'TB Final'!$B:$K,10,0),0)</f>
        <v>0</v>
      </c>
      <c r="F40" s="1749">
        <f t="shared" si="0"/>
        <v>0</v>
      </c>
      <c r="G40" s="1749">
        <f t="shared" si="1"/>
        <v>0</v>
      </c>
    </row>
    <row r="41" spans="1:7">
      <c r="A41" s="1607" t="s">
        <v>476</v>
      </c>
      <c r="B41" s="1609">
        <v>74323684.409999996</v>
      </c>
      <c r="C41" s="1608"/>
      <c r="D41">
        <f>+IFERROR(VLOOKUP($A41,'TB Final'!$B:$K,7,0),0)</f>
        <v>74323684.409999996</v>
      </c>
      <c r="E41">
        <f>+IFERROR(VLOOKUP($A41,'TB Final'!$B:$K,10,0),0)</f>
        <v>0</v>
      </c>
      <c r="F41" s="1749">
        <f t="shared" si="0"/>
        <v>0</v>
      </c>
      <c r="G41" s="1749">
        <f t="shared" si="1"/>
        <v>0</v>
      </c>
    </row>
    <row r="42" spans="1:7">
      <c r="A42" s="1607" t="s">
        <v>79</v>
      </c>
      <c r="B42" s="1608"/>
      <c r="C42" s="1609">
        <v>20413989</v>
      </c>
      <c r="D42">
        <f>+IFERROR(VLOOKUP($A42,'TB Final'!$B:$K,7,0),0)</f>
        <v>0</v>
      </c>
      <c r="E42">
        <f>+IFERROR(VLOOKUP($A42,'TB Final'!$B:$K,10,0),0)</f>
        <v>20413989</v>
      </c>
      <c r="F42" s="1749">
        <f t="shared" si="0"/>
        <v>0</v>
      </c>
      <c r="G42" s="1749">
        <f t="shared" si="1"/>
        <v>0</v>
      </c>
    </row>
    <row r="43" spans="1:7">
      <c r="A43" s="1607" t="s">
        <v>84</v>
      </c>
      <c r="B43" s="1609">
        <v>369720</v>
      </c>
      <c r="C43" s="1608"/>
      <c r="D43">
        <f>+IFERROR(VLOOKUP($A43,'TB Final'!$B:$K,7,0),0)</f>
        <v>369720</v>
      </c>
      <c r="E43">
        <f>+IFERROR(VLOOKUP($A43,'TB Final'!$B:$K,10,0),0)</f>
        <v>0</v>
      </c>
      <c r="F43" s="1749">
        <f t="shared" si="0"/>
        <v>0</v>
      </c>
      <c r="G43" s="1749">
        <f t="shared" si="1"/>
        <v>0</v>
      </c>
    </row>
    <row r="44" spans="1:7">
      <c r="A44" s="1607" t="s">
        <v>86</v>
      </c>
      <c r="B44" s="1609">
        <v>201977</v>
      </c>
      <c r="C44" s="1608"/>
      <c r="D44">
        <f>+IFERROR(VLOOKUP($A44,'TB Final'!$B:$K,7,0),0)</f>
        <v>201977</v>
      </c>
      <c r="E44">
        <f>+IFERROR(VLOOKUP($A44,'TB Final'!$B:$K,10,0),0)</f>
        <v>0</v>
      </c>
      <c r="F44" s="1749">
        <f t="shared" si="0"/>
        <v>0</v>
      </c>
      <c r="G44" s="1749">
        <f t="shared" si="1"/>
        <v>0</v>
      </c>
    </row>
    <row r="45" spans="1:7">
      <c r="A45" s="1607" t="s">
        <v>87</v>
      </c>
      <c r="B45" s="1609">
        <v>276683</v>
      </c>
      <c r="C45" s="1608"/>
      <c r="D45">
        <f>+IFERROR(VLOOKUP($A45,'TB Final'!$B:$K,7,0),0)</f>
        <v>276683</v>
      </c>
      <c r="E45">
        <f>+IFERROR(VLOOKUP($A45,'TB Final'!$B:$K,10,0),0)</f>
        <v>0</v>
      </c>
      <c r="F45" s="1749">
        <f t="shared" si="0"/>
        <v>0</v>
      </c>
      <c r="G45" s="1749">
        <f t="shared" si="1"/>
        <v>0</v>
      </c>
    </row>
    <row r="46" spans="1:7">
      <c r="A46" s="1607" t="s">
        <v>478</v>
      </c>
      <c r="B46" s="1609">
        <v>270656</v>
      </c>
      <c r="C46" s="1608"/>
      <c r="D46">
        <f>+IFERROR(VLOOKUP($A46,'TB Final'!$B:$K,7,0),0)</f>
        <v>270656</v>
      </c>
      <c r="E46">
        <f>+IFERROR(VLOOKUP($A46,'TB Final'!$B:$K,10,0),0)</f>
        <v>0</v>
      </c>
      <c r="F46" s="1749">
        <f t="shared" si="0"/>
        <v>0</v>
      </c>
      <c r="G46" s="1749">
        <f t="shared" si="1"/>
        <v>0</v>
      </c>
    </row>
    <row r="47" spans="1:7">
      <c r="A47" s="1607" t="s">
        <v>2953</v>
      </c>
      <c r="B47" s="1609">
        <v>780000</v>
      </c>
      <c r="C47" s="1608"/>
      <c r="D47">
        <f>+IFERROR(VLOOKUP($A47,'TB Final'!$B:$K,7,0),0)</f>
        <v>780000</v>
      </c>
      <c r="E47">
        <f>+IFERROR(VLOOKUP($A47,'TB Final'!$B:$K,10,0),0)</f>
        <v>0</v>
      </c>
      <c r="F47" s="1749">
        <f t="shared" si="0"/>
        <v>0</v>
      </c>
      <c r="G47" s="1749">
        <f t="shared" si="1"/>
        <v>0</v>
      </c>
    </row>
    <row r="48" spans="1:7">
      <c r="A48" s="1607" t="s">
        <v>2954</v>
      </c>
      <c r="B48" s="1608"/>
      <c r="C48" s="1609">
        <v>633932.4</v>
      </c>
      <c r="D48">
        <f>+IFERROR(VLOOKUP($A48,'TB Final'!$B:$K,7,0),0)</f>
        <v>0</v>
      </c>
      <c r="E48">
        <f>+IFERROR(VLOOKUP($A48,'TB Final'!$B:$K,10,0),0)</f>
        <v>633932.4</v>
      </c>
      <c r="F48" s="1749">
        <f t="shared" si="0"/>
        <v>0</v>
      </c>
      <c r="G48" s="1749">
        <f t="shared" si="1"/>
        <v>0</v>
      </c>
    </row>
    <row r="49" spans="1:7">
      <c r="A49" s="1607" t="s">
        <v>95</v>
      </c>
      <c r="B49" s="1609">
        <v>39746292.5</v>
      </c>
      <c r="C49" s="1608"/>
      <c r="D49">
        <f>+IFERROR(VLOOKUP($A49,'TB Final'!$B:$K,7,0),0)</f>
        <v>39746292.5</v>
      </c>
      <c r="E49">
        <f>+IFERROR(VLOOKUP($A49,'TB Final'!$B:$K,10,0),0)</f>
        <v>0</v>
      </c>
      <c r="F49" s="1749">
        <f t="shared" si="0"/>
        <v>0</v>
      </c>
      <c r="G49" s="1749">
        <f t="shared" si="1"/>
        <v>0</v>
      </c>
    </row>
    <row r="50" spans="1:7">
      <c r="A50" s="1607" t="s">
        <v>481</v>
      </c>
      <c r="B50" s="1609">
        <v>233302.6</v>
      </c>
      <c r="C50" s="1608"/>
      <c r="D50">
        <f>+IFERROR(VLOOKUP($A50,'TB Final'!$B:$K,7,0),0)</f>
        <v>233302.6</v>
      </c>
      <c r="E50">
        <f>+IFERROR(VLOOKUP($A50,'TB Final'!$B:$K,10,0),0)</f>
        <v>0</v>
      </c>
      <c r="F50" s="1749">
        <f t="shared" si="0"/>
        <v>0</v>
      </c>
      <c r="G50" s="1749">
        <f t="shared" si="1"/>
        <v>0</v>
      </c>
    </row>
    <row r="51" spans="1:7">
      <c r="A51" s="1607" t="s">
        <v>2956</v>
      </c>
      <c r="B51" s="1609">
        <v>245381</v>
      </c>
      <c r="C51" s="1608"/>
      <c r="D51">
        <f>+IFERROR(VLOOKUP($A51,'TB Final'!$B:$K,7,0),0)</f>
        <v>245381</v>
      </c>
      <c r="E51">
        <f>+IFERROR(VLOOKUP($A51,'TB Final'!$B:$K,10,0),0)</f>
        <v>0</v>
      </c>
      <c r="F51" s="1749">
        <f t="shared" si="0"/>
        <v>0</v>
      </c>
      <c r="G51" s="1749">
        <f t="shared" si="1"/>
        <v>0</v>
      </c>
    </row>
    <row r="52" spans="1:7">
      <c r="A52" s="1607" t="s">
        <v>99</v>
      </c>
      <c r="B52" s="1609">
        <v>22889262</v>
      </c>
      <c r="C52" s="1608"/>
      <c r="D52">
        <f>+IFERROR(VLOOKUP($A52,'TB Final'!$B:$K,7,0),0)</f>
        <v>22889262</v>
      </c>
      <c r="E52">
        <f>+IFERROR(VLOOKUP($A52,'TB Final'!$B:$K,10,0),0)</f>
        <v>0</v>
      </c>
      <c r="F52" s="1749">
        <f t="shared" si="0"/>
        <v>0</v>
      </c>
      <c r="G52" s="1749">
        <f t="shared" si="1"/>
        <v>0</v>
      </c>
    </row>
    <row r="53" spans="1:7">
      <c r="A53" s="1607" t="s">
        <v>2957</v>
      </c>
      <c r="B53" s="1609">
        <v>3656000</v>
      </c>
      <c r="C53" s="1608"/>
      <c r="D53">
        <f>+IFERROR(VLOOKUP($A53,'TB Final'!$B:$K,7,0),0)</f>
        <v>3656000</v>
      </c>
      <c r="E53">
        <f>+IFERROR(VLOOKUP($A53,'TB Final'!$B:$K,10,0),0)</f>
        <v>0</v>
      </c>
      <c r="F53" s="1749">
        <f t="shared" si="0"/>
        <v>0</v>
      </c>
      <c r="G53" s="1749">
        <f t="shared" si="1"/>
        <v>0</v>
      </c>
    </row>
    <row r="54" spans="1:7">
      <c r="A54" s="1607" t="s">
        <v>101</v>
      </c>
      <c r="B54" s="1609">
        <v>58412480.560000002</v>
      </c>
      <c r="C54" s="1608"/>
      <c r="D54">
        <f>+IFERROR(VLOOKUP($A54,'TB Final'!$B:$K,7,0),0)</f>
        <v>58412480.560000002</v>
      </c>
      <c r="E54">
        <f>+IFERROR(VLOOKUP($A54,'TB Final'!$B:$K,10,0),0)</f>
        <v>0</v>
      </c>
      <c r="F54" s="1749">
        <f t="shared" si="0"/>
        <v>0</v>
      </c>
      <c r="G54" s="1749">
        <f t="shared" si="1"/>
        <v>0</v>
      </c>
    </row>
    <row r="55" spans="1:7">
      <c r="A55" s="1607" t="s">
        <v>370</v>
      </c>
      <c r="B55" s="1609">
        <v>44654</v>
      </c>
      <c r="C55" s="1608"/>
      <c r="D55">
        <f>+IFERROR(VLOOKUP($A55,'TB Final'!$B:$K,7,0),0)</f>
        <v>44654</v>
      </c>
      <c r="E55">
        <f>+IFERROR(VLOOKUP($A55,'TB Final'!$B:$K,10,0),0)</f>
        <v>0</v>
      </c>
      <c r="F55" s="1749">
        <f t="shared" si="0"/>
        <v>0</v>
      </c>
      <c r="G55" s="1749">
        <f t="shared" si="1"/>
        <v>0</v>
      </c>
    </row>
    <row r="56" spans="1:7">
      <c r="A56" s="1607" t="s">
        <v>102</v>
      </c>
      <c r="B56" s="1609">
        <v>1056621.7</v>
      </c>
      <c r="C56" s="1608"/>
      <c r="D56">
        <f>+IFERROR(VLOOKUP($A56,'TB Final'!$B:$K,7,0),0)</f>
        <v>1056621.7</v>
      </c>
      <c r="E56">
        <f>+IFERROR(VLOOKUP($A56,'TB Final'!$B:$K,10,0),0)</f>
        <v>0</v>
      </c>
      <c r="F56" s="1749">
        <f t="shared" si="0"/>
        <v>0</v>
      </c>
      <c r="G56" s="1749">
        <f t="shared" si="1"/>
        <v>0</v>
      </c>
    </row>
    <row r="57" spans="1:7">
      <c r="A57" s="1607" t="s">
        <v>103</v>
      </c>
      <c r="B57" s="1609">
        <v>150000</v>
      </c>
      <c r="C57" s="1608"/>
      <c r="D57">
        <f>+IFERROR(VLOOKUP($A57,'TB Final'!$B:$K,7,0),0)</f>
        <v>150000</v>
      </c>
      <c r="E57">
        <f>+IFERROR(VLOOKUP($A57,'TB Final'!$B:$K,10,0),0)</f>
        <v>0</v>
      </c>
      <c r="F57" s="1749">
        <f t="shared" si="0"/>
        <v>0</v>
      </c>
      <c r="G57" s="1749">
        <f t="shared" si="1"/>
        <v>0</v>
      </c>
    </row>
    <row r="58" spans="1:7">
      <c r="A58" s="1607" t="s">
        <v>105</v>
      </c>
      <c r="B58" s="1609">
        <v>73085</v>
      </c>
      <c r="C58" s="1608"/>
      <c r="D58">
        <f>+IFERROR(VLOOKUP($A58,'TB Final'!$B:$K,7,0),0)</f>
        <v>73085</v>
      </c>
      <c r="E58">
        <f>+IFERROR(VLOOKUP($A58,'TB Final'!$B:$K,10,0),0)</f>
        <v>0</v>
      </c>
      <c r="F58" s="1749">
        <f t="shared" si="0"/>
        <v>0</v>
      </c>
      <c r="G58" s="1749">
        <f t="shared" si="1"/>
        <v>0</v>
      </c>
    </row>
    <row r="59" spans="1:7">
      <c r="A59" s="1607" t="s">
        <v>106</v>
      </c>
      <c r="B59" s="1608"/>
      <c r="C59" s="1609">
        <v>49748</v>
      </c>
      <c r="D59">
        <f>+IFERROR(VLOOKUP($A59,'TB Final'!$B:$K,7,0),0)</f>
        <v>0</v>
      </c>
      <c r="E59">
        <f>+IFERROR(VLOOKUP($A59,'TB Final'!$B:$K,10,0),0)</f>
        <v>49748</v>
      </c>
      <c r="F59" s="1749">
        <f t="shared" si="0"/>
        <v>0</v>
      </c>
      <c r="G59" s="1749">
        <f t="shared" si="1"/>
        <v>0</v>
      </c>
    </row>
    <row r="60" spans="1:7">
      <c r="A60" s="1607" t="s">
        <v>482</v>
      </c>
      <c r="B60" s="1608"/>
      <c r="C60" s="1609">
        <v>254452</v>
      </c>
      <c r="D60">
        <f>+IFERROR(VLOOKUP($A60,'TB Final'!$B:$K,7,0),0)</f>
        <v>0</v>
      </c>
      <c r="E60">
        <f>+IFERROR(VLOOKUP($A60,'TB Final'!$B:$K,10,0),0)</f>
        <v>254452</v>
      </c>
      <c r="F60" s="1749">
        <f t="shared" si="0"/>
        <v>0</v>
      </c>
      <c r="G60" s="1749">
        <f t="shared" si="1"/>
        <v>0</v>
      </c>
    </row>
    <row r="61" spans="1:7">
      <c r="A61" s="1607" t="s">
        <v>483</v>
      </c>
      <c r="B61" s="1609">
        <v>65874</v>
      </c>
      <c r="C61" s="1608"/>
      <c r="D61">
        <f>+IFERROR(VLOOKUP($A61,'TB Final'!$B:$K,7,0),0)</f>
        <v>65874</v>
      </c>
      <c r="E61">
        <f>+IFERROR(VLOOKUP($A61,'TB Final'!$B:$K,10,0),0)</f>
        <v>0</v>
      </c>
      <c r="F61" s="1749">
        <f t="shared" si="0"/>
        <v>0</v>
      </c>
      <c r="G61" s="1749">
        <f t="shared" si="1"/>
        <v>0</v>
      </c>
    </row>
    <row r="62" spans="1:7">
      <c r="A62" s="1607" t="s">
        <v>484</v>
      </c>
      <c r="B62" s="1609">
        <v>44110.5</v>
      </c>
      <c r="C62" s="1608"/>
      <c r="D62">
        <f>+IFERROR(VLOOKUP($A62,'TB Final'!$B:$K,7,0),0)</f>
        <v>44110.5</v>
      </c>
      <c r="E62">
        <f>+IFERROR(VLOOKUP($A62,'TB Final'!$B:$K,10,0),0)</f>
        <v>0</v>
      </c>
      <c r="F62" s="1749">
        <f t="shared" si="0"/>
        <v>0</v>
      </c>
      <c r="G62" s="1749">
        <f t="shared" si="1"/>
        <v>0</v>
      </c>
    </row>
    <row r="63" spans="1:7">
      <c r="A63" s="1607" t="s">
        <v>373</v>
      </c>
      <c r="B63" s="1609">
        <v>2229150</v>
      </c>
      <c r="C63" s="1608"/>
      <c r="D63">
        <f>+IFERROR(VLOOKUP($A63,'TB Final'!$B:$K,7,0),0)</f>
        <v>2229150</v>
      </c>
      <c r="E63">
        <f>+IFERROR(VLOOKUP($A63,'TB Final'!$B:$K,10,0),0)</f>
        <v>0</v>
      </c>
      <c r="F63" s="1749">
        <f t="shared" si="0"/>
        <v>0</v>
      </c>
      <c r="G63" s="1749">
        <f t="shared" si="1"/>
        <v>0</v>
      </c>
    </row>
    <row r="64" spans="1:7">
      <c r="A64" s="1607" t="s">
        <v>429</v>
      </c>
      <c r="B64" s="1608"/>
      <c r="C64" s="1609">
        <v>30858</v>
      </c>
      <c r="D64">
        <f>+IFERROR(VLOOKUP($A64,'TB Final'!$B:$K,7,0),0)</f>
        <v>0</v>
      </c>
      <c r="E64">
        <f>+IFERROR(VLOOKUP($A64,'TB Final'!$B:$K,10,0),0)</f>
        <v>30858</v>
      </c>
      <c r="F64" s="1749">
        <f t="shared" si="0"/>
        <v>0</v>
      </c>
      <c r="G64" s="1749">
        <f t="shared" si="1"/>
        <v>0</v>
      </c>
    </row>
    <row r="65" spans="1:7">
      <c r="A65" s="1607" t="s">
        <v>113</v>
      </c>
      <c r="B65" s="1608"/>
      <c r="C65" s="1609">
        <v>25061810.07</v>
      </c>
      <c r="D65">
        <f>+IFERROR(VLOOKUP($A65,'TB Final'!$B:$K,7,0),0)</f>
        <v>0</v>
      </c>
      <c r="E65">
        <f>+IFERROR(VLOOKUP($A65,'TB Final'!$B:$K,10,0),0)</f>
        <v>25061810.07</v>
      </c>
      <c r="F65" s="1749">
        <f t="shared" si="0"/>
        <v>0</v>
      </c>
      <c r="G65" s="1749">
        <f t="shared" si="1"/>
        <v>0</v>
      </c>
    </row>
    <row r="66" spans="1:7">
      <c r="A66" s="1607" t="s">
        <v>114</v>
      </c>
      <c r="B66" s="1608"/>
      <c r="C66" s="1609">
        <v>4105758</v>
      </c>
      <c r="D66">
        <f>+IFERROR(VLOOKUP($A66,'TB Final'!$B:$K,7,0),0)</f>
        <v>0</v>
      </c>
      <c r="E66">
        <f>+IFERROR(VLOOKUP($A66,'TB Final'!$B:$K,10,0),0)</f>
        <v>4105758</v>
      </c>
      <c r="F66" s="1749">
        <f t="shared" si="0"/>
        <v>0</v>
      </c>
      <c r="G66" s="1749">
        <f t="shared" si="1"/>
        <v>0</v>
      </c>
    </row>
    <row r="67" spans="1:7">
      <c r="A67" s="1607" t="s">
        <v>2958</v>
      </c>
      <c r="B67" s="1609">
        <v>25000</v>
      </c>
      <c r="C67" s="1608"/>
      <c r="D67">
        <f>+IFERROR(VLOOKUP($A67,'TB Final'!$B:$K,7,0),0)</f>
        <v>25000</v>
      </c>
      <c r="E67">
        <f>+IFERROR(VLOOKUP($A67,'TB Final'!$B:$K,10,0),0)</f>
        <v>0</v>
      </c>
      <c r="F67" s="1749">
        <f t="shared" si="0"/>
        <v>0</v>
      </c>
      <c r="G67" s="1749">
        <f t="shared" si="1"/>
        <v>0</v>
      </c>
    </row>
    <row r="68" spans="1:7">
      <c r="A68" s="1607" t="s">
        <v>117</v>
      </c>
      <c r="B68" s="1609">
        <v>1296000</v>
      </c>
      <c r="C68" s="1608"/>
      <c r="D68">
        <f>+IFERROR(VLOOKUP($A68,'TB Final'!$B:$K,7,0),0)</f>
        <v>1296000</v>
      </c>
      <c r="E68">
        <f>+IFERROR(VLOOKUP($A68,'TB Final'!$B:$K,10,0),0)</f>
        <v>0</v>
      </c>
      <c r="F68" s="1749">
        <f t="shared" si="0"/>
        <v>0</v>
      </c>
      <c r="G68" s="1749">
        <f t="shared" si="1"/>
        <v>0</v>
      </c>
    </row>
    <row r="69" spans="1:7">
      <c r="A69" s="1607" t="s">
        <v>118</v>
      </c>
      <c r="B69" s="1609">
        <v>6800</v>
      </c>
      <c r="C69" s="1608"/>
      <c r="D69">
        <f>+IFERROR(VLOOKUP($A69,'TB Final'!$B:$K,7,0),0)</f>
        <v>6800</v>
      </c>
      <c r="E69">
        <f>+IFERROR(VLOOKUP($A69,'TB Final'!$B:$K,10,0),0)</f>
        <v>0</v>
      </c>
      <c r="F69" s="1749">
        <f t="shared" si="0"/>
        <v>0</v>
      </c>
      <c r="G69" s="1749">
        <f t="shared" si="1"/>
        <v>0</v>
      </c>
    </row>
    <row r="70" spans="1:7">
      <c r="A70" s="1607" t="s">
        <v>485</v>
      </c>
      <c r="B70" s="1609">
        <v>200000</v>
      </c>
      <c r="C70" s="1608"/>
      <c r="D70">
        <f>+IFERROR(VLOOKUP($A70,'TB Final'!$B:$K,7,0),0)</f>
        <v>200000</v>
      </c>
      <c r="E70">
        <f>+IFERROR(VLOOKUP($A70,'TB Final'!$B:$K,10,0),0)</f>
        <v>0</v>
      </c>
      <c r="F70" s="1749">
        <f t="shared" si="0"/>
        <v>0</v>
      </c>
      <c r="G70" s="1749">
        <f t="shared" si="1"/>
        <v>0</v>
      </c>
    </row>
    <row r="71" spans="1:7">
      <c r="A71" s="1607" t="s">
        <v>486</v>
      </c>
      <c r="B71" s="1609">
        <v>10777</v>
      </c>
      <c r="C71" s="1608"/>
      <c r="D71">
        <f>+IFERROR(VLOOKUP($A71,'TB Final'!$B:$K,7,0),0)</f>
        <v>10777</v>
      </c>
      <c r="E71">
        <f>+IFERROR(VLOOKUP($A71,'TB Final'!$B:$K,10,0),0)</f>
        <v>0</v>
      </c>
      <c r="F71" s="1749">
        <f t="shared" si="0"/>
        <v>0</v>
      </c>
      <c r="G71" s="1749">
        <f t="shared" si="1"/>
        <v>0</v>
      </c>
    </row>
    <row r="72" spans="1:7">
      <c r="A72" s="1607" t="s">
        <v>128</v>
      </c>
      <c r="B72" s="1609">
        <v>619250</v>
      </c>
      <c r="C72" s="1608"/>
      <c r="D72">
        <f>+IFERROR(VLOOKUP($A72,'TB Final'!$B:$K,7,0),0)</f>
        <v>619250</v>
      </c>
      <c r="E72">
        <f>+IFERROR(VLOOKUP($A72,'TB Final'!$B:$K,10,0),0)</f>
        <v>0</v>
      </c>
      <c r="F72" s="1749">
        <f t="shared" si="0"/>
        <v>0</v>
      </c>
      <c r="G72" s="1749">
        <f t="shared" si="1"/>
        <v>0</v>
      </c>
    </row>
    <row r="73" spans="1:7">
      <c r="A73" s="1607" t="s">
        <v>129</v>
      </c>
      <c r="B73" s="1609">
        <v>5042406</v>
      </c>
      <c r="C73" s="1608"/>
      <c r="D73">
        <f>+IFERROR(VLOOKUP($A73,'TB Final'!$B:$K,7,0),0)</f>
        <v>5042406</v>
      </c>
      <c r="E73">
        <f>+IFERROR(VLOOKUP($A73,'TB Final'!$B:$K,10,0),0)</f>
        <v>0</v>
      </c>
      <c r="F73" s="1749">
        <f t="shared" si="0"/>
        <v>0</v>
      </c>
      <c r="G73" s="1749">
        <f t="shared" si="1"/>
        <v>0</v>
      </c>
    </row>
    <row r="74" spans="1:7">
      <c r="A74" s="1607" t="s">
        <v>123</v>
      </c>
      <c r="B74" s="1609">
        <v>330000</v>
      </c>
      <c r="C74" s="1608"/>
      <c r="D74">
        <f>+IFERROR(VLOOKUP($A74,'TB Final'!$B:$K,7,0),0)</f>
        <v>330000</v>
      </c>
      <c r="E74">
        <f>+IFERROR(VLOOKUP($A74,'TB Final'!$B:$K,10,0),0)</f>
        <v>0</v>
      </c>
      <c r="F74" s="1749">
        <f t="shared" si="0"/>
        <v>0</v>
      </c>
      <c r="G74" s="1749">
        <f t="shared" si="1"/>
        <v>0</v>
      </c>
    </row>
    <row r="75" spans="1:7">
      <c r="A75" s="1607" t="s">
        <v>124</v>
      </c>
      <c r="B75" s="1609">
        <v>6248400</v>
      </c>
      <c r="C75" s="1608"/>
      <c r="D75">
        <f>+IFERROR(VLOOKUP($A75,'TB Final'!$B:$K,7,0),0)</f>
        <v>6248400</v>
      </c>
      <c r="E75">
        <f>+IFERROR(VLOOKUP($A75,'TB Final'!$B:$K,10,0),0)</f>
        <v>0</v>
      </c>
      <c r="F75" s="1749">
        <f t="shared" si="0"/>
        <v>0</v>
      </c>
      <c r="G75" s="1749">
        <f t="shared" si="1"/>
        <v>0</v>
      </c>
    </row>
    <row r="76" spans="1:7">
      <c r="A76" s="1607" t="s">
        <v>487</v>
      </c>
      <c r="B76" s="1609">
        <v>900000</v>
      </c>
      <c r="C76" s="1608"/>
      <c r="D76">
        <f>+IFERROR(VLOOKUP($A76,'TB Final'!$B:$K,7,0),0)</f>
        <v>900000</v>
      </c>
      <c r="E76">
        <f>+IFERROR(VLOOKUP($A76,'TB Final'!$B:$K,10,0),0)</f>
        <v>0</v>
      </c>
      <c r="F76" s="1749">
        <f t="shared" si="0"/>
        <v>0</v>
      </c>
      <c r="G76" s="1749">
        <f t="shared" si="1"/>
        <v>0</v>
      </c>
    </row>
    <row r="77" spans="1:7">
      <c r="A77" s="1607" t="s">
        <v>122</v>
      </c>
      <c r="B77" s="1609">
        <v>239987</v>
      </c>
      <c r="C77" s="1608"/>
      <c r="D77">
        <f>+IFERROR(VLOOKUP($A77,'TB Final'!$B:$K,7,0),0)</f>
        <v>239987</v>
      </c>
      <c r="E77">
        <f>+IFERROR(VLOOKUP($A77,'TB Final'!$B:$K,10,0),0)</f>
        <v>0</v>
      </c>
      <c r="F77" s="1749">
        <f t="shared" ref="F77:F140" si="2">+B77-D77</f>
        <v>0</v>
      </c>
      <c r="G77" s="1749">
        <f t="shared" ref="G77:G140" si="3">+C77-E77</f>
        <v>0</v>
      </c>
    </row>
    <row r="78" spans="1:7">
      <c r="A78" s="1607" t="s">
        <v>2959</v>
      </c>
      <c r="B78" s="1609">
        <v>150294</v>
      </c>
      <c r="C78" s="1608"/>
      <c r="D78">
        <f>+IFERROR(VLOOKUP($A78,'TB Final'!$B:$K,7,0),0)</f>
        <v>150294</v>
      </c>
      <c r="E78">
        <f>+IFERROR(VLOOKUP($A78,'TB Final'!$B:$K,10,0),0)</f>
        <v>0</v>
      </c>
      <c r="F78" s="1749">
        <f t="shared" si="2"/>
        <v>0</v>
      </c>
      <c r="G78" s="1749">
        <f t="shared" si="3"/>
        <v>0</v>
      </c>
    </row>
    <row r="79" spans="1:7">
      <c r="A79" s="1607" t="s">
        <v>130</v>
      </c>
      <c r="B79" s="1609">
        <v>4721559.91</v>
      </c>
      <c r="C79" s="1608"/>
      <c r="D79">
        <f>+IFERROR(VLOOKUP($A79,'TB Final'!$B:$K,7,0),0)</f>
        <v>2791142</v>
      </c>
      <c r="E79">
        <f>+IFERROR(VLOOKUP($A79,'TB Final'!$B:$K,10,0),0)</f>
        <v>0</v>
      </c>
      <c r="F79" s="1749">
        <f t="shared" si="2"/>
        <v>1930417.9100000001</v>
      </c>
      <c r="G79" s="1749">
        <f t="shared" si="3"/>
        <v>0</v>
      </c>
    </row>
    <row r="80" spans="1:7">
      <c r="A80" s="1607" t="s">
        <v>488</v>
      </c>
      <c r="B80" s="1609">
        <v>2030362.5</v>
      </c>
      <c r="C80" s="1608"/>
      <c r="D80">
        <f>+IFERROR(VLOOKUP($A80,'TB Final'!$B:$K,7,0),0)</f>
        <v>2104855</v>
      </c>
      <c r="E80">
        <f>+IFERROR(VLOOKUP($A80,'TB Final'!$B:$K,10,0),0)</f>
        <v>0</v>
      </c>
      <c r="F80" s="1749">
        <f t="shared" si="2"/>
        <v>-74492.5</v>
      </c>
      <c r="G80" s="1749">
        <f t="shared" si="3"/>
        <v>0</v>
      </c>
    </row>
    <row r="81" spans="1:7">
      <c r="A81" s="1607" t="s">
        <v>489</v>
      </c>
      <c r="B81" s="1609">
        <v>48738.17</v>
      </c>
      <c r="C81" s="1608"/>
      <c r="D81">
        <f>+IFERROR(VLOOKUP($A81,'TB Final'!$B:$K,7,0),0)</f>
        <v>97152</v>
      </c>
      <c r="E81">
        <f>+IFERROR(VLOOKUP($A81,'TB Final'!$B:$K,10,0),0)</f>
        <v>0</v>
      </c>
      <c r="F81" s="1749">
        <f t="shared" si="2"/>
        <v>-48413.83</v>
      </c>
      <c r="G81" s="1749">
        <f t="shared" si="3"/>
        <v>0</v>
      </c>
    </row>
    <row r="82" spans="1:7">
      <c r="A82" s="1607" t="s">
        <v>133</v>
      </c>
      <c r="B82" s="1609">
        <v>96475.87</v>
      </c>
      <c r="C82" s="1608"/>
      <c r="D82">
        <f>+IFERROR(VLOOKUP($A82,'TB Final'!$B:$K,7,0),0)</f>
        <v>103879</v>
      </c>
      <c r="E82">
        <f>+IFERROR(VLOOKUP($A82,'TB Final'!$B:$K,10,0),0)</f>
        <v>0</v>
      </c>
      <c r="F82" s="1749">
        <f t="shared" si="2"/>
        <v>-7403.1300000000047</v>
      </c>
      <c r="G82" s="1749">
        <f t="shared" si="3"/>
        <v>0</v>
      </c>
    </row>
    <row r="83" spans="1:7">
      <c r="A83" s="1607" t="s">
        <v>134</v>
      </c>
      <c r="B83" s="1609">
        <v>74073.7</v>
      </c>
      <c r="C83" s="1608"/>
      <c r="D83">
        <f>+IFERROR(VLOOKUP($A83,'TB Final'!$B:$K,7,0),0)</f>
        <v>109389</v>
      </c>
      <c r="E83">
        <f>+IFERROR(VLOOKUP($A83,'TB Final'!$B:$K,10,0),0)</f>
        <v>0</v>
      </c>
      <c r="F83" s="1749">
        <f t="shared" si="2"/>
        <v>-35315.300000000003</v>
      </c>
      <c r="G83" s="1749">
        <f t="shared" si="3"/>
        <v>0</v>
      </c>
    </row>
    <row r="84" spans="1:7">
      <c r="A84" s="1607" t="s">
        <v>490</v>
      </c>
      <c r="B84" s="1609">
        <v>14035224.91</v>
      </c>
      <c r="C84" s="1608"/>
      <c r="D84">
        <f>+IFERROR(VLOOKUP($A84,'TB Final'!$B:$K,7,0),0)</f>
        <v>14032176</v>
      </c>
      <c r="E84">
        <f>+IFERROR(VLOOKUP($A84,'TB Final'!$B:$K,10,0),0)</f>
        <v>0</v>
      </c>
      <c r="F84" s="1749">
        <f t="shared" si="2"/>
        <v>3048.910000000149</v>
      </c>
      <c r="G84" s="1749">
        <f t="shared" si="3"/>
        <v>0</v>
      </c>
    </row>
    <row r="85" spans="1:7">
      <c r="A85" s="1607" t="s">
        <v>135</v>
      </c>
      <c r="B85" s="1609">
        <v>355194</v>
      </c>
      <c r="C85" s="1608"/>
      <c r="D85">
        <f>+IFERROR(VLOOKUP($A85,'TB Final'!$B:$K,7,0),0)</f>
        <v>345303</v>
      </c>
      <c r="E85">
        <f>+IFERROR(VLOOKUP($A85,'TB Final'!$B:$K,10,0),0)</f>
        <v>0</v>
      </c>
      <c r="F85" s="1749">
        <f t="shared" si="2"/>
        <v>9891</v>
      </c>
      <c r="G85" s="1749">
        <f t="shared" si="3"/>
        <v>0</v>
      </c>
    </row>
    <row r="86" spans="1:7">
      <c r="A86" s="1607" t="s">
        <v>138</v>
      </c>
      <c r="B86" s="1609">
        <v>50000</v>
      </c>
      <c r="C86" s="1608"/>
      <c r="D86">
        <f>+IFERROR(VLOOKUP($A86,'TB Final'!$B:$K,7,0),0)</f>
        <v>50000</v>
      </c>
      <c r="E86">
        <f>+IFERROR(VLOOKUP($A86,'TB Final'!$B:$K,10,0),0)</f>
        <v>0</v>
      </c>
      <c r="F86" s="1749">
        <f t="shared" si="2"/>
        <v>0</v>
      </c>
      <c r="G86" s="1749">
        <f t="shared" si="3"/>
        <v>0</v>
      </c>
    </row>
    <row r="87" spans="1:7">
      <c r="A87" s="1607" t="s">
        <v>139</v>
      </c>
      <c r="B87" s="1609">
        <v>34500</v>
      </c>
      <c r="C87" s="1608"/>
      <c r="D87">
        <f>+IFERROR(VLOOKUP($A87,'TB Final'!$B:$K,7,0),0)</f>
        <v>34500</v>
      </c>
      <c r="E87">
        <f>+IFERROR(VLOOKUP($A87,'TB Final'!$B:$K,10,0),0)</f>
        <v>0</v>
      </c>
      <c r="F87" s="1749">
        <f t="shared" si="2"/>
        <v>0</v>
      </c>
      <c r="G87" s="1749">
        <f t="shared" si="3"/>
        <v>0</v>
      </c>
    </row>
    <row r="88" spans="1:7">
      <c r="A88" s="1607" t="s">
        <v>3062</v>
      </c>
      <c r="B88" s="1608"/>
      <c r="C88" s="1609">
        <v>13700</v>
      </c>
      <c r="D88">
        <f>+IFERROR(VLOOKUP($A88,'TB Final'!$B:$K,7,0),0)</f>
        <v>0</v>
      </c>
      <c r="E88">
        <f>+IFERROR(VLOOKUP($A88,'TB Final'!$B:$K,10,0),0)</f>
        <v>13700</v>
      </c>
      <c r="F88" s="1749">
        <f t="shared" si="2"/>
        <v>0</v>
      </c>
      <c r="G88" s="1749">
        <f t="shared" si="3"/>
        <v>0</v>
      </c>
    </row>
    <row r="89" spans="1:7">
      <c r="A89" s="1607" t="s">
        <v>142</v>
      </c>
      <c r="B89" s="1609">
        <v>469</v>
      </c>
      <c r="C89" s="1608"/>
      <c r="D89">
        <f>+IFERROR(VLOOKUP($A89,'TB Final'!$B:$K,7,0),0)</f>
        <v>469</v>
      </c>
      <c r="E89">
        <f>+IFERROR(VLOOKUP($A89,'TB Final'!$B:$K,10,0),0)</f>
        <v>0</v>
      </c>
      <c r="F89" s="1749">
        <f t="shared" si="2"/>
        <v>0</v>
      </c>
      <c r="G89" s="1749">
        <f t="shared" si="3"/>
        <v>0</v>
      </c>
    </row>
    <row r="90" spans="1:7">
      <c r="A90" s="1607" t="s">
        <v>374</v>
      </c>
      <c r="B90" s="1609">
        <v>32898534</v>
      </c>
      <c r="C90" s="1608"/>
      <c r="D90">
        <f>+IFERROR(VLOOKUP($A90,'TB Final'!$B:$K,7,0),0)</f>
        <v>32898534</v>
      </c>
      <c r="E90">
        <f>+IFERROR(VLOOKUP($A90,'TB Final'!$B:$K,10,0),0)</f>
        <v>0</v>
      </c>
      <c r="F90" s="1749">
        <f t="shared" si="2"/>
        <v>0</v>
      </c>
      <c r="G90" s="1749">
        <f t="shared" si="3"/>
        <v>0</v>
      </c>
    </row>
    <row r="91" spans="1:7">
      <c r="A91" s="1607" t="s">
        <v>146</v>
      </c>
      <c r="B91" s="1609">
        <v>168203.84</v>
      </c>
      <c r="C91" s="1608"/>
      <c r="D91">
        <f>+IFERROR(VLOOKUP($A91,'TB Final'!$B:$K,7,0),0)</f>
        <v>168203.84</v>
      </c>
      <c r="E91">
        <f>+IFERROR(VLOOKUP($A91,'TB Final'!$B:$K,10,0),0)</f>
        <v>0</v>
      </c>
      <c r="F91" s="1749">
        <f t="shared" si="2"/>
        <v>0</v>
      </c>
      <c r="G91" s="1749">
        <f t="shared" si="3"/>
        <v>0</v>
      </c>
    </row>
    <row r="92" spans="1:7">
      <c r="A92" s="1607" t="s">
        <v>147</v>
      </c>
      <c r="B92" s="1609">
        <v>2500</v>
      </c>
      <c r="C92" s="1608"/>
      <c r="D92">
        <f>+IFERROR(VLOOKUP($A92,'TB Final'!$B:$K,7,0),0)</f>
        <v>2500</v>
      </c>
      <c r="E92">
        <f>+IFERROR(VLOOKUP($A92,'TB Final'!$B:$K,10,0),0)</f>
        <v>0</v>
      </c>
      <c r="F92" s="1749">
        <f t="shared" si="2"/>
        <v>0</v>
      </c>
      <c r="G92" s="1749">
        <f t="shared" si="3"/>
        <v>0</v>
      </c>
    </row>
    <row r="93" spans="1:7">
      <c r="A93" s="1607" t="s">
        <v>150</v>
      </c>
      <c r="B93" s="1608"/>
      <c r="C93" s="1609">
        <v>66909</v>
      </c>
      <c r="D93">
        <f>+IFERROR(VLOOKUP($A93,'TB Final'!$B:$K,7,0),0)</f>
        <v>0</v>
      </c>
      <c r="E93">
        <f>+IFERROR(VLOOKUP($A93,'TB Final'!$B:$K,10,0),0)</f>
        <v>66909</v>
      </c>
      <c r="F93" s="1749">
        <f t="shared" si="2"/>
        <v>0</v>
      </c>
      <c r="G93" s="1749">
        <f t="shared" si="3"/>
        <v>0</v>
      </c>
    </row>
    <row r="94" spans="1:7">
      <c r="A94" s="1607" t="s">
        <v>151</v>
      </c>
      <c r="B94" s="1608"/>
      <c r="C94" s="1609">
        <v>1502067</v>
      </c>
      <c r="D94">
        <f>+IFERROR(VLOOKUP($A94,'TB Final'!$B:$K,7,0),0)</f>
        <v>0</v>
      </c>
      <c r="E94">
        <f>+IFERROR(VLOOKUP($A94,'TB Final'!$B:$K,10,0),0)</f>
        <v>1502067</v>
      </c>
      <c r="F94" s="1749">
        <f t="shared" si="2"/>
        <v>0</v>
      </c>
      <c r="G94" s="1749">
        <f t="shared" si="3"/>
        <v>0</v>
      </c>
    </row>
    <row r="95" spans="1:7">
      <c r="A95" s="1607" t="s">
        <v>152</v>
      </c>
      <c r="B95" s="1609">
        <v>68206466.989999995</v>
      </c>
      <c r="C95" s="1608"/>
      <c r="D95">
        <f>+IFERROR(VLOOKUP($A95,'TB Final'!$B:$K,7,0),0)</f>
        <v>69445250.989999995</v>
      </c>
      <c r="E95">
        <f>+IFERROR(VLOOKUP($A95,'TB Final'!$B:$K,10,0),0)</f>
        <v>0</v>
      </c>
      <c r="F95" s="1749">
        <f t="shared" si="2"/>
        <v>-1238784</v>
      </c>
      <c r="G95" s="1749">
        <f t="shared" si="3"/>
        <v>0</v>
      </c>
    </row>
    <row r="96" spans="1:7">
      <c r="A96" s="1607" t="s">
        <v>377</v>
      </c>
      <c r="B96" s="1608"/>
      <c r="C96" s="1609">
        <v>93574</v>
      </c>
      <c r="D96">
        <f>+IFERROR(VLOOKUP($A96,'TB Final'!$B:$K,7,0),0)</f>
        <v>0</v>
      </c>
      <c r="E96">
        <f>+IFERROR(VLOOKUP($A96,'TB Final'!$B:$K,10,0),0)</f>
        <v>93574</v>
      </c>
      <c r="F96" s="1749">
        <f t="shared" si="2"/>
        <v>0</v>
      </c>
      <c r="G96" s="1749">
        <f t="shared" si="3"/>
        <v>0</v>
      </c>
    </row>
    <row r="97" spans="1:7">
      <c r="A97" s="1607" t="s">
        <v>153</v>
      </c>
      <c r="B97" s="1608"/>
      <c r="C97" s="1609">
        <v>26922650</v>
      </c>
      <c r="D97">
        <f>+IFERROR(VLOOKUP($A97,'TB Final'!$B:$K,7,0),0)</f>
        <v>0</v>
      </c>
      <c r="E97">
        <f>+IFERROR(VLOOKUP($A97,'TB Final'!$B:$K,10,0),0)</f>
        <v>26922650</v>
      </c>
      <c r="F97" s="1749">
        <f t="shared" si="2"/>
        <v>0</v>
      </c>
      <c r="G97" s="1749">
        <f t="shared" si="3"/>
        <v>0</v>
      </c>
    </row>
    <row r="98" spans="1:7">
      <c r="A98" s="1607" t="s">
        <v>156</v>
      </c>
      <c r="B98" s="1609">
        <v>267233</v>
      </c>
      <c r="C98" s="1608"/>
      <c r="D98">
        <f>+IFERROR(VLOOKUP($A98,'TB Final'!$B:$K,7,0),0)</f>
        <v>267233</v>
      </c>
      <c r="E98">
        <f>+IFERROR(VLOOKUP($A98,'TB Final'!$B:$K,10,0),0)</f>
        <v>0</v>
      </c>
      <c r="F98" s="1749">
        <f t="shared" si="2"/>
        <v>0</v>
      </c>
      <c r="G98" s="1749">
        <f t="shared" si="3"/>
        <v>0</v>
      </c>
    </row>
    <row r="99" spans="1:7">
      <c r="A99" s="1607" t="s">
        <v>158</v>
      </c>
      <c r="B99" s="1609">
        <v>4167</v>
      </c>
      <c r="C99" s="1608"/>
      <c r="D99">
        <f>+IFERROR(VLOOKUP($A99,'TB Final'!$B:$K,7,0),0)</f>
        <v>4167</v>
      </c>
      <c r="E99">
        <f>+IFERROR(VLOOKUP($A99,'TB Final'!$B:$K,10,0),0)</f>
        <v>0</v>
      </c>
      <c r="F99" s="1749">
        <f t="shared" si="2"/>
        <v>0</v>
      </c>
      <c r="G99" s="1749">
        <f t="shared" si="3"/>
        <v>0</v>
      </c>
    </row>
    <row r="100" spans="1:7">
      <c r="A100" s="1607" t="s">
        <v>164</v>
      </c>
      <c r="B100" s="1609">
        <v>72800</v>
      </c>
      <c r="C100" s="1608"/>
      <c r="D100">
        <f>+IFERROR(VLOOKUP($A100,'TB Final'!$B:$K,7,0),0)</f>
        <v>72800</v>
      </c>
      <c r="E100">
        <f>+IFERROR(VLOOKUP($A100,'TB Final'!$B:$K,10,0),0)</f>
        <v>0</v>
      </c>
      <c r="F100" s="1749">
        <f t="shared" si="2"/>
        <v>0</v>
      </c>
      <c r="G100" s="1749">
        <f t="shared" si="3"/>
        <v>0</v>
      </c>
    </row>
    <row r="101" spans="1:7">
      <c r="A101" s="1607" t="s">
        <v>165</v>
      </c>
      <c r="B101" s="1609">
        <v>267589</v>
      </c>
      <c r="C101" s="1608"/>
      <c r="D101">
        <f>+IFERROR(VLOOKUP($A101,'TB Final'!$B:$K,7,0),0)</f>
        <v>267589</v>
      </c>
      <c r="E101">
        <f>+IFERROR(VLOOKUP($A101,'TB Final'!$B:$K,10,0),0)</f>
        <v>0</v>
      </c>
      <c r="F101" s="1749">
        <f t="shared" si="2"/>
        <v>0</v>
      </c>
      <c r="G101" s="1749">
        <f t="shared" si="3"/>
        <v>0</v>
      </c>
    </row>
    <row r="102" spans="1:7">
      <c r="A102" s="1607" t="s">
        <v>166</v>
      </c>
      <c r="B102" s="1609">
        <v>53196916.659999996</v>
      </c>
      <c r="C102" s="1608"/>
      <c r="D102">
        <f>+IFERROR(VLOOKUP($A102,'TB Final'!$B:$K,7,0),0)</f>
        <v>53196916.659999996</v>
      </c>
      <c r="E102">
        <f>+IFERROR(VLOOKUP($A102,'TB Final'!$B:$K,10,0),0)</f>
        <v>0</v>
      </c>
      <c r="F102" s="1749">
        <f t="shared" si="2"/>
        <v>0</v>
      </c>
      <c r="G102" s="1749">
        <f t="shared" si="3"/>
        <v>0</v>
      </c>
    </row>
    <row r="103" spans="1:7">
      <c r="A103" s="1607" t="s">
        <v>167</v>
      </c>
      <c r="B103" s="1609">
        <v>249410</v>
      </c>
      <c r="C103" s="1608"/>
      <c r="D103">
        <f>+IFERROR(VLOOKUP($A103,'TB Final'!$B:$K,7,0),0)</f>
        <v>249410</v>
      </c>
      <c r="E103">
        <f>+IFERROR(VLOOKUP($A103,'TB Final'!$B:$K,10,0),0)</f>
        <v>0</v>
      </c>
      <c r="F103" s="1749">
        <f t="shared" si="2"/>
        <v>0</v>
      </c>
      <c r="G103" s="1749">
        <f t="shared" si="3"/>
        <v>0</v>
      </c>
    </row>
    <row r="104" spans="1:7">
      <c r="A104" s="1607" t="s">
        <v>493</v>
      </c>
      <c r="B104" s="1609">
        <v>25018</v>
      </c>
      <c r="C104" s="1608"/>
      <c r="D104">
        <f>+IFERROR(VLOOKUP($A104,'TB Final'!$B:$K,7,0),0)</f>
        <v>25018</v>
      </c>
      <c r="E104">
        <f>+IFERROR(VLOOKUP($A104,'TB Final'!$B:$K,10,0),0)</f>
        <v>0</v>
      </c>
      <c r="F104" s="1749">
        <f t="shared" si="2"/>
        <v>0</v>
      </c>
      <c r="G104" s="1749">
        <f t="shared" si="3"/>
        <v>0</v>
      </c>
    </row>
    <row r="105" spans="1:7">
      <c r="A105" s="1607" t="s">
        <v>47</v>
      </c>
      <c r="B105" s="1609">
        <v>129204</v>
      </c>
      <c r="C105" s="1608"/>
      <c r="D105">
        <f>+IFERROR(VLOOKUP($A105,'TB Final'!$B:$K,7,0),0)</f>
        <v>129204</v>
      </c>
      <c r="E105">
        <f>+IFERROR(VLOOKUP($A105,'TB Final'!$B:$K,10,0),0)</f>
        <v>0</v>
      </c>
      <c r="F105" s="1749">
        <f t="shared" si="2"/>
        <v>0</v>
      </c>
      <c r="G105" s="1749">
        <f t="shared" si="3"/>
        <v>0</v>
      </c>
    </row>
    <row r="106" spans="1:7">
      <c r="A106" s="1607" t="s">
        <v>169</v>
      </c>
      <c r="B106" s="1609">
        <v>3611803</v>
      </c>
      <c r="C106" s="1608"/>
      <c r="D106">
        <f>+IFERROR(VLOOKUP($A106,'TB Final'!$B:$K,7,0),0)</f>
        <v>3611803</v>
      </c>
      <c r="E106">
        <f>+IFERROR(VLOOKUP($A106,'TB Final'!$B:$K,10,0),0)</f>
        <v>0</v>
      </c>
      <c r="F106" s="1749">
        <f t="shared" si="2"/>
        <v>0</v>
      </c>
      <c r="G106" s="1749">
        <f t="shared" si="3"/>
        <v>0</v>
      </c>
    </row>
    <row r="107" spans="1:7">
      <c r="A107" s="1607" t="s">
        <v>494</v>
      </c>
      <c r="B107" s="1608"/>
      <c r="C107" s="1609">
        <v>387602</v>
      </c>
      <c r="D107">
        <f>+IFERROR(VLOOKUP($A107,'TB Final'!$B:$K,7,0),0)</f>
        <v>0</v>
      </c>
      <c r="E107">
        <f>+IFERROR(VLOOKUP($A107,'TB Final'!$B:$K,10,0),0)</f>
        <v>387602</v>
      </c>
      <c r="F107" s="1749">
        <f t="shared" si="2"/>
        <v>0</v>
      </c>
      <c r="G107" s="1749">
        <f t="shared" si="3"/>
        <v>0</v>
      </c>
    </row>
    <row r="108" spans="1:7">
      <c r="A108" s="1607" t="s">
        <v>378</v>
      </c>
      <c r="B108" s="1609">
        <v>273693</v>
      </c>
      <c r="C108" s="1608"/>
      <c r="D108">
        <f>+IFERROR(VLOOKUP($A108,'TB Final'!$B:$K,7,0),0)</f>
        <v>273693</v>
      </c>
      <c r="E108">
        <f>+IFERROR(VLOOKUP($A108,'TB Final'!$B:$K,10,0),0)</f>
        <v>0</v>
      </c>
      <c r="F108" s="1749">
        <f t="shared" si="2"/>
        <v>0</v>
      </c>
      <c r="G108" s="1749">
        <f t="shared" si="3"/>
        <v>0</v>
      </c>
    </row>
    <row r="109" spans="1:7">
      <c r="A109" s="1607" t="s">
        <v>171</v>
      </c>
      <c r="B109" s="1609">
        <v>1893357</v>
      </c>
      <c r="C109" s="1608"/>
      <c r="D109">
        <f>+IFERROR(VLOOKUP($A109,'TB Final'!$B:$K,7,0),0)</f>
        <v>1893357</v>
      </c>
      <c r="E109">
        <f>+IFERROR(VLOOKUP($A109,'TB Final'!$B:$K,10,0),0)</f>
        <v>0</v>
      </c>
      <c r="F109" s="1749">
        <f t="shared" si="2"/>
        <v>0</v>
      </c>
      <c r="G109" s="1749">
        <f t="shared" si="3"/>
        <v>0</v>
      </c>
    </row>
    <row r="110" spans="1:7">
      <c r="A110" s="1607" t="s">
        <v>172</v>
      </c>
      <c r="B110" s="1608"/>
      <c r="C110" s="1609">
        <v>729285</v>
      </c>
      <c r="D110">
        <f>+IFERROR(VLOOKUP($A110,'TB Final'!$B:$K,7,0),0)</f>
        <v>0</v>
      </c>
      <c r="E110">
        <f>+IFERROR(VLOOKUP($A110,'TB Final'!$B:$K,10,0),0)</f>
        <v>729285</v>
      </c>
      <c r="F110" s="1749">
        <f t="shared" si="2"/>
        <v>0</v>
      </c>
      <c r="G110" s="1749">
        <f t="shared" si="3"/>
        <v>0</v>
      </c>
    </row>
    <row r="111" spans="1:7">
      <c r="A111" s="1607" t="s">
        <v>175</v>
      </c>
      <c r="B111" s="1609">
        <v>33965000</v>
      </c>
      <c r="C111" s="1608"/>
      <c r="D111">
        <f>+IFERROR(VLOOKUP($A111,'TB Final'!$B:$K,7,0),0)</f>
        <v>33965000</v>
      </c>
      <c r="E111">
        <f>+IFERROR(VLOOKUP($A111,'TB Final'!$B:$K,10,0),0)</f>
        <v>0</v>
      </c>
      <c r="F111" s="1749">
        <f t="shared" si="2"/>
        <v>0</v>
      </c>
      <c r="G111" s="1749">
        <f t="shared" si="3"/>
        <v>0</v>
      </c>
    </row>
    <row r="112" spans="1:7">
      <c r="A112" s="1607" t="s">
        <v>2960</v>
      </c>
      <c r="B112" s="1609">
        <v>314100</v>
      </c>
      <c r="C112" s="1608"/>
      <c r="D112">
        <f>+IFERROR(VLOOKUP($A112,'TB Final'!$B:$K,7,0),0)</f>
        <v>314100</v>
      </c>
      <c r="E112">
        <f>+IFERROR(VLOOKUP($A112,'TB Final'!$B:$K,10,0),0)</f>
        <v>0</v>
      </c>
      <c r="F112" s="1749">
        <f t="shared" si="2"/>
        <v>0</v>
      </c>
      <c r="G112" s="1749">
        <f t="shared" si="3"/>
        <v>0</v>
      </c>
    </row>
    <row r="113" spans="1:7">
      <c r="A113" s="1607" t="s">
        <v>2961</v>
      </c>
      <c r="B113" s="1608"/>
      <c r="C113" s="1609">
        <v>23600</v>
      </c>
      <c r="D113">
        <f>+IFERROR(VLOOKUP($A113,'TB Final'!$B:$K,7,0),0)</f>
        <v>0</v>
      </c>
      <c r="E113">
        <f>+IFERROR(VLOOKUP($A113,'TB Final'!$B:$K,10,0),0)</f>
        <v>23600</v>
      </c>
      <c r="F113" s="1749">
        <f t="shared" si="2"/>
        <v>0</v>
      </c>
      <c r="G113" s="1749">
        <f t="shared" si="3"/>
        <v>0</v>
      </c>
    </row>
    <row r="114" spans="1:7">
      <c r="A114" s="1607" t="s">
        <v>176</v>
      </c>
      <c r="B114" s="1609">
        <v>1982848.03</v>
      </c>
      <c r="C114" s="1608"/>
      <c r="D114">
        <f>+IFERROR(VLOOKUP($A114,'TB Final'!$B:$K,7,0),0)</f>
        <v>1982848.03</v>
      </c>
      <c r="E114">
        <f>+IFERROR(VLOOKUP($A114,'TB Final'!$B:$K,10,0),0)</f>
        <v>0</v>
      </c>
      <c r="F114" s="1749">
        <f t="shared" si="2"/>
        <v>0</v>
      </c>
      <c r="G114" s="1749">
        <f t="shared" si="3"/>
        <v>0</v>
      </c>
    </row>
    <row r="115" spans="1:7">
      <c r="A115" s="1607" t="s">
        <v>177</v>
      </c>
      <c r="B115" s="1608"/>
      <c r="C115" s="1609">
        <v>156751</v>
      </c>
      <c r="D115">
        <f>+IFERROR(VLOOKUP($A115,'TB Final'!$B:$K,7,0),0)</f>
        <v>0</v>
      </c>
      <c r="E115">
        <f>+IFERROR(VLOOKUP($A115,'TB Final'!$B:$K,10,0),0)</f>
        <v>156751</v>
      </c>
      <c r="F115" s="1749">
        <f t="shared" si="2"/>
        <v>0</v>
      </c>
      <c r="G115" s="1749">
        <f t="shared" si="3"/>
        <v>0</v>
      </c>
    </row>
    <row r="116" spans="1:7">
      <c r="A116" s="1607" t="s">
        <v>380</v>
      </c>
      <c r="B116" s="1608"/>
      <c r="C116" s="1609">
        <v>1562798</v>
      </c>
      <c r="D116">
        <f>+IFERROR(VLOOKUP($A116,'TB Final'!$B:$K,7,0),0)</f>
        <v>0</v>
      </c>
      <c r="E116">
        <f>+IFERROR(VLOOKUP($A116,'TB Final'!$B:$K,10,0),0)</f>
        <v>1562798</v>
      </c>
      <c r="F116" s="1749">
        <f t="shared" si="2"/>
        <v>0</v>
      </c>
      <c r="G116" s="1749">
        <f t="shared" si="3"/>
        <v>0</v>
      </c>
    </row>
    <row r="117" spans="1:7">
      <c r="A117" s="1607" t="s">
        <v>178</v>
      </c>
      <c r="B117" s="1608"/>
      <c r="C117" s="1609">
        <v>1800000</v>
      </c>
      <c r="D117">
        <f>+IFERROR(VLOOKUP($A117,'TB Final'!$B:$K,7,0),0)</f>
        <v>0</v>
      </c>
      <c r="E117">
        <f>+IFERROR(VLOOKUP($A117,'TB Final'!$B:$K,10,0),0)</f>
        <v>1800000</v>
      </c>
      <c r="F117" s="1749">
        <f t="shared" si="2"/>
        <v>0</v>
      </c>
      <c r="G117" s="1749">
        <f t="shared" si="3"/>
        <v>0</v>
      </c>
    </row>
    <row r="118" spans="1:7">
      <c r="A118" s="1607" t="s">
        <v>430</v>
      </c>
      <c r="B118" s="1608"/>
      <c r="C118" s="1609">
        <v>13500</v>
      </c>
      <c r="D118">
        <f>+IFERROR(VLOOKUP($A118,'TB Final'!$B:$K,7,0),0)</f>
        <v>0</v>
      </c>
      <c r="E118">
        <f>+IFERROR(VLOOKUP($A118,'TB Final'!$B:$K,10,0),0)</f>
        <v>13500</v>
      </c>
      <c r="F118" s="1749">
        <f t="shared" si="2"/>
        <v>0</v>
      </c>
      <c r="G118" s="1749">
        <f t="shared" si="3"/>
        <v>0</v>
      </c>
    </row>
    <row r="119" spans="1:7">
      <c r="A119" s="1607" t="s">
        <v>180</v>
      </c>
      <c r="B119" s="1608"/>
      <c r="C119" s="1609">
        <v>111510</v>
      </c>
      <c r="D119">
        <f>+IFERROR(VLOOKUP($A119,'TB Final'!$B:$K,7,0),0)</f>
        <v>0</v>
      </c>
      <c r="E119">
        <f>+IFERROR(VLOOKUP($A119,'TB Final'!$B:$K,10,0),0)</f>
        <v>111510</v>
      </c>
      <c r="F119" s="1749">
        <f t="shared" si="2"/>
        <v>0</v>
      </c>
      <c r="G119" s="1749">
        <f t="shared" si="3"/>
        <v>0</v>
      </c>
    </row>
    <row r="120" spans="1:7">
      <c r="A120" s="1607" t="s">
        <v>497</v>
      </c>
      <c r="B120" s="1609">
        <v>943417</v>
      </c>
      <c r="C120" s="1608"/>
      <c r="D120">
        <f>+IFERROR(VLOOKUP($A120,'TB Final'!$B:$K,7,0),0)</f>
        <v>887750</v>
      </c>
      <c r="E120">
        <f>+IFERROR(VLOOKUP($A120,'TB Final'!$B:$K,10,0),0)</f>
        <v>0</v>
      </c>
      <c r="F120" s="1749">
        <f t="shared" si="2"/>
        <v>55667</v>
      </c>
      <c r="G120" s="1749">
        <f t="shared" si="3"/>
        <v>0</v>
      </c>
    </row>
    <row r="121" spans="1:7">
      <c r="A121" s="1607" t="s">
        <v>184</v>
      </c>
      <c r="B121" s="1609">
        <v>36000</v>
      </c>
      <c r="C121" s="1608"/>
      <c r="D121">
        <f>+IFERROR(VLOOKUP($A121,'TB Final'!$B:$K,7,0),0)</f>
        <v>36000</v>
      </c>
      <c r="E121">
        <f>+IFERROR(VLOOKUP($A121,'TB Final'!$B:$K,10,0),0)</f>
        <v>0</v>
      </c>
      <c r="F121" s="1749">
        <f t="shared" si="2"/>
        <v>0</v>
      </c>
      <c r="G121" s="1749">
        <f t="shared" si="3"/>
        <v>0</v>
      </c>
    </row>
    <row r="122" spans="1:7">
      <c r="A122" s="1607" t="s">
        <v>499</v>
      </c>
      <c r="B122" s="1608"/>
      <c r="C122" s="1609">
        <v>183581</v>
      </c>
      <c r="D122">
        <f>+IFERROR(VLOOKUP($A122,'TB Final'!$B:$K,7,0),0)</f>
        <v>0</v>
      </c>
      <c r="E122">
        <f>+IFERROR(VLOOKUP($A122,'TB Final'!$B:$K,10,0),0)</f>
        <v>183581</v>
      </c>
      <c r="F122" s="1749">
        <f t="shared" si="2"/>
        <v>0</v>
      </c>
      <c r="G122" s="1749">
        <f t="shared" si="3"/>
        <v>0</v>
      </c>
    </row>
    <row r="123" spans="1:7">
      <c r="A123" s="1607" t="s">
        <v>186</v>
      </c>
      <c r="B123" s="1608"/>
      <c r="C123" s="1609">
        <v>1524277</v>
      </c>
      <c r="D123">
        <f>+IFERROR(VLOOKUP($A123,'TB Final'!$B:$K,7,0),0)</f>
        <v>0</v>
      </c>
      <c r="E123">
        <f>+IFERROR(VLOOKUP($A123,'TB Final'!$B:$K,10,0),0)</f>
        <v>1524277</v>
      </c>
      <c r="F123" s="1749">
        <f t="shared" si="2"/>
        <v>0</v>
      </c>
      <c r="G123" s="1749">
        <f t="shared" si="3"/>
        <v>0</v>
      </c>
    </row>
    <row r="124" spans="1:7">
      <c r="A124" s="1607" t="s">
        <v>500</v>
      </c>
      <c r="B124" s="1609">
        <v>21000</v>
      </c>
      <c r="C124" s="1608"/>
      <c r="D124">
        <f>+IFERROR(VLOOKUP($A124,'TB Final'!$B:$K,7,0),0)</f>
        <v>21000</v>
      </c>
      <c r="E124">
        <f>+IFERROR(VLOOKUP($A124,'TB Final'!$B:$K,10,0),0)</f>
        <v>0</v>
      </c>
      <c r="F124" s="1749">
        <f t="shared" si="2"/>
        <v>0</v>
      </c>
      <c r="G124" s="1749">
        <f t="shared" si="3"/>
        <v>0</v>
      </c>
    </row>
    <row r="125" spans="1:7">
      <c r="A125" s="1607" t="s">
        <v>188</v>
      </c>
      <c r="B125" s="1608"/>
      <c r="C125" s="1609">
        <v>514599</v>
      </c>
      <c r="D125">
        <f>+IFERROR(VLOOKUP($A125,'TB Final'!$B:$K,7,0),0)</f>
        <v>0</v>
      </c>
      <c r="E125">
        <f>+IFERROR(VLOOKUP($A125,'TB Final'!$B:$K,10,0),0)</f>
        <v>514599</v>
      </c>
      <c r="F125" s="1749">
        <f t="shared" si="2"/>
        <v>0</v>
      </c>
      <c r="G125" s="1749">
        <f t="shared" si="3"/>
        <v>0</v>
      </c>
    </row>
    <row r="126" spans="1:7">
      <c r="A126" s="1607" t="s">
        <v>2962</v>
      </c>
      <c r="B126" s="1608"/>
      <c r="C126" s="1609">
        <v>532764.55000000005</v>
      </c>
      <c r="D126">
        <f>+IFERROR(VLOOKUP($A126,'TB Final'!$B:$K,7,0),0)</f>
        <v>0</v>
      </c>
      <c r="E126">
        <f>+IFERROR(VLOOKUP($A126,'TB Final'!$B:$K,10,0),0)</f>
        <v>532764.55000000005</v>
      </c>
      <c r="F126" s="1749">
        <f t="shared" si="2"/>
        <v>0</v>
      </c>
      <c r="G126" s="1749">
        <f t="shared" si="3"/>
        <v>0</v>
      </c>
    </row>
    <row r="127" spans="1:7">
      <c r="A127" s="1607" t="s">
        <v>191</v>
      </c>
      <c r="B127" s="1609">
        <v>81135916.489999995</v>
      </c>
      <c r="C127" s="1608"/>
      <c r="D127">
        <f>+IFERROR(VLOOKUP($A127,'TB Final'!$B:$K,7,0),0)</f>
        <v>81135916.489999995</v>
      </c>
      <c r="E127">
        <f>+IFERROR(VLOOKUP($A127,'TB Final'!$B:$K,10,0),0)</f>
        <v>0</v>
      </c>
      <c r="F127" s="1749">
        <f t="shared" si="2"/>
        <v>0</v>
      </c>
      <c r="G127" s="1749">
        <f t="shared" si="3"/>
        <v>0</v>
      </c>
    </row>
    <row r="128" spans="1:7">
      <c r="A128" s="1607" t="s">
        <v>386</v>
      </c>
      <c r="B128" s="1609">
        <v>192500</v>
      </c>
      <c r="C128" s="1608"/>
      <c r="D128">
        <f>+IFERROR(VLOOKUP($A128,'TB Final'!$B:$K,7,0),0)</f>
        <v>192500</v>
      </c>
      <c r="E128">
        <f>+IFERROR(VLOOKUP($A128,'TB Final'!$B:$K,10,0),0)</f>
        <v>0</v>
      </c>
      <c r="F128" s="1749">
        <f t="shared" si="2"/>
        <v>0</v>
      </c>
      <c r="G128" s="1749">
        <f t="shared" si="3"/>
        <v>0</v>
      </c>
    </row>
    <row r="129" spans="1:7">
      <c r="A129" s="1607" t="s">
        <v>194</v>
      </c>
      <c r="B129" s="1609">
        <v>400000</v>
      </c>
      <c r="C129" s="1608"/>
      <c r="D129">
        <f>+IFERROR(VLOOKUP($A129,'TB Final'!$B:$K,7,0),0)</f>
        <v>400000</v>
      </c>
      <c r="E129">
        <f>+IFERROR(VLOOKUP($A129,'TB Final'!$B:$K,10,0),0)</f>
        <v>0</v>
      </c>
      <c r="F129" s="1749">
        <f t="shared" si="2"/>
        <v>0</v>
      </c>
      <c r="G129" s="1749">
        <f t="shared" si="3"/>
        <v>0</v>
      </c>
    </row>
    <row r="130" spans="1:7">
      <c r="A130" s="1607" t="s">
        <v>287</v>
      </c>
      <c r="B130" s="1609">
        <v>17190</v>
      </c>
      <c r="C130" s="1608"/>
      <c r="D130">
        <f>+IFERROR(VLOOKUP($A130,'TB Final'!$B:$K,7,0),0)</f>
        <v>17190</v>
      </c>
      <c r="E130">
        <f>+IFERROR(VLOOKUP($A130,'TB Final'!$B:$K,10,0),0)</f>
        <v>0</v>
      </c>
      <c r="F130" s="1749">
        <f t="shared" si="2"/>
        <v>0</v>
      </c>
      <c r="G130" s="1749">
        <f t="shared" si="3"/>
        <v>0</v>
      </c>
    </row>
    <row r="131" spans="1:7">
      <c r="A131" s="1607" t="s">
        <v>503</v>
      </c>
      <c r="B131" s="1609">
        <v>1891381</v>
      </c>
      <c r="C131" s="1608"/>
      <c r="D131">
        <f>+IFERROR(VLOOKUP($A131,'TB Final'!$B:$K,7,0),0)</f>
        <v>1891381</v>
      </c>
      <c r="E131">
        <f>+IFERROR(VLOOKUP($A131,'TB Final'!$B:$K,10,0),0)</f>
        <v>0</v>
      </c>
      <c r="F131" s="1749">
        <f t="shared" si="2"/>
        <v>0</v>
      </c>
      <c r="G131" s="1749">
        <f t="shared" si="3"/>
        <v>0</v>
      </c>
    </row>
    <row r="132" spans="1:7">
      <c r="A132" s="1607" t="s">
        <v>289</v>
      </c>
      <c r="B132" s="1609">
        <v>88213</v>
      </c>
      <c r="C132" s="1608"/>
      <c r="D132">
        <f>+IFERROR(VLOOKUP($A132,'TB Final'!$B:$K,7,0),0)</f>
        <v>88213</v>
      </c>
      <c r="E132">
        <f>+IFERROR(VLOOKUP($A132,'TB Final'!$B:$K,10,0),0)</f>
        <v>0</v>
      </c>
      <c r="F132" s="1749">
        <f t="shared" si="2"/>
        <v>0</v>
      </c>
      <c r="G132" s="1749">
        <f t="shared" si="3"/>
        <v>0</v>
      </c>
    </row>
    <row r="133" spans="1:7">
      <c r="A133" s="1607" t="s">
        <v>195</v>
      </c>
      <c r="B133" s="1608"/>
      <c r="C133" s="1609">
        <v>400020</v>
      </c>
      <c r="D133">
        <f>+IFERROR(VLOOKUP($A133,'TB Final'!$B:$K,7,0),0)</f>
        <v>0</v>
      </c>
      <c r="E133">
        <f>+IFERROR(VLOOKUP($A133,'TB Final'!$B:$K,10,0),0)</f>
        <v>400020</v>
      </c>
      <c r="F133" s="1749">
        <f t="shared" si="2"/>
        <v>0</v>
      </c>
      <c r="G133" s="1749">
        <f t="shared" si="3"/>
        <v>0</v>
      </c>
    </row>
    <row r="134" spans="1:7">
      <c r="A134" s="1607" t="s">
        <v>2964</v>
      </c>
      <c r="B134" s="1609">
        <v>152598</v>
      </c>
      <c r="C134" s="1608"/>
      <c r="D134">
        <f>+IFERROR(VLOOKUP($A134,'TB Final'!$B:$K,7,0),0)</f>
        <v>152598</v>
      </c>
      <c r="E134">
        <f>+IFERROR(VLOOKUP($A134,'TB Final'!$B:$K,10,0),0)</f>
        <v>0</v>
      </c>
      <c r="F134" s="1749">
        <f t="shared" si="2"/>
        <v>0</v>
      </c>
      <c r="G134" s="1749">
        <f t="shared" si="3"/>
        <v>0</v>
      </c>
    </row>
    <row r="135" spans="1:7">
      <c r="A135" s="1607" t="s">
        <v>504</v>
      </c>
      <c r="B135" s="1609">
        <v>170957</v>
      </c>
      <c r="C135" s="1608"/>
      <c r="D135">
        <f>+IFERROR(VLOOKUP($A135,'TB Final'!$B:$K,7,0),0)</f>
        <v>170957</v>
      </c>
      <c r="E135">
        <f>+IFERROR(VLOOKUP($A135,'TB Final'!$B:$K,10,0),0)</f>
        <v>0</v>
      </c>
      <c r="F135" s="1749">
        <f t="shared" si="2"/>
        <v>0</v>
      </c>
      <c r="G135" s="1749">
        <f t="shared" si="3"/>
        <v>0</v>
      </c>
    </row>
    <row r="136" spans="1:7">
      <c r="A136" s="1607" t="s">
        <v>505</v>
      </c>
      <c r="B136" s="1609">
        <v>1196371</v>
      </c>
      <c r="C136" s="1608"/>
      <c r="D136">
        <f>+IFERROR(VLOOKUP($A136,'TB Final'!$B:$K,7,0),0)</f>
        <v>1196371</v>
      </c>
      <c r="E136">
        <f>+IFERROR(VLOOKUP($A136,'TB Final'!$B:$K,10,0),0)</f>
        <v>0</v>
      </c>
      <c r="F136" s="1749">
        <f t="shared" si="2"/>
        <v>0</v>
      </c>
      <c r="G136" s="1749">
        <f t="shared" si="3"/>
        <v>0</v>
      </c>
    </row>
    <row r="137" spans="1:7">
      <c r="A137" s="1607" t="s">
        <v>389</v>
      </c>
      <c r="B137" s="1609">
        <v>24320</v>
      </c>
      <c r="C137" s="1608"/>
      <c r="D137">
        <f>+IFERROR(VLOOKUP($A137,'TB Final'!$B:$K,7,0),0)</f>
        <v>24320</v>
      </c>
      <c r="E137">
        <f>+IFERROR(VLOOKUP($A137,'TB Final'!$B:$K,10,0),0)</f>
        <v>0</v>
      </c>
      <c r="F137" s="1749">
        <f t="shared" si="2"/>
        <v>0</v>
      </c>
      <c r="G137" s="1749">
        <f t="shared" si="3"/>
        <v>0</v>
      </c>
    </row>
    <row r="138" spans="1:7">
      <c r="A138" s="1607" t="s">
        <v>198</v>
      </c>
      <c r="B138" s="1609">
        <v>170888</v>
      </c>
      <c r="C138" s="1608"/>
      <c r="D138">
        <f>+IFERROR(VLOOKUP($A138,'TB Final'!$B:$K,7,0),0)</f>
        <v>170888</v>
      </c>
      <c r="E138">
        <f>+IFERROR(VLOOKUP($A138,'TB Final'!$B:$K,10,0),0)</f>
        <v>0</v>
      </c>
      <c r="F138" s="1749">
        <f t="shared" si="2"/>
        <v>0</v>
      </c>
      <c r="G138" s="1749">
        <f t="shared" si="3"/>
        <v>0</v>
      </c>
    </row>
    <row r="139" spans="1:7">
      <c r="A139" s="1607" t="s">
        <v>159</v>
      </c>
      <c r="B139" s="1609">
        <v>12943</v>
      </c>
      <c r="C139" s="1608"/>
      <c r="D139">
        <f>+IFERROR(VLOOKUP($A139,'TB Final'!$B:$K,7,0),0)</f>
        <v>12943</v>
      </c>
      <c r="E139">
        <f>+IFERROR(VLOOKUP($A139,'TB Final'!$B:$K,10,0),0)</f>
        <v>0</v>
      </c>
      <c r="F139" s="1749">
        <f t="shared" si="2"/>
        <v>0</v>
      </c>
      <c r="G139" s="1749">
        <f t="shared" si="3"/>
        <v>0</v>
      </c>
    </row>
    <row r="140" spans="1:7">
      <c r="A140" s="1607" t="s">
        <v>200</v>
      </c>
      <c r="B140" s="1609">
        <v>486928</v>
      </c>
      <c r="C140" s="1608"/>
      <c r="D140">
        <f>+IFERROR(VLOOKUP($A140,'TB Final'!$B:$K,7,0),0)</f>
        <v>486928</v>
      </c>
      <c r="E140">
        <f>+IFERROR(VLOOKUP($A140,'TB Final'!$B:$K,10,0),0)</f>
        <v>0</v>
      </c>
      <c r="F140" s="1749">
        <f t="shared" si="2"/>
        <v>0</v>
      </c>
      <c r="G140" s="1749">
        <f t="shared" si="3"/>
        <v>0</v>
      </c>
    </row>
    <row r="141" spans="1:7">
      <c r="A141" s="1607" t="s">
        <v>203</v>
      </c>
      <c r="B141" s="1608"/>
      <c r="C141" s="1609">
        <v>172494</v>
      </c>
      <c r="D141">
        <f>+IFERROR(VLOOKUP($A141,'TB Final'!$B:$K,7,0),0)</f>
        <v>0</v>
      </c>
      <c r="E141">
        <f>+IFERROR(VLOOKUP($A141,'TB Final'!$B:$K,10,0),0)</f>
        <v>172494</v>
      </c>
      <c r="F141" s="1749">
        <f t="shared" ref="F141:F204" si="4">+B141-D141</f>
        <v>0</v>
      </c>
      <c r="G141" s="1749">
        <f t="shared" ref="G141:G204" si="5">+C141-E141</f>
        <v>0</v>
      </c>
    </row>
    <row r="142" spans="1:7">
      <c r="A142" s="1607" t="s">
        <v>208</v>
      </c>
      <c r="B142" s="1609">
        <v>39606</v>
      </c>
      <c r="C142" s="1608"/>
      <c r="D142">
        <f>+IFERROR(VLOOKUP($A142,'TB Final'!$B:$K,7,0),0)</f>
        <v>39606</v>
      </c>
      <c r="E142">
        <f>+IFERROR(VLOOKUP($A142,'TB Final'!$B:$K,10,0),0)</f>
        <v>0</v>
      </c>
      <c r="F142" s="1749">
        <f t="shared" si="4"/>
        <v>0</v>
      </c>
      <c r="G142" s="1749">
        <f t="shared" si="5"/>
        <v>0</v>
      </c>
    </row>
    <row r="143" spans="1:7">
      <c r="A143" s="1607" t="s">
        <v>209</v>
      </c>
      <c r="B143" s="1609">
        <v>30516</v>
      </c>
      <c r="C143" s="1608"/>
      <c r="D143">
        <f>+IFERROR(VLOOKUP($A143,'TB Final'!$B:$K,7,0),0)</f>
        <v>30516</v>
      </c>
      <c r="E143">
        <f>+IFERROR(VLOOKUP($A143,'TB Final'!$B:$K,10,0),0)</f>
        <v>0</v>
      </c>
      <c r="F143" s="1749">
        <f t="shared" si="4"/>
        <v>0</v>
      </c>
      <c r="G143" s="1749">
        <f t="shared" si="5"/>
        <v>0</v>
      </c>
    </row>
    <row r="144" spans="1:7">
      <c r="A144" s="1607" t="s">
        <v>431</v>
      </c>
      <c r="B144" s="1609">
        <v>144126</v>
      </c>
      <c r="C144" s="1608"/>
      <c r="D144">
        <f>+IFERROR(VLOOKUP($A144,'TB Final'!$B:$K,7,0),0)</f>
        <v>144126</v>
      </c>
      <c r="E144">
        <f>+IFERROR(VLOOKUP($A144,'TB Final'!$B:$K,10,0),0)</f>
        <v>0</v>
      </c>
      <c r="F144" s="1749">
        <f t="shared" si="4"/>
        <v>0</v>
      </c>
      <c r="G144" s="1749">
        <f t="shared" si="5"/>
        <v>0</v>
      </c>
    </row>
    <row r="145" spans="1:7">
      <c r="A145" s="1607" t="s">
        <v>210</v>
      </c>
      <c r="B145" s="1609">
        <v>7332</v>
      </c>
      <c r="C145" s="1608"/>
      <c r="D145">
        <f>+IFERROR(VLOOKUP($A145,'TB Final'!$B:$K,7,0),0)</f>
        <v>7332</v>
      </c>
      <c r="E145">
        <f>+IFERROR(VLOOKUP($A145,'TB Final'!$B:$K,10,0),0)</f>
        <v>0</v>
      </c>
      <c r="F145" s="1749">
        <f t="shared" si="4"/>
        <v>0</v>
      </c>
      <c r="G145" s="1749">
        <f t="shared" si="5"/>
        <v>0</v>
      </c>
    </row>
    <row r="146" spans="1:7">
      <c r="A146" s="1607" t="s">
        <v>213</v>
      </c>
      <c r="B146" s="1609">
        <v>41084</v>
      </c>
      <c r="C146" s="1608"/>
      <c r="D146">
        <f>+IFERROR(VLOOKUP($A146,'TB Final'!$B:$K,7,0),0)</f>
        <v>41084</v>
      </c>
      <c r="E146">
        <f>+IFERROR(VLOOKUP($A146,'TB Final'!$B:$K,10,0),0)</f>
        <v>0</v>
      </c>
      <c r="F146" s="1749">
        <f t="shared" si="4"/>
        <v>0</v>
      </c>
      <c r="G146" s="1749">
        <f t="shared" si="5"/>
        <v>0</v>
      </c>
    </row>
    <row r="147" spans="1:7">
      <c r="A147" s="1607" t="s">
        <v>83</v>
      </c>
      <c r="B147" s="1609">
        <v>2611</v>
      </c>
      <c r="C147" s="1608"/>
      <c r="D147">
        <f>+IFERROR(VLOOKUP($A147,'TB Final'!$B:$K,7,0),0)</f>
        <v>2611</v>
      </c>
      <c r="E147">
        <f>+IFERROR(VLOOKUP($A147,'TB Final'!$B:$K,10,0),0)</f>
        <v>0</v>
      </c>
      <c r="F147" s="1749">
        <f t="shared" si="4"/>
        <v>0</v>
      </c>
      <c r="G147" s="1749">
        <f t="shared" si="5"/>
        <v>0</v>
      </c>
    </row>
    <row r="148" spans="1:7">
      <c r="A148" s="1607" t="s">
        <v>507</v>
      </c>
      <c r="B148" s="1609">
        <v>11646</v>
      </c>
      <c r="C148" s="1608"/>
      <c r="D148">
        <f>+IFERROR(VLOOKUP($A148,'TB Final'!$B:$K,7,0),0)</f>
        <v>11646</v>
      </c>
      <c r="E148">
        <f>+IFERROR(VLOOKUP($A148,'TB Final'!$B:$K,10,0),0)</f>
        <v>0</v>
      </c>
      <c r="F148" s="1749">
        <f t="shared" si="4"/>
        <v>0</v>
      </c>
      <c r="G148" s="1749">
        <f t="shared" si="5"/>
        <v>0</v>
      </c>
    </row>
    <row r="149" spans="1:7">
      <c r="A149" s="1607" t="s">
        <v>2966</v>
      </c>
      <c r="B149" s="1609">
        <v>290224</v>
      </c>
      <c r="C149" s="1608"/>
      <c r="D149">
        <f>+IFERROR(VLOOKUP($A149,'TB Final'!$B:$K,7,0),0)</f>
        <v>290224</v>
      </c>
      <c r="E149">
        <f>+IFERROR(VLOOKUP($A149,'TB Final'!$B:$K,10,0),0)</f>
        <v>0</v>
      </c>
      <c r="F149" s="1749">
        <f t="shared" si="4"/>
        <v>0</v>
      </c>
      <c r="G149" s="1749">
        <f t="shared" si="5"/>
        <v>0</v>
      </c>
    </row>
    <row r="150" spans="1:7">
      <c r="A150" s="1607" t="s">
        <v>2967</v>
      </c>
      <c r="B150" s="1609">
        <v>467386</v>
      </c>
      <c r="C150" s="1608"/>
      <c r="D150">
        <f>+IFERROR(VLOOKUP($A150,'TB Final'!$B:$K,7,0),0)</f>
        <v>467386</v>
      </c>
      <c r="E150">
        <f>+IFERROR(VLOOKUP($A150,'TB Final'!$B:$K,10,0),0)</f>
        <v>0</v>
      </c>
      <c r="F150" s="1749">
        <f t="shared" si="4"/>
        <v>0</v>
      </c>
      <c r="G150" s="1749">
        <f t="shared" si="5"/>
        <v>0</v>
      </c>
    </row>
    <row r="151" spans="1:7">
      <c r="A151" s="1607" t="s">
        <v>2968</v>
      </c>
      <c r="B151" s="1609">
        <v>1199821</v>
      </c>
      <c r="C151" s="1608"/>
      <c r="D151">
        <f>+IFERROR(VLOOKUP($A151,'TB Final'!$B:$K,7,0),0)</f>
        <v>1199821</v>
      </c>
      <c r="E151">
        <f>+IFERROR(VLOOKUP($A151,'TB Final'!$B:$K,10,0),0)</f>
        <v>0</v>
      </c>
      <c r="F151" s="1749">
        <f t="shared" si="4"/>
        <v>0</v>
      </c>
      <c r="G151" s="1749">
        <f t="shared" si="5"/>
        <v>0</v>
      </c>
    </row>
    <row r="152" spans="1:7">
      <c r="A152" s="1607" t="s">
        <v>202</v>
      </c>
      <c r="B152" s="1609">
        <v>319057</v>
      </c>
      <c r="C152" s="1608"/>
      <c r="D152">
        <f>+IFERROR(VLOOKUP($A152,'TB Final'!$B:$K,7,0),0)</f>
        <v>319057</v>
      </c>
      <c r="E152">
        <f>+IFERROR(VLOOKUP($A152,'TB Final'!$B:$K,10,0),0)</f>
        <v>0</v>
      </c>
      <c r="F152" s="1749">
        <f t="shared" si="4"/>
        <v>0</v>
      </c>
      <c r="G152" s="1749">
        <f t="shared" si="5"/>
        <v>0</v>
      </c>
    </row>
    <row r="153" spans="1:7">
      <c r="A153" s="1607" t="s">
        <v>508</v>
      </c>
      <c r="B153" s="1609">
        <v>8855907</v>
      </c>
      <c r="C153" s="1608"/>
      <c r="D153">
        <f>+IFERROR(VLOOKUP($A153,'TB Final'!$B:$K,7,0),0)</f>
        <v>8855907</v>
      </c>
      <c r="E153">
        <f>+IFERROR(VLOOKUP($A153,'TB Final'!$B:$K,10,0),0)</f>
        <v>0</v>
      </c>
      <c r="F153" s="1749">
        <f t="shared" si="4"/>
        <v>0</v>
      </c>
      <c r="G153" s="1749">
        <f t="shared" si="5"/>
        <v>0</v>
      </c>
    </row>
    <row r="154" spans="1:7">
      <c r="A154" s="1607" t="s">
        <v>391</v>
      </c>
      <c r="B154" s="1609">
        <v>488813</v>
      </c>
      <c r="C154" s="1608"/>
      <c r="D154">
        <f>+IFERROR(VLOOKUP($A154,'TB Final'!$B:$K,7,0),0)</f>
        <v>488813</v>
      </c>
      <c r="E154">
        <f>+IFERROR(VLOOKUP($A154,'TB Final'!$B:$K,10,0),0)</f>
        <v>0</v>
      </c>
      <c r="F154" s="1749">
        <f t="shared" si="4"/>
        <v>0</v>
      </c>
      <c r="G154" s="1749">
        <f t="shared" si="5"/>
        <v>0</v>
      </c>
    </row>
    <row r="155" spans="1:7">
      <c r="A155" s="1607" t="s">
        <v>509</v>
      </c>
      <c r="B155" s="1609">
        <v>2953424</v>
      </c>
      <c r="C155" s="1608"/>
      <c r="D155">
        <f>+IFERROR(VLOOKUP($A155,'TB Final'!$B:$K,7,0),0)</f>
        <v>2953424</v>
      </c>
      <c r="E155">
        <f>+IFERROR(VLOOKUP($A155,'TB Final'!$B:$K,10,0),0)</f>
        <v>0</v>
      </c>
      <c r="F155" s="1749">
        <f t="shared" si="4"/>
        <v>0</v>
      </c>
      <c r="G155" s="1749">
        <f t="shared" si="5"/>
        <v>0</v>
      </c>
    </row>
    <row r="156" spans="1:7">
      <c r="A156" s="1607" t="s">
        <v>215</v>
      </c>
      <c r="B156" s="1609">
        <v>200000</v>
      </c>
      <c r="C156" s="1608"/>
      <c r="D156">
        <f>+IFERROR(VLOOKUP($A156,'TB Final'!$B:$K,7,0),0)</f>
        <v>200000</v>
      </c>
      <c r="E156">
        <f>+IFERROR(VLOOKUP($A156,'TB Final'!$B:$K,10,0),0)</f>
        <v>0</v>
      </c>
      <c r="F156" s="1749">
        <f t="shared" si="4"/>
        <v>0</v>
      </c>
      <c r="G156" s="1749">
        <f t="shared" si="5"/>
        <v>0</v>
      </c>
    </row>
    <row r="157" spans="1:7">
      <c r="A157" s="1607" t="s">
        <v>432</v>
      </c>
      <c r="B157" s="1608"/>
      <c r="C157" s="1609">
        <v>68027</v>
      </c>
      <c r="D157">
        <f>+IFERROR(VLOOKUP($A157,'TB Final'!$B:$K,7,0),0)</f>
        <v>0</v>
      </c>
      <c r="E157">
        <f>+IFERROR(VLOOKUP($A157,'TB Final'!$B:$K,10,0),0)</f>
        <v>68027</v>
      </c>
      <c r="F157" s="1749">
        <f t="shared" si="4"/>
        <v>0</v>
      </c>
      <c r="G157" s="1749">
        <f t="shared" si="5"/>
        <v>0</v>
      </c>
    </row>
    <row r="158" spans="1:7">
      <c r="A158" s="1607" t="s">
        <v>218</v>
      </c>
      <c r="B158" s="1609">
        <v>231314</v>
      </c>
      <c r="C158" s="1608"/>
      <c r="D158">
        <f>+IFERROR(VLOOKUP($A158,'TB Final'!$B:$K,7,0),0)</f>
        <v>231314</v>
      </c>
      <c r="E158">
        <f>+IFERROR(VLOOKUP($A158,'TB Final'!$B:$K,10,0),0)</f>
        <v>0</v>
      </c>
      <c r="F158" s="1749">
        <f t="shared" si="4"/>
        <v>0</v>
      </c>
      <c r="G158" s="1749">
        <f t="shared" si="5"/>
        <v>0</v>
      </c>
    </row>
    <row r="159" spans="1:7">
      <c r="A159" s="1607" t="s">
        <v>220</v>
      </c>
      <c r="B159" s="1608"/>
      <c r="C159" s="1609">
        <v>7756259</v>
      </c>
      <c r="D159">
        <f>+IFERROR(VLOOKUP($A159,'TB Final'!$B:$K,7,0),0)</f>
        <v>0</v>
      </c>
      <c r="E159">
        <f>+IFERROR(VLOOKUP($A159,'TB Final'!$B:$K,10,0),0)</f>
        <v>7756259</v>
      </c>
      <c r="F159" s="1749">
        <f t="shared" si="4"/>
        <v>0</v>
      </c>
      <c r="G159" s="1749">
        <f t="shared" si="5"/>
        <v>0</v>
      </c>
    </row>
    <row r="160" spans="1:7">
      <c r="A160" s="1607" t="s">
        <v>433</v>
      </c>
      <c r="B160" s="1609">
        <v>250430</v>
      </c>
      <c r="C160" s="1608"/>
      <c r="D160">
        <f>+IFERROR(VLOOKUP($A160,'TB Final'!$B:$K,7,0),0)</f>
        <v>250430</v>
      </c>
      <c r="E160">
        <f>+IFERROR(VLOOKUP($A160,'TB Final'!$B:$K,10,0),0)</f>
        <v>0</v>
      </c>
      <c r="F160" s="1749">
        <f t="shared" si="4"/>
        <v>0</v>
      </c>
      <c r="G160" s="1749">
        <f t="shared" si="5"/>
        <v>0</v>
      </c>
    </row>
    <row r="161" spans="1:7">
      <c r="A161" s="1607" t="s">
        <v>511</v>
      </c>
      <c r="B161" s="1608"/>
      <c r="C161" s="1609">
        <v>5453561</v>
      </c>
      <c r="D161">
        <f>+IFERROR(VLOOKUP($A161,'TB Final'!$B:$K,7,0),0)</f>
        <v>0</v>
      </c>
      <c r="E161">
        <f>+IFERROR(VLOOKUP($A161,'TB Final'!$B:$K,10,0),0)</f>
        <v>5453561</v>
      </c>
      <c r="F161" s="1749">
        <f t="shared" si="4"/>
        <v>0</v>
      </c>
      <c r="G161" s="1749">
        <f t="shared" si="5"/>
        <v>0</v>
      </c>
    </row>
    <row r="162" spans="1:7">
      <c r="A162" s="1607" t="s">
        <v>512</v>
      </c>
      <c r="B162" s="1608"/>
      <c r="C162" s="1609">
        <v>7299688</v>
      </c>
      <c r="D162">
        <f>+IFERROR(VLOOKUP($A162,'TB Final'!$B:$K,7,0),0)</f>
        <v>0</v>
      </c>
      <c r="E162">
        <f>+IFERROR(VLOOKUP($A162,'TB Final'!$B:$K,10,0),0)</f>
        <v>7299688</v>
      </c>
      <c r="F162" s="1749">
        <f t="shared" si="4"/>
        <v>0</v>
      </c>
      <c r="G162" s="1749">
        <f t="shared" si="5"/>
        <v>0</v>
      </c>
    </row>
    <row r="163" spans="1:7">
      <c r="A163" s="1607" t="s">
        <v>224</v>
      </c>
      <c r="B163" s="1608"/>
      <c r="C163" s="1609">
        <v>4374722</v>
      </c>
      <c r="D163">
        <f>+IFERROR(VLOOKUP($A163,'TB Final'!$B:$K,7,0),0)</f>
        <v>0</v>
      </c>
      <c r="E163">
        <f>+IFERROR(VLOOKUP($A163,'TB Final'!$B:$K,10,0),0)</f>
        <v>4374722</v>
      </c>
      <c r="F163" s="1749">
        <f t="shared" si="4"/>
        <v>0</v>
      </c>
      <c r="G163" s="1749">
        <f t="shared" si="5"/>
        <v>0</v>
      </c>
    </row>
    <row r="164" spans="1:7">
      <c r="A164" s="1607" t="s">
        <v>452</v>
      </c>
      <c r="B164" s="1608"/>
      <c r="C164" s="1609">
        <v>220853</v>
      </c>
      <c r="D164">
        <f>+IFERROR(VLOOKUP($A164,'TB Final'!$B:$K,7,0),0)</f>
        <v>0</v>
      </c>
      <c r="E164">
        <f>+IFERROR(VLOOKUP($A164,'TB Final'!$B:$K,10,0),0)</f>
        <v>220853</v>
      </c>
      <c r="F164" s="1749">
        <f t="shared" si="4"/>
        <v>0</v>
      </c>
      <c r="G164" s="1749">
        <f t="shared" si="5"/>
        <v>0</v>
      </c>
    </row>
    <row r="165" spans="1:7">
      <c r="A165" s="1607" t="s">
        <v>2971</v>
      </c>
      <c r="B165" s="1608"/>
      <c r="C165" s="1609">
        <v>135000</v>
      </c>
      <c r="D165">
        <f>+IFERROR(VLOOKUP($A165,'TB Final'!$B:$K,7,0),0)</f>
        <v>0</v>
      </c>
      <c r="E165">
        <f>+IFERROR(VLOOKUP($A165,'TB Final'!$B:$K,10,0),0)</f>
        <v>135000</v>
      </c>
      <c r="F165" s="1749">
        <f t="shared" si="4"/>
        <v>0</v>
      </c>
      <c r="G165" s="1749">
        <f t="shared" si="5"/>
        <v>0</v>
      </c>
    </row>
    <row r="166" spans="1:7">
      <c r="A166" s="1607" t="s">
        <v>223</v>
      </c>
      <c r="B166" s="1608"/>
      <c r="C166" s="1609">
        <v>3154</v>
      </c>
      <c r="D166">
        <f>+IFERROR(VLOOKUP($A166,'TB Final'!$B:$K,7,0),0)</f>
        <v>0</v>
      </c>
      <c r="E166">
        <f>+IFERROR(VLOOKUP($A166,'TB Final'!$B:$K,10,0),0)</f>
        <v>3154</v>
      </c>
      <c r="F166" s="1749">
        <f t="shared" si="4"/>
        <v>0</v>
      </c>
      <c r="G166" s="1749">
        <f t="shared" si="5"/>
        <v>0</v>
      </c>
    </row>
    <row r="167" spans="1:7">
      <c r="A167" s="1607" t="s">
        <v>229</v>
      </c>
      <c r="B167" s="1609">
        <v>14544</v>
      </c>
      <c r="C167" s="1608"/>
      <c r="D167">
        <f>+IFERROR(VLOOKUP($A167,'TB Final'!$B:$K,7,0),0)</f>
        <v>14544</v>
      </c>
      <c r="E167">
        <f>+IFERROR(VLOOKUP($A167,'TB Final'!$B:$K,10,0),0)</f>
        <v>0</v>
      </c>
      <c r="F167" s="1749">
        <f t="shared" si="4"/>
        <v>0</v>
      </c>
      <c r="G167" s="1749">
        <f t="shared" si="5"/>
        <v>0</v>
      </c>
    </row>
    <row r="168" spans="1:7">
      <c r="A168" s="1607" t="s">
        <v>230</v>
      </c>
      <c r="B168" s="1609">
        <v>19977798</v>
      </c>
      <c r="C168" s="1608"/>
      <c r="D168">
        <f>+IFERROR(VLOOKUP($A168,'TB Final'!$B:$K,7,0),0)</f>
        <v>19977798</v>
      </c>
      <c r="E168">
        <f>+IFERROR(VLOOKUP($A168,'TB Final'!$B:$K,10,0),0)</f>
        <v>0</v>
      </c>
      <c r="F168" s="1749">
        <f t="shared" si="4"/>
        <v>0</v>
      </c>
      <c r="G168" s="1749">
        <f t="shared" si="5"/>
        <v>0</v>
      </c>
    </row>
    <row r="169" spans="1:7">
      <c r="A169" s="1607" t="s">
        <v>392</v>
      </c>
      <c r="B169" s="1608"/>
      <c r="C169" s="1609">
        <v>10547882</v>
      </c>
      <c r="D169">
        <f>+IFERROR(VLOOKUP($A169,'TB Final'!$B:$K,7,0),0)</f>
        <v>0</v>
      </c>
      <c r="E169">
        <f>+IFERROR(VLOOKUP($A169,'TB Final'!$B:$K,10,0),0)</f>
        <v>10547882</v>
      </c>
      <c r="F169" s="1749">
        <f t="shared" si="4"/>
        <v>0</v>
      </c>
      <c r="G169" s="1749">
        <f t="shared" si="5"/>
        <v>0</v>
      </c>
    </row>
    <row r="170" spans="1:7">
      <c r="A170" s="1607" t="s">
        <v>434</v>
      </c>
      <c r="B170" s="1608"/>
      <c r="C170" s="1609">
        <v>754370</v>
      </c>
      <c r="D170">
        <f>+IFERROR(VLOOKUP($A170,'TB Final'!$B:$K,7,0),0)</f>
        <v>0</v>
      </c>
      <c r="E170">
        <f>+IFERROR(VLOOKUP($A170,'TB Final'!$B:$K,10,0),0)</f>
        <v>754370</v>
      </c>
      <c r="F170" s="1749">
        <f t="shared" si="4"/>
        <v>0</v>
      </c>
      <c r="G170" s="1749">
        <f t="shared" si="5"/>
        <v>0</v>
      </c>
    </row>
    <row r="171" spans="1:7">
      <c r="A171" s="1607" t="s">
        <v>2972</v>
      </c>
      <c r="B171" s="1609">
        <v>781839</v>
      </c>
      <c r="C171" s="1608"/>
      <c r="D171">
        <f>+IFERROR(VLOOKUP($A171,'TB Final'!$B:$K,7,0),0)</f>
        <v>781839</v>
      </c>
      <c r="E171">
        <f>+IFERROR(VLOOKUP($A171,'TB Final'!$B:$K,10,0),0)</f>
        <v>0</v>
      </c>
      <c r="F171" s="1749">
        <f t="shared" si="4"/>
        <v>0</v>
      </c>
      <c r="G171" s="1749">
        <f t="shared" si="5"/>
        <v>0</v>
      </c>
    </row>
    <row r="172" spans="1:7">
      <c r="A172" s="1607" t="s">
        <v>232</v>
      </c>
      <c r="B172" s="1609">
        <v>343164</v>
      </c>
      <c r="C172" s="1608"/>
      <c r="D172">
        <f>+IFERROR(VLOOKUP($A172,'TB Final'!$B:$K,7,0),0)</f>
        <v>343164</v>
      </c>
      <c r="E172">
        <f>+IFERROR(VLOOKUP($A172,'TB Final'!$B:$K,10,0),0)</f>
        <v>0</v>
      </c>
      <c r="F172" s="1749">
        <f t="shared" si="4"/>
        <v>0</v>
      </c>
      <c r="G172" s="1749">
        <f t="shared" si="5"/>
        <v>0</v>
      </c>
    </row>
    <row r="173" spans="1:7">
      <c r="A173" s="1607" t="s">
        <v>233</v>
      </c>
      <c r="B173" s="1608"/>
      <c r="C173" s="1609">
        <v>343164</v>
      </c>
      <c r="D173">
        <f>+IFERROR(VLOOKUP($A173,'TB Final'!$B:$K,7,0),0)</f>
        <v>0</v>
      </c>
      <c r="E173">
        <f>+IFERROR(VLOOKUP($A173,'TB Final'!$B:$K,10,0),0)</f>
        <v>343164</v>
      </c>
      <c r="F173" s="1749">
        <f t="shared" si="4"/>
        <v>0</v>
      </c>
      <c r="G173" s="1749">
        <f t="shared" si="5"/>
        <v>0</v>
      </c>
    </row>
    <row r="174" spans="1:7">
      <c r="A174" s="1607" t="s">
        <v>234</v>
      </c>
      <c r="B174" s="1609">
        <v>112800</v>
      </c>
      <c r="C174" s="1608"/>
      <c r="D174">
        <f>+IFERROR(VLOOKUP($A174,'TB Final'!$B:$K,7,0),0)</f>
        <v>112800</v>
      </c>
      <c r="E174">
        <f>+IFERROR(VLOOKUP($A174,'TB Final'!$B:$K,10,0),0)</f>
        <v>0</v>
      </c>
      <c r="F174" s="1749">
        <f t="shared" si="4"/>
        <v>0</v>
      </c>
      <c r="G174" s="1749">
        <f t="shared" si="5"/>
        <v>0</v>
      </c>
    </row>
    <row r="175" spans="1:7">
      <c r="A175" s="1607" t="s">
        <v>228</v>
      </c>
      <c r="B175" s="1608"/>
      <c r="C175" s="1609">
        <v>40147</v>
      </c>
      <c r="D175">
        <f>+IFERROR(VLOOKUP($A175,'TB Final'!$B:$K,7,0),0)</f>
        <v>0</v>
      </c>
      <c r="E175">
        <f>+IFERROR(VLOOKUP($A175,'TB Final'!$B:$K,10,0),0)</f>
        <v>40147</v>
      </c>
      <c r="F175" s="1749">
        <f t="shared" si="4"/>
        <v>0</v>
      </c>
      <c r="G175" s="1749">
        <f t="shared" si="5"/>
        <v>0</v>
      </c>
    </row>
    <row r="176" spans="1:7">
      <c r="A176" s="1607" t="s">
        <v>4717</v>
      </c>
      <c r="B176" s="1609">
        <v>680425.4</v>
      </c>
      <c r="C176" s="1608"/>
      <c r="D176">
        <f>+IFERROR(VLOOKUP($A176,'TB Final'!$B:$K,7,0),0)</f>
        <v>323224</v>
      </c>
      <c r="E176">
        <f>+IFERROR(VLOOKUP($A176,'TB Final'!$B:$K,10,0),0)</f>
        <v>0</v>
      </c>
      <c r="F176" s="1749">
        <f t="shared" si="4"/>
        <v>357201.4</v>
      </c>
      <c r="G176" s="1749">
        <f t="shared" si="5"/>
        <v>0</v>
      </c>
    </row>
    <row r="177" spans="1:7">
      <c r="A177" s="1607" t="s">
        <v>236</v>
      </c>
      <c r="B177" s="1609">
        <v>402863.5</v>
      </c>
      <c r="C177" s="1608"/>
      <c r="D177">
        <f>+IFERROR(VLOOKUP($A177,'TB Final'!$B:$K,7,0),0)</f>
        <v>402863.5</v>
      </c>
      <c r="E177">
        <f>+IFERROR(VLOOKUP($A177,'TB Final'!$B:$K,10,0),0)</f>
        <v>0</v>
      </c>
      <c r="F177" s="1749">
        <f t="shared" si="4"/>
        <v>0</v>
      </c>
      <c r="G177" s="1749">
        <f t="shared" si="5"/>
        <v>0</v>
      </c>
    </row>
    <row r="178" spans="1:7">
      <c r="A178" s="1607" t="s">
        <v>237</v>
      </c>
      <c r="B178" s="1609">
        <v>1501316</v>
      </c>
      <c r="C178" s="1608"/>
      <c r="D178">
        <f>+IFERROR(VLOOKUP($A178,'TB Final'!$B:$K,7,0),0)</f>
        <v>1501316</v>
      </c>
      <c r="E178">
        <f>+IFERROR(VLOOKUP($A178,'TB Final'!$B:$K,10,0),0)</f>
        <v>0</v>
      </c>
      <c r="F178" s="1749">
        <f t="shared" si="4"/>
        <v>0</v>
      </c>
      <c r="G178" s="1749">
        <f t="shared" si="5"/>
        <v>0</v>
      </c>
    </row>
    <row r="179" spans="1:7">
      <c r="A179" s="1607" t="s">
        <v>238</v>
      </c>
      <c r="B179" s="1609">
        <v>4136012.77</v>
      </c>
      <c r="C179" s="1608"/>
      <c r="D179">
        <f>+IFERROR(VLOOKUP($A179,'TB Final'!$B:$K,7,0),0)</f>
        <v>4136012.77</v>
      </c>
      <c r="E179">
        <f>+IFERROR(VLOOKUP($A179,'TB Final'!$B:$K,10,0),0)</f>
        <v>0</v>
      </c>
      <c r="F179" s="1749">
        <f t="shared" si="4"/>
        <v>0</v>
      </c>
      <c r="G179" s="1749">
        <f t="shared" si="5"/>
        <v>0</v>
      </c>
    </row>
    <row r="180" spans="1:7">
      <c r="A180" s="1607" t="s">
        <v>513</v>
      </c>
      <c r="B180" s="1609">
        <v>193134.65</v>
      </c>
      <c r="C180" s="1608"/>
      <c r="D180">
        <f>+IFERROR(VLOOKUP($A180,'TB Final'!$B:$K,7,0),0)</f>
        <v>193134.65</v>
      </c>
      <c r="E180">
        <f>+IFERROR(VLOOKUP($A180,'TB Final'!$B:$K,10,0),0)</f>
        <v>0</v>
      </c>
      <c r="F180" s="1749">
        <f t="shared" si="4"/>
        <v>0</v>
      </c>
      <c r="G180" s="1749">
        <f t="shared" si="5"/>
        <v>0</v>
      </c>
    </row>
    <row r="181" spans="1:7">
      <c r="A181" s="1607" t="s">
        <v>239</v>
      </c>
      <c r="B181" s="1609">
        <v>2465865</v>
      </c>
      <c r="C181" s="1608"/>
      <c r="D181">
        <f>+IFERROR(VLOOKUP($A181,'TB Final'!$B:$K,7,0),0)</f>
        <v>2465865</v>
      </c>
      <c r="E181">
        <f>+IFERROR(VLOOKUP($A181,'TB Final'!$B:$K,10,0),0)</f>
        <v>0</v>
      </c>
      <c r="F181" s="1749">
        <f t="shared" si="4"/>
        <v>0</v>
      </c>
      <c r="G181" s="1749">
        <f t="shared" si="5"/>
        <v>0</v>
      </c>
    </row>
    <row r="182" spans="1:7">
      <c r="A182" s="1607" t="s">
        <v>19</v>
      </c>
      <c r="B182" s="1608"/>
      <c r="C182" s="1609">
        <v>5463715</v>
      </c>
      <c r="D182">
        <f>+IFERROR(VLOOKUP($A182,'TB Final'!$B:$K,7,0),0)</f>
        <v>0</v>
      </c>
      <c r="E182">
        <f>+IFERROR(VLOOKUP($A182,'TB Final'!$B:$K,10,0),0)</f>
        <v>5463715</v>
      </c>
      <c r="F182" s="1749">
        <f t="shared" si="4"/>
        <v>0</v>
      </c>
      <c r="G182" s="1749">
        <f t="shared" si="5"/>
        <v>0</v>
      </c>
    </row>
    <row r="183" spans="1:7">
      <c r="A183" s="1607" t="s">
        <v>515</v>
      </c>
      <c r="B183" s="1609">
        <v>255943</v>
      </c>
      <c r="C183" s="1608"/>
      <c r="D183">
        <f>+IFERROR(VLOOKUP($A183,'TB Final'!$B:$K,7,0),0)</f>
        <v>255943</v>
      </c>
      <c r="E183">
        <f>+IFERROR(VLOOKUP($A183,'TB Final'!$B:$K,10,0),0)</f>
        <v>0</v>
      </c>
      <c r="F183" s="1749">
        <f t="shared" si="4"/>
        <v>0</v>
      </c>
      <c r="G183" s="1749">
        <f t="shared" si="5"/>
        <v>0</v>
      </c>
    </row>
    <row r="184" spans="1:7">
      <c r="A184" s="1607" t="s">
        <v>435</v>
      </c>
      <c r="B184" s="1608"/>
      <c r="C184" s="1609">
        <v>35044</v>
      </c>
      <c r="D184">
        <f>+IFERROR(VLOOKUP($A184,'TB Final'!$B:$K,7,0),0)</f>
        <v>0</v>
      </c>
      <c r="E184">
        <f>+IFERROR(VLOOKUP($A184,'TB Final'!$B:$K,10,0),0)</f>
        <v>35044</v>
      </c>
      <c r="F184" s="1749">
        <f t="shared" si="4"/>
        <v>0</v>
      </c>
      <c r="G184" s="1749">
        <f t="shared" si="5"/>
        <v>0</v>
      </c>
    </row>
    <row r="185" spans="1:7">
      <c r="A185" s="1607" t="s">
        <v>516</v>
      </c>
      <c r="B185" s="1608"/>
      <c r="C185" s="1609">
        <v>218551</v>
      </c>
      <c r="D185">
        <f>+IFERROR(VLOOKUP($A185,'TB Final'!$B:$K,7,0),0)</f>
        <v>0</v>
      </c>
      <c r="E185">
        <f>+IFERROR(VLOOKUP($A185,'TB Final'!$B:$K,10,0),0)</f>
        <v>218551</v>
      </c>
      <c r="F185" s="1749">
        <f t="shared" si="4"/>
        <v>0</v>
      </c>
      <c r="G185" s="1749">
        <f t="shared" si="5"/>
        <v>0</v>
      </c>
    </row>
    <row r="186" spans="1:7">
      <c r="A186" s="1607" t="s">
        <v>393</v>
      </c>
      <c r="B186" s="1609">
        <v>3000</v>
      </c>
      <c r="C186" s="1608"/>
      <c r="D186">
        <f>+IFERROR(VLOOKUP($A186,'TB Final'!$B:$K,7,0),0)</f>
        <v>3000</v>
      </c>
      <c r="E186">
        <f>+IFERROR(VLOOKUP($A186,'TB Final'!$B:$K,10,0),0)</f>
        <v>0</v>
      </c>
      <c r="F186" s="1749">
        <f t="shared" si="4"/>
        <v>0</v>
      </c>
      <c r="G186" s="1749">
        <f t="shared" si="5"/>
        <v>0</v>
      </c>
    </row>
    <row r="187" spans="1:7">
      <c r="A187" s="1607" t="s">
        <v>21</v>
      </c>
      <c r="B187" s="1608"/>
      <c r="C187" s="1609">
        <v>632914</v>
      </c>
      <c r="D187">
        <f>+IFERROR(VLOOKUP($A187,'TB Final'!$B:$K,7,0),0)</f>
        <v>0</v>
      </c>
      <c r="E187">
        <f>+IFERROR(VLOOKUP($A187,'TB Final'!$B:$K,10,0),0)</f>
        <v>632914</v>
      </c>
      <c r="F187" s="1749">
        <f t="shared" si="4"/>
        <v>0</v>
      </c>
      <c r="G187" s="1749">
        <f t="shared" si="5"/>
        <v>0</v>
      </c>
    </row>
    <row r="188" spans="1:7">
      <c r="A188" s="1607" t="s">
        <v>248</v>
      </c>
      <c r="B188" s="1609">
        <v>6000</v>
      </c>
      <c r="C188" s="1608"/>
      <c r="D188">
        <f>+IFERROR(VLOOKUP($A188,'TB Final'!$B:$K,7,0),0)</f>
        <v>6000</v>
      </c>
      <c r="E188">
        <f>+IFERROR(VLOOKUP($A188,'TB Final'!$B:$K,10,0),0)</f>
        <v>0</v>
      </c>
      <c r="F188" s="1749">
        <f t="shared" si="4"/>
        <v>0</v>
      </c>
      <c r="G188" s="1749">
        <f t="shared" si="5"/>
        <v>0</v>
      </c>
    </row>
    <row r="189" spans="1:7">
      <c r="A189" s="1607" t="s">
        <v>38</v>
      </c>
      <c r="B189" s="1609">
        <v>40000</v>
      </c>
      <c r="C189" s="1608"/>
      <c r="D189">
        <f>+IFERROR(VLOOKUP($A189,'TB Final'!$B:$K,7,0),0)</f>
        <v>40000</v>
      </c>
      <c r="E189">
        <f>+IFERROR(VLOOKUP($A189,'TB Final'!$B:$K,10,0),0)</f>
        <v>0</v>
      </c>
      <c r="F189" s="1749">
        <f t="shared" si="4"/>
        <v>0</v>
      </c>
      <c r="G189" s="1749">
        <f t="shared" si="5"/>
        <v>0</v>
      </c>
    </row>
    <row r="190" spans="1:7">
      <c r="A190" s="1607" t="s">
        <v>2973</v>
      </c>
      <c r="B190" s="1608"/>
      <c r="C190" s="1609">
        <v>21830</v>
      </c>
      <c r="D190">
        <f>+IFERROR(VLOOKUP($A190,'TB Final'!$B:$K,7,0),0)</f>
        <v>0</v>
      </c>
      <c r="E190">
        <f>+IFERROR(VLOOKUP($A190,'TB Final'!$B:$K,10,0),0)</f>
        <v>21830</v>
      </c>
      <c r="F190" s="1749">
        <f t="shared" si="4"/>
        <v>0</v>
      </c>
      <c r="G190" s="1749">
        <f t="shared" si="5"/>
        <v>0</v>
      </c>
    </row>
    <row r="191" spans="1:7">
      <c r="A191" s="1607" t="s">
        <v>517</v>
      </c>
      <c r="B191" s="1609">
        <v>153600</v>
      </c>
      <c r="C191" s="1608"/>
      <c r="D191">
        <f>+IFERROR(VLOOKUP($A191,'TB Final'!$B:$K,7,0),0)</f>
        <v>153600</v>
      </c>
      <c r="E191">
        <f>+IFERROR(VLOOKUP($A191,'TB Final'!$B:$K,10,0),0)</f>
        <v>0</v>
      </c>
      <c r="F191" s="1749">
        <f t="shared" si="4"/>
        <v>0</v>
      </c>
      <c r="G191" s="1749">
        <f t="shared" si="5"/>
        <v>0</v>
      </c>
    </row>
    <row r="192" spans="1:7">
      <c r="A192" s="1607" t="s">
        <v>518</v>
      </c>
      <c r="B192" s="1609">
        <v>104700</v>
      </c>
      <c r="C192" s="1608"/>
      <c r="D192">
        <f>+IFERROR(VLOOKUP($A192,'TB Final'!$B:$K,7,0),0)</f>
        <v>104700</v>
      </c>
      <c r="E192">
        <f>+IFERROR(VLOOKUP($A192,'TB Final'!$B:$K,10,0),0)</f>
        <v>0</v>
      </c>
      <c r="F192" s="1749">
        <f t="shared" si="4"/>
        <v>0</v>
      </c>
      <c r="G192" s="1749">
        <f t="shared" si="5"/>
        <v>0</v>
      </c>
    </row>
    <row r="193" spans="1:7">
      <c r="A193" s="1607" t="s">
        <v>249</v>
      </c>
      <c r="B193" s="1609">
        <v>1208365.8799999999</v>
      </c>
      <c r="C193" s="1608"/>
      <c r="D193">
        <f>+IFERROR(VLOOKUP($A193,'TB Final'!$B:$K,7,0),0)</f>
        <v>1208365.8799999999</v>
      </c>
      <c r="E193">
        <f>+IFERROR(VLOOKUP($A193,'TB Final'!$B:$K,10,0),0)</f>
        <v>0</v>
      </c>
      <c r="F193" s="1749">
        <f t="shared" si="4"/>
        <v>0</v>
      </c>
      <c r="G193" s="1749">
        <f t="shared" si="5"/>
        <v>0</v>
      </c>
    </row>
    <row r="194" spans="1:7">
      <c r="A194" s="1607" t="s">
        <v>519</v>
      </c>
      <c r="B194" s="1609">
        <v>54090.28</v>
      </c>
      <c r="C194" s="1608"/>
      <c r="D194">
        <f>+IFERROR(VLOOKUP($A194,'TB Final'!$B:$K,7,0),0)</f>
        <v>54090.28</v>
      </c>
      <c r="E194">
        <f>+IFERROR(VLOOKUP($A194,'TB Final'!$B:$K,10,0),0)</f>
        <v>0</v>
      </c>
      <c r="F194" s="1749">
        <f t="shared" si="4"/>
        <v>0</v>
      </c>
      <c r="G194" s="1749">
        <f t="shared" si="5"/>
        <v>0</v>
      </c>
    </row>
    <row r="195" spans="1:7">
      <c r="A195" s="1607" t="s">
        <v>520</v>
      </c>
      <c r="B195" s="1609">
        <v>643125</v>
      </c>
      <c r="C195" s="1608"/>
      <c r="D195">
        <f>+IFERROR(VLOOKUP($A195,'TB Final'!$B:$K,7,0),0)</f>
        <v>643125</v>
      </c>
      <c r="E195">
        <f>+IFERROR(VLOOKUP($A195,'TB Final'!$B:$K,10,0),0)</f>
        <v>0</v>
      </c>
      <c r="F195" s="1749">
        <f t="shared" si="4"/>
        <v>0</v>
      </c>
      <c r="G195" s="1749">
        <f t="shared" si="5"/>
        <v>0</v>
      </c>
    </row>
    <row r="196" spans="1:7">
      <c r="A196" s="1607" t="s">
        <v>521</v>
      </c>
      <c r="B196" s="1609">
        <v>53221</v>
      </c>
      <c r="C196" s="1608"/>
      <c r="D196">
        <f>+IFERROR(VLOOKUP($A196,'TB Final'!$B:$K,7,0),0)</f>
        <v>53221</v>
      </c>
      <c r="E196">
        <f>+IFERROR(VLOOKUP($A196,'TB Final'!$B:$K,10,0),0)</f>
        <v>0</v>
      </c>
      <c r="F196" s="1749">
        <f t="shared" si="4"/>
        <v>0</v>
      </c>
      <c r="G196" s="1749">
        <f t="shared" si="5"/>
        <v>0</v>
      </c>
    </row>
    <row r="197" spans="1:7">
      <c r="A197" s="1607" t="s">
        <v>522</v>
      </c>
      <c r="B197" s="1608"/>
      <c r="C197" s="1609">
        <v>5700468</v>
      </c>
      <c r="D197">
        <f>+IFERROR(VLOOKUP($A197,'TB Final'!$B:$K,7,0),0)</f>
        <v>0</v>
      </c>
      <c r="E197">
        <f>+IFERROR(VLOOKUP($A197,'TB Final'!$B:$K,10,0),0)</f>
        <v>5700468</v>
      </c>
      <c r="F197" s="1749">
        <f t="shared" si="4"/>
        <v>0</v>
      </c>
      <c r="G197" s="1749">
        <f t="shared" si="5"/>
        <v>0</v>
      </c>
    </row>
    <row r="198" spans="1:7">
      <c r="A198" s="1607" t="s">
        <v>253</v>
      </c>
      <c r="B198" s="1609">
        <v>131217.84</v>
      </c>
      <c r="C198" s="1608"/>
      <c r="D198">
        <f>+IFERROR(VLOOKUP($A198,'TB Final'!$B:$K,7,0),0)</f>
        <v>131217.84</v>
      </c>
      <c r="E198">
        <f>+IFERROR(VLOOKUP($A198,'TB Final'!$B:$K,10,0),0)</f>
        <v>0</v>
      </c>
      <c r="F198" s="1749">
        <f t="shared" si="4"/>
        <v>0</v>
      </c>
      <c r="G198" s="1749">
        <f t="shared" si="5"/>
        <v>0</v>
      </c>
    </row>
    <row r="199" spans="1:7">
      <c r="A199" s="1607" t="s">
        <v>394</v>
      </c>
      <c r="B199" s="1608"/>
      <c r="C199" s="1609">
        <v>313012</v>
      </c>
      <c r="D199">
        <f>+IFERROR(VLOOKUP($A199,'TB Final'!$B:$K,7,0),0)</f>
        <v>0</v>
      </c>
      <c r="E199">
        <f>+IFERROR(VLOOKUP($A199,'TB Final'!$B:$K,10,0),0)</f>
        <v>313012</v>
      </c>
      <c r="F199" s="1749">
        <f t="shared" si="4"/>
        <v>0</v>
      </c>
      <c r="G199" s="1749">
        <f t="shared" si="5"/>
        <v>0</v>
      </c>
    </row>
    <row r="200" spans="1:7">
      <c r="A200" s="1607" t="s">
        <v>254</v>
      </c>
      <c r="B200" s="1609">
        <v>56914</v>
      </c>
      <c r="C200" s="1608"/>
      <c r="D200">
        <f>+IFERROR(VLOOKUP($A200,'TB Final'!$B:$K,7,0),0)</f>
        <v>56914</v>
      </c>
      <c r="E200">
        <f>+IFERROR(VLOOKUP($A200,'TB Final'!$B:$K,10,0),0)</f>
        <v>0</v>
      </c>
      <c r="F200" s="1749">
        <f t="shared" si="4"/>
        <v>0</v>
      </c>
      <c r="G200" s="1749">
        <f t="shared" si="5"/>
        <v>0</v>
      </c>
    </row>
    <row r="201" spans="1:7">
      <c r="A201" s="1607" t="s">
        <v>256</v>
      </c>
      <c r="B201" s="1609">
        <v>470140.39</v>
      </c>
      <c r="C201" s="1608"/>
      <c r="D201">
        <f>+IFERROR(VLOOKUP($A201,'TB Final'!$B:$K,7,0),0)</f>
        <v>470140.39</v>
      </c>
      <c r="E201">
        <f>+IFERROR(VLOOKUP($A201,'TB Final'!$B:$K,10,0),0)</f>
        <v>0</v>
      </c>
      <c r="F201" s="1749">
        <f t="shared" si="4"/>
        <v>0</v>
      </c>
      <c r="G201" s="1749">
        <f t="shared" si="5"/>
        <v>0</v>
      </c>
    </row>
    <row r="202" spans="1:7">
      <c r="A202" s="1607" t="s">
        <v>258</v>
      </c>
      <c r="B202" s="1609">
        <v>12870</v>
      </c>
      <c r="C202" s="1608"/>
      <c r="D202">
        <f>+IFERROR(VLOOKUP($A202,'TB Final'!$B:$K,7,0),0)</f>
        <v>12870</v>
      </c>
      <c r="E202">
        <f>+IFERROR(VLOOKUP($A202,'TB Final'!$B:$K,10,0),0)</f>
        <v>0</v>
      </c>
      <c r="F202" s="1749">
        <f t="shared" si="4"/>
        <v>0</v>
      </c>
      <c r="G202" s="1749">
        <f t="shared" si="5"/>
        <v>0</v>
      </c>
    </row>
    <row r="203" spans="1:7">
      <c r="A203" s="1607" t="s">
        <v>260</v>
      </c>
      <c r="B203" s="1609">
        <v>54676</v>
      </c>
      <c r="C203" s="1608"/>
      <c r="D203">
        <f>+IFERROR(VLOOKUP($A203,'TB Final'!$B:$K,7,0),0)</f>
        <v>54676</v>
      </c>
      <c r="E203">
        <f>+IFERROR(VLOOKUP($A203,'TB Final'!$B:$K,10,0),0)</f>
        <v>0</v>
      </c>
      <c r="F203" s="1749">
        <f t="shared" si="4"/>
        <v>0</v>
      </c>
      <c r="G203" s="1749">
        <f t="shared" si="5"/>
        <v>0</v>
      </c>
    </row>
    <row r="204" spans="1:7">
      <c r="A204" s="1607" t="s">
        <v>261</v>
      </c>
      <c r="B204" s="1608"/>
      <c r="C204" s="1609">
        <v>354825</v>
      </c>
      <c r="D204">
        <f>+IFERROR(VLOOKUP($A204,'TB Final'!$B:$K,7,0),0)</f>
        <v>0</v>
      </c>
      <c r="E204">
        <f>+IFERROR(VLOOKUP($A204,'TB Final'!$B:$K,10,0),0)</f>
        <v>354825</v>
      </c>
      <c r="F204" s="1749">
        <f t="shared" si="4"/>
        <v>0</v>
      </c>
      <c r="G204" s="1749">
        <f t="shared" si="5"/>
        <v>0</v>
      </c>
    </row>
    <row r="205" spans="1:7">
      <c r="A205" s="1607" t="s">
        <v>257</v>
      </c>
      <c r="B205" s="1609">
        <v>5210528.92</v>
      </c>
      <c r="C205" s="1608"/>
      <c r="D205">
        <f>+IFERROR(VLOOKUP($A205,'TB Final'!$B:$K,7,0),0)</f>
        <v>5210528.92</v>
      </c>
      <c r="E205">
        <f>+IFERROR(VLOOKUP($A205,'TB Final'!$B:$K,10,0),0)</f>
        <v>0</v>
      </c>
      <c r="F205" s="1749">
        <f t="shared" ref="F205:F268" si="6">+B205-D205</f>
        <v>0</v>
      </c>
      <c r="G205" s="1749">
        <f t="shared" ref="G205:G268" si="7">+C205-E205</f>
        <v>0</v>
      </c>
    </row>
    <row r="206" spans="1:7">
      <c r="A206" s="1607" t="s">
        <v>262</v>
      </c>
      <c r="B206" s="1609">
        <v>490236</v>
      </c>
      <c r="C206" s="1608"/>
      <c r="D206">
        <f>+IFERROR(VLOOKUP($A206,'TB Final'!$B:$K,7,0),0)</f>
        <v>490236</v>
      </c>
      <c r="E206">
        <f>+IFERROR(VLOOKUP($A206,'TB Final'!$B:$K,10,0),0)</f>
        <v>0</v>
      </c>
      <c r="F206" s="1749">
        <f t="shared" si="6"/>
        <v>0</v>
      </c>
      <c r="G206" s="1749">
        <f t="shared" si="7"/>
        <v>0</v>
      </c>
    </row>
    <row r="207" spans="1:7">
      <c r="A207" s="1607" t="s">
        <v>263</v>
      </c>
      <c r="B207" s="1608"/>
      <c r="C207" s="1609">
        <v>16497</v>
      </c>
      <c r="D207">
        <f>+IFERROR(VLOOKUP($A207,'TB Final'!$B:$K,7,0),0)</f>
        <v>0</v>
      </c>
      <c r="E207">
        <f>+IFERROR(VLOOKUP($A207,'TB Final'!$B:$K,10,0),0)</f>
        <v>16497</v>
      </c>
      <c r="F207" s="1749">
        <f t="shared" si="6"/>
        <v>0</v>
      </c>
      <c r="G207" s="1749">
        <f t="shared" si="7"/>
        <v>0</v>
      </c>
    </row>
    <row r="208" spans="1:7">
      <c r="A208" s="1607" t="s">
        <v>264</v>
      </c>
      <c r="B208" s="1608"/>
      <c r="C208" s="1609">
        <v>430942</v>
      </c>
      <c r="D208">
        <f>+IFERROR(VLOOKUP($A208,'TB Final'!$B:$K,7,0),0)</f>
        <v>0</v>
      </c>
      <c r="E208">
        <f>+IFERROR(VLOOKUP($A208,'TB Final'!$B:$K,10,0),0)</f>
        <v>430942</v>
      </c>
      <c r="F208" s="1749">
        <f t="shared" si="6"/>
        <v>0</v>
      </c>
      <c r="G208" s="1749">
        <f t="shared" si="7"/>
        <v>0</v>
      </c>
    </row>
    <row r="209" spans="1:7">
      <c r="A209" s="1607" t="s">
        <v>525</v>
      </c>
      <c r="B209" s="1608"/>
      <c r="C209" s="1609">
        <v>437513</v>
      </c>
      <c r="D209">
        <f>+IFERROR(VLOOKUP($A209,'TB Final'!$B:$K,7,0),0)</f>
        <v>0</v>
      </c>
      <c r="E209">
        <f>+IFERROR(VLOOKUP($A209,'TB Final'!$B:$K,10,0),0)</f>
        <v>437513</v>
      </c>
      <c r="F209" s="1749">
        <f t="shared" si="6"/>
        <v>0</v>
      </c>
      <c r="G209" s="1749">
        <f t="shared" si="7"/>
        <v>0</v>
      </c>
    </row>
    <row r="210" spans="1:7">
      <c r="A210" s="1607" t="s">
        <v>265</v>
      </c>
      <c r="B210" s="1608"/>
      <c r="C210" s="1609">
        <v>544625</v>
      </c>
      <c r="D210">
        <f>+IFERROR(VLOOKUP($A210,'TB Final'!$B:$K,7,0),0)</f>
        <v>0</v>
      </c>
      <c r="E210">
        <f>+IFERROR(VLOOKUP($A210,'TB Final'!$B:$K,10,0),0)</f>
        <v>544625</v>
      </c>
      <c r="F210" s="1749">
        <f t="shared" si="6"/>
        <v>0</v>
      </c>
      <c r="G210" s="1749">
        <f t="shared" si="7"/>
        <v>0</v>
      </c>
    </row>
    <row r="211" spans="1:7">
      <c r="A211" s="1607" t="s">
        <v>266</v>
      </c>
      <c r="B211" s="1609">
        <v>450</v>
      </c>
      <c r="C211" s="1608"/>
      <c r="D211">
        <f>+IFERROR(VLOOKUP($A211,'TB Final'!$B:$K,7,0),0)</f>
        <v>450</v>
      </c>
      <c r="E211">
        <f>+IFERROR(VLOOKUP($A211,'TB Final'!$B:$K,10,0),0)</f>
        <v>0</v>
      </c>
      <c r="F211" s="1749">
        <f t="shared" si="6"/>
        <v>0</v>
      </c>
      <c r="G211" s="1749">
        <f t="shared" si="7"/>
        <v>0</v>
      </c>
    </row>
    <row r="212" spans="1:7">
      <c r="A212" s="1607" t="s">
        <v>267</v>
      </c>
      <c r="B212" s="1609">
        <v>5000</v>
      </c>
      <c r="C212" s="1608"/>
      <c r="D212">
        <f>+IFERROR(VLOOKUP($A212,'TB Final'!$B:$K,7,0),0)</f>
        <v>5000</v>
      </c>
      <c r="E212">
        <f>+IFERROR(VLOOKUP($A212,'TB Final'!$B:$K,10,0),0)</f>
        <v>0</v>
      </c>
      <c r="F212" s="1749">
        <f t="shared" si="6"/>
        <v>0</v>
      </c>
      <c r="G212" s="1749">
        <f t="shared" si="7"/>
        <v>0</v>
      </c>
    </row>
    <row r="213" spans="1:7">
      <c r="A213" s="1607" t="s">
        <v>268</v>
      </c>
      <c r="B213" s="1609">
        <v>450</v>
      </c>
      <c r="C213" s="1608"/>
      <c r="D213">
        <f>+IFERROR(VLOOKUP($A213,'TB Final'!$B:$K,7,0),0)</f>
        <v>450</v>
      </c>
      <c r="E213">
        <f>+IFERROR(VLOOKUP($A213,'TB Final'!$B:$K,10,0),0)</f>
        <v>0</v>
      </c>
      <c r="F213" s="1749">
        <f t="shared" si="6"/>
        <v>0</v>
      </c>
      <c r="G213" s="1749">
        <f t="shared" si="7"/>
        <v>0</v>
      </c>
    </row>
    <row r="214" spans="1:7">
      <c r="A214" s="1607" t="s">
        <v>2976</v>
      </c>
      <c r="B214" s="1609">
        <v>217</v>
      </c>
      <c r="C214" s="1608"/>
      <c r="D214">
        <f>+IFERROR(VLOOKUP($A214,'TB Final'!$B:$K,7,0),0)</f>
        <v>217</v>
      </c>
      <c r="E214">
        <f>+IFERROR(VLOOKUP($A214,'TB Final'!$B:$K,10,0),0)</f>
        <v>0</v>
      </c>
      <c r="F214" s="1749">
        <f t="shared" si="6"/>
        <v>0</v>
      </c>
      <c r="G214" s="1749">
        <f t="shared" si="7"/>
        <v>0</v>
      </c>
    </row>
    <row r="215" spans="1:7">
      <c r="A215" s="1607" t="s">
        <v>270</v>
      </c>
      <c r="B215" s="1609">
        <v>348624149.49000001</v>
      </c>
      <c r="C215" s="1608"/>
      <c r="D215">
        <f>+IFERROR(VLOOKUP($A215,'TB Final'!$B:$K,7,0),0)</f>
        <v>348624149.81</v>
      </c>
      <c r="E215">
        <f>+IFERROR(VLOOKUP($A215,'TB Final'!$B:$K,10,0),0)</f>
        <v>0</v>
      </c>
      <c r="F215" s="1749">
        <f t="shared" si="6"/>
        <v>-0.31999999284744263</v>
      </c>
      <c r="G215" s="1749">
        <f t="shared" si="7"/>
        <v>0</v>
      </c>
    </row>
    <row r="216" spans="1:7">
      <c r="A216" s="1607" t="s">
        <v>526</v>
      </c>
      <c r="B216" s="1608"/>
      <c r="C216" s="1609">
        <v>333000</v>
      </c>
      <c r="D216">
        <f>+IFERROR(VLOOKUP($A216,'TB Final'!$B:$K,7,0),0)</f>
        <v>0</v>
      </c>
      <c r="E216">
        <f>+IFERROR(VLOOKUP($A216,'TB Final'!$B:$K,10,0),0)</f>
        <v>333000</v>
      </c>
      <c r="F216" s="1749">
        <f t="shared" si="6"/>
        <v>0</v>
      </c>
      <c r="G216" s="1749">
        <f t="shared" si="7"/>
        <v>0</v>
      </c>
    </row>
    <row r="217" spans="1:7">
      <c r="A217" s="1607" t="s">
        <v>527</v>
      </c>
      <c r="B217" s="1609">
        <v>72027</v>
      </c>
      <c r="C217" s="1608"/>
      <c r="D217">
        <f>+IFERROR(VLOOKUP($A217,'TB Final'!$B:$K,7,0),0)</f>
        <v>72027</v>
      </c>
      <c r="E217">
        <f>+IFERROR(VLOOKUP($A217,'TB Final'!$B:$K,10,0),0)</f>
        <v>0</v>
      </c>
      <c r="F217" s="1749">
        <f t="shared" si="6"/>
        <v>0</v>
      </c>
      <c r="G217" s="1749">
        <f t="shared" si="7"/>
        <v>0</v>
      </c>
    </row>
    <row r="218" spans="1:7">
      <c r="A218" s="1607" t="s">
        <v>271</v>
      </c>
      <c r="B218" s="1608"/>
      <c r="C218" s="1609">
        <v>1103470</v>
      </c>
      <c r="D218">
        <f>+IFERROR(VLOOKUP($A218,'TB Final'!$B:$K,7,0),0)</f>
        <v>0</v>
      </c>
      <c r="E218">
        <f>+IFERROR(VLOOKUP($A218,'TB Final'!$B:$K,10,0),0)</f>
        <v>1103470</v>
      </c>
      <c r="F218" s="1749">
        <f t="shared" si="6"/>
        <v>0</v>
      </c>
      <c r="G218" s="1749">
        <f t="shared" si="7"/>
        <v>0</v>
      </c>
    </row>
    <row r="219" spans="1:7">
      <c r="A219" s="1607" t="s">
        <v>2977</v>
      </c>
      <c r="B219" s="1609">
        <v>2498493</v>
      </c>
      <c r="C219" s="1608"/>
      <c r="D219">
        <f>+IFERROR(VLOOKUP($A219,'TB Final'!$B:$K,7,0),0)</f>
        <v>2498493</v>
      </c>
      <c r="E219">
        <f>+IFERROR(VLOOKUP($A219,'TB Final'!$B:$K,10,0),0)</f>
        <v>0</v>
      </c>
      <c r="F219" s="1749">
        <f t="shared" si="6"/>
        <v>0</v>
      </c>
      <c r="G219" s="1749">
        <f t="shared" si="7"/>
        <v>0</v>
      </c>
    </row>
    <row r="220" spans="1:7">
      <c r="A220" s="1607" t="s">
        <v>2978</v>
      </c>
      <c r="B220" s="1608"/>
      <c r="C220" s="1609">
        <v>40020</v>
      </c>
      <c r="D220">
        <f>+IFERROR(VLOOKUP($A220,'TB Final'!$B:$K,7,0),0)</f>
        <v>0</v>
      </c>
      <c r="E220">
        <f>+IFERROR(VLOOKUP($A220,'TB Final'!$B:$K,10,0),0)</f>
        <v>40020</v>
      </c>
      <c r="F220" s="1749">
        <f t="shared" si="6"/>
        <v>0</v>
      </c>
      <c r="G220" s="1749">
        <f t="shared" si="7"/>
        <v>0</v>
      </c>
    </row>
    <row r="221" spans="1:7">
      <c r="A221" s="1607" t="s">
        <v>2979</v>
      </c>
      <c r="B221" s="1608"/>
      <c r="C221" s="1609">
        <v>93400</v>
      </c>
      <c r="D221">
        <f>+IFERROR(VLOOKUP($A221,'TB Final'!$B:$K,7,0),0)</f>
        <v>0</v>
      </c>
      <c r="E221">
        <f>+IFERROR(VLOOKUP($A221,'TB Final'!$B:$K,10,0),0)</f>
        <v>93400</v>
      </c>
      <c r="F221" s="1749">
        <f t="shared" si="6"/>
        <v>0</v>
      </c>
      <c r="G221" s="1749">
        <f t="shared" si="7"/>
        <v>0</v>
      </c>
    </row>
    <row r="222" spans="1:7">
      <c r="A222" s="1607" t="s">
        <v>273</v>
      </c>
      <c r="B222" s="1609">
        <v>990425</v>
      </c>
      <c r="C222" s="1608"/>
      <c r="D222">
        <f>+IFERROR(VLOOKUP($A222,'TB Final'!$B:$K,7,0),0)</f>
        <v>990425</v>
      </c>
      <c r="E222">
        <f>+IFERROR(VLOOKUP($A222,'TB Final'!$B:$K,10,0),0)</f>
        <v>0</v>
      </c>
      <c r="F222" s="1749">
        <f t="shared" si="6"/>
        <v>0</v>
      </c>
      <c r="G222" s="1749">
        <f t="shared" si="7"/>
        <v>0</v>
      </c>
    </row>
    <row r="223" spans="1:7">
      <c r="A223" s="1607" t="s">
        <v>2980</v>
      </c>
      <c r="B223" s="1609">
        <v>515309</v>
      </c>
      <c r="C223" s="1608"/>
      <c r="D223">
        <f>+IFERROR(VLOOKUP($A223,'TB Final'!$B:$K,7,0),0)</f>
        <v>515309</v>
      </c>
      <c r="E223">
        <f>+IFERROR(VLOOKUP($A223,'TB Final'!$B:$K,10,0),0)</f>
        <v>0</v>
      </c>
      <c r="F223" s="1749">
        <f t="shared" si="6"/>
        <v>0</v>
      </c>
      <c r="G223" s="1749">
        <f t="shared" si="7"/>
        <v>0</v>
      </c>
    </row>
    <row r="224" spans="1:7">
      <c r="A224" s="1607" t="s">
        <v>3063</v>
      </c>
      <c r="B224" s="1608"/>
      <c r="C224" s="1609">
        <v>19514</v>
      </c>
      <c r="D224">
        <f>+IFERROR(VLOOKUP($A224,'TB Final'!$B:$K,7,0),0)</f>
        <v>0</v>
      </c>
      <c r="E224">
        <f>+IFERROR(VLOOKUP($A224,'TB Final'!$B:$K,10,0),0)</f>
        <v>19514</v>
      </c>
      <c r="F224" s="1749">
        <f t="shared" si="6"/>
        <v>0</v>
      </c>
      <c r="G224" s="1749">
        <f t="shared" si="7"/>
        <v>0</v>
      </c>
    </row>
    <row r="225" spans="1:7">
      <c r="A225" s="1607" t="s">
        <v>275</v>
      </c>
      <c r="B225" s="1609">
        <v>774063</v>
      </c>
      <c r="C225" s="1608"/>
      <c r="D225">
        <f>+IFERROR(VLOOKUP($A225,'TB Final'!$B:$K,7,0),0)</f>
        <v>774063</v>
      </c>
      <c r="E225">
        <f>+IFERROR(VLOOKUP($A225,'TB Final'!$B:$K,10,0),0)</f>
        <v>0</v>
      </c>
      <c r="F225" s="1749">
        <f t="shared" si="6"/>
        <v>0</v>
      </c>
      <c r="G225" s="1749">
        <f t="shared" si="7"/>
        <v>0</v>
      </c>
    </row>
    <row r="226" spans="1:7">
      <c r="A226" s="1607" t="s">
        <v>276</v>
      </c>
      <c r="B226" s="1609">
        <v>2500</v>
      </c>
      <c r="C226" s="1608"/>
      <c r="D226">
        <f>+IFERROR(VLOOKUP($A226,'TB Final'!$B:$K,7,0),0)</f>
        <v>2500</v>
      </c>
      <c r="E226">
        <f>+IFERROR(VLOOKUP($A226,'TB Final'!$B:$K,10,0),0)</f>
        <v>0</v>
      </c>
      <c r="F226" s="1749">
        <f t="shared" si="6"/>
        <v>0</v>
      </c>
      <c r="G226" s="1749">
        <f t="shared" si="7"/>
        <v>0</v>
      </c>
    </row>
    <row r="227" spans="1:7">
      <c r="A227" s="1607" t="s">
        <v>529</v>
      </c>
      <c r="B227" s="1608"/>
      <c r="C227" s="1609">
        <v>127241303.03</v>
      </c>
      <c r="D227">
        <f>+IFERROR(VLOOKUP($A227,'TB Final'!$B:$K,7,0),0)</f>
        <v>0</v>
      </c>
      <c r="E227">
        <f>+IFERROR(VLOOKUP($A227,'TB Final'!$B:$K,10,0),0)</f>
        <v>127241303.03</v>
      </c>
      <c r="F227" s="1749">
        <f t="shared" si="6"/>
        <v>0</v>
      </c>
      <c r="G227" s="1749">
        <f t="shared" si="7"/>
        <v>0</v>
      </c>
    </row>
    <row r="228" spans="1:7">
      <c r="A228" s="1607" t="s">
        <v>4718</v>
      </c>
      <c r="B228" s="1609">
        <v>97395.9</v>
      </c>
      <c r="C228" s="1608"/>
      <c r="D228">
        <f>+IFERROR(VLOOKUP($A228,'TB Final'!$B:$K,7,0),0)</f>
        <v>84364</v>
      </c>
      <c r="E228">
        <f>+IFERROR(VLOOKUP($A228,'TB Final'!$B:$K,10,0),0)</f>
        <v>0</v>
      </c>
      <c r="F228" s="1749">
        <f t="shared" si="6"/>
        <v>13031.899999999994</v>
      </c>
      <c r="G228" s="1749">
        <f t="shared" si="7"/>
        <v>0</v>
      </c>
    </row>
    <row r="229" spans="1:7">
      <c r="A229" s="1607" t="s">
        <v>279</v>
      </c>
      <c r="B229" s="1608"/>
      <c r="C229" s="1609">
        <v>9444000</v>
      </c>
      <c r="D229">
        <f>+IFERROR(VLOOKUP($A229,'TB Final'!$B:$K,7,0),0)</f>
        <v>0</v>
      </c>
      <c r="E229">
        <f>+IFERROR(VLOOKUP($A229,'TB Final'!$B:$K,10,0),0)</f>
        <v>9444000</v>
      </c>
      <c r="F229" s="1749">
        <f t="shared" si="6"/>
        <v>0</v>
      </c>
      <c r="G229" s="1749">
        <f t="shared" si="7"/>
        <v>0</v>
      </c>
    </row>
    <row r="230" spans="1:7">
      <c r="A230" s="1607" t="s">
        <v>530</v>
      </c>
      <c r="B230" s="1609">
        <v>1547993</v>
      </c>
      <c r="C230" s="1608"/>
      <c r="D230">
        <f>+IFERROR(VLOOKUP($A230,'TB Final'!$B:$K,7,0),0)</f>
        <v>1547993</v>
      </c>
      <c r="E230">
        <f>+IFERROR(VLOOKUP($A230,'TB Final'!$B:$K,10,0),0)</f>
        <v>0</v>
      </c>
      <c r="F230" s="1749">
        <f t="shared" si="6"/>
        <v>0</v>
      </c>
      <c r="G230" s="1749">
        <f t="shared" si="7"/>
        <v>0</v>
      </c>
    </row>
    <row r="231" spans="1:7">
      <c r="A231" s="1607" t="s">
        <v>281</v>
      </c>
      <c r="B231" s="1608"/>
      <c r="C231" s="1609">
        <v>5971965</v>
      </c>
      <c r="D231">
        <f>+IFERROR(VLOOKUP($A231,'TB Final'!$B:$K,7,0),0)</f>
        <v>0</v>
      </c>
      <c r="E231">
        <f>+IFERROR(VLOOKUP($A231,'TB Final'!$B:$K,10,0),0)</f>
        <v>5916298</v>
      </c>
      <c r="F231" s="1749">
        <f t="shared" si="6"/>
        <v>0</v>
      </c>
      <c r="G231" s="1749">
        <f t="shared" si="7"/>
        <v>55667</v>
      </c>
    </row>
    <row r="232" spans="1:7">
      <c r="A232" s="1607" t="s">
        <v>282</v>
      </c>
      <c r="B232" s="1608"/>
      <c r="C232" s="1609">
        <v>10751251.5</v>
      </c>
      <c r="D232">
        <f>+IFERROR(VLOOKUP($A232,'TB Final'!$B:$K,7,0),0)</f>
        <v>0</v>
      </c>
      <c r="E232">
        <f>+IFERROR(VLOOKUP($A232,'TB Final'!$B:$K,10,0),0)</f>
        <v>10989233.91</v>
      </c>
      <c r="F232" s="1749">
        <f t="shared" si="6"/>
        <v>0</v>
      </c>
      <c r="G232" s="1749">
        <f t="shared" si="7"/>
        <v>-237982.41000000015</v>
      </c>
    </row>
    <row r="233" spans="1:7">
      <c r="A233" s="1607" t="s">
        <v>531</v>
      </c>
      <c r="B233" s="1608"/>
      <c r="C233" s="1609">
        <v>816428.17</v>
      </c>
      <c r="D233">
        <f>+IFERROR(VLOOKUP($A233,'TB Final'!$B:$K,7,0),0)</f>
        <v>0</v>
      </c>
      <c r="E233">
        <f>+IFERROR(VLOOKUP($A233,'TB Final'!$B:$K,10,0),0)</f>
        <v>869014.41</v>
      </c>
      <c r="F233" s="1749">
        <f t="shared" si="6"/>
        <v>0</v>
      </c>
      <c r="G233" s="1749">
        <f t="shared" si="7"/>
        <v>-52586.239999999991</v>
      </c>
    </row>
    <row r="234" spans="1:7">
      <c r="A234" s="1607" t="s">
        <v>532</v>
      </c>
      <c r="B234" s="1608"/>
      <c r="C234" s="1609">
        <v>18166093.52</v>
      </c>
      <c r="D234">
        <f>+IFERROR(VLOOKUP($A234,'TB Final'!$B:$K,7,0),0)</f>
        <v>0</v>
      </c>
      <c r="E234">
        <f>+IFERROR(VLOOKUP($A234,'TB Final'!$B:$K,10,0),0)</f>
        <v>17269944.850000001</v>
      </c>
      <c r="F234" s="1749">
        <f t="shared" si="6"/>
        <v>0</v>
      </c>
      <c r="G234" s="1749">
        <f t="shared" si="7"/>
        <v>896148.66999999806</v>
      </c>
    </row>
    <row r="235" spans="1:7">
      <c r="A235" s="1607" t="s">
        <v>284</v>
      </c>
      <c r="B235" s="1608"/>
      <c r="C235" s="1609">
        <v>379192</v>
      </c>
      <c r="D235">
        <f>+IFERROR(VLOOKUP($A235,'TB Final'!$B:$K,7,0),0)</f>
        <v>0</v>
      </c>
      <c r="E235">
        <f>+IFERROR(VLOOKUP($A235,'TB Final'!$B:$K,10,0),0)</f>
        <v>379192</v>
      </c>
      <c r="F235" s="1749">
        <f t="shared" si="6"/>
        <v>0</v>
      </c>
      <c r="G235" s="1749">
        <f t="shared" si="7"/>
        <v>0</v>
      </c>
    </row>
    <row r="236" spans="1:7">
      <c r="A236" s="1607" t="s">
        <v>533</v>
      </c>
      <c r="B236" s="1608"/>
      <c r="C236" s="1609">
        <v>1206540.8700000001</v>
      </c>
      <c r="D236">
        <f>+IFERROR(VLOOKUP($A236,'TB Final'!$B:$K,7,0),0)</f>
        <v>0</v>
      </c>
      <c r="E236">
        <f>+IFERROR(VLOOKUP($A236,'TB Final'!$B:$K,10,0),0)</f>
        <v>1218124.6399999999</v>
      </c>
      <c r="F236" s="1749">
        <f t="shared" si="6"/>
        <v>0</v>
      </c>
      <c r="G236" s="1749">
        <f t="shared" si="7"/>
        <v>-11583.769999999786</v>
      </c>
    </row>
    <row r="237" spans="1:7">
      <c r="A237" s="1607" t="s">
        <v>534</v>
      </c>
      <c r="B237" s="1608"/>
      <c r="C237" s="1609">
        <v>881978.7</v>
      </c>
      <c r="D237">
        <f>+IFERROR(VLOOKUP($A237,'TB Final'!$B:$K,7,0),0)</f>
        <v>0</v>
      </c>
      <c r="E237">
        <f>+IFERROR(VLOOKUP($A237,'TB Final'!$B:$K,10,0),0)</f>
        <v>926478.12</v>
      </c>
      <c r="F237" s="1749">
        <f t="shared" si="6"/>
        <v>0</v>
      </c>
      <c r="G237" s="1749">
        <f t="shared" si="7"/>
        <v>-44499.420000000042</v>
      </c>
    </row>
    <row r="238" spans="1:7">
      <c r="A238" s="1607" t="s">
        <v>535</v>
      </c>
      <c r="B238" s="1608"/>
      <c r="C238" s="1609">
        <v>130537076.8</v>
      </c>
      <c r="D238">
        <f>+IFERROR(VLOOKUP($A238,'TB Final'!$B:$K,7,0),0)</f>
        <v>0</v>
      </c>
      <c r="E238">
        <f>+IFERROR(VLOOKUP($A238,'TB Final'!$B:$K,10,0),0)</f>
        <v>130154367.81999999</v>
      </c>
      <c r="F238" s="1749">
        <f t="shared" si="6"/>
        <v>0</v>
      </c>
      <c r="G238" s="1749">
        <f t="shared" si="7"/>
        <v>382708.98000000417</v>
      </c>
    </row>
    <row r="239" spans="1:7">
      <c r="A239" s="1607" t="s">
        <v>536</v>
      </c>
      <c r="B239" s="1608"/>
      <c r="C239" s="1609">
        <v>1588534</v>
      </c>
      <c r="D239">
        <f>+IFERROR(VLOOKUP($A239,'TB Final'!$B:$K,7,0),0)</f>
        <v>0</v>
      </c>
      <c r="E239">
        <f>+IFERROR(VLOOKUP($A239,'TB Final'!$B:$K,10,0),0)</f>
        <v>1611557.77</v>
      </c>
      <c r="F239" s="1749">
        <f t="shared" si="6"/>
        <v>0</v>
      </c>
      <c r="G239" s="1749">
        <f t="shared" si="7"/>
        <v>-23023.770000000019</v>
      </c>
    </row>
    <row r="240" spans="1:7">
      <c r="A240" s="1607" t="s">
        <v>288</v>
      </c>
      <c r="B240" s="1609">
        <v>122153</v>
      </c>
      <c r="C240" s="1608"/>
      <c r="D240">
        <f>+IFERROR(VLOOKUP($A240,'TB Final'!$B:$K,7,0),0)</f>
        <v>122153</v>
      </c>
      <c r="E240">
        <f>+IFERROR(VLOOKUP($A240,'TB Final'!$B:$K,10,0),0)</f>
        <v>0</v>
      </c>
      <c r="F240" s="1749">
        <f t="shared" si="6"/>
        <v>0</v>
      </c>
      <c r="G240" s="1749">
        <f t="shared" si="7"/>
        <v>0</v>
      </c>
    </row>
    <row r="241" spans="1:7">
      <c r="A241" s="1607" t="s">
        <v>291</v>
      </c>
      <c r="B241" s="1609">
        <v>271788</v>
      </c>
      <c r="C241" s="1608"/>
      <c r="D241">
        <f>+IFERROR(VLOOKUP($A241,'TB Final'!$B:$K,7,0),0)</f>
        <v>271788</v>
      </c>
      <c r="E241">
        <f>+IFERROR(VLOOKUP($A241,'TB Final'!$B:$K,10,0),0)</f>
        <v>0</v>
      </c>
      <c r="F241" s="1749">
        <f t="shared" si="6"/>
        <v>0</v>
      </c>
      <c r="G241" s="1749">
        <f t="shared" si="7"/>
        <v>0</v>
      </c>
    </row>
    <row r="242" spans="1:7">
      <c r="A242" s="1607" t="s">
        <v>290</v>
      </c>
      <c r="B242" s="1609">
        <v>139678</v>
      </c>
      <c r="C242" s="1608"/>
      <c r="D242">
        <f>+IFERROR(VLOOKUP($A242,'TB Final'!$B:$K,7,0),0)</f>
        <v>139678</v>
      </c>
      <c r="E242">
        <f>+IFERROR(VLOOKUP($A242,'TB Final'!$B:$K,10,0),0)</f>
        <v>0</v>
      </c>
      <c r="F242" s="1749">
        <f t="shared" si="6"/>
        <v>0</v>
      </c>
      <c r="G242" s="1749">
        <f t="shared" si="7"/>
        <v>0</v>
      </c>
    </row>
    <row r="243" spans="1:7">
      <c r="A243" s="1607" t="s">
        <v>285</v>
      </c>
      <c r="B243" s="1609">
        <v>34285</v>
      </c>
      <c r="C243" s="1608"/>
      <c r="D243">
        <f>+IFERROR(VLOOKUP($A243,'TB Final'!$B:$K,7,0),0)</f>
        <v>34285</v>
      </c>
      <c r="E243">
        <f>+IFERROR(VLOOKUP($A243,'TB Final'!$B:$K,10,0),0)</f>
        <v>0</v>
      </c>
      <c r="F243" s="1749">
        <f t="shared" si="6"/>
        <v>0</v>
      </c>
      <c r="G243" s="1749">
        <f t="shared" si="7"/>
        <v>0</v>
      </c>
    </row>
    <row r="244" spans="1:7">
      <c r="A244" s="1607" t="s">
        <v>537</v>
      </c>
      <c r="B244" s="1608"/>
      <c r="C244" s="1609">
        <v>3020979.7</v>
      </c>
      <c r="D244">
        <f>+IFERROR(VLOOKUP($A244,'TB Final'!$B:$K,7,0),0)</f>
        <v>0</v>
      </c>
      <c r="E244">
        <f>+IFERROR(VLOOKUP($A244,'TB Final'!$B:$K,10,0),0)</f>
        <v>3020979.7</v>
      </c>
      <c r="F244" s="1749">
        <f t="shared" si="6"/>
        <v>0</v>
      </c>
      <c r="G244" s="1749">
        <f t="shared" si="7"/>
        <v>0</v>
      </c>
    </row>
    <row r="245" spans="1:7">
      <c r="A245" s="1607" t="s">
        <v>292</v>
      </c>
      <c r="B245" s="1609">
        <v>11114075</v>
      </c>
      <c r="C245" s="1608"/>
      <c r="D245">
        <f>+IFERROR(VLOOKUP($A245,'TB Final'!$B:$K,7,0),0)</f>
        <v>11114075</v>
      </c>
      <c r="E245">
        <f>+IFERROR(VLOOKUP($A245,'TB Final'!$B:$K,10,0),0)</f>
        <v>0</v>
      </c>
      <c r="F245" s="1749">
        <f t="shared" si="6"/>
        <v>0</v>
      </c>
      <c r="G245" s="1749">
        <f t="shared" si="7"/>
        <v>0</v>
      </c>
    </row>
    <row r="246" spans="1:7">
      <c r="A246" s="1607" t="s">
        <v>2981</v>
      </c>
      <c r="B246" s="1608"/>
      <c r="C246" s="1609">
        <v>39629</v>
      </c>
      <c r="D246">
        <f>+IFERROR(VLOOKUP($A246,'TB Final'!$B:$K,7,0),0)</f>
        <v>0</v>
      </c>
      <c r="E246">
        <f>+IFERROR(VLOOKUP($A246,'TB Final'!$B:$K,10,0),0)</f>
        <v>39629</v>
      </c>
      <c r="F246" s="1749">
        <f t="shared" si="6"/>
        <v>0</v>
      </c>
      <c r="G246" s="1749">
        <f t="shared" si="7"/>
        <v>0</v>
      </c>
    </row>
    <row r="247" spans="1:7">
      <c r="A247" s="1607" t="s">
        <v>538</v>
      </c>
      <c r="B247" s="1608"/>
      <c r="C247" s="1609">
        <v>570460</v>
      </c>
      <c r="D247">
        <f>+IFERROR(VLOOKUP($A247,'TB Final'!$B:$K,7,0),0)</f>
        <v>0</v>
      </c>
      <c r="E247">
        <f>+IFERROR(VLOOKUP($A247,'TB Final'!$B:$K,10,0),0)</f>
        <v>570460</v>
      </c>
      <c r="F247" s="1749">
        <f t="shared" si="6"/>
        <v>0</v>
      </c>
      <c r="G247" s="1749">
        <f t="shared" si="7"/>
        <v>0</v>
      </c>
    </row>
    <row r="248" spans="1:7">
      <c r="A248" s="1607" t="s">
        <v>293</v>
      </c>
      <c r="B248" s="1609">
        <v>248584</v>
      </c>
      <c r="C248" s="1608"/>
      <c r="D248">
        <f>+IFERROR(VLOOKUP($A248,'TB Final'!$B:$K,7,0),0)</f>
        <v>248584</v>
      </c>
      <c r="E248">
        <f>+IFERROR(VLOOKUP($A248,'TB Final'!$B:$K,10,0),0)</f>
        <v>0</v>
      </c>
      <c r="F248" s="1749">
        <f t="shared" si="6"/>
        <v>0</v>
      </c>
      <c r="G248" s="1749">
        <f t="shared" si="7"/>
        <v>0</v>
      </c>
    </row>
    <row r="249" spans="1:7">
      <c r="A249" s="1607" t="s">
        <v>294</v>
      </c>
      <c r="B249" s="1609">
        <v>8366598</v>
      </c>
      <c r="C249" s="1608"/>
      <c r="D249">
        <f>+IFERROR(VLOOKUP($A249,'TB Final'!$B:$K,7,0),0)</f>
        <v>8366598</v>
      </c>
      <c r="E249">
        <f>+IFERROR(VLOOKUP($A249,'TB Final'!$B:$K,10,0),0)</f>
        <v>0</v>
      </c>
      <c r="F249" s="1749">
        <f t="shared" si="6"/>
        <v>0</v>
      </c>
      <c r="G249" s="1749">
        <f t="shared" si="7"/>
        <v>0</v>
      </c>
    </row>
    <row r="250" spans="1:7">
      <c r="A250" s="1607" t="s">
        <v>295</v>
      </c>
      <c r="B250" s="1609">
        <v>210</v>
      </c>
      <c r="C250" s="1608"/>
      <c r="D250">
        <f>+IFERROR(VLOOKUP($A250,'TB Final'!$B:$K,7,0),0)</f>
        <v>210</v>
      </c>
      <c r="E250">
        <f>+IFERROR(VLOOKUP($A250,'TB Final'!$B:$K,10,0),0)</f>
        <v>0</v>
      </c>
      <c r="F250" s="1749">
        <f t="shared" si="6"/>
        <v>0</v>
      </c>
      <c r="G250" s="1749">
        <f t="shared" si="7"/>
        <v>0</v>
      </c>
    </row>
    <row r="251" spans="1:7">
      <c r="A251" s="1607" t="s">
        <v>540</v>
      </c>
      <c r="B251" s="1609">
        <v>11174515.4</v>
      </c>
      <c r="C251" s="1608"/>
      <c r="D251">
        <f>+IFERROR(VLOOKUP($A251,'TB Final'!$B:$K,7,0),0)</f>
        <v>11174515.4</v>
      </c>
      <c r="E251">
        <f>+IFERROR(VLOOKUP($A251,'TB Final'!$B:$K,10,0),0)</f>
        <v>0</v>
      </c>
      <c r="F251" s="1749">
        <f t="shared" si="6"/>
        <v>0</v>
      </c>
      <c r="G251" s="1749">
        <f t="shared" si="7"/>
        <v>0</v>
      </c>
    </row>
    <row r="252" spans="1:7">
      <c r="A252" s="1607" t="s">
        <v>2982</v>
      </c>
      <c r="B252" s="1609">
        <v>11449790</v>
      </c>
      <c r="C252" s="1608"/>
      <c r="D252">
        <f>+IFERROR(VLOOKUP($A252,'TB Final'!$B:$K,7,0),0)</f>
        <v>11449790</v>
      </c>
      <c r="E252">
        <f>+IFERROR(VLOOKUP($A252,'TB Final'!$B:$K,10,0),0)</f>
        <v>0</v>
      </c>
      <c r="F252" s="1749">
        <f t="shared" si="6"/>
        <v>0</v>
      </c>
      <c r="G252" s="1749">
        <f t="shared" si="7"/>
        <v>0</v>
      </c>
    </row>
    <row r="253" spans="1:7">
      <c r="A253" s="1607" t="s">
        <v>2983</v>
      </c>
      <c r="B253" s="1608"/>
      <c r="C253" s="1609">
        <v>328373</v>
      </c>
      <c r="D253">
        <f>+IFERROR(VLOOKUP($A253,'TB Final'!$B:$K,7,0),0)</f>
        <v>0</v>
      </c>
      <c r="E253">
        <f>+IFERROR(VLOOKUP($A253,'TB Final'!$B:$K,10,0),0)</f>
        <v>328373</v>
      </c>
      <c r="F253" s="1749">
        <f t="shared" si="6"/>
        <v>0</v>
      </c>
      <c r="G253" s="1749">
        <f t="shared" si="7"/>
        <v>0</v>
      </c>
    </row>
    <row r="254" spans="1:7">
      <c r="A254" s="1607" t="s">
        <v>301</v>
      </c>
      <c r="B254" s="1608"/>
      <c r="C254" s="1609">
        <v>3493498</v>
      </c>
      <c r="D254">
        <f>+IFERROR(VLOOKUP($A254,'TB Final'!$B:$K,7,0),0)</f>
        <v>0</v>
      </c>
      <c r="E254">
        <f>+IFERROR(VLOOKUP($A254,'TB Final'!$B:$K,10,0),0)</f>
        <v>3493498</v>
      </c>
      <c r="F254" s="1749">
        <f t="shared" si="6"/>
        <v>0</v>
      </c>
      <c r="G254" s="1749">
        <f t="shared" si="7"/>
        <v>0</v>
      </c>
    </row>
    <row r="255" spans="1:7">
      <c r="A255" s="1607" t="s">
        <v>2984</v>
      </c>
      <c r="B255" s="1609">
        <v>846</v>
      </c>
      <c r="C255" s="1608"/>
      <c r="D255">
        <f>+IFERROR(VLOOKUP($A255,'TB Final'!$B:$K,7,0),0)</f>
        <v>846</v>
      </c>
      <c r="E255">
        <f>+IFERROR(VLOOKUP($A255,'TB Final'!$B:$K,10,0),0)</f>
        <v>0</v>
      </c>
      <c r="F255" s="1749">
        <f t="shared" si="6"/>
        <v>0</v>
      </c>
      <c r="G255" s="1749">
        <f t="shared" si="7"/>
        <v>0</v>
      </c>
    </row>
    <row r="256" spans="1:7">
      <c r="A256" s="1607" t="s">
        <v>82</v>
      </c>
      <c r="B256" s="1609">
        <v>248399</v>
      </c>
      <c r="C256" s="1608"/>
      <c r="D256">
        <f>+IFERROR(VLOOKUP($A256,'TB Final'!$B:$K,7,0),0)</f>
        <v>248399</v>
      </c>
      <c r="E256">
        <f>+IFERROR(VLOOKUP($A256,'TB Final'!$B:$K,10,0),0)</f>
        <v>0</v>
      </c>
      <c r="F256" s="1749">
        <f t="shared" si="6"/>
        <v>0</v>
      </c>
      <c r="G256" s="1749">
        <f t="shared" si="7"/>
        <v>0</v>
      </c>
    </row>
    <row r="257" spans="1:7">
      <c r="A257" s="1607" t="s">
        <v>2565</v>
      </c>
      <c r="B257" s="1609">
        <v>15000</v>
      </c>
      <c r="C257" s="1608"/>
      <c r="D257">
        <f>+IFERROR(VLOOKUP($A257,'TB Final'!$B:$K,7,0),0)</f>
        <v>15000</v>
      </c>
      <c r="E257">
        <f>+IFERROR(VLOOKUP($A257,'TB Final'!$B:$K,10,0),0)</f>
        <v>0</v>
      </c>
      <c r="F257" s="1749">
        <f t="shared" si="6"/>
        <v>0</v>
      </c>
      <c r="G257" s="1749">
        <f t="shared" si="7"/>
        <v>0</v>
      </c>
    </row>
    <row r="258" spans="1:7">
      <c r="A258" s="1607" t="s">
        <v>303</v>
      </c>
      <c r="B258" s="1609">
        <v>3685087.84</v>
      </c>
      <c r="C258" s="1608"/>
      <c r="D258">
        <f>+IFERROR(VLOOKUP($A258,'TB Final'!$B:$K,7,0),0)</f>
        <v>3685087.84</v>
      </c>
      <c r="E258">
        <f>+IFERROR(VLOOKUP($A258,'TB Final'!$B:$K,10,0),0)</f>
        <v>0</v>
      </c>
      <c r="F258" s="1749">
        <f t="shared" si="6"/>
        <v>0</v>
      </c>
      <c r="G258" s="1749">
        <f t="shared" si="7"/>
        <v>0</v>
      </c>
    </row>
    <row r="259" spans="1:7">
      <c r="A259" s="1607" t="s">
        <v>299</v>
      </c>
      <c r="B259" s="1609">
        <v>1924603.5</v>
      </c>
      <c r="C259" s="1608"/>
      <c r="D259">
        <f>+IFERROR(VLOOKUP($A259,'TB Final'!$B:$K,7,0),0)</f>
        <v>1924603.5</v>
      </c>
      <c r="E259">
        <f>+IFERROR(VLOOKUP($A259,'TB Final'!$B:$K,10,0),0)</f>
        <v>0</v>
      </c>
      <c r="F259" s="1749">
        <f t="shared" si="6"/>
        <v>0</v>
      </c>
      <c r="G259" s="1749">
        <f t="shared" si="7"/>
        <v>0</v>
      </c>
    </row>
    <row r="260" spans="1:7">
      <c r="A260" s="1607" t="s">
        <v>304</v>
      </c>
      <c r="B260" s="1608"/>
      <c r="C260" s="1609">
        <v>29783</v>
      </c>
      <c r="D260">
        <f>+IFERROR(VLOOKUP($A260,'TB Final'!$B:$K,7,0),0)</f>
        <v>0</v>
      </c>
      <c r="E260">
        <f>+IFERROR(VLOOKUP($A260,'TB Final'!$B:$K,10,0),0)</f>
        <v>29783</v>
      </c>
      <c r="F260" s="1749">
        <f t="shared" si="6"/>
        <v>0</v>
      </c>
      <c r="G260" s="1749">
        <f t="shared" si="7"/>
        <v>0</v>
      </c>
    </row>
    <row r="261" spans="1:7">
      <c r="A261" s="1607" t="s">
        <v>305</v>
      </c>
      <c r="B261" s="1608"/>
      <c r="C261" s="1609">
        <v>27120</v>
      </c>
      <c r="D261">
        <f>+IFERROR(VLOOKUP($A261,'TB Final'!$B:$K,7,0),0)</f>
        <v>0</v>
      </c>
      <c r="E261">
        <f>+IFERROR(VLOOKUP($A261,'TB Final'!$B:$K,10,0),0)</f>
        <v>27120</v>
      </c>
      <c r="F261" s="1749">
        <f t="shared" si="6"/>
        <v>0</v>
      </c>
      <c r="G261" s="1749">
        <f t="shared" si="7"/>
        <v>0</v>
      </c>
    </row>
    <row r="262" spans="1:7">
      <c r="A262" s="1607" t="s">
        <v>306</v>
      </c>
      <c r="B262" s="1608"/>
      <c r="C262" s="1609">
        <v>29783</v>
      </c>
      <c r="D262">
        <f>+IFERROR(VLOOKUP($A262,'TB Final'!$B:$K,7,0),0)</f>
        <v>0</v>
      </c>
      <c r="E262">
        <f>+IFERROR(VLOOKUP($A262,'TB Final'!$B:$K,10,0),0)</f>
        <v>29783</v>
      </c>
      <c r="F262" s="1749">
        <f t="shared" si="6"/>
        <v>0</v>
      </c>
      <c r="G262" s="1749">
        <f t="shared" si="7"/>
        <v>0</v>
      </c>
    </row>
    <row r="263" spans="1:7">
      <c r="A263" s="1607" t="s">
        <v>909</v>
      </c>
      <c r="B263" s="1608"/>
      <c r="C263" s="1609">
        <v>160600</v>
      </c>
      <c r="D263">
        <f>+IFERROR(VLOOKUP($A263,'TB Final'!$B:$K,7,0),0)</f>
        <v>0</v>
      </c>
      <c r="E263">
        <f>+IFERROR(VLOOKUP($A263,'TB Final'!$B:$K,10,0),0)</f>
        <v>160600</v>
      </c>
      <c r="F263" s="1749">
        <f t="shared" si="6"/>
        <v>0</v>
      </c>
      <c r="G263" s="1749">
        <f t="shared" si="7"/>
        <v>0</v>
      </c>
    </row>
    <row r="264" spans="1:7">
      <c r="A264" s="1607" t="s">
        <v>545</v>
      </c>
      <c r="B264" s="1609">
        <v>1916000</v>
      </c>
      <c r="C264" s="1608"/>
      <c r="D264">
        <f>+IFERROR(VLOOKUP($A264,'TB Final'!$B:$K,7,0),0)</f>
        <v>1916000</v>
      </c>
      <c r="E264">
        <f>+IFERROR(VLOOKUP($A264,'TB Final'!$B:$K,10,0),0)</f>
        <v>0</v>
      </c>
      <c r="F264" s="1749">
        <f t="shared" si="6"/>
        <v>0</v>
      </c>
      <c r="G264" s="1749">
        <f t="shared" si="7"/>
        <v>0</v>
      </c>
    </row>
    <row r="265" spans="1:7">
      <c r="A265" s="1607" t="s">
        <v>309</v>
      </c>
      <c r="B265" s="1609">
        <v>400168</v>
      </c>
      <c r="C265" s="1608"/>
      <c r="D265">
        <f>+IFERROR(VLOOKUP($A265,'TB Final'!$B:$K,7,0),0)</f>
        <v>400168</v>
      </c>
      <c r="E265">
        <f>+IFERROR(VLOOKUP($A265,'TB Final'!$B:$K,10,0),0)</f>
        <v>0</v>
      </c>
      <c r="F265" s="1749">
        <f t="shared" si="6"/>
        <v>0</v>
      </c>
      <c r="G265" s="1749">
        <f t="shared" si="7"/>
        <v>0</v>
      </c>
    </row>
    <row r="266" spans="1:7">
      <c r="A266" s="1607" t="s">
        <v>2985</v>
      </c>
      <c r="B266" s="1609">
        <v>51534</v>
      </c>
      <c r="C266" s="1608"/>
      <c r="D266">
        <f>+IFERROR(VLOOKUP($A266,'TB Final'!$B:$K,7,0),0)</f>
        <v>51534</v>
      </c>
      <c r="E266">
        <f>+IFERROR(VLOOKUP($A266,'TB Final'!$B:$K,10,0),0)</f>
        <v>0</v>
      </c>
      <c r="F266" s="1749">
        <f t="shared" si="6"/>
        <v>0</v>
      </c>
      <c r="G266" s="1749">
        <f t="shared" si="7"/>
        <v>0</v>
      </c>
    </row>
    <row r="267" spans="1:7">
      <c r="A267" s="1607" t="s">
        <v>311</v>
      </c>
      <c r="B267" s="1609">
        <v>357129.36</v>
      </c>
      <c r="C267" s="1608"/>
      <c r="D267">
        <f>+IFERROR(VLOOKUP($A267,'TB Final'!$B:$K,7,0),0)</f>
        <v>357129.36</v>
      </c>
      <c r="E267">
        <f>+IFERROR(VLOOKUP($A267,'TB Final'!$B:$K,10,0),0)</f>
        <v>0</v>
      </c>
      <c r="F267" s="1749">
        <f t="shared" si="6"/>
        <v>0</v>
      </c>
      <c r="G267" s="1749">
        <f t="shared" si="7"/>
        <v>0</v>
      </c>
    </row>
    <row r="268" spans="1:7">
      <c r="A268" s="1607" t="s">
        <v>546</v>
      </c>
      <c r="B268" s="1609">
        <v>263090.43</v>
      </c>
      <c r="C268" s="1608"/>
      <c r="D268">
        <f>+IFERROR(VLOOKUP($A268,'TB Final'!$B:$K,7,0),0)</f>
        <v>263090.43</v>
      </c>
      <c r="E268">
        <f>+IFERROR(VLOOKUP($A268,'TB Final'!$B:$K,10,0),0)</f>
        <v>0</v>
      </c>
      <c r="F268" s="1749">
        <f t="shared" si="6"/>
        <v>0</v>
      </c>
      <c r="G268" s="1749">
        <f t="shared" si="7"/>
        <v>0</v>
      </c>
    </row>
    <row r="269" spans="1:7">
      <c r="A269" s="1607" t="s">
        <v>2986</v>
      </c>
      <c r="B269" s="1609">
        <v>58000</v>
      </c>
      <c r="C269" s="1608"/>
      <c r="D269">
        <f>+IFERROR(VLOOKUP($A269,'TB Final'!$B:$K,7,0),0)</f>
        <v>58000</v>
      </c>
      <c r="E269">
        <f>+IFERROR(VLOOKUP($A269,'TB Final'!$B:$K,10,0),0)</f>
        <v>0</v>
      </c>
      <c r="F269" s="1749">
        <f t="shared" ref="F269:F332" si="8">+B269-D269</f>
        <v>0</v>
      </c>
      <c r="G269" s="1749">
        <f t="shared" ref="G269:G332" si="9">+C269-E269</f>
        <v>0</v>
      </c>
    </row>
    <row r="270" spans="1:7">
      <c r="A270" s="1607" t="s">
        <v>312</v>
      </c>
      <c r="B270" s="1608"/>
      <c r="C270" s="1609">
        <v>50905004</v>
      </c>
      <c r="D270">
        <f>+IFERROR(VLOOKUP($A270,'TB Final'!$B:$K,7,0),0)</f>
        <v>0</v>
      </c>
      <c r="E270">
        <f>+IFERROR(VLOOKUP($A270,'TB Final'!$B:$K,10,0),0)</f>
        <v>50905004</v>
      </c>
      <c r="F270" s="1749">
        <f t="shared" si="8"/>
        <v>0</v>
      </c>
      <c r="G270" s="1749">
        <f t="shared" si="9"/>
        <v>0</v>
      </c>
    </row>
    <row r="271" spans="1:7">
      <c r="A271" s="1607" t="s">
        <v>3064</v>
      </c>
      <c r="B271" s="1608"/>
      <c r="C271" s="1609">
        <v>77396</v>
      </c>
      <c r="D271">
        <f>+IFERROR(VLOOKUP($A271,'TB Final'!$B:$K,7,0),0)</f>
        <v>0</v>
      </c>
      <c r="E271">
        <f>+IFERROR(VLOOKUP($A271,'TB Final'!$B:$K,10,0),0)</f>
        <v>77396</v>
      </c>
      <c r="F271" s="1749">
        <f t="shared" si="8"/>
        <v>0</v>
      </c>
      <c r="G271" s="1749">
        <f t="shared" si="9"/>
        <v>0</v>
      </c>
    </row>
    <row r="272" spans="1:7">
      <c r="A272" s="1607" t="s">
        <v>549</v>
      </c>
      <c r="B272" s="1608"/>
      <c r="C272" s="1609">
        <v>54000</v>
      </c>
      <c r="D272">
        <f>+IFERROR(VLOOKUP($A272,'TB Final'!$B:$K,7,0),0)</f>
        <v>0</v>
      </c>
      <c r="E272">
        <f>+IFERROR(VLOOKUP($A272,'TB Final'!$B:$K,10,0),0)</f>
        <v>54000</v>
      </c>
      <c r="F272" s="1749">
        <f t="shared" si="8"/>
        <v>0</v>
      </c>
      <c r="G272" s="1749">
        <f t="shared" si="9"/>
        <v>0</v>
      </c>
    </row>
    <row r="273" spans="1:7">
      <c r="A273" s="1607" t="s">
        <v>313</v>
      </c>
      <c r="B273" s="1609">
        <v>4800</v>
      </c>
      <c r="C273" s="1608"/>
      <c r="D273">
        <f>+IFERROR(VLOOKUP($A273,'TB Final'!$B:$K,7,0),0)</f>
        <v>4800</v>
      </c>
      <c r="E273">
        <f>+IFERROR(VLOOKUP($A273,'TB Final'!$B:$K,10,0),0)</f>
        <v>0</v>
      </c>
      <c r="F273" s="1749">
        <f t="shared" si="8"/>
        <v>0</v>
      </c>
      <c r="G273" s="1749">
        <f t="shared" si="9"/>
        <v>0</v>
      </c>
    </row>
    <row r="274" spans="1:7">
      <c r="A274" s="1607" t="s">
        <v>405</v>
      </c>
      <c r="B274" s="1609">
        <v>221984</v>
      </c>
      <c r="C274" s="1608"/>
      <c r="D274">
        <f>+IFERROR(VLOOKUP($A274,'TB Final'!$B:$K,7,0),0)</f>
        <v>221984</v>
      </c>
      <c r="E274">
        <f>+IFERROR(VLOOKUP($A274,'TB Final'!$B:$K,10,0),0)</f>
        <v>0</v>
      </c>
      <c r="F274" s="1749">
        <f t="shared" si="8"/>
        <v>0</v>
      </c>
      <c r="G274" s="1749">
        <f t="shared" si="9"/>
        <v>0</v>
      </c>
    </row>
    <row r="275" spans="1:7">
      <c r="A275" s="1607" t="s">
        <v>314</v>
      </c>
      <c r="B275" s="1608"/>
      <c r="C275" s="1609">
        <v>3110810</v>
      </c>
      <c r="D275">
        <f>+IFERROR(VLOOKUP($A275,'TB Final'!$B:$K,7,0),0)</f>
        <v>0</v>
      </c>
      <c r="E275">
        <f>+IFERROR(VLOOKUP($A275,'TB Final'!$B:$K,10,0),0)</f>
        <v>3110810</v>
      </c>
      <c r="F275" s="1749">
        <f t="shared" si="8"/>
        <v>0</v>
      </c>
      <c r="G275" s="1749">
        <f t="shared" si="9"/>
        <v>0</v>
      </c>
    </row>
    <row r="276" spans="1:7">
      <c r="A276" s="1607" t="s">
        <v>315</v>
      </c>
      <c r="B276" s="1608"/>
      <c r="C276" s="1609">
        <v>245.71</v>
      </c>
      <c r="D276">
        <f>+IFERROR(VLOOKUP($A276,'TB Final'!$B:$K,7,0),0)</f>
        <v>0</v>
      </c>
      <c r="E276">
        <f>+IFERROR(VLOOKUP($A276,'TB Final'!$B:$K,10,0),0)</f>
        <v>245.71</v>
      </c>
      <c r="F276" s="1749">
        <f t="shared" si="8"/>
        <v>0</v>
      </c>
      <c r="G276" s="1749">
        <f t="shared" si="9"/>
        <v>0</v>
      </c>
    </row>
    <row r="277" spans="1:7">
      <c r="A277" s="1607" t="s">
        <v>407</v>
      </c>
      <c r="B277" s="1609">
        <v>15353091</v>
      </c>
      <c r="C277" s="1608"/>
      <c r="D277">
        <f>+IFERROR(VLOOKUP($A277,'TB Final'!$B:$K,7,0),0)</f>
        <v>15353091</v>
      </c>
      <c r="E277">
        <f>+IFERROR(VLOOKUP($A277,'TB Final'!$B:$K,10,0),0)</f>
        <v>0</v>
      </c>
      <c r="F277" s="1749">
        <f t="shared" si="8"/>
        <v>0</v>
      </c>
      <c r="G277" s="1749">
        <f t="shared" si="9"/>
        <v>0</v>
      </c>
    </row>
    <row r="278" spans="1:7">
      <c r="A278" s="1607" t="s">
        <v>550</v>
      </c>
      <c r="B278" s="1609">
        <v>231709</v>
      </c>
      <c r="C278" s="1608"/>
      <c r="D278">
        <f>+IFERROR(VLOOKUP($A278,'TB Final'!$B:$K,7,0),0)</f>
        <v>231709</v>
      </c>
      <c r="E278">
        <f>+IFERROR(VLOOKUP($A278,'TB Final'!$B:$K,10,0),0)</f>
        <v>0</v>
      </c>
      <c r="F278" s="1749">
        <f t="shared" si="8"/>
        <v>0</v>
      </c>
      <c r="G278" s="1749">
        <f t="shared" si="9"/>
        <v>0</v>
      </c>
    </row>
    <row r="279" spans="1:7">
      <c r="A279" s="1607" t="s">
        <v>320</v>
      </c>
      <c r="B279" s="1608"/>
      <c r="C279" s="1609">
        <v>2400131</v>
      </c>
      <c r="D279">
        <f>+IFERROR(VLOOKUP($A279,'TB Final'!$B:$K,7,0),0)</f>
        <v>0</v>
      </c>
      <c r="E279">
        <f>+IFERROR(VLOOKUP($A279,'TB Final'!$B:$K,10,0),0)</f>
        <v>2400131</v>
      </c>
      <c r="F279" s="1749">
        <f t="shared" si="8"/>
        <v>0</v>
      </c>
      <c r="G279" s="1749">
        <f t="shared" si="9"/>
        <v>0</v>
      </c>
    </row>
    <row r="280" spans="1:7">
      <c r="A280" s="1607" t="s">
        <v>321</v>
      </c>
      <c r="B280" s="1608"/>
      <c r="C280" s="1609">
        <v>1508372</v>
      </c>
      <c r="D280">
        <f>+IFERROR(VLOOKUP($A280,'TB Final'!$B:$K,7,0),0)</f>
        <v>0</v>
      </c>
      <c r="E280">
        <f>+IFERROR(VLOOKUP($A280,'TB Final'!$B:$K,10,0),0)</f>
        <v>1508372</v>
      </c>
      <c r="F280" s="1749">
        <f t="shared" si="8"/>
        <v>0</v>
      </c>
      <c r="G280" s="1749">
        <f t="shared" si="9"/>
        <v>0</v>
      </c>
    </row>
    <row r="281" spans="1:7">
      <c r="A281" s="1607" t="s">
        <v>323</v>
      </c>
      <c r="B281" s="1609">
        <v>252000</v>
      </c>
      <c r="C281" s="1608"/>
      <c r="D281">
        <f>+IFERROR(VLOOKUP($A281,'TB Final'!$B:$K,7,0),0)</f>
        <v>252000</v>
      </c>
      <c r="E281">
        <f>+IFERROR(VLOOKUP($A281,'TB Final'!$B:$K,10,0),0)</f>
        <v>0</v>
      </c>
      <c r="F281" s="1749">
        <f t="shared" si="8"/>
        <v>0</v>
      </c>
      <c r="G281" s="1749">
        <f t="shared" si="9"/>
        <v>0</v>
      </c>
    </row>
    <row r="282" spans="1:7">
      <c r="A282" s="1607" t="s">
        <v>552</v>
      </c>
      <c r="B282" s="1609">
        <v>1930419</v>
      </c>
      <c r="C282" s="1608"/>
      <c r="D282">
        <f>+IFERROR(VLOOKUP($A282,'TB Final'!$B:$K,7,0),0)</f>
        <v>1930419</v>
      </c>
      <c r="E282">
        <f>+IFERROR(VLOOKUP($A282,'TB Final'!$B:$K,10,0),0)</f>
        <v>0</v>
      </c>
      <c r="F282" s="1749">
        <f t="shared" si="8"/>
        <v>0</v>
      </c>
      <c r="G282" s="1749">
        <f t="shared" si="9"/>
        <v>0</v>
      </c>
    </row>
    <row r="283" spans="1:7">
      <c r="A283" s="1607" t="s">
        <v>553</v>
      </c>
      <c r="B283" s="1609">
        <v>2844200</v>
      </c>
      <c r="C283" s="1608"/>
      <c r="D283">
        <f>+IFERROR(VLOOKUP($A283,'TB Final'!$B:$K,7,0),0)</f>
        <v>2844200</v>
      </c>
      <c r="E283">
        <f>+IFERROR(VLOOKUP($A283,'TB Final'!$B:$K,10,0),0)</f>
        <v>0</v>
      </c>
      <c r="F283" s="1749">
        <f t="shared" si="8"/>
        <v>0</v>
      </c>
      <c r="G283" s="1749">
        <f t="shared" si="9"/>
        <v>0</v>
      </c>
    </row>
    <row r="284" spans="1:7">
      <c r="A284" s="1607" t="s">
        <v>554</v>
      </c>
      <c r="B284" s="1609">
        <v>9905920</v>
      </c>
      <c r="C284" s="1608"/>
      <c r="D284">
        <f>+IFERROR(VLOOKUP($A284,'TB Final'!$B:$K,7,0),0)</f>
        <v>9905920</v>
      </c>
      <c r="E284">
        <f>+IFERROR(VLOOKUP($A284,'TB Final'!$B:$K,10,0),0)</f>
        <v>0</v>
      </c>
      <c r="F284" s="1749">
        <f t="shared" si="8"/>
        <v>0</v>
      </c>
      <c r="G284" s="1749">
        <f t="shared" si="9"/>
        <v>0</v>
      </c>
    </row>
    <row r="285" spans="1:7">
      <c r="A285" s="1607" t="s">
        <v>2987</v>
      </c>
      <c r="B285" s="1608"/>
      <c r="C285" s="1609">
        <v>1300144</v>
      </c>
      <c r="D285">
        <f>+IFERROR(VLOOKUP($A285,'TB Final'!$B:$K,7,0),0)</f>
        <v>0</v>
      </c>
      <c r="E285">
        <f>+IFERROR(VLOOKUP($A285,'TB Final'!$B:$K,10,0),0)</f>
        <v>1300144</v>
      </c>
      <c r="F285" s="1749">
        <f t="shared" si="8"/>
        <v>0</v>
      </c>
      <c r="G285" s="1749">
        <f t="shared" si="9"/>
        <v>0</v>
      </c>
    </row>
    <row r="286" spans="1:7">
      <c r="A286" s="1607" t="s">
        <v>324</v>
      </c>
      <c r="B286" s="1608"/>
      <c r="C286" s="1609">
        <v>512311311.10000002</v>
      </c>
      <c r="D286">
        <f>+IFERROR(VLOOKUP($A286,'TB Final'!$B:$K,7,0),0)</f>
        <v>0</v>
      </c>
      <c r="E286">
        <f>+IFERROR(VLOOKUP($A286,'TB Final'!$B:$K,10,0),0)</f>
        <v>512311311.10000002</v>
      </c>
      <c r="F286" s="1749">
        <f t="shared" si="8"/>
        <v>0</v>
      </c>
      <c r="G286" s="1749">
        <f t="shared" si="9"/>
        <v>0</v>
      </c>
    </row>
    <row r="287" spans="1:7">
      <c r="A287" s="1607" t="s">
        <v>145</v>
      </c>
      <c r="B287" s="1608"/>
      <c r="C287" s="1609">
        <v>99943120.799999997</v>
      </c>
      <c r="D287">
        <f>+IFERROR(VLOOKUP($A287,'TB Final'!$B:$K,7,0),0)</f>
        <v>0</v>
      </c>
      <c r="E287">
        <f>+IFERROR(VLOOKUP($A287,'TB Final'!$B:$K,10,0),0)</f>
        <v>99943120.799999997</v>
      </c>
      <c r="F287" s="1749">
        <f t="shared" si="8"/>
        <v>0</v>
      </c>
      <c r="G287" s="1749">
        <f t="shared" si="9"/>
        <v>0</v>
      </c>
    </row>
    <row r="288" spans="1:7">
      <c r="A288" s="1607" t="s">
        <v>2988</v>
      </c>
      <c r="B288" s="1609">
        <v>322707</v>
      </c>
      <c r="C288" s="1608"/>
      <c r="D288">
        <f>+IFERROR(VLOOKUP($A288,'TB Final'!$B:$K,7,0),0)</f>
        <v>322707</v>
      </c>
      <c r="E288">
        <f>+IFERROR(VLOOKUP($A288,'TB Final'!$B:$K,10,0),0)</f>
        <v>0</v>
      </c>
      <c r="F288" s="1749">
        <f t="shared" si="8"/>
        <v>0</v>
      </c>
      <c r="G288" s="1749">
        <f t="shared" si="9"/>
        <v>0</v>
      </c>
    </row>
    <row r="289" spans="1:7">
      <c r="A289" s="1607" t="s">
        <v>556</v>
      </c>
      <c r="B289" s="1608"/>
      <c r="C289" s="1609">
        <v>409917</v>
      </c>
      <c r="D289">
        <f>+IFERROR(VLOOKUP($A289,'TB Final'!$B:$K,7,0),0)</f>
        <v>0</v>
      </c>
      <c r="E289">
        <f>+IFERROR(VLOOKUP($A289,'TB Final'!$B:$K,10,0),0)</f>
        <v>409917</v>
      </c>
      <c r="F289" s="1749">
        <f t="shared" si="8"/>
        <v>0</v>
      </c>
      <c r="G289" s="1749">
        <f t="shared" si="9"/>
        <v>0</v>
      </c>
    </row>
    <row r="290" spans="1:7">
      <c r="A290" s="1607" t="s">
        <v>325</v>
      </c>
      <c r="B290" s="1608"/>
      <c r="C290" s="1609">
        <v>1406203</v>
      </c>
      <c r="D290">
        <f>+IFERROR(VLOOKUP($A290,'TB Final'!$B:$K,7,0),0)</f>
        <v>0</v>
      </c>
      <c r="E290">
        <f>+IFERROR(VLOOKUP($A290,'TB Final'!$B:$K,10,0),0)</f>
        <v>1406203</v>
      </c>
      <c r="F290" s="1749">
        <f t="shared" si="8"/>
        <v>0</v>
      </c>
      <c r="G290" s="1749">
        <f t="shared" si="9"/>
        <v>0</v>
      </c>
    </row>
    <row r="291" spans="1:7">
      <c r="A291" s="1607" t="s">
        <v>2989</v>
      </c>
      <c r="B291" s="1608"/>
      <c r="C291" s="1609">
        <v>5290</v>
      </c>
      <c r="D291">
        <f>+IFERROR(VLOOKUP($A291,'TB Final'!$B:$K,7,0),0)</f>
        <v>0</v>
      </c>
      <c r="E291">
        <f>+IFERROR(VLOOKUP($A291,'TB Final'!$B:$K,10,0),0)</f>
        <v>5290</v>
      </c>
      <c r="F291" s="1749">
        <f t="shared" si="8"/>
        <v>0</v>
      </c>
      <c r="G291" s="1749">
        <f t="shared" si="9"/>
        <v>0</v>
      </c>
    </row>
    <row r="292" spans="1:7">
      <c r="A292" s="1607" t="s">
        <v>557</v>
      </c>
      <c r="B292" s="1608"/>
      <c r="C292" s="1609">
        <v>2187364</v>
      </c>
      <c r="D292">
        <f>+IFERROR(VLOOKUP($A292,'TB Final'!$B:$K,7,0),0)</f>
        <v>0</v>
      </c>
      <c r="E292">
        <f>+IFERROR(VLOOKUP($A292,'TB Final'!$B:$K,10,0),0)</f>
        <v>2187364</v>
      </c>
      <c r="F292" s="1749">
        <f t="shared" si="8"/>
        <v>0</v>
      </c>
      <c r="G292" s="1749">
        <f t="shared" si="9"/>
        <v>0</v>
      </c>
    </row>
    <row r="293" spans="1:7">
      <c r="A293" s="1607" t="s">
        <v>2990</v>
      </c>
      <c r="B293" s="1609">
        <v>1094</v>
      </c>
      <c r="C293" s="1608"/>
      <c r="D293">
        <f>+IFERROR(VLOOKUP($A293,'TB Final'!$B:$K,7,0),0)</f>
        <v>1094</v>
      </c>
      <c r="E293">
        <f>+IFERROR(VLOOKUP($A293,'TB Final'!$B:$K,10,0),0)</f>
        <v>0</v>
      </c>
      <c r="F293" s="1749">
        <f t="shared" si="8"/>
        <v>0</v>
      </c>
      <c r="G293" s="1749">
        <f t="shared" si="9"/>
        <v>0</v>
      </c>
    </row>
    <row r="294" spans="1:7">
      <c r="A294" s="1607" t="s">
        <v>42</v>
      </c>
      <c r="B294" s="1609">
        <v>8712571</v>
      </c>
      <c r="C294" s="1608"/>
      <c r="D294">
        <f>+IFERROR(VLOOKUP($A294,'TB Final'!$B:$K,7,0),0)</f>
        <v>8712571</v>
      </c>
      <c r="E294">
        <f>+IFERROR(VLOOKUP($A294,'TB Final'!$B:$K,10,0),0)</f>
        <v>0</v>
      </c>
      <c r="F294" s="1749">
        <f t="shared" si="8"/>
        <v>0</v>
      </c>
      <c r="G294" s="1749">
        <f t="shared" si="9"/>
        <v>0</v>
      </c>
    </row>
    <row r="295" spans="1:7">
      <c r="A295" s="1607" t="s">
        <v>558</v>
      </c>
      <c r="B295" s="1608"/>
      <c r="C295" s="1609">
        <v>11159826</v>
      </c>
      <c r="D295">
        <f>+IFERROR(VLOOKUP($A295,'TB Final'!$B:$K,7,0),0)</f>
        <v>0</v>
      </c>
      <c r="E295">
        <f>+IFERROR(VLOOKUP($A295,'TB Final'!$B:$K,10,0),0)</f>
        <v>11159826</v>
      </c>
      <c r="F295" s="1749">
        <f t="shared" si="8"/>
        <v>0</v>
      </c>
      <c r="G295" s="1749">
        <f t="shared" si="9"/>
        <v>0</v>
      </c>
    </row>
    <row r="296" spans="1:7">
      <c r="A296" s="1607" t="s">
        <v>409</v>
      </c>
      <c r="B296" s="1608"/>
      <c r="C296" s="1609">
        <v>6263137</v>
      </c>
      <c r="D296">
        <f>+IFERROR(VLOOKUP($A296,'TB Final'!$B:$K,7,0),0)</f>
        <v>0</v>
      </c>
      <c r="E296">
        <f>+IFERROR(VLOOKUP($A296,'TB Final'!$B:$K,10,0),0)</f>
        <v>6263137</v>
      </c>
      <c r="F296" s="1749">
        <f t="shared" si="8"/>
        <v>0</v>
      </c>
      <c r="G296" s="1749">
        <f t="shared" si="9"/>
        <v>0</v>
      </c>
    </row>
    <row r="297" spans="1:7">
      <c r="A297" s="1607" t="s">
        <v>437</v>
      </c>
      <c r="B297" s="1608"/>
      <c r="C297" s="1609">
        <v>68723.86</v>
      </c>
      <c r="D297">
        <f>+IFERROR(VLOOKUP($A297,'TB Final'!$B:$K,7,0),0)</f>
        <v>0</v>
      </c>
      <c r="E297">
        <f>+IFERROR(VLOOKUP($A297,'TB Final'!$B:$K,10,0),0)</f>
        <v>68723.86</v>
      </c>
      <c r="F297" s="1749">
        <f t="shared" si="8"/>
        <v>0</v>
      </c>
      <c r="G297" s="1749">
        <f t="shared" si="9"/>
        <v>0</v>
      </c>
    </row>
    <row r="298" spans="1:7">
      <c r="A298" s="1607" t="s">
        <v>316</v>
      </c>
      <c r="B298" s="1609">
        <v>8810.64</v>
      </c>
      <c r="C298" s="1608"/>
      <c r="D298">
        <f>+IFERROR(VLOOKUP($A298,'TB Final'!$B:$K,7,0),0)</f>
        <v>8810.64</v>
      </c>
      <c r="E298">
        <f>+IFERROR(VLOOKUP($A298,'TB Final'!$B:$K,10,0),0)</f>
        <v>0</v>
      </c>
      <c r="F298" s="1749">
        <f t="shared" si="8"/>
        <v>0</v>
      </c>
      <c r="G298" s="1749">
        <f t="shared" si="9"/>
        <v>0</v>
      </c>
    </row>
    <row r="299" spans="1:7">
      <c r="A299" s="1607" t="s">
        <v>2991</v>
      </c>
      <c r="B299" s="1608"/>
      <c r="C299" s="1609">
        <v>28972386</v>
      </c>
      <c r="D299">
        <f>+IFERROR(VLOOKUP($A299,'TB Final'!$B:$K,7,0),0)</f>
        <v>0</v>
      </c>
      <c r="E299">
        <f>+IFERROR(VLOOKUP($A299,'TB Final'!$B:$K,10,0),0)</f>
        <v>28972386</v>
      </c>
      <c r="F299" s="1749">
        <f t="shared" si="8"/>
        <v>0</v>
      </c>
      <c r="G299" s="1749">
        <f t="shared" si="9"/>
        <v>0</v>
      </c>
    </row>
    <row r="300" spans="1:7">
      <c r="A300" s="1607" t="s">
        <v>410</v>
      </c>
      <c r="B300" s="1608"/>
      <c r="C300" s="1609">
        <v>46199076</v>
      </c>
      <c r="D300">
        <f>+IFERROR(VLOOKUP($A300,'TB Final'!$B:$K,7,0),0)</f>
        <v>0</v>
      </c>
      <c r="E300">
        <f>+IFERROR(VLOOKUP($A300,'TB Final'!$B:$K,10,0),0)</f>
        <v>46199076</v>
      </c>
      <c r="F300" s="1749">
        <f t="shared" si="8"/>
        <v>0</v>
      </c>
      <c r="G300" s="1749">
        <f t="shared" si="9"/>
        <v>0</v>
      </c>
    </row>
    <row r="301" spans="1:7">
      <c r="A301" s="1607" t="s">
        <v>326</v>
      </c>
      <c r="B301" s="1608"/>
      <c r="C301" s="1609">
        <v>8664946</v>
      </c>
      <c r="D301">
        <f>+IFERROR(VLOOKUP($A301,'TB Final'!$B:$K,7,0),0)</f>
        <v>0</v>
      </c>
      <c r="E301">
        <f>+IFERROR(VLOOKUP($A301,'TB Final'!$B:$K,10,0),0)</f>
        <v>8664946</v>
      </c>
      <c r="F301" s="1749">
        <f t="shared" si="8"/>
        <v>0</v>
      </c>
      <c r="G301" s="1749">
        <f t="shared" si="9"/>
        <v>0</v>
      </c>
    </row>
    <row r="302" spans="1:7">
      <c r="A302" s="1607" t="s">
        <v>328</v>
      </c>
      <c r="B302" s="1609">
        <v>827794</v>
      </c>
      <c r="C302" s="1608"/>
      <c r="D302">
        <f>+IFERROR(VLOOKUP($A302,'TB Final'!$B:$K,7,0),0)</f>
        <v>827794</v>
      </c>
      <c r="E302">
        <f>+IFERROR(VLOOKUP($A302,'TB Final'!$B:$K,10,0),0)</f>
        <v>0</v>
      </c>
      <c r="F302" s="1749">
        <f t="shared" si="8"/>
        <v>0</v>
      </c>
      <c r="G302" s="1749">
        <f t="shared" si="9"/>
        <v>0</v>
      </c>
    </row>
    <row r="303" spans="1:7">
      <c r="A303" s="1607" t="s">
        <v>411</v>
      </c>
      <c r="B303" s="1608"/>
      <c r="C303" s="1609">
        <v>1397710</v>
      </c>
      <c r="D303">
        <f>+IFERROR(VLOOKUP($A303,'TB Final'!$B:$K,7,0),0)</f>
        <v>0</v>
      </c>
      <c r="E303">
        <f>+IFERROR(VLOOKUP($A303,'TB Final'!$B:$K,10,0),0)</f>
        <v>1397710</v>
      </c>
      <c r="F303" s="1749">
        <f t="shared" si="8"/>
        <v>0</v>
      </c>
      <c r="G303" s="1749">
        <f t="shared" si="9"/>
        <v>0</v>
      </c>
    </row>
    <row r="304" spans="1:7">
      <c r="A304" s="1607" t="s">
        <v>16</v>
      </c>
      <c r="B304" s="1608"/>
      <c r="C304" s="1609">
        <v>210890</v>
      </c>
      <c r="D304">
        <f>+IFERROR(VLOOKUP($A304,'TB Final'!$B:$K,7,0),0)</f>
        <v>0</v>
      </c>
      <c r="E304">
        <f>+IFERROR(VLOOKUP($A304,'TB Final'!$B:$K,10,0),0)</f>
        <v>210890</v>
      </c>
      <c r="F304" s="1749">
        <f t="shared" si="8"/>
        <v>0</v>
      </c>
      <c r="G304" s="1749">
        <f t="shared" si="9"/>
        <v>0</v>
      </c>
    </row>
    <row r="305" spans="1:7">
      <c r="A305" s="1607" t="s">
        <v>2992</v>
      </c>
      <c r="B305" s="1608"/>
      <c r="C305" s="1609">
        <v>633932.32999999996</v>
      </c>
      <c r="D305">
        <f>+IFERROR(VLOOKUP($A305,'TB Final'!$B:$K,7,0),0)</f>
        <v>0</v>
      </c>
      <c r="E305">
        <f>+IFERROR(VLOOKUP($A305,'TB Final'!$B:$K,10,0),0)</f>
        <v>633932.32999999996</v>
      </c>
      <c r="F305" s="1749">
        <f t="shared" si="8"/>
        <v>0</v>
      </c>
      <c r="G305" s="1749">
        <f t="shared" si="9"/>
        <v>0</v>
      </c>
    </row>
    <row r="306" spans="1:7">
      <c r="A306" s="1607" t="s">
        <v>2993</v>
      </c>
      <c r="B306" s="1608"/>
      <c r="C306" s="1609">
        <v>41335.42</v>
      </c>
      <c r="D306">
        <f>+IFERROR(VLOOKUP($A306,'TB Final'!$B:$K,7,0),0)</f>
        <v>0</v>
      </c>
      <c r="E306">
        <f>+IFERROR(VLOOKUP($A306,'TB Final'!$B:$K,10,0),0)</f>
        <v>41335.42</v>
      </c>
      <c r="F306" s="1749">
        <f t="shared" si="8"/>
        <v>0</v>
      </c>
      <c r="G306" s="1749">
        <f t="shared" si="9"/>
        <v>0</v>
      </c>
    </row>
    <row r="307" spans="1:7">
      <c r="A307" s="1607" t="s">
        <v>217</v>
      </c>
      <c r="B307" s="1608"/>
      <c r="C307" s="1609">
        <v>474189</v>
      </c>
      <c r="D307">
        <f>+IFERROR(VLOOKUP($A307,'TB Final'!$B:$K,7,0),0)</f>
        <v>0</v>
      </c>
      <c r="E307">
        <f>+IFERROR(VLOOKUP($A307,'TB Final'!$B:$K,10,0),0)</f>
        <v>474189</v>
      </c>
      <c r="F307" s="1749">
        <f t="shared" si="8"/>
        <v>0</v>
      </c>
      <c r="G307" s="1749">
        <f t="shared" si="9"/>
        <v>0</v>
      </c>
    </row>
    <row r="308" spans="1:7">
      <c r="A308" s="1607" t="s">
        <v>332</v>
      </c>
      <c r="B308" s="1609">
        <v>719897</v>
      </c>
      <c r="C308" s="1608"/>
      <c r="D308">
        <f>+IFERROR(VLOOKUP($A308,'TB Final'!$B:$K,7,0),0)</f>
        <v>719897</v>
      </c>
      <c r="E308">
        <f>+IFERROR(VLOOKUP($A308,'TB Final'!$B:$K,10,0),0)</f>
        <v>0</v>
      </c>
      <c r="F308" s="1749">
        <f t="shared" si="8"/>
        <v>0</v>
      </c>
      <c r="G308" s="1749">
        <f t="shared" si="9"/>
        <v>0</v>
      </c>
    </row>
    <row r="309" spans="1:7">
      <c r="A309" s="1607" t="s">
        <v>2994</v>
      </c>
      <c r="B309" s="1609">
        <v>1651.44</v>
      </c>
      <c r="C309" s="1608"/>
      <c r="D309">
        <f>+IFERROR(VLOOKUP($A309,'TB Final'!$B:$K,7,0),0)</f>
        <v>1651.44</v>
      </c>
      <c r="E309">
        <f>+IFERROR(VLOOKUP($A309,'TB Final'!$B:$K,10,0),0)</f>
        <v>0</v>
      </c>
      <c r="F309" s="1749">
        <f t="shared" si="8"/>
        <v>0</v>
      </c>
      <c r="G309" s="1749">
        <f t="shared" si="9"/>
        <v>0</v>
      </c>
    </row>
    <row r="310" spans="1:7">
      <c r="A310" s="1607" t="s">
        <v>333</v>
      </c>
      <c r="B310" s="1608"/>
      <c r="C310" s="1609">
        <v>1449699.7</v>
      </c>
      <c r="D310">
        <f>+IFERROR(VLOOKUP($A310,'TB Final'!$B:$K,7,0),0)</f>
        <v>0</v>
      </c>
      <c r="E310">
        <f>+IFERROR(VLOOKUP($A310,'TB Final'!$B:$K,10,0),0)</f>
        <v>1449699.7</v>
      </c>
      <c r="F310" s="1749">
        <f t="shared" si="8"/>
        <v>0</v>
      </c>
      <c r="G310" s="1749">
        <f t="shared" si="9"/>
        <v>0</v>
      </c>
    </row>
    <row r="311" spans="1:7">
      <c r="A311" s="1607" t="s">
        <v>3065</v>
      </c>
      <c r="B311" s="1608"/>
      <c r="C311" s="1609">
        <v>22492</v>
      </c>
      <c r="D311">
        <f>+IFERROR(VLOOKUP($A311,'TB Final'!$B:$K,7,0),0)</f>
        <v>0</v>
      </c>
      <c r="E311">
        <f>+IFERROR(VLOOKUP($A311,'TB Final'!$B:$K,10,0),0)</f>
        <v>22492</v>
      </c>
      <c r="F311" s="1749">
        <f t="shared" si="8"/>
        <v>0</v>
      </c>
      <c r="G311" s="1749">
        <f t="shared" si="9"/>
        <v>0</v>
      </c>
    </row>
    <row r="312" spans="1:7">
      <c r="A312" s="1607" t="s">
        <v>414</v>
      </c>
      <c r="B312" s="1609">
        <v>221637</v>
      </c>
      <c r="C312" s="1608"/>
      <c r="D312">
        <f>+IFERROR(VLOOKUP($A312,'TB Final'!$B:$K,7,0),0)</f>
        <v>221637</v>
      </c>
      <c r="E312">
        <f>+IFERROR(VLOOKUP($A312,'TB Final'!$B:$K,10,0),0)</f>
        <v>0</v>
      </c>
      <c r="F312" s="1749">
        <f t="shared" si="8"/>
        <v>0</v>
      </c>
      <c r="G312" s="1749">
        <f t="shared" si="9"/>
        <v>0</v>
      </c>
    </row>
    <row r="313" spans="1:7">
      <c r="A313" s="1607" t="s">
        <v>336</v>
      </c>
      <c r="B313" s="1609">
        <v>125</v>
      </c>
      <c r="C313" s="1608"/>
      <c r="D313">
        <f>+IFERROR(VLOOKUP($A313,'TB Final'!$B:$K,7,0),0)</f>
        <v>125</v>
      </c>
      <c r="E313">
        <f>+IFERROR(VLOOKUP($A313,'TB Final'!$B:$K,10,0),0)</f>
        <v>0</v>
      </c>
      <c r="F313" s="1749">
        <f t="shared" si="8"/>
        <v>0</v>
      </c>
      <c r="G313" s="1749">
        <f t="shared" si="9"/>
        <v>0</v>
      </c>
    </row>
    <row r="314" spans="1:7">
      <c r="A314" s="1607" t="s">
        <v>2995</v>
      </c>
      <c r="B314" s="1608"/>
      <c r="C314" s="1609">
        <v>258302</v>
      </c>
      <c r="D314">
        <f>+IFERROR(VLOOKUP($A314,'TB Final'!$B:$K,7,0),0)</f>
        <v>0</v>
      </c>
      <c r="E314">
        <f>+IFERROR(VLOOKUP($A314,'TB Final'!$B:$K,10,0),0)</f>
        <v>258302</v>
      </c>
      <c r="F314" s="1749">
        <f t="shared" si="8"/>
        <v>0</v>
      </c>
      <c r="G314" s="1749">
        <f t="shared" si="9"/>
        <v>0</v>
      </c>
    </row>
    <row r="315" spans="1:7">
      <c r="A315" s="1607" t="s">
        <v>2996</v>
      </c>
      <c r="B315" s="1608"/>
      <c r="C315" s="1609">
        <v>114628</v>
      </c>
      <c r="D315">
        <f>+IFERROR(VLOOKUP($A315,'TB Final'!$B:$K,7,0),0)</f>
        <v>0</v>
      </c>
      <c r="E315">
        <f>+IFERROR(VLOOKUP($A315,'TB Final'!$B:$K,10,0),0)</f>
        <v>114628</v>
      </c>
      <c r="F315" s="1749">
        <f t="shared" si="8"/>
        <v>0</v>
      </c>
      <c r="G315" s="1749">
        <f t="shared" si="9"/>
        <v>0</v>
      </c>
    </row>
    <row r="316" spans="1:7">
      <c r="A316" s="1607" t="s">
        <v>337</v>
      </c>
      <c r="B316" s="1608"/>
      <c r="C316" s="1609">
        <v>559911</v>
      </c>
      <c r="D316">
        <f>+IFERROR(VLOOKUP($A316,'TB Final'!$B:$K,7,0),0)</f>
        <v>0</v>
      </c>
      <c r="E316">
        <f>+IFERROR(VLOOKUP($A316,'TB Final'!$B:$K,10,0),0)</f>
        <v>559911</v>
      </c>
      <c r="F316" s="1749">
        <f t="shared" si="8"/>
        <v>0</v>
      </c>
      <c r="G316" s="1749">
        <f t="shared" si="9"/>
        <v>0</v>
      </c>
    </row>
    <row r="317" spans="1:7">
      <c r="A317" s="1607" t="s">
        <v>338</v>
      </c>
      <c r="B317" s="1608"/>
      <c r="C317" s="1609">
        <v>14175</v>
      </c>
      <c r="D317">
        <f>+IFERROR(VLOOKUP($A317,'TB Final'!$B:$K,7,0),0)</f>
        <v>0</v>
      </c>
      <c r="E317">
        <f>+IFERROR(VLOOKUP($A317,'TB Final'!$B:$K,10,0),0)</f>
        <v>14175</v>
      </c>
      <c r="F317" s="1749">
        <f t="shared" si="8"/>
        <v>0</v>
      </c>
      <c r="G317" s="1749">
        <f t="shared" si="9"/>
        <v>0</v>
      </c>
    </row>
    <row r="318" spans="1:7">
      <c r="A318" s="1607" t="s">
        <v>416</v>
      </c>
      <c r="B318" s="1609">
        <v>12900</v>
      </c>
      <c r="C318" s="1608"/>
      <c r="D318">
        <f>+IFERROR(VLOOKUP($A318,'TB Final'!$B:$K,7,0),0)</f>
        <v>12900</v>
      </c>
      <c r="E318">
        <f>+IFERROR(VLOOKUP($A318,'TB Final'!$B:$K,10,0),0)</f>
        <v>0</v>
      </c>
      <c r="F318" s="1749">
        <f t="shared" si="8"/>
        <v>0</v>
      </c>
      <c r="G318" s="1749">
        <f t="shared" si="9"/>
        <v>0</v>
      </c>
    </row>
    <row r="319" spans="1:7">
      <c r="A319" s="1607" t="s">
        <v>562</v>
      </c>
      <c r="B319" s="1608"/>
      <c r="C319" s="1609">
        <v>89643931.159999996</v>
      </c>
      <c r="D319">
        <f>+IFERROR(VLOOKUP($A319,'TB Final'!$B:$K,7,0),0)</f>
        <v>0</v>
      </c>
      <c r="E319">
        <f>+IFERROR(VLOOKUP($A319,'TB Final'!$B:$K,10,0),0)</f>
        <v>89643931.159999996</v>
      </c>
      <c r="F319" s="1749">
        <f t="shared" si="8"/>
        <v>0</v>
      </c>
      <c r="G319" s="1749">
        <f t="shared" si="9"/>
        <v>0</v>
      </c>
    </row>
    <row r="320" spans="1:7">
      <c r="A320" s="1607" t="s">
        <v>341</v>
      </c>
      <c r="B320" s="1609">
        <v>5149248</v>
      </c>
      <c r="C320" s="1608"/>
      <c r="D320">
        <f>+IFERROR(VLOOKUP($A320,'TB Final'!$B:$K,7,0),0)</f>
        <v>5149248</v>
      </c>
      <c r="E320">
        <f>+IFERROR(VLOOKUP($A320,'TB Final'!$B:$K,10,0),0)</f>
        <v>0</v>
      </c>
      <c r="F320" s="1749">
        <f t="shared" si="8"/>
        <v>0</v>
      </c>
      <c r="G320" s="1749">
        <f t="shared" si="9"/>
        <v>0</v>
      </c>
    </row>
    <row r="321" spans="1:7">
      <c r="A321" s="1607" t="s">
        <v>563</v>
      </c>
      <c r="B321" s="1609">
        <v>217506.58</v>
      </c>
      <c r="C321" s="1608"/>
      <c r="D321">
        <f>+IFERROR(VLOOKUP($A321,'TB Final'!$B:$K,7,0),0)</f>
        <v>217506.58</v>
      </c>
      <c r="E321">
        <f>+IFERROR(VLOOKUP($A321,'TB Final'!$B:$K,10,0),0)</f>
        <v>0</v>
      </c>
      <c r="F321" s="1749">
        <f t="shared" si="8"/>
        <v>0</v>
      </c>
      <c r="G321" s="1749">
        <f t="shared" si="9"/>
        <v>0</v>
      </c>
    </row>
    <row r="322" spans="1:7">
      <c r="A322" s="1607" t="s">
        <v>343</v>
      </c>
      <c r="B322" s="1609">
        <v>275000</v>
      </c>
      <c r="C322" s="1608"/>
      <c r="D322">
        <f>+IFERROR(VLOOKUP($A322,'TB Final'!$B:$K,7,0),0)</f>
        <v>275000</v>
      </c>
      <c r="E322">
        <f>+IFERROR(VLOOKUP($A322,'TB Final'!$B:$K,10,0),0)</f>
        <v>0</v>
      </c>
      <c r="F322" s="1749">
        <f t="shared" si="8"/>
        <v>0</v>
      </c>
      <c r="G322" s="1749">
        <f t="shared" si="9"/>
        <v>0</v>
      </c>
    </row>
    <row r="323" spans="1:7">
      <c r="A323" s="1607" t="s">
        <v>345</v>
      </c>
      <c r="B323" s="1609">
        <v>46000</v>
      </c>
      <c r="C323" s="1608"/>
      <c r="D323">
        <f>+IFERROR(VLOOKUP($A323,'TB Final'!$B:$K,7,0),0)</f>
        <v>46000</v>
      </c>
      <c r="E323">
        <f>+IFERROR(VLOOKUP($A323,'TB Final'!$B:$K,10,0),0)</f>
        <v>0</v>
      </c>
      <c r="F323" s="1749">
        <f t="shared" si="8"/>
        <v>0</v>
      </c>
      <c r="G323" s="1749">
        <f t="shared" si="9"/>
        <v>0</v>
      </c>
    </row>
    <row r="324" spans="1:7">
      <c r="A324" s="1607" t="s">
        <v>564</v>
      </c>
      <c r="B324" s="1608"/>
      <c r="C324" s="1609">
        <v>548430</v>
      </c>
      <c r="D324">
        <f>+IFERROR(VLOOKUP($A324,'TB Final'!$B:$K,7,0),0)</f>
        <v>0</v>
      </c>
      <c r="E324">
        <f>+IFERROR(VLOOKUP($A324,'TB Final'!$B:$K,10,0),0)</f>
        <v>548430</v>
      </c>
      <c r="F324" s="1749">
        <f t="shared" si="8"/>
        <v>0</v>
      </c>
      <c r="G324" s="1749">
        <f t="shared" si="9"/>
        <v>0</v>
      </c>
    </row>
    <row r="325" spans="1:7">
      <c r="A325" s="1607" t="s">
        <v>565</v>
      </c>
      <c r="B325" s="1609">
        <v>188020.5</v>
      </c>
      <c r="C325" s="1608"/>
      <c r="D325">
        <f>+IFERROR(VLOOKUP($A325,'TB Final'!$B:$K,7,0),0)</f>
        <v>188020.5</v>
      </c>
      <c r="E325">
        <f>+IFERROR(VLOOKUP($A325,'TB Final'!$B:$K,10,0),0)</f>
        <v>0</v>
      </c>
      <c r="F325" s="1749">
        <f t="shared" si="8"/>
        <v>0</v>
      </c>
      <c r="G325" s="1749">
        <f t="shared" si="9"/>
        <v>0</v>
      </c>
    </row>
    <row r="326" spans="1:7">
      <c r="A326" s="1607" t="s">
        <v>349</v>
      </c>
      <c r="B326" s="1609">
        <v>30000</v>
      </c>
      <c r="C326" s="1608"/>
      <c r="D326">
        <f>+IFERROR(VLOOKUP($A326,'TB Final'!$B:$K,7,0),0)</f>
        <v>30000</v>
      </c>
      <c r="E326">
        <f>+IFERROR(VLOOKUP($A326,'TB Final'!$B:$K,10,0),0)</f>
        <v>0</v>
      </c>
      <c r="F326" s="1749">
        <f t="shared" si="8"/>
        <v>0</v>
      </c>
      <c r="G326" s="1749">
        <f t="shared" si="9"/>
        <v>0</v>
      </c>
    </row>
    <row r="327" spans="1:7">
      <c r="A327" s="1607" t="s">
        <v>2997</v>
      </c>
      <c r="B327" s="1608"/>
      <c r="C327" s="1609">
        <v>122997</v>
      </c>
      <c r="D327">
        <f>+IFERROR(VLOOKUP($A327,'TB Final'!$B:$K,7,0),0)</f>
        <v>0</v>
      </c>
      <c r="E327">
        <f>+IFERROR(VLOOKUP($A327,'TB Final'!$B:$K,10,0),0)</f>
        <v>122997</v>
      </c>
      <c r="F327" s="1749">
        <f t="shared" si="8"/>
        <v>0</v>
      </c>
      <c r="G327" s="1749">
        <f t="shared" si="9"/>
        <v>0</v>
      </c>
    </row>
    <row r="328" spans="1:7">
      <c r="A328" s="1607" t="s">
        <v>2998</v>
      </c>
      <c r="B328" s="1608"/>
      <c r="C328" s="1609">
        <v>423547</v>
      </c>
      <c r="D328">
        <f>+IFERROR(VLOOKUP($A328,'TB Final'!$B:$K,7,0),0)</f>
        <v>0</v>
      </c>
      <c r="E328">
        <f>+IFERROR(VLOOKUP($A328,'TB Final'!$B:$K,10,0),0)</f>
        <v>423547</v>
      </c>
      <c r="F328" s="1749">
        <f t="shared" si="8"/>
        <v>0</v>
      </c>
      <c r="G328" s="1749">
        <f t="shared" si="9"/>
        <v>0</v>
      </c>
    </row>
    <row r="329" spans="1:7">
      <c r="A329" s="1607" t="s">
        <v>350</v>
      </c>
      <c r="B329" s="1608"/>
      <c r="C329" s="1609">
        <v>1046424</v>
      </c>
      <c r="D329">
        <f>+IFERROR(VLOOKUP($A329,'TB Final'!$B:$K,7,0),0)</f>
        <v>0</v>
      </c>
      <c r="E329">
        <f>+IFERROR(VLOOKUP($A329,'TB Final'!$B:$K,10,0),0)</f>
        <v>1046424</v>
      </c>
      <c r="F329" s="1749">
        <f t="shared" si="8"/>
        <v>0</v>
      </c>
      <c r="G329" s="1749">
        <f t="shared" si="9"/>
        <v>0</v>
      </c>
    </row>
    <row r="330" spans="1:7">
      <c r="A330" s="1607" t="s">
        <v>2999</v>
      </c>
      <c r="B330" s="1608"/>
      <c r="C330" s="1609">
        <v>103673</v>
      </c>
      <c r="D330">
        <f>+IFERROR(VLOOKUP($A330,'TB Final'!$B:$K,7,0),0)</f>
        <v>0</v>
      </c>
      <c r="E330">
        <f>+IFERROR(VLOOKUP($A330,'TB Final'!$B:$K,10,0),0)</f>
        <v>103673</v>
      </c>
      <c r="F330" s="1749">
        <f t="shared" si="8"/>
        <v>0</v>
      </c>
      <c r="G330" s="1749">
        <f t="shared" si="9"/>
        <v>0</v>
      </c>
    </row>
    <row r="331" spans="1:7">
      <c r="A331" s="1607" t="s">
        <v>568</v>
      </c>
      <c r="B331" s="1609">
        <v>11611</v>
      </c>
      <c r="C331" s="1608"/>
      <c r="D331">
        <f>+IFERROR(VLOOKUP($A331,'TB Final'!$B:$K,7,0),0)</f>
        <v>11611</v>
      </c>
      <c r="E331">
        <f>+IFERROR(VLOOKUP($A331,'TB Final'!$B:$K,10,0),0)</f>
        <v>0</v>
      </c>
      <c r="F331" s="1749">
        <f t="shared" si="8"/>
        <v>0</v>
      </c>
      <c r="G331" s="1749">
        <f t="shared" si="9"/>
        <v>0</v>
      </c>
    </row>
    <row r="332" spans="1:7">
      <c r="A332" s="1607" t="s">
        <v>3000</v>
      </c>
      <c r="B332" s="1609">
        <v>52979.92</v>
      </c>
      <c r="C332" s="1608"/>
      <c r="D332">
        <f>+IFERROR(VLOOKUP($A332,'TB Final'!$B:$K,7,0),0)</f>
        <v>52979.92</v>
      </c>
      <c r="E332">
        <f>+IFERROR(VLOOKUP($A332,'TB Final'!$B:$K,10,0),0)</f>
        <v>0</v>
      </c>
      <c r="F332" s="1749">
        <f t="shared" si="8"/>
        <v>0</v>
      </c>
      <c r="G332" s="1749">
        <f t="shared" si="9"/>
        <v>0</v>
      </c>
    </row>
    <row r="333" spans="1:7">
      <c r="A333" s="1607" t="s">
        <v>351</v>
      </c>
      <c r="B333" s="1608"/>
      <c r="C333" s="1609">
        <v>14885.01</v>
      </c>
      <c r="D333">
        <f>+IFERROR(VLOOKUP($A333,'TB Final'!$B:$K,7,0),0)</f>
        <v>0</v>
      </c>
      <c r="E333">
        <f>+IFERROR(VLOOKUP($A333,'TB Final'!$B:$K,10,0),0)</f>
        <v>14885.01</v>
      </c>
      <c r="F333" s="1749">
        <f t="shared" ref="F333:F373" si="10">+B333-D333</f>
        <v>0</v>
      </c>
      <c r="G333" s="1749">
        <f t="shared" ref="G333:G373" si="11">+C333-E333</f>
        <v>0</v>
      </c>
    </row>
    <row r="334" spans="1:7">
      <c r="A334" s="1607" t="s">
        <v>420</v>
      </c>
      <c r="B334" s="1609">
        <v>24886</v>
      </c>
      <c r="C334" s="1608"/>
      <c r="D334">
        <f>+IFERROR(VLOOKUP($A334,'TB Final'!$B:$K,7,0),0)</f>
        <v>24886</v>
      </c>
      <c r="E334">
        <f>+IFERROR(VLOOKUP($A334,'TB Final'!$B:$K,10,0),0)</f>
        <v>0</v>
      </c>
      <c r="F334" s="1749">
        <f t="shared" si="10"/>
        <v>0</v>
      </c>
      <c r="G334" s="1749">
        <f t="shared" si="11"/>
        <v>0</v>
      </c>
    </row>
    <row r="335" spans="1:7">
      <c r="A335" s="1607" t="s">
        <v>569</v>
      </c>
      <c r="B335" s="1609">
        <v>15998</v>
      </c>
      <c r="C335" s="1608"/>
      <c r="D335">
        <f>+IFERROR(VLOOKUP($A335,'TB Final'!$B:$K,7,0),0)</f>
        <v>15998</v>
      </c>
      <c r="E335">
        <f>+IFERROR(VLOOKUP($A335,'TB Final'!$B:$K,10,0),0)</f>
        <v>0</v>
      </c>
      <c r="F335" s="1749">
        <f t="shared" si="10"/>
        <v>0</v>
      </c>
      <c r="G335" s="1749">
        <f t="shared" si="11"/>
        <v>0</v>
      </c>
    </row>
    <row r="336" spans="1:7">
      <c r="A336" s="1607" t="s">
        <v>3001</v>
      </c>
      <c r="B336" s="1609">
        <v>435758</v>
      </c>
      <c r="C336" s="1608"/>
      <c r="D336">
        <f>+IFERROR(VLOOKUP($A336,'TB Final'!$B:$K,7,0),0)</f>
        <v>435758</v>
      </c>
      <c r="E336">
        <f>+IFERROR(VLOOKUP($A336,'TB Final'!$B:$K,10,0),0)</f>
        <v>0</v>
      </c>
      <c r="F336" s="1749">
        <f t="shared" si="10"/>
        <v>0</v>
      </c>
      <c r="G336" s="1749">
        <f t="shared" si="11"/>
        <v>0</v>
      </c>
    </row>
    <row r="337" spans="1:7">
      <c r="A337" s="1607" t="s">
        <v>571</v>
      </c>
      <c r="B337" s="1608"/>
      <c r="C337" s="1609">
        <v>18590.04</v>
      </c>
      <c r="D337">
        <f>+IFERROR(VLOOKUP($A337,'TB Final'!$B:$K,7,0),0)</f>
        <v>0</v>
      </c>
      <c r="E337">
        <f>+IFERROR(VLOOKUP($A337,'TB Final'!$B:$K,10,0),0)</f>
        <v>18590.04</v>
      </c>
      <c r="F337" s="1749">
        <f t="shared" si="10"/>
        <v>0</v>
      </c>
      <c r="G337" s="1749">
        <f t="shared" si="11"/>
        <v>0</v>
      </c>
    </row>
    <row r="338" spans="1:7">
      <c r="A338" s="1607" t="s">
        <v>572</v>
      </c>
      <c r="B338" s="1608"/>
      <c r="C338" s="1609">
        <v>31456</v>
      </c>
      <c r="D338">
        <f>+IFERROR(VLOOKUP($A338,'TB Final'!$B:$K,7,0),0)</f>
        <v>0</v>
      </c>
      <c r="E338">
        <f>+IFERROR(VLOOKUP($A338,'TB Final'!$B:$K,10,0),0)</f>
        <v>31456</v>
      </c>
      <c r="F338" s="1749">
        <f t="shared" si="10"/>
        <v>0</v>
      </c>
      <c r="G338" s="1749">
        <f t="shared" si="11"/>
        <v>0</v>
      </c>
    </row>
    <row r="339" spans="1:7">
      <c r="A339" s="1607" t="s">
        <v>573</v>
      </c>
      <c r="B339" s="1608"/>
      <c r="C339" s="1609">
        <v>5513</v>
      </c>
      <c r="D339">
        <f>+IFERROR(VLOOKUP($A339,'TB Final'!$B:$K,7,0),0)</f>
        <v>0</v>
      </c>
      <c r="E339">
        <f>+IFERROR(VLOOKUP($A339,'TB Final'!$B:$K,10,0),0)</f>
        <v>5513</v>
      </c>
      <c r="F339" s="1749">
        <f t="shared" si="10"/>
        <v>0</v>
      </c>
      <c r="G339" s="1749">
        <f t="shared" si="11"/>
        <v>0</v>
      </c>
    </row>
    <row r="340" spans="1:7">
      <c r="A340" s="1607" t="s">
        <v>574</v>
      </c>
      <c r="B340" s="1608"/>
      <c r="C340" s="1609">
        <v>48309</v>
      </c>
      <c r="D340">
        <f>+IFERROR(VLOOKUP($A340,'TB Final'!$B:$K,7,0),0)</f>
        <v>0</v>
      </c>
      <c r="E340">
        <f>+IFERROR(VLOOKUP($A340,'TB Final'!$B:$K,10,0),0)</f>
        <v>48309</v>
      </c>
      <c r="F340" s="1749">
        <f t="shared" si="10"/>
        <v>0</v>
      </c>
      <c r="G340" s="1749">
        <f t="shared" si="11"/>
        <v>0</v>
      </c>
    </row>
    <row r="341" spans="1:7">
      <c r="A341" s="1607" t="s">
        <v>421</v>
      </c>
      <c r="B341" s="1608"/>
      <c r="C341" s="1609">
        <v>33692</v>
      </c>
      <c r="D341">
        <f>+IFERROR(VLOOKUP($A341,'TB Final'!$B:$K,7,0),0)</f>
        <v>0</v>
      </c>
      <c r="E341">
        <f>+IFERROR(VLOOKUP($A341,'TB Final'!$B:$K,10,0),0)</f>
        <v>33692</v>
      </c>
      <c r="F341" s="1749">
        <f t="shared" si="10"/>
        <v>0</v>
      </c>
      <c r="G341" s="1749">
        <f t="shared" si="11"/>
        <v>0</v>
      </c>
    </row>
    <row r="342" spans="1:7">
      <c r="A342" s="1607" t="s">
        <v>354</v>
      </c>
      <c r="B342" s="1608"/>
      <c r="C342" s="1609">
        <v>34000</v>
      </c>
      <c r="D342">
        <f>+IFERROR(VLOOKUP($A342,'TB Final'!$B:$K,7,0),0)</f>
        <v>0</v>
      </c>
      <c r="E342">
        <f>+IFERROR(VLOOKUP($A342,'TB Final'!$B:$K,10,0),0)</f>
        <v>34000</v>
      </c>
      <c r="F342" s="1749">
        <f t="shared" si="10"/>
        <v>0</v>
      </c>
      <c r="G342" s="1749">
        <f t="shared" si="11"/>
        <v>0</v>
      </c>
    </row>
    <row r="343" spans="1:7">
      <c r="A343" s="1607" t="s">
        <v>575</v>
      </c>
      <c r="B343" s="1608"/>
      <c r="C343" s="1609">
        <v>8000</v>
      </c>
      <c r="D343">
        <f>+IFERROR(VLOOKUP($A343,'TB Final'!$B:$K,7,0),0)</f>
        <v>0</v>
      </c>
      <c r="E343">
        <f>+IFERROR(VLOOKUP($A343,'TB Final'!$B:$K,10,0),0)</f>
        <v>8000</v>
      </c>
      <c r="F343" s="1749">
        <f t="shared" si="10"/>
        <v>0</v>
      </c>
      <c r="G343" s="1749">
        <f t="shared" si="11"/>
        <v>0</v>
      </c>
    </row>
    <row r="344" spans="1:7">
      <c r="A344" s="1607" t="s">
        <v>353</v>
      </c>
      <c r="B344" s="1608"/>
      <c r="C344" s="1609">
        <v>23905</v>
      </c>
      <c r="D344">
        <f>+IFERROR(VLOOKUP($A344,'TB Final'!$B:$K,7,0),0)</f>
        <v>0</v>
      </c>
      <c r="E344">
        <f>+IFERROR(VLOOKUP($A344,'TB Final'!$B:$K,10,0),0)</f>
        <v>23905</v>
      </c>
      <c r="F344" s="1749">
        <f t="shared" si="10"/>
        <v>0</v>
      </c>
      <c r="G344" s="1749">
        <f t="shared" si="11"/>
        <v>0</v>
      </c>
    </row>
    <row r="345" spans="1:7">
      <c r="A345" s="1607" t="s">
        <v>576</v>
      </c>
      <c r="B345" s="1609">
        <v>933217.36</v>
      </c>
      <c r="C345" s="1608"/>
      <c r="D345">
        <f>+IFERROR(VLOOKUP($A345,'TB Final'!$B:$K,7,0),0)</f>
        <v>933217.36</v>
      </c>
      <c r="E345">
        <f>+IFERROR(VLOOKUP($A345,'TB Final'!$B:$K,10,0),0)</f>
        <v>0</v>
      </c>
      <c r="F345" s="1749">
        <f t="shared" si="10"/>
        <v>0</v>
      </c>
      <c r="G345" s="1749">
        <f t="shared" si="11"/>
        <v>0</v>
      </c>
    </row>
    <row r="346" spans="1:7">
      <c r="A346" s="1607" t="s">
        <v>577</v>
      </c>
      <c r="B346" s="1609">
        <v>72945</v>
      </c>
      <c r="C346" s="1608"/>
      <c r="D346">
        <f>+IFERROR(VLOOKUP($A346,'TB Final'!$B:$K,7,0),0)</f>
        <v>72945</v>
      </c>
      <c r="E346">
        <f>+IFERROR(VLOOKUP($A346,'TB Final'!$B:$K,10,0),0)</f>
        <v>0</v>
      </c>
      <c r="F346" s="1749">
        <f t="shared" si="10"/>
        <v>0</v>
      </c>
      <c r="G346" s="1749">
        <f t="shared" si="11"/>
        <v>0</v>
      </c>
    </row>
    <row r="347" spans="1:7">
      <c r="A347" s="1607" t="s">
        <v>358</v>
      </c>
      <c r="B347" s="1609">
        <v>99717</v>
      </c>
      <c r="C347" s="1608"/>
      <c r="D347">
        <f>+IFERROR(VLOOKUP($A347,'TB Final'!$B:$K,7,0),0)</f>
        <v>99717</v>
      </c>
      <c r="E347">
        <f>+IFERROR(VLOOKUP($A347,'TB Final'!$B:$K,10,0),0)</f>
        <v>0</v>
      </c>
      <c r="F347" s="1749">
        <f t="shared" si="10"/>
        <v>0</v>
      </c>
      <c r="G347" s="1749">
        <f t="shared" si="11"/>
        <v>0</v>
      </c>
    </row>
    <row r="348" spans="1:7">
      <c r="A348" s="1607" t="s">
        <v>3002</v>
      </c>
      <c r="B348" s="1608"/>
      <c r="C348" s="1609">
        <v>197478</v>
      </c>
      <c r="D348">
        <f>+IFERROR(VLOOKUP($A348,'TB Final'!$B:$K,7,0),0)</f>
        <v>0</v>
      </c>
      <c r="E348">
        <f>+IFERROR(VLOOKUP($A348,'TB Final'!$B:$K,10,0),0)</f>
        <v>197478</v>
      </c>
      <c r="F348" s="1749">
        <f t="shared" si="10"/>
        <v>0</v>
      </c>
      <c r="G348" s="1749">
        <f t="shared" si="11"/>
        <v>0</v>
      </c>
    </row>
    <row r="349" spans="1:7">
      <c r="A349" s="1607" t="s">
        <v>578</v>
      </c>
      <c r="B349" s="1609">
        <v>59132.5</v>
      </c>
      <c r="C349" s="1608"/>
      <c r="D349">
        <f>+IFERROR(VLOOKUP($A349,'TB Final'!$B:$K,7,0),0)</f>
        <v>59132.5</v>
      </c>
      <c r="E349">
        <f>+IFERROR(VLOOKUP($A349,'TB Final'!$B:$K,10,0),0)</f>
        <v>0</v>
      </c>
      <c r="F349" s="1749">
        <f t="shared" si="10"/>
        <v>0</v>
      </c>
      <c r="G349" s="1749">
        <f t="shared" si="11"/>
        <v>0</v>
      </c>
    </row>
    <row r="350" spans="1:7">
      <c r="A350" s="1607" t="s">
        <v>359</v>
      </c>
      <c r="B350" s="1609">
        <v>368810</v>
      </c>
      <c r="C350" s="1608"/>
      <c r="D350">
        <f>+IFERROR(VLOOKUP($A350,'TB Final'!$B:$K,7,0),0)</f>
        <v>368810</v>
      </c>
      <c r="E350">
        <f>+IFERROR(VLOOKUP($A350,'TB Final'!$B:$K,10,0),0)</f>
        <v>0</v>
      </c>
      <c r="F350" s="1749">
        <f t="shared" si="10"/>
        <v>0</v>
      </c>
      <c r="G350" s="1749">
        <f t="shared" si="11"/>
        <v>0</v>
      </c>
    </row>
    <row r="351" spans="1:7">
      <c r="A351" s="1607" t="s">
        <v>582</v>
      </c>
      <c r="B351" s="1609">
        <v>313340</v>
      </c>
      <c r="C351" s="1608"/>
      <c r="D351">
        <f>+IFERROR(VLOOKUP($A351,'TB Final'!$B:$K,7,0),0)</f>
        <v>313340</v>
      </c>
      <c r="E351">
        <f>+IFERROR(VLOOKUP($A351,'TB Final'!$B:$K,10,0),0)</f>
        <v>0</v>
      </c>
      <c r="F351" s="1749">
        <f t="shared" si="10"/>
        <v>0</v>
      </c>
      <c r="G351" s="1749">
        <f t="shared" si="11"/>
        <v>0</v>
      </c>
    </row>
    <row r="352" spans="1:7">
      <c r="A352" s="1607" t="s">
        <v>583</v>
      </c>
      <c r="B352" s="1609">
        <v>1977842</v>
      </c>
      <c r="C352" s="1608"/>
      <c r="D352">
        <f>+IFERROR(VLOOKUP($A352,'TB Final'!$B:$K,7,0),0)</f>
        <v>1977842</v>
      </c>
      <c r="E352">
        <f>+IFERROR(VLOOKUP($A352,'TB Final'!$B:$K,10,0),0)</f>
        <v>0</v>
      </c>
      <c r="F352" s="1749">
        <f t="shared" si="10"/>
        <v>0</v>
      </c>
      <c r="G352" s="1749">
        <f t="shared" si="11"/>
        <v>0</v>
      </c>
    </row>
    <row r="353" spans="1:7">
      <c r="A353" s="1607" t="s">
        <v>427</v>
      </c>
      <c r="B353" s="1608"/>
      <c r="C353" s="1609">
        <v>27540</v>
      </c>
      <c r="D353">
        <f>+IFERROR(VLOOKUP($A353,'TB Final'!$B:$K,7,0),0)</f>
        <v>0</v>
      </c>
      <c r="E353">
        <f>+IFERROR(VLOOKUP($A353,'TB Final'!$B:$K,10,0),0)</f>
        <v>27540</v>
      </c>
      <c r="F353" s="1749">
        <f t="shared" si="10"/>
        <v>0</v>
      </c>
      <c r="G353" s="1749">
        <f t="shared" si="11"/>
        <v>0</v>
      </c>
    </row>
    <row r="354" spans="1:7">
      <c r="A354" s="1607" t="s">
        <v>10</v>
      </c>
      <c r="B354" s="1608"/>
      <c r="C354" s="1609">
        <v>1018930</v>
      </c>
      <c r="D354">
        <f>+IFERROR(VLOOKUP($A354,'TB Final'!$B:$K,7,0),0)</f>
        <v>0</v>
      </c>
      <c r="E354">
        <f>+IFERROR(VLOOKUP($A354,'TB Final'!$B:$K,10,0),0)</f>
        <v>1018930</v>
      </c>
      <c r="F354" s="1749">
        <f t="shared" si="10"/>
        <v>0</v>
      </c>
      <c r="G354" s="1749">
        <f t="shared" si="11"/>
        <v>0</v>
      </c>
    </row>
    <row r="355" spans="1:7">
      <c r="A355" s="1607" t="s">
        <v>3003</v>
      </c>
      <c r="B355" s="1608"/>
      <c r="C355" s="1609">
        <v>18125083</v>
      </c>
      <c r="D355">
        <f>+IFERROR(VLOOKUP($A355,'TB Final'!$B:$K,7,0),0)</f>
        <v>0</v>
      </c>
      <c r="E355">
        <f>+IFERROR(VLOOKUP($A355,'TB Final'!$B:$K,10,0),0)</f>
        <v>18125083</v>
      </c>
      <c r="F355" s="1749">
        <f t="shared" si="10"/>
        <v>0</v>
      </c>
      <c r="G355" s="1749">
        <f t="shared" si="11"/>
        <v>0</v>
      </c>
    </row>
    <row r="356" spans="1:7">
      <c r="A356" s="1607" t="s">
        <v>3004</v>
      </c>
      <c r="B356" s="1608"/>
      <c r="C356" s="1609">
        <v>162657.20000000001</v>
      </c>
      <c r="D356">
        <f>+IFERROR(VLOOKUP($A356,'TB Final'!$B:$K,7,0),0)</f>
        <v>0</v>
      </c>
      <c r="E356">
        <f>+IFERROR(VLOOKUP($A356,'TB Final'!$B:$K,10,0),0)</f>
        <v>162657.20000000001</v>
      </c>
      <c r="F356" s="1749">
        <f t="shared" si="10"/>
        <v>0</v>
      </c>
      <c r="G356" s="1749">
        <f t="shared" si="11"/>
        <v>0</v>
      </c>
    </row>
    <row r="357" spans="1:7">
      <c r="A357" s="1607" t="s">
        <v>3005</v>
      </c>
      <c r="B357" s="1609">
        <v>306572</v>
      </c>
      <c r="C357" s="1608"/>
      <c r="D357">
        <f>+IFERROR(VLOOKUP($A357,'TB Final'!$B:$K,7,0),0)</f>
        <v>306572</v>
      </c>
      <c r="E357">
        <f>+IFERROR(VLOOKUP($A357,'TB Final'!$B:$K,10,0),0)</f>
        <v>0</v>
      </c>
      <c r="F357" s="1749">
        <f t="shared" si="10"/>
        <v>0</v>
      </c>
      <c r="G357" s="1749">
        <f t="shared" si="11"/>
        <v>0</v>
      </c>
    </row>
    <row r="358" spans="1:7">
      <c r="A358" s="1607" t="s">
        <v>438</v>
      </c>
      <c r="B358" s="1609">
        <v>2991111</v>
      </c>
      <c r="C358" s="1608"/>
      <c r="D358">
        <f>+IFERROR(VLOOKUP($A358,'TB Final'!$B:$K,7,0),0)</f>
        <v>2991111</v>
      </c>
      <c r="E358">
        <f>+IFERROR(VLOOKUP($A358,'TB Final'!$B:$K,10,0),0)</f>
        <v>0</v>
      </c>
      <c r="F358" s="1749">
        <f t="shared" si="10"/>
        <v>0</v>
      </c>
      <c r="G358" s="1749">
        <f t="shared" si="11"/>
        <v>0</v>
      </c>
    </row>
    <row r="359" spans="1:7">
      <c r="A359" s="1607" t="s">
        <v>584</v>
      </c>
      <c r="B359" s="1609">
        <v>765698</v>
      </c>
      <c r="C359" s="1608"/>
      <c r="D359">
        <f>+IFERROR(VLOOKUP($A359,'TB Final'!$B:$K,7,0),0)</f>
        <v>765698</v>
      </c>
      <c r="E359">
        <f>+IFERROR(VLOOKUP($A359,'TB Final'!$B:$K,10,0),0)</f>
        <v>0</v>
      </c>
      <c r="F359" s="1749">
        <f t="shared" si="10"/>
        <v>0</v>
      </c>
      <c r="G359" s="1749">
        <f t="shared" si="11"/>
        <v>0</v>
      </c>
    </row>
    <row r="360" spans="1:7">
      <c r="A360" s="1607" t="s">
        <v>440</v>
      </c>
      <c r="B360" s="1609">
        <v>253880</v>
      </c>
      <c r="C360" s="1608"/>
      <c r="D360">
        <f>+IFERROR(VLOOKUP($A360,'TB Final'!$B:$K,7,0),0)</f>
        <v>253880</v>
      </c>
      <c r="E360">
        <f>+IFERROR(VLOOKUP($A360,'TB Final'!$B:$K,10,0),0)</f>
        <v>0</v>
      </c>
      <c r="F360" s="1749">
        <f t="shared" si="10"/>
        <v>0</v>
      </c>
      <c r="G360" s="1749">
        <f t="shared" si="11"/>
        <v>0</v>
      </c>
    </row>
    <row r="361" spans="1:7">
      <c r="A361" s="1607" t="s">
        <v>441</v>
      </c>
      <c r="B361" s="1608"/>
      <c r="C361" s="1609">
        <v>9434468</v>
      </c>
      <c r="D361">
        <f>+IFERROR(VLOOKUP($A361,'TB Final'!$B:$K,7,0),0)</f>
        <v>0</v>
      </c>
      <c r="E361">
        <f>+IFERROR(VLOOKUP($A361,'TB Final'!$B:$K,10,0),0)</f>
        <v>9434468</v>
      </c>
      <c r="F361" s="1749">
        <f t="shared" si="10"/>
        <v>0</v>
      </c>
      <c r="G361" s="1749">
        <f t="shared" si="11"/>
        <v>0</v>
      </c>
    </row>
    <row r="362" spans="1:7">
      <c r="A362" s="1607" t="s">
        <v>442</v>
      </c>
      <c r="B362" s="1608"/>
      <c r="C362" s="1609">
        <v>560256</v>
      </c>
      <c r="D362">
        <f>+IFERROR(VLOOKUP($A362,'TB Final'!$B:$K,7,0),0)</f>
        <v>0</v>
      </c>
      <c r="E362">
        <f>+IFERROR(VLOOKUP($A362,'TB Final'!$B:$K,10,0),0)</f>
        <v>560256</v>
      </c>
      <c r="F362" s="1749">
        <f t="shared" si="10"/>
        <v>0</v>
      </c>
      <c r="G362" s="1749">
        <f t="shared" si="11"/>
        <v>0</v>
      </c>
    </row>
    <row r="363" spans="1:7">
      <c r="A363" s="1607" t="s">
        <v>587</v>
      </c>
      <c r="B363" s="1608"/>
      <c r="C363" s="1609">
        <v>7622054</v>
      </c>
      <c r="D363">
        <f>+IFERROR(VLOOKUP($A363,'TB Final'!$B:$K,7,0),0)</f>
        <v>0</v>
      </c>
      <c r="E363">
        <f>+IFERROR(VLOOKUP($A363,'TB Final'!$B:$K,10,0),0)</f>
        <v>7622054</v>
      </c>
      <c r="F363" s="1749">
        <f t="shared" si="10"/>
        <v>0</v>
      </c>
      <c r="G363" s="1749">
        <f t="shared" si="11"/>
        <v>0</v>
      </c>
    </row>
    <row r="364" spans="1:7">
      <c r="A364" s="1607" t="s">
        <v>3006</v>
      </c>
      <c r="B364" s="1609">
        <v>30768</v>
      </c>
      <c r="C364" s="1608"/>
      <c r="D364">
        <f>+IFERROR(VLOOKUP($A364,'TB Final'!$B:$K,7,0),0)</f>
        <v>30768</v>
      </c>
      <c r="E364">
        <f>+IFERROR(VLOOKUP($A364,'TB Final'!$B:$K,10,0),0)</f>
        <v>0</v>
      </c>
      <c r="F364" s="1749">
        <f t="shared" si="10"/>
        <v>0</v>
      </c>
      <c r="G364" s="1749">
        <f t="shared" si="11"/>
        <v>0</v>
      </c>
    </row>
    <row r="365" spans="1:7">
      <c r="A365" s="1607" t="s">
        <v>3007</v>
      </c>
      <c r="B365" s="1609">
        <v>246345</v>
      </c>
      <c r="C365" s="1608"/>
      <c r="D365">
        <f>+IFERROR(VLOOKUP($A365,'TB Final'!$B:$K,7,0),0)</f>
        <v>246345</v>
      </c>
      <c r="E365">
        <f>+IFERROR(VLOOKUP($A365,'TB Final'!$B:$K,10,0),0)</f>
        <v>0</v>
      </c>
      <c r="F365" s="1749">
        <f t="shared" si="10"/>
        <v>0</v>
      </c>
      <c r="G365" s="1749">
        <f t="shared" si="11"/>
        <v>0</v>
      </c>
    </row>
    <row r="366" spans="1:7">
      <c r="A366" s="1607" t="s">
        <v>3008</v>
      </c>
      <c r="B366" s="1609">
        <v>42376</v>
      </c>
      <c r="C366" s="1608"/>
      <c r="D366">
        <f>+IFERROR(VLOOKUP($A366,'TB Final'!$B:$K,7,0),0)</f>
        <v>42376</v>
      </c>
      <c r="E366">
        <f>+IFERROR(VLOOKUP($A366,'TB Final'!$B:$K,10,0),0)</f>
        <v>0</v>
      </c>
      <c r="F366" s="1749">
        <f t="shared" si="10"/>
        <v>0</v>
      </c>
      <c r="G366" s="1749">
        <f t="shared" si="11"/>
        <v>0</v>
      </c>
    </row>
    <row r="367" spans="1:7">
      <c r="A367" s="1607" t="s">
        <v>445</v>
      </c>
      <c r="B367" s="1609">
        <v>4714336.38</v>
      </c>
      <c r="C367" s="1608"/>
      <c r="D367">
        <f>+IFERROR(VLOOKUP($A367,'TB Final'!$B:$K,7,0),0)</f>
        <v>4714336.38</v>
      </c>
      <c r="E367">
        <f>+IFERROR(VLOOKUP($A367,'TB Final'!$B:$K,10,0),0)</f>
        <v>0</v>
      </c>
      <c r="F367" s="1749">
        <f t="shared" si="10"/>
        <v>0</v>
      </c>
      <c r="G367" s="1749">
        <f t="shared" si="11"/>
        <v>0</v>
      </c>
    </row>
    <row r="368" spans="1:7">
      <c r="A368" s="1607" t="s">
        <v>447</v>
      </c>
      <c r="B368" s="1609">
        <v>239312224.5</v>
      </c>
      <c r="C368" s="1608"/>
      <c r="D368">
        <f>+IFERROR(VLOOKUP($A368,'TB Final'!$B:$K,7,0),0)</f>
        <v>239312224.5</v>
      </c>
      <c r="E368">
        <f>+IFERROR(VLOOKUP($A368,'TB Final'!$B:$K,10,0),0)</f>
        <v>0</v>
      </c>
      <c r="F368" s="1749">
        <f t="shared" si="10"/>
        <v>0</v>
      </c>
      <c r="G368" s="1749">
        <f t="shared" si="11"/>
        <v>0</v>
      </c>
    </row>
    <row r="369" spans="1:7">
      <c r="A369" s="1607" t="s">
        <v>448</v>
      </c>
      <c r="B369" s="1609">
        <v>2933800.43</v>
      </c>
      <c r="C369" s="1608"/>
      <c r="D369">
        <f>+IFERROR(VLOOKUP($A369,'TB Final'!$B:$K,7,0),0)</f>
        <v>2933800.43</v>
      </c>
      <c r="E369">
        <f>+IFERROR(VLOOKUP($A369,'TB Final'!$B:$K,10,0),0)</f>
        <v>0</v>
      </c>
      <c r="F369" s="1749">
        <f t="shared" si="10"/>
        <v>0</v>
      </c>
      <c r="G369" s="1749">
        <f t="shared" si="11"/>
        <v>0</v>
      </c>
    </row>
    <row r="370" spans="1:7">
      <c r="A370" s="1607" t="s">
        <v>3009</v>
      </c>
      <c r="B370" s="1608"/>
      <c r="C370" s="1609">
        <v>714051</v>
      </c>
      <c r="D370">
        <f>+IFERROR(VLOOKUP($A370,'TB Final'!$B:$K,7,0),0)</f>
        <v>0</v>
      </c>
      <c r="E370">
        <f>+IFERROR(VLOOKUP($A370,'TB Final'!$B:$K,10,0),0)</f>
        <v>714051</v>
      </c>
      <c r="F370" s="1749">
        <f t="shared" si="10"/>
        <v>0</v>
      </c>
      <c r="G370" s="1749">
        <f t="shared" si="11"/>
        <v>0</v>
      </c>
    </row>
    <row r="371" spans="1:7">
      <c r="A371" s="1607" t="s">
        <v>3010</v>
      </c>
      <c r="B371" s="1608"/>
      <c r="C371" s="1609">
        <v>351471</v>
      </c>
      <c r="D371">
        <f>+IFERROR(VLOOKUP($A371,'TB Final'!$B:$K,7,0),0)</f>
        <v>0</v>
      </c>
      <c r="E371">
        <f>+IFERROR(VLOOKUP($A371,'TB Final'!$B:$K,10,0),0)</f>
        <v>351471</v>
      </c>
      <c r="F371" s="1749">
        <f t="shared" si="10"/>
        <v>0</v>
      </c>
      <c r="G371" s="1749">
        <f t="shared" si="11"/>
        <v>0</v>
      </c>
    </row>
    <row r="372" spans="1:7">
      <c r="A372" s="1607" t="s">
        <v>590</v>
      </c>
      <c r="B372" s="1609">
        <v>8923</v>
      </c>
      <c r="C372" s="1608"/>
      <c r="D372">
        <f>+IFERROR(VLOOKUP($A372,'TB Final'!$B:$K,7,0),0)</f>
        <v>8923</v>
      </c>
      <c r="E372">
        <f>+IFERROR(VLOOKUP($A372,'TB Final'!$B:$K,10,0),0)</f>
        <v>0</v>
      </c>
      <c r="F372" s="1749">
        <f t="shared" si="10"/>
        <v>0</v>
      </c>
      <c r="G372" s="1749">
        <f t="shared" si="11"/>
        <v>0</v>
      </c>
    </row>
    <row r="373" spans="1:7">
      <c r="A373" s="1607" t="s">
        <v>451</v>
      </c>
      <c r="B373" s="1609">
        <v>14904501.640000001</v>
      </c>
      <c r="C373" s="1608"/>
      <c r="D373">
        <f>+IFERROR(VLOOKUP($A373,'TB Final'!$B:$K,7,0),0)</f>
        <v>14904501.640000001</v>
      </c>
      <c r="E373">
        <f>+IFERROR(VLOOKUP($A373,'TB Final'!$B:$K,10,0),0)</f>
        <v>0</v>
      </c>
      <c r="F373" s="1749">
        <f t="shared" si="10"/>
        <v>0</v>
      </c>
      <c r="G373" s="1749">
        <f t="shared" si="11"/>
        <v>0</v>
      </c>
    </row>
    <row r="374" spans="1:7">
      <c r="A374" s="1894" t="s">
        <v>591</v>
      </c>
      <c r="B374" s="1611">
        <v>1379087342.1400001</v>
      </c>
      <c r="C374" s="1611">
        <v>1379087342.1400001</v>
      </c>
    </row>
  </sheetData>
  <customSheetViews>
    <customSheetView guid="{ADEA4918-0326-423A-8D00-FB47A486004B}" state="hidden" topLeftCell="A158">
      <selection activeCell="A176" sqref="A176"/>
      <pageMargins left="0.7" right="0.7" top="0.75" bottom="0.75" header="0.3" footer="0.3"/>
    </customSheetView>
    <customSheetView guid="{2A78E287-3113-4387-BB62-BE98FA5C13C2}" state="hidden" topLeftCell="A158">
      <selection activeCell="A176" sqref="A176"/>
      <pageMargins left="0.7" right="0.7" top="0.75" bottom="0.75" header="0.3" footer="0.3"/>
    </customSheetView>
    <customSheetView guid="{DC5DA12B-0FA6-4F41-A983-6E433AD4604D}" state="hidden" topLeftCell="A158">
      <selection activeCell="A176" sqref="A176"/>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236E4-9F8C-4D21-9515-EE1F7F51A4A8}">
  <dimension ref="A1:C386"/>
  <sheetViews>
    <sheetView workbookViewId="0">
      <selection activeCell="C11" sqref="C11"/>
    </sheetView>
  </sheetViews>
  <sheetFormatPr defaultRowHeight="14.4"/>
  <cols>
    <col min="1" max="1" width="44.6640625" bestFit="1" customWidth="1"/>
    <col min="2" max="3" width="11.88671875" bestFit="1" customWidth="1"/>
  </cols>
  <sheetData>
    <row r="1" spans="1:3" ht="15.6">
      <c r="A1" s="1618" t="s">
        <v>456</v>
      </c>
      <c r="B1" s="1618"/>
      <c r="C1" s="1618"/>
    </row>
    <row r="2" spans="1:3">
      <c r="A2" s="1612" t="s">
        <v>457</v>
      </c>
      <c r="B2" s="1612"/>
      <c r="C2" s="1612"/>
    </row>
    <row r="3" spans="1:3">
      <c r="A3" s="1612" t="s">
        <v>458</v>
      </c>
      <c r="B3" s="1612"/>
      <c r="C3" s="1612"/>
    </row>
    <row r="4" spans="1:3">
      <c r="A4" s="1612" t="s">
        <v>459</v>
      </c>
      <c r="B4" s="1612"/>
      <c r="C4" s="1612"/>
    </row>
    <row r="5" spans="1:3">
      <c r="A5" s="1619" t="s">
        <v>460</v>
      </c>
      <c r="B5" s="1619"/>
      <c r="C5" s="1619"/>
    </row>
    <row r="6" spans="1:3" ht="15.6">
      <c r="A6" s="1620" t="s">
        <v>461</v>
      </c>
      <c r="B6" s="1620"/>
      <c r="C6" s="1620"/>
    </row>
    <row r="7" spans="1:3">
      <c r="A7" s="1612" t="s">
        <v>2940</v>
      </c>
      <c r="B7" s="1612"/>
      <c r="C7" s="1612"/>
    </row>
    <row r="8" spans="1:3" ht="14.4" customHeight="1">
      <c r="A8" s="1600" t="s">
        <v>462</v>
      </c>
      <c r="B8" s="1613" t="s">
        <v>2941</v>
      </c>
      <c r="C8" s="1614"/>
    </row>
    <row r="9" spans="1:3" ht="14.4" customHeight="1">
      <c r="A9" s="1601" t="s">
        <v>463</v>
      </c>
      <c r="B9" s="1615" t="s">
        <v>2940</v>
      </c>
      <c r="C9" s="1616"/>
    </row>
    <row r="10" spans="1:3">
      <c r="A10" s="1601" t="s">
        <v>462</v>
      </c>
      <c r="B10" s="1599" t="s">
        <v>464</v>
      </c>
      <c r="C10" s="1617"/>
    </row>
    <row r="11" spans="1:3">
      <c r="A11" s="1602" t="s">
        <v>462</v>
      </c>
      <c r="B11" s="1603" t="s">
        <v>465</v>
      </c>
      <c r="C11" s="1603" t="s">
        <v>466</v>
      </c>
    </row>
    <row r="12" spans="1:3">
      <c r="A12" s="1604" t="s">
        <v>251</v>
      </c>
      <c r="B12" s="1605">
        <v>62662681</v>
      </c>
      <c r="C12" s="1606"/>
    </row>
    <row r="13" spans="1:3">
      <c r="A13" s="1607" t="s">
        <v>20</v>
      </c>
      <c r="B13" s="1608"/>
      <c r="C13" s="1609">
        <v>2486400</v>
      </c>
    </row>
    <row r="14" spans="1:3">
      <c r="A14" s="1607" t="s">
        <v>2942</v>
      </c>
      <c r="B14" s="1608"/>
      <c r="C14" s="1609">
        <v>115749</v>
      </c>
    </row>
    <row r="15" spans="1:3">
      <c r="A15" s="1607" t="s">
        <v>27</v>
      </c>
      <c r="B15" s="1609">
        <v>156102</v>
      </c>
      <c r="C15" s="1608"/>
    </row>
    <row r="16" spans="1:3">
      <c r="A16" s="1607" t="s">
        <v>298</v>
      </c>
      <c r="B16" s="1608"/>
      <c r="C16" s="1609">
        <v>169429</v>
      </c>
    </row>
    <row r="17" spans="1:3">
      <c r="A17" s="1607" t="s">
        <v>7</v>
      </c>
      <c r="B17" s="1608"/>
      <c r="C17" s="1609">
        <v>208440</v>
      </c>
    </row>
    <row r="18" spans="1:3">
      <c r="A18" s="1607" t="s">
        <v>70</v>
      </c>
      <c r="B18" s="1609">
        <v>2742627</v>
      </c>
      <c r="C18" s="1608"/>
    </row>
    <row r="19" spans="1:3">
      <c r="A19" s="1607" t="s">
        <v>469</v>
      </c>
      <c r="B19" s="1608"/>
      <c r="C19" s="1609">
        <v>4465191</v>
      </c>
    </row>
    <row r="20" spans="1:3">
      <c r="A20" s="1607" t="s">
        <v>2943</v>
      </c>
      <c r="B20" s="1608"/>
      <c r="C20" s="1609">
        <v>83200</v>
      </c>
    </row>
    <row r="21" spans="1:3">
      <c r="A21" s="1607" t="s">
        <v>50</v>
      </c>
      <c r="B21" s="1609">
        <v>18000</v>
      </c>
      <c r="C21" s="1608"/>
    </row>
    <row r="22" spans="1:3">
      <c r="A22" s="1607" t="s">
        <v>51</v>
      </c>
      <c r="B22" s="1609">
        <v>55000</v>
      </c>
      <c r="C22" s="1608"/>
    </row>
    <row r="23" spans="1:3">
      <c r="A23" s="1607" t="s">
        <v>2944</v>
      </c>
      <c r="B23" s="1609">
        <v>70000</v>
      </c>
      <c r="C23" s="1608"/>
    </row>
    <row r="24" spans="1:3">
      <c r="A24" s="1607" t="s">
        <v>2945</v>
      </c>
      <c r="B24" s="1609">
        <v>244640</v>
      </c>
      <c r="C24" s="1608"/>
    </row>
    <row r="25" spans="1:3">
      <c r="A25" s="1607" t="s">
        <v>56</v>
      </c>
      <c r="B25" s="1609">
        <v>7403</v>
      </c>
      <c r="C25" s="1608"/>
    </row>
    <row r="26" spans="1:3">
      <c r="A26" s="1607" t="s">
        <v>58</v>
      </c>
      <c r="B26" s="1608"/>
      <c r="C26" s="1609">
        <v>247500</v>
      </c>
    </row>
    <row r="27" spans="1:3">
      <c r="A27" s="1607" t="s">
        <v>472</v>
      </c>
      <c r="B27" s="1609">
        <v>1489956</v>
      </c>
      <c r="C27" s="1608"/>
    </row>
    <row r="28" spans="1:3">
      <c r="A28" s="1607" t="s">
        <v>473</v>
      </c>
      <c r="B28" s="1608"/>
      <c r="C28" s="1609">
        <v>641767.5</v>
      </c>
    </row>
    <row r="29" spans="1:3">
      <c r="A29" s="1607" t="s">
        <v>59</v>
      </c>
      <c r="B29" s="1609">
        <v>231314</v>
      </c>
      <c r="C29" s="1608"/>
    </row>
    <row r="30" spans="1:3">
      <c r="A30" s="1607" t="s">
        <v>60</v>
      </c>
      <c r="B30" s="1608"/>
      <c r="C30" s="1609">
        <v>233402</v>
      </c>
    </row>
    <row r="31" spans="1:3">
      <c r="A31" s="1607" t="s">
        <v>61</v>
      </c>
      <c r="B31" s="1608"/>
      <c r="C31" s="1609">
        <v>383005</v>
      </c>
    </row>
    <row r="32" spans="1:3">
      <c r="A32" s="1607" t="s">
        <v>2946</v>
      </c>
      <c r="B32" s="1609">
        <v>350000</v>
      </c>
      <c r="C32" s="1608"/>
    </row>
    <row r="33" spans="1:3">
      <c r="A33" s="1607" t="s">
        <v>62</v>
      </c>
      <c r="B33" s="1609">
        <v>187613.48</v>
      </c>
      <c r="C33" s="1608"/>
    </row>
    <row r="34" spans="1:3">
      <c r="A34" s="1607" t="s">
        <v>66</v>
      </c>
      <c r="B34" s="1609">
        <v>262544</v>
      </c>
      <c r="C34" s="1608"/>
    </row>
    <row r="35" spans="1:3">
      <c r="A35" s="1607" t="s">
        <v>2947</v>
      </c>
      <c r="B35" s="1609">
        <v>586700</v>
      </c>
      <c r="C35" s="1608"/>
    </row>
    <row r="36" spans="1:3">
      <c r="A36" s="1607" t="s">
        <v>2948</v>
      </c>
      <c r="B36" s="1608"/>
      <c r="C36" s="1609">
        <v>430509</v>
      </c>
    </row>
    <row r="37" spans="1:3">
      <c r="A37" s="1607" t="s">
        <v>69</v>
      </c>
      <c r="B37" s="1608"/>
      <c r="C37" s="1609">
        <v>757002</v>
      </c>
    </row>
    <row r="38" spans="1:3">
      <c r="A38" s="1607" t="s">
        <v>2949</v>
      </c>
      <c r="B38" s="1608"/>
      <c r="C38" s="1609">
        <v>1762334</v>
      </c>
    </row>
    <row r="39" spans="1:3">
      <c r="A39" s="1607" t="s">
        <v>2950</v>
      </c>
      <c r="B39" s="1608"/>
      <c r="C39" s="1609">
        <v>38700</v>
      </c>
    </row>
    <row r="40" spans="1:3">
      <c r="A40" s="1607" t="s">
        <v>72</v>
      </c>
      <c r="B40" s="1609">
        <v>3742571.88</v>
      </c>
      <c r="C40" s="1608"/>
    </row>
    <row r="41" spans="1:3">
      <c r="A41" s="1607" t="s">
        <v>475</v>
      </c>
      <c r="B41" s="1609">
        <v>3164</v>
      </c>
      <c r="C41" s="1608"/>
    </row>
    <row r="42" spans="1:3">
      <c r="A42" s="1607" t="s">
        <v>2951</v>
      </c>
      <c r="B42" s="1609">
        <v>50118</v>
      </c>
      <c r="C42" s="1608"/>
    </row>
    <row r="43" spans="1:3">
      <c r="A43" s="1607" t="s">
        <v>476</v>
      </c>
      <c r="B43" s="1609">
        <v>64116710.619999997</v>
      </c>
      <c r="C43" s="1608"/>
    </row>
    <row r="44" spans="1:3">
      <c r="A44" s="1607" t="s">
        <v>79</v>
      </c>
      <c r="B44" s="1608"/>
      <c r="C44" s="1609">
        <v>20413989</v>
      </c>
    </row>
    <row r="45" spans="1:3">
      <c r="A45" s="1607" t="s">
        <v>84</v>
      </c>
      <c r="B45" s="1609">
        <v>369720</v>
      </c>
      <c r="C45" s="1608"/>
    </row>
    <row r="46" spans="1:3">
      <c r="A46" s="1607" t="s">
        <v>86</v>
      </c>
      <c r="B46" s="1609">
        <v>201977</v>
      </c>
      <c r="C46" s="1608"/>
    </row>
    <row r="47" spans="1:3">
      <c r="A47" s="1607" t="s">
        <v>87</v>
      </c>
      <c r="B47" s="1609">
        <v>276683</v>
      </c>
      <c r="C47" s="1608"/>
    </row>
    <row r="48" spans="1:3">
      <c r="A48" s="1607" t="s">
        <v>478</v>
      </c>
      <c r="B48" s="1609">
        <v>289855</v>
      </c>
      <c r="C48" s="1608"/>
    </row>
    <row r="49" spans="1:3">
      <c r="A49" s="1607" t="s">
        <v>2952</v>
      </c>
      <c r="B49" s="1608"/>
      <c r="C49" s="1609">
        <v>833</v>
      </c>
    </row>
    <row r="50" spans="1:3">
      <c r="A50" s="1607" t="s">
        <v>2953</v>
      </c>
      <c r="B50" s="1609">
        <v>780000</v>
      </c>
      <c r="C50" s="1608"/>
    </row>
    <row r="51" spans="1:3">
      <c r="A51" s="1607" t="s">
        <v>2954</v>
      </c>
      <c r="B51" s="1608"/>
      <c r="C51" s="1609">
        <v>2239174.58</v>
      </c>
    </row>
    <row r="52" spans="1:3">
      <c r="A52" s="1607" t="s">
        <v>2955</v>
      </c>
      <c r="B52" s="1609">
        <v>1467220.7</v>
      </c>
      <c r="C52" s="1608"/>
    </row>
    <row r="53" spans="1:3">
      <c r="A53" s="1607" t="s">
        <v>93</v>
      </c>
      <c r="B53" s="1609">
        <v>6599</v>
      </c>
      <c r="C53" s="1608"/>
    </row>
    <row r="54" spans="1:3">
      <c r="A54" s="1607" t="s">
        <v>95</v>
      </c>
      <c r="B54" s="1609">
        <v>39746292.5</v>
      </c>
      <c r="C54" s="1608"/>
    </row>
    <row r="55" spans="1:3">
      <c r="A55" s="1607" t="s">
        <v>481</v>
      </c>
      <c r="B55" s="1609">
        <v>233302.6</v>
      </c>
      <c r="C55" s="1608"/>
    </row>
    <row r="56" spans="1:3">
      <c r="A56" s="1607" t="s">
        <v>2956</v>
      </c>
      <c r="B56" s="1609">
        <v>245381</v>
      </c>
      <c r="C56" s="1608"/>
    </row>
    <row r="57" spans="1:3">
      <c r="A57" s="1607" t="s">
        <v>99</v>
      </c>
      <c r="B57" s="1609">
        <v>22607262</v>
      </c>
      <c r="C57" s="1608"/>
    </row>
    <row r="58" spans="1:3">
      <c r="A58" s="1607" t="s">
        <v>2957</v>
      </c>
      <c r="B58" s="1609">
        <v>3656000</v>
      </c>
      <c r="C58" s="1608"/>
    </row>
    <row r="59" spans="1:3">
      <c r="A59" s="1607" t="s">
        <v>101</v>
      </c>
      <c r="B59" s="1609">
        <v>58412480.560000002</v>
      </c>
      <c r="C59" s="1608"/>
    </row>
    <row r="60" spans="1:3">
      <c r="A60" s="1607" t="s">
        <v>370</v>
      </c>
      <c r="B60" s="1609">
        <v>44654</v>
      </c>
      <c r="C60" s="1608"/>
    </row>
    <row r="61" spans="1:3">
      <c r="A61" s="1607" t="s">
        <v>102</v>
      </c>
      <c r="B61" s="1609">
        <v>1056621.7</v>
      </c>
      <c r="C61" s="1608"/>
    </row>
    <row r="62" spans="1:3">
      <c r="A62" s="1607" t="s">
        <v>103</v>
      </c>
      <c r="B62" s="1609">
        <v>150000</v>
      </c>
      <c r="C62" s="1608"/>
    </row>
    <row r="63" spans="1:3">
      <c r="A63" s="1607" t="s">
        <v>105</v>
      </c>
      <c r="B63" s="1609">
        <v>73085</v>
      </c>
      <c r="C63" s="1608"/>
    </row>
    <row r="64" spans="1:3">
      <c r="A64" s="1607" t="s">
        <v>106</v>
      </c>
      <c r="B64" s="1608"/>
      <c r="C64" s="1609">
        <v>51565</v>
      </c>
    </row>
    <row r="65" spans="1:3">
      <c r="A65" s="1607" t="s">
        <v>482</v>
      </c>
      <c r="B65" s="1608"/>
      <c r="C65" s="1609">
        <v>260000</v>
      </c>
    </row>
    <row r="66" spans="1:3">
      <c r="A66" s="1607" t="s">
        <v>483</v>
      </c>
      <c r="B66" s="1609">
        <v>65874</v>
      </c>
      <c r="C66" s="1608"/>
    </row>
    <row r="67" spans="1:3">
      <c r="A67" s="1607" t="s">
        <v>484</v>
      </c>
      <c r="B67" s="1609">
        <v>44110.5</v>
      </c>
      <c r="C67" s="1608"/>
    </row>
    <row r="68" spans="1:3">
      <c r="A68" s="1607" t="s">
        <v>373</v>
      </c>
      <c r="B68" s="1609">
        <v>2229150</v>
      </c>
      <c r="C68" s="1608"/>
    </row>
    <row r="69" spans="1:3">
      <c r="A69" s="1607" t="s">
        <v>429</v>
      </c>
      <c r="B69" s="1608"/>
      <c r="C69" s="1609">
        <v>30858</v>
      </c>
    </row>
    <row r="70" spans="1:3">
      <c r="A70" s="1607" t="s">
        <v>113</v>
      </c>
      <c r="B70" s="1608"/>
      <c r="C70" s="1609">
        <v>25061810.07</v>
      </c>
    </row>
    <row r="71" spans="1:3">
      <c r="A71" s="1607" t="s">
        <v>114</v>
      </c>
      <c r="B71" s="1608"/>
      <c r="C71" s="1609">
        <v>4105758</v>
      </c>
    </row>
    <row r="72" spans="1:3">
      <c r="A72" s="1607" t="s">
        <v>2958</v>
      </c>
      <c r="B72" s="1609">
        <v>25000</v>
      </c>
      <c r="C72" s="1608"/>
    </row>
    <row r="73" spans="1:3">
      <c r="A73" s="1607" t="s">
        <v>117</v>
      </c>
      <c r="B73" s="1609">
        <v>1296000</v>
      </c>
      <c r="C73" s="1608"/>
    </row>
    <row r="74" spans="1:3">
      <c r="A74" s="1607" t="s">
        <v>118</v>
      </c>
      <c r="B74" s="1609">
        <v>6800</v>
      </c>
      <c r="C74" s="1608"/>
    </row>
    <row r="75" spans="1:3">
      <c r="A75" s="1607" t="s">
        <v>485</v>
      </c>
      <c r="B75" s="1609">
        <v>200000</v>
      </c>
      <c r="C75" s="1608"/>
    </row>
    <row r="76" spans="1:3">
      <c r="A76" s="1607" t="s">
        <v>486</v>
      </c>
      <c r="B76" s="1609">
        <v>10777</v>
      </c>
      <c r="C76" s="1608"/>
    </row>
    <row r="77" spans="1:3">
      <c r="A77" s="1607" t="s">
        <v>128</v>
      </c>
      <c r="B77" s="1609">
        <v>588864</v>
      </c>
      <c r="C77" s="1608"/>
    </row>
    <row r="78" spans="1:3">
      <c r="A78" s="1607" t="s">
        <v>129</v>
      </c>
      <c r="B78" s="1609">
        <v>4728691</v>
      </c>
      <c r="C78" s="1608"/>
    </row>
    <row r="79" spans="1:3">
      <c r="A79" s="1607" t="s">
        <v>123</v>
      </c>
      <c r="B79" s="1609">
        <v>330000</v>
      </c>
      <c r="C79" s="1608"/>
    </row>
    <row r="80" spans="1:3">
      <c r="A80" s="1607" t="s">
        <v>124</v>
      </c>
      <c r="B80" s="1609">
        <v>6248400</v>
      </c>
      <c r="C80" s="1608"/>
    </row>
    <row r="81" spans="1:3">
      <c r="A81" s="1607" t="s">
        <v>487</v>
      </c>
      <c r="B81" s="1609">
        <v>900000</v>
      </c>
      <c r="C81" s="1608"/>
    </row>
    <row r="82" spans="1:3">
      <c r="A82" s="1607" t="s">
        <v>122</v>
      </c>
      <c r="B82" s="1609">
        <v>239987</v>
      </c>
      <c r="C82" s="1608"/>
    </row>
    <row r="83" spans="1:3">
      <c r="A83" s="1607" t="s">
        <v>2959</v>
      </c>
      <c r="B83" s="1609">
        <v>150294</v>
      </c>
      <c r="C83" s="1608"/>
    </row>
    <row r="84" spans="1:3">
      <c r="A84" s="1607" t="s">
        <v>130</v>
      </c>
      <c r="B84" s="1609">
        <v>1857088</v>
      </c>
      <c r="C84" s="1608"/>
    </row>
    <row r="85" spans="1:3">
      <c r="A85" s="1607" t="s">
        <v>488</v>
      </c>
      <c r="B85" s="1609">
        <v>1989109</v>
      </c>
      <c r="C85" s="1608"/>
    </row>
    <row r="86" spans="1:3">
      <c r="A86" s="1607" t="s">
        <v>489</v>
      </c>
      <c r="B86" s="1609">
        <v>45170</v>
      </c>
      <c r="C86" s="1608"/>
    </row>
    <row r="87" spans="1:3">
      <c r="A87" s="1607" t="s">
        <v>133</v>
      </c>
      <c r="B87" s="1609">
        <v>56194</v>
      </c>
      <c r="C87" s="1608"/>
    </row>
    <row r="88" spans="1:3">
      <c r="A88" s="1607" t="s">
        <v>134</v>
      </c>
      <c r="B88" s="1609">
        <v>114072</v>
      </c>
      <c r="C88" s="1608"/>
    </row>
    <row r="89" spans="1:3">
      <c r="A89" s="1607" t="s">
        <v>490</v>
      </c>
      <c r="B89" s="1609">
        <v>13650885</v>
      </c>
      <c r="C89" s="1608"/>
    </row>
    <row r="90" spans="1:3">
      <c r="A90" s="1607" t="s">
        <v>135</v>
      </c>
      <c r="B90" s="1609">
        <v>369149</v>
      </c>
      <c r="C90" s="1608"/>
    </row>
    <row r="91" spans="1:3">
      <c r="A91" s="1607" t="s">
        <v>138</v>
      </c>
      <c r="B91" s="1609">
        <v>50000</v>
      </c>
      <c r="C91" s="1608"/>
    </row>
    <row r="92" spans="1:3">
      <c r="A92" s="1607" t="s">
        <v>139</v>
      </c>
      <c r="B92" s="1609">
        <v>34500</v>
      </c>
      <c r="C92" s="1608"/>
    </row>
    <row r="93" spans="1:3">
      <c r="A93" s="1607" t="s">
        <v>142</v>
      </c>
      <c r="B93" s="1609">
        <v>469</v>
      </c>
      <c r="C93" s="1608"/>
    </row>
    <row r="94" spans="1:3">
      <c r="A94" s="1607" t="s">
        <v>374</v>
      </c>
      <c r="B94" s="1609">
        <v>32898534</v>
      </c>
      <c r="C94" s="1608"/>
    </row>
    <row r="95" spans="1:3">
      <c r="A95" s="1607" t="s">
        <v>146</v>
      </c>
      <c r="B95" s="1609">
        <v>450203.84</v>
      </c>
      <c r="C95" s="1608"/>
    </row>
    <row r="96" spans="1:3">
      <c r="A96" s="1607" t="s">
        <v>147</v>
      </c>
      <c r="B96" s="1609">
        <v>2500</v>
      </c>
      <c r="C96" s="1608"/>
    </row>
    <row r="97" spans="1:3">
      <c r="A97" s="1607" t="s">
        <v>150</v>
      </c>
      <c r="B97" s="1608"/>
      <c r="C97" s="1609">
        <v>66909</v>
      </c>
    </row>
    <row r="98" spans="1:3">
      <c r="A98" s="1607" t="s">
        <v>151</v>
      </c>
      <c r="B98" s="1608"/>
      <c r="C98" s="1609">
        <v>1502067</v>
      </c>
    </row>
    <row r="99" spans="1:3">
      <c r="A99" s="1607" t="s">
        <v>152</v>
      </c>
      <c r="B99" s="1609">
        <v>26874477.010000002</v>
      </c>
      <c r="C99" s="1608"/>
    </row>
    <row r="100" spans="1:3">
      <c r="A100" s="1607" t="s">
        <v>377</v>
      </c>
      <c r="B100" s="1608"/>
      <c r="C100" s="1609">
        <v>93574</v>
      </c>
    </row>
    <row r="101" spans="1:3">
      <c r="A101" s="1607" t="s">
        <v>153</v>
      </c>
      <c r="B101" s="1608"/>
      <c r="C101" s="1609">
        <v>26922650</v>
      </c>
    </row>
    <row r="102" spans="1:3">
      <c r="A102" s="1607" t="s">
        <v>156</v>
      </c>
      <c r="B102" s="1609">
        <v>269050</v>
      </c>
      <c r="C102" s="1608"/>
    </row>
    <row r="103" spans="1:3">
      <c r="A103" s="1607" t="s">
        <v>158</v>
      </c>
      <c r="B103" s="1609">
        <v>5000</v>
      </c>
      <c r="C103" s="1608"/>
    </row>
    <row r="104" spans="1:3">
      <c r="A104" s="1607" t="s">
        <v>164</v>
      </c>
      <c r="B104" s="1609">
        <v>66100</v>
      </c>
      <c r="C104" s="1608"/>
    </row>
    <row r="105" spans="1:3">
      <c r="A105" s="1607" t="s">
        <v>165</v>
      </c>
      <c r="B105" s="1609">
        <v>267589</v>
      </c>
      <c r="C105" s="1608"/>
    </row>
    <row r="106" spans="1:3">
      <c r="A106" s="1607" t="s">
        <v>166</v>
      </c>
      <c r="B106" s="1609">
        <v>53515973.659999996</v>
      </c>
      <c r="C106" s="1608"/>
    </row>
    <row r="107" spans="1:3">
      <c r="A107" s="1607" t="s">
        <v>167</v>
      </c>
      <c r="B107" s="1609">
        <v>249410</v>
      </c>
      <c r="C107" s="1608"/>
    </row>
    <row r="108" spans="1:3">
      <c r="A108" s="1607" t="s">
        <v>493</v>
      </c>
      <c r="B108" s="1609">
        <v>25018</v>
      </c>
      <c r="C108" s="1608"/>
    </row>
    <row r="109" spans="1:3">
      <c r="A109" s="1607" t="s">
        <v>47</v>
      </c>
      <c r="B109" s="1609">
        <v>129204</v>
      </c>
      <c r="C109" s="1608"/>
    </row>
    <row r="110" spans="1:3">
      <c r="A110" s="1607" t="s">
        <v>169</v>
      </c>
      <c r="B110" s="1609">
        <v>3611803</v>
      </c>
      <c r="C110" s="1608"/>
    </row>
    <row r="111" spans="1:3">
      <c r="A111" s="1607" t="s">
        <v>494</v>
      </c>
      <c r="B111" s="1608"/>
      <c r="C111" s="1609">
        <v>387602</v>
      </c>
    </row>
    <row r="112" spans="1:3">
      <c r="A112" s="1607" t="s">
        <v>378</v>
      </c>
      <c r="B112" s="1609">
        <v>273693</v>
      </c>
      <c r="C112" s="1608"/>
    </row>
    <row r="113" spans="1:3">
      <c r="A113" s="1607" t="s">
        <v>171</v>
      </c>
      <c r="B113" s="1609">
        <v>1893357</v>
      </c>
      <c r="C113" s="1608"/>
    </row>
    <row r="114" spans="1:3">
      <c r="A114" s="1607" t="s">
        <v>172</v>
      </c>
      <c r="B114" s="1608"/>
      <c r="C114" s="1609">
        <v>729285</v>
      </c>
    </row>
    <row r="115" spans="1:3">
      <c r="A115" s="1607" t="s">
        <v>175</v>
      </c>
      <c r="B115" s="1609">
        <v>33965000</v>
      </c>
      <c r="C115" s="1608"/>
    </row>
    <row r="116" spans="1:3">
      <c r="A116" s="1607" t="s">
        <v>2960</v>
      </c>
      <c r="B116" s="1609">
        <v>314100</v>
      </c>
      <c r="C116" s="1608"/>
    </row>
    <row r="117" spans="1:3">
      <c r="A117" s="1607" t="s">
        <v>2961</v>
      </c>
      <c r="B117" s="1608"/>
      <c r="C117" s="1609">
        <v>23600</v>
      </c>
    </row>
    <row r="118" spans="1:3">
      <c r="A118" s="1607" t="s">
        <v>176</v>
      </c>
      <c r="B118" s="1609">
        <v>1982848.03</v>
      </c>
      <c r="C118" s="1608"/>
    </row>
    <row r="119" spans="1:3">
      <c r="A119" s="1607" t="s">
        <v>177</v>
      </c>
      <c r="B119" s="1608"/>
      <c r="C119" s="1609">
        <v>156751</v>
      </c>
    </row>
    <row r="120" spans="1:3">
      <c r="A120" s="1607" t="s">
        <v>380</v>
      </c>
      <c r="B120" s="1608"/>
      <c r="C120" s="1609">
        <v>1562798</v>
      </c>
    </row>
    <row r="121" spans="1:3">
      <c r="A121" s="1607" t="s">
        <v>178</v>
      </c>
      <c r="B121" s="1608"/>
      <c r="C121" s="1609">
        <v>1800000</v>
      </c>
    </row>
    <row r="122" spans="1:3">
      <c r="A122" s="1607" t="s">
        <v>430</v>
      </c>
      <c r="B122" s="1608"/>
      <c r="C122" s="1609">
        <v>13500</v>
      </c>
    </row>
    <row r="123" spans="1:3">
      <c r="A123" s="1607" t="s">
        <v>180</v>
      </c>
      <c r="B123" s="1608"/>
      <c r="C123" s="1609">
        <v>111510</v>
      </c>
    </row>
    <row r="124" spans="1:3">
      <c r="A124" s="1607" t="s">
        <v>497</v>
      </c>
      <c r="B124" s="1609">
        <v>840000</v>
      </c>
      <c r="C124" s="1608"/>
    </row>
    <row r="125" spans="1:3">
      <c r="A125" s="1607" t="s">
        <v>184</v>
      </c>
      <c r="B125" s="1609">
        <v>36000</v>
      </c>
      <c r="C125" s="1608"/>
    </row>
    <row r="126" spans="1:3">
      <c r="A126" s="1607" t="s">
        <v>499</v>
      </c>
      <c r="B126" s="1608"/>
      <c r="C126" s="1609">
        <v>183581</v>
      </c>
    </row>
    <row r="127" spans="1:3">
      <c r="A127" s="1607" t="s">
        <v>186</v>
      </c>
      <c r="B127" s="1608"/>
      <c r="C127" s="1609">
        <v>1524277</v>
      </c>
    </row>
    <row r="128" spans="1:3">
      <c r="A128" s="1607" t="s">
        <v>500</v>
      </c>
      <c r="B128" s="1609">
        <v>28000</v>
      </c>
      <c r="C128" s="1608"/>
    </row>
    <row r="129" spans="1:3">
      <c r="A129" s="1607" t="s">
        <v>188</v>
      </c>
      <c r="B129" s="1608"/>
      <c r="C129" s="1609">
        <v>514599</v>
      </c>
    </row>
    <row r="130" spans="1:3">
      <c r="A130" s="1607" t="s">
        <v>2962</v>
      </c>
      <c r="B130" s="1608"/>
      <c r="C130" s="1609">
        <v>1096250.94</v>
      </c>
    </row>
    <row r="131" spans="1:3">
      <c r="A131" s="1607" t="s">
        <v>2963</v>
      </c>
      <c r="B131" s="1609">
        <v>720667</v>
      </c>
      <c r="C131" s="1608"/>
    </row>
    <row r="132" spans="1:3">
      <c r="A132" s="1607" t="s">
        <v>191</v>
      </c>
      <c r="B132" s="1609">
        <v>81135916.489999995</v>
      </c>
      <c r="C132" s="1608"/>
    </row>
    <row r="133" spans="1:3">
      <c r="A133" s="1607" t="s">
        <v>386</v>
      </c>
      <c r="B133" s="1609">
        <v>192500</v>
      </c>
      <c r="C133" s="1608"/>
    </row>
    <row r="134" spans="1:3">
      <c r="A134" s="1607" t="s">
        <v>194</v>
      </c>
      <c r="B134" s="1609">
        <v>400000</v>
      </c>
      <c r="C134" s="1608"/>
    </row>
    <row r="135" spans="1:3">
      <c r="A135" s="1607" t="s">
        <v>287</v>
      </c>
      <c r="B135" s="1609">
        <v>17190</v>
      </c>
      <c r="C135" s="1608"/>
    </row>
    <row r="136" spans="1:3">
      <c r="A136" s="1607" t="s">
        <v>503</v>
      </c>
      <c r="B136" s="1609">
        <v>1891381</v>
      </c>
      <c r="C136" s="1608"/>
    </row>
    <row r="137" spans="1:3">
      <c r="A137" s="1607" t="s">
        <v>289</v>
      </c>
      <c r="B137" s="1609">
        <v>88213</v>
      </c>
      <c r="C137" s="1608"/>
    </row>
    <row r="138" spans="1:3">
      <c r="A138" s="1607" t="s">
        <v>195</v>
      </c>
      <c r="B138" s="1608"/>
      <c r="C138" s="1609">
        <v>400020</v>
      </c>
    </row>
    <row r="139" spans="1:3">
      <c r="A139" s="1607" t="s">
        <v>2964</v>
      </c>
      <c r="B139" s="1609">
        <v>152598</v>
      </c>
      <c r="C139" s="1608"/>
    </row>
    <row r="140" spans="1:3">
      <c r="A140" s="1607" t="s">
        <v>2965</v>
      </c>
      <c r="B140" s="1608"/>
      <c r="C140" s="1609">
        <v>233</v>
      </c>
    </row>
    <row r="141" spans="1:3">
      <c r="A141" s="1607" t="s">
        <v>504</v>
      </c>
      <c r="B141" s="1609">
        <v>170957</v>
      </c>
      <c r="C141" s="1608"/>
    </row>
    <row r="142" spans="1:3">
      <c r="A142" s="1607" t="s">
        <v>505</v>
      </c>
      <c r="B142" s="1609">
        <v>1196371</v>
      </c>
      <c r="C142" s="1608"/>
    </row>
    <row r="143" spans="1:3">
      <c r="A143" s="1607" t="s">
        <v>198</v>
      </c>
      <c r="B143" s="1609">
        <v>234702</v>
      </c>
      <c r="C143" s="1608"/>
    </row>
    <row r="144" spans="1:3">
      <c r="A144" s="1607" t="s">
        <v>200</v>
      </c>
      <c r="B144" s="1609">
        <v>486928</v>
      </c>
      <c r="C144" s="1608"/>
    </row>
    <row r="145" spans="1:3">
      <c r="A145" s="1607" t="s">
        <v>203</v>
      </c>
      <c r="B145" s="1608"/>
      <c r="C145" s="1609">
        <v>172494</v>
      </c>
    </row>
    <row r="146" spans="1:3">
      <c r="A146" s="1607" t="s">
        <v>208</v>
      </c>
      <c r="B146" s="1609">
        <v>39606</v>
      </c>
      <c r="C146" s="1608"/>
    </row>
    <row r="147" spans="1:3">
      <c r="A147" s="1607" t="s">
        <v>209</v>
      </c>
      <c r="B147" s="1609">
        <v>30516</v>
      </c>
      <c r="C147" s="1608"/>
    </row>
    <row r="148" spans="1:3">
      <c r="A148" s="1607" t="s">
        <v>431</v>
      </c>
      <c r="B148" s="1609">
        <v>144126</v>
      </c>
      <c r="C148" s="1608"/>
    </row>
    <row r="149" spans="1:3">
      <c r="A149" s="1607" t="s">
        <v>210</v>
      </c>
      <c r="B149" s="1609">
        <v>7332</v>
      </c>
      <c r="C149" s="1608"/>
    </row>
    <row r="150" spans="1:3">
      <c r="A150" s="1607" t="s">
        <v>213</v>
      </c>
      <c r="B150" s="1609">
        <v>41084</v>
      </c>
      <c r="C150" s="1608"/>
    </row>
    <row r="151" spans="1:3">
      <c r="A151" s="1607" t="s">
        <v>83</v>
      </c>
      <c r="B151" s="1609">
        <v>2611</v>
      </c>
      <c r="C151" s="1608"/>
    </row>
    <row r="152" spans="1:3">
      <c r="A152" s="1607" t="s">
        <v>507</v>
      </c>
      <c r="B152" s="1609">
        <v>11646</v>
      </c>
      <c r="C152" s="1608"/>
    </row>
    <row r="153" spans="1:3">
      <c r="A153" s="1607" t="s">
        <v>2966</v>
      </c>
      <c r="B153" s="1609">
        <v>98549</v>
      </c>
      <c r="C153" s="1608"/>
    </row>
    <row r="154" spans="1:3">
      <c r="A154" s="1607" t="s">
        <v>2967</v>
      </c>
      <c r="B154" s="1609">
        <v>467386</v>
      </c>
      <c r="C154" s="1608"/>
    </row>
    <row r="155" spans="1:3">
      <c r="A155" s="1607" t="s">
        <v>2968</v>
      </c>
      <c r="B155" s="1609">
        <v>408311</v>
      </c>
      <c r="C155" s="1608"/>
    </row>
    <row r="156" spans="1:3">
      <c r="A156" s="1607" t="s">
        <v>274</v>
      </c>
      <c r="B156" s="1609">
        <v>164180</v>
      </c>
      <c r="C156" s="1608"/>
    </row>
    <row r="157" spans="1:3">
      <c r="A157" s="1607" t="s">
        <v>508</v>
      </c>
      <c r="B157" s="1609">
        <v>8855907</v>
      </c>
      <c r="C157" s="1608"/>
    </row>
    <row r="158" spans="1:3">
      <c r="A158" s="1607" t="s">
        <v>391</v>
      </c>
      <c r="B158" s="1609">
        <v>488813</v>
      </c>
      <c r="C158" s="1608"/>
    </row>
    <row r="159" spans="1:3">
      <c r="A159" s="1607" t="s">
        <v>509</v>
      </c>
      <c r="B159" s="1609">
        <v>2967757</v>
      </c>
      <c r="C159" s="1608"/>
    </row>
    <row r="160" spans="1:3">
      <c r="A160" s="1607" t="s">
        <v>215</v>
      </c>
      <c r="B160" s="1609">
        <v>200000</v>
      </c>
      <c r="C160" s="1608"/>
    </row>
    <row r="161" spans="1:3">
      <c r="A161" s="1607" t="s">
        <v>432</v>
      </c>
      <c r="B161" s="1608"/>
      <c r="C161" s="1609">
        <v>68027</v>
      </c>
    </row>
    <row r="162" spans="1:3">
      <c r="A162" s="1607" t="s">
        <v>220</v>
      </c>
      <c r="B162" s="1608"/>
      <c r="C162" s="1609">
        <v>7756259</v>
      </c>
    </row>
    <row r="163" spans="1:3">
      <c r="A163" s="1607" t="s">
        <v>2969</v>
      </c>
      <c r="B163" s="1608"/>
      <c r="C163" s="1609">
        <v>25200</v>
      </c>
    </row>
    <row r="164" spans="1:3">
      <c r="A164" s="1607" t="s">
        <v>433</v>
      </c>
      <c r="B164" s="1609">
        <v>250430</v>
      </c>
      <c r="C164" s="1608"/>
    </row>
    <row r="165" spans="1:3">
      <c r="A165" s="1607" t="s">
        <v>511</v>
      </c>
      <c r="B165" s="1608"/>
      <c r="C165" s="1609">
        <v>5453561</v>
      </c>
    </row>
    <row r="166" spans="1:3">
      <c r="A166" s="1607" t="s">
        <v>2970</v>
      </c>
      <c r="B166" s="1608"/>
      <c r="C166" s="1609">
        <v>28200</v>
      </c>
    </row>
    <row r="167" spans="1:3">
      <c r="A167" s="1607" t="s">
        <v>512</v>
      </c>
      <c r="B167" s="1608"/>
      <c r="C167" s="1609">
        <v>7299688</v>
      </c>
    </row>
    <row r="168" spans="1:3">
      <c r="A168" s="1607" t="s">
        <v>224</v>
      </c>
      <c r="B168" s="1608"/>
      <c r="C168" s="1609">
        <v>4374722</v>
      </c>
    </row>
    <row r="169" spans="1:3">
      <c r="A169" s="1607" t="s">
        <v>225</v>
      </c>
      <c r="B169" s="1608"/>
      <c r="C169" s="1609">
        <v>0.3</v>
      </c>
    </row>
    <row r="170" spans="1:3">
      <c r="A170" s="1607" t="s">
        <v>452</v>
      </c>
      <c r="B170" s="1608"/>
      <c r="C170" s="1609">
        <v>220853</v>
      </c>
    </row>
    <row r="171" spans="1:3">
      <c r="A171" s="1607" t="s">
        <v>2971</v>
      </c>
      <c r="B171" s="1608"/>
      <c r="C171" s="1609">
        <v>135000</v>
      </c>
    </row>
    <row r="172" spans="1:3">
      <c r="A172" s="1607" t="s">
        <v>223</v>
      </c>
      <c r="B172" s="1608"/>
      <c r="C172" s="1609">
        <v>3154</v>
      </c>
    </row>
    <row r="173" spans="1:3">
      <c r="A173" s="1607" t="s">
        <v>229</v>
      </c>
      <c r="B173" s="1609">
        <v>14544</v>
      </c>
      <c r="C173" s="1608"/>
    </row>
    <row r="174" spans="1:3">
      <c r="A174" s="1607" t="s">
        <v>230</v>
      </c>
      <c r="B174" s="1609">
        <v>19977798</v>
      </c>
      <c r="C174" s="1608"/>
    </row>
    <row r="175" spans="1:3">
      <c r="A175" s="1607" t="s">
        <v>392</v>
      </c>
      <c r="B175" s="1608"/>
      <c r="C175" s="1609">
        <v>10547882</v>
      </c>
    </row>
    <row r="176" spans="1:3">
      <c r="A176" s="1607" t="s">
        <v>434</v>
      </c>
      <c r="B176" s="1608"/>
      <c r="C176" s="1609">
        <v>754370</v>
      </c>
    </row>
    <row r="177" spans="1:3">
      <c r="A177" s="1607" t="s">
        <v>2972</v>
      </c>
      <c r="B177" s="1609">
        <v>781839</v>
      </c>
      <c r="C177" s="1608"/>
    </row>
    <row r="178" spans="1:3">
      <c r="A178" s="1607" t="s">
        <v>232</v>
      </c>
      <c r="B178" s="1609">
        <v>343164</v>
      </c>
      <c r="C178" s="1608"/>
    </row>
    <row r="179" spans="1:3">
      <c r="A179" s="1607" t="s">
        <v>233</v>
      </c>
      <c r="B179" s="1608"/>
      <c r="C179" s="1609">
        <v>343164</v>
      </c>
    </row>
    <row r="180" spans="1:3">
      <c r="A180" s="1607" t="s">
        <v>234</v>
      </c>
      <c r="B180" s="1609">
        <v>112800</v>
      </c>
      <c r="C180" s="1608"/>
    </row>
    <row r="181" spans="1:3">
      <c r="A181" s="1607" t="s">
        <v>228</v>
      </c>
      <c r="B181" s="1608"/>
      <c r="C181" s="1609">
        <v>40147</v>
      </c>
    </row>
    <row r="182" spans="1:3">
      <c r="A182" s="1607" t="s">
        <v>236</v>
      </c>
      <c r="B182" s="1609">
        <v>402863.5</v>
      </c>
      <c r="C182" s="1608"/>
    </row>
    <row r="183" spans="1:3">
      <c r="A183" s="1607" t="s">
        <v>237</v>
      </c>
      <c r="B183" s="1609">
        <v>1501316</v>
      </c>
      <c r="C183" s="1608"/>
    </row>
    <row r="184" spans="1:3">
      <c r="A184" s="1607" t="s">
        <v>238</v>
      </c>
      <c r="B184" s="1609">
        <v>4081080.78</v>
      </c>
      <c r="C184" s="1608"/>
    </row>
    <row r="185" spans="1:3">
      <c r="A185" s="1607" t="s">
        <v>513</v>
      </c>
      <c r="B185" s="1609">
        <v>193134.65</v>
      </c>
      <c r="C185" s="1608"/>
    </row>
    <row r="186" spans="1:3">
      <c r="A186" s="1607" t="s">
        <v>239</v>
      </c>
      <c r="B186" s="1609">
        <v>2465865</v>
      </c>
      <c r="C186" s="1608"/>
    </row>
    <row r="187" spans="1:3">
      <c r="A187" s="1607" t="s">
        <v>19</v>
      </c>
      <c r="B187" s="1608"/>
      <c r="C187" s="1609">
        <v>5463715</v>
      </c>
    </row>
    <row r="188" spans="1:3">
      <c r="A188" s="1607" t="s">
        <v>515</v>
      </c>
      <c r="B188" s="1609">
        <v>255943</v>
      </c>
      <c r="C188" s="1608"/>
    </row>
    <row r="189" spans="1:3">
      <c r="A189" s="1607" t="s">
        <v>435</v>
      </c>
      <c r="B189" s="1608"/>
      <c r="C189" s="1609">
        <v>35044</v>
      </c>
    </row>
    <row r="190" spans="1:3">
      <c r="A190" s="1607" t="s">
        <v>516</v>
      </c>
      <c r="B190" s="1608"/>
      <c r="C190" s="1609">
        <v>218551</v>
      </c>
    </row>
    <row r="191" spans="1:3">
      <c r="A191" s="1607" t="s">
        <v>393</v>
      </c>
      <c r="B191" s="1609">
        <v>3000</v>
      </c>
      <c r="C191" s="1608"/>
    </row>
    <row r="192" spans="1:3">
      <c r="A192" s="1607" t="s">
        <v>21</v>
      </c>
      <c r="B192" s="1608"/>
      <c r="C192" s="1609">
        <v>632914</v>
      </c>
    </row>
    <row r="193" spans="1:3">
      <c r="A193" s="1607" t="s">
        <v>248</v>
      </c>
      <c r="B193" s="1609">
        <v>11000</v>
      </c>
      <c r="C193" s="1608"/>
    </row>
    <row r="194" spans="1:3">
      <c r="A194" s="1607" t="s">
        <v>38</v>
      </c>
      <c r="B194" s="1609">
        <v>40000</v>
      </c>
      <c r="C194" s="1608"/>
    </row>
    <row r="195" spans="1:3">
      <c r="A195" s="1607" t="s">
        <v>2973</v>
      </c>
      <c r="B195" s="1608"/>
      <c r="C195" s="1609">
        <v>21830</v>
      </c>
    </row>
    <row r="196" spans="1:3">
      <c r="A196" s="1607" t="s">
        <v>517</v>
      </c>
      <c r="B196" s="1609">
        <v>140800</v>
      </c>
      <c r="C196" s="1608"/>
    </row>
    <row r="197" spans="1:3">
      <c r="A197" s="1607" t="s">
        <v>518</v>
      </c>
      <c r="B197" s="1609">
        <v>104700</v>
      </c>
      <c r="C197" s="1608"/>
    </row>
    <row r="198" spans="1:3">
      <c r="A198" s="1607" t="s">
        <v>249</v>
      </c>
      <c r="B198" s="1609">
        <v>1140691.8799999999</v>
      </c>
      <c r="C198" s="1608"/>
    </row>
    <row r="199" spans="1:3">
      <c r="A199" s="1607" t="s">
        <v>519</v>
      </c>
      <c r="B199" s="1609">
        <v>54090.28</v>
      </c>
      <c r="C199" s="1608"/>
    </row>
    <row r="200" spans="1:3">
      <c r="A200" s="1607" t="s">
        <v>520</v>
      </c>
      <c r="B200" s="1609">
        <v>643125</v>
      </c>
      <c r="C200" s="1608"/>
    </row>
    <row r="201" spans="1:3">
      <c r="A201" s="1607" t="s">
        <v>521</v>
      </c>
      <c r="B201" s="1609">
        <v>53221</v>
      </c>
      <c r="C201" s="1608"/>
    </row>
    <row r="202" spans="1:3">
      <c r="A202" s="1607" t="s">
        <v>522</v>
      </c>
      <c r="B202" s="1608"/>
      <c r="C202" s="1609">
        <v>5700468</v>
      </c>
    </row>
    <row r="203" spans="1:3">
      <c r="A203" s="1607" t="s">
        <v>2251</v>
      </c>
      <c r="B203" s="1608"/>
      <c r="C203" s="1609">
        <v>27000</v>
      </c>
    </row>
    <row r="204" spans="1:3">
      <c r="A204" s="1607" t="s">
        <v>253</v>
      </c>
      <c r="B204" s="1609">
        <v>131217.84</v>
      </c>
      <c r="C204" s="1608"/>
    </row>
    <row r="205" spans="1:3">
      <c r="A205" s="1607" t="s">
        <v>394</v>
      </c>
      <c r="B205" s="1608"/>
      <c r="C205" s="1609">
        <v>313012</v>
      </c>
    </row>
    <row r="206" spans="1:3">
      <c r="A206" s="1607" t="s">
        <v>254</v>
      </c>
      <c r="B206" s="1609">
        <v>56914</v>
      </c>
      <c r="C206" s="1608"/>
    </row>
    <row r="207" spans="1:3">
      <c r="A207" s="1607" t="s">
        <v>256</v>
      </c>
      <c r="B207" s="1609">
        <v>470140.39</v>
      </c>
      <c r="C207" s="1608"/>
    </row>
    <row r="208" spans="1:3">
      <c r="A208" s="1607" t="s">
        <v>258</v>
      </c>
      <c r="B208" s="1609">
        <v>12870</v>
      </c>
      <c r="C208" s="1608"/>
    </row>
    <row r="209" spans="1:3">
      <c r="A209" s="1607" t="s">
        <v>260</v>
      </c>
      <c r="B209" s="1609">
        <v>54676</v>
      </c>
      <c r="C209" s="1608"/>
    </row>
    <row r="210" spans="1:3">
      <c r="A210" s="1607" t="s">
        <v>2974</v>
      </c>
      <c r="B210" s="1608"/>
      <c r="C210" s="1609">
        <v>534000</v>
      </c>
    </row>
    <row r="211" spans="1:3">
      <c r="A211" s="1607" t="s">
        <v>261</v>
      </c>
      <c r="B211" s="1608"/>
      <c r="C211" s="1609">
        <v>354825</v>
      </c>
    </row>
    <row r="212" spans="1:3">
      <c r="A212" s="1607" t="s">
        <v>257</v>
      </c>
      <c r="B212" s="1609">
        <v>5210528.92</v>
      </c>
      <c r="C212" s="1608"/>
    </row>
    <row r="213" spans="1:3">
      <c r="A213" s="1607" t="s">
        <v>262</v>
      </c>
      <c r="B213" s="1609">
        <v>490236</v>
      </c>
      <c r="C213" s="1608"/>
    </row>
    <row r="214" spans="1:3">
      <c r="A214" s="1607" t="s">
        <v>2975</v>
      </c>
      <c r="B214" s="1609">
        <v>1586</v>
      </c>
      <c r="C214" s="1608"/>
    </row>
    <row r="215" spans="1:3">
      <c r="A215" s="1607" t="s">
        <v>263</v>
      </c>
      <c r="B215" s="1608"/>
      <c r="C215" s="1609">
        <v>16497</v>
      </c>
    </row>
    <row r="216" spans="1:3">
      <c r="A216" s="1607" t="s">
        <v>264</v>
      </c>
      <c r="B216" s="1608"/>
      <c r="C216" s="1609">
        <v>430942</v>
      </c>
    </row>
    <row r="217" spans="1:3">
      <c r="A217" s="1607" t="s">
        <v>525</v>
      </c>
      <c r="B217" s="1608"/>
      <c r="C217" s="1609">
        <v>437513</v>
      </c>
    </row>
    <row r="218" spans="1:3">
      <c r="A218" s="1607" t="s">
        <v>265</v>
      </c>
      <c r="B218" s="1608"/>
      <c r="C218" s="1609">
        <v>544625</v>
      </c>
    </row>
    <row r="219" spans="1:3">
      <c r="A219" s="1607" t="s">
        <v>266</v>
      </c>
      <c r="B219" s="1609">
        <v>450</v>
      </c>
      <c r="C219" s="1608"/>
    </row>
    <row r="220" spans="1:3">
      <c r="A220" s="1607" t="s">
        <v>267</v>
      </c>
      <c r="B220" s="1609">
        <v>5000</v>
      </c>
      <c r="C220" s="1608"/>
    </row>
    <row r="221" spans="1:3">
      <c r="A221" s="1607" t="s">
        <v>268</v>
      </c>
      <c r="B221" s="1609">
        <v>450</v>
      </c>
      <c r="C221" s="1608"/>
    </row>
    <row r="222" spans="1:3">
      <c r="A222" s="1607" t="s">
        <v>2976</v>
      </c>
      <c r="B222" s="1609">
        <v>217</v>
      </c>
      <c r="C222" s="1608"/>
    </row>
    <row r="223" spans="1:3">
      <c r="A223" s="1607" t="s">
        <v>270</v>
      </c>
      <c r="B223" s="1609">
        <v>222462056.13999999</v>
      </c>
      <c r="C223" s="1608"/>
    </row>
    <row r="224" spans="1:3">
      <c r="A224" s="1607" t="s">
        <v>526</v>
      </c>
      <c r="B224" s="1608"/>
      <c r="C224" s="1609">
        <v>333000</v>
      </c>
    </row>
    <row r="225" spans="1:3">
      <c r="A225" s="1607" t="s">
        <v>527</v>
      </c>
      <c r="B225" s="1609">
        <v>72027</v>
      </c>
      <c r="C225" s="1608"/>
    </row>
    <row r="226" spans="1:3">
      <c r="A226" s="1607" t="s">
        <v>271</v>
      </c>
      <c r="B226" s="1608"/>
      <c r="C226" s="1609">
        <v>1103470</v>
      </c>
    </row>
    <row r="227" spans="1:3">
      <c r="A227" s="1607" t="s">
        <v>2977</v>
      </c>
      <c r="B227" s="1609">
        <v>2498493</v>
      </c>
      <c r="C227" s="1608"/>
    </row>
    <row r="228" spans="1:3">
      <c r="A228" s="1607" t="s">
        <v>2978</v>
      </c>
      <c r="B228" s="1608"/>
      <c r="C228" s="1609">
        <v>40020</v>
      </c>
    </row>
    <row r="229" spans="1:3">
      <c r="A229" s="1607" t="s">
        <v>2979</v>
      </c>
      <c r="B229" s="1608"/>
      <c r="C229" s="1609">
        <v>93400</v>
      </c>
    </row>
    <row r="230" spans="1:3">
      <c r="A230" s="1607" t="s">
        <v>398</v>
      </c>
      <c r="B230" s="1609">
        <v>1374004</v>
      </c>
      <c r="C230" s="1608"/>
    </row>
    <row r="231" spans="1:3">
      <c r="A231" s="1607" t="s">
        <v>400</v>
      </c>
      <c r="B231" s="1609">
        <v>7673731</v>
      </c>
      <c r="C231" s="1608"/>
    </row>
    <row r="232" spans="1:3">
      <c r="A232" s="1607" t="s">
        <v>401</v>
      </c>
      <c r="B232" s="1609">
        <v>16261921</v>
      </c>
      <c r="C232" s="1608"/>
    </row>
    <row r="233" spans="1:3">
      <c r="A233" s="1607" t="s">
        <v>402</v>
      </c>
      <c r="B233" s="1609">
        <v>1196817</v>
      </c>
      <c r="C233" s="1608"/>
    </row>
    <row r="234" spans="1:3">
      <c r="A234" s="1607" t="s">
        <v>273</v>
      </c>
      <c r="B234" s="1609">
        <v>937100</v>
      </c>
      <c r="C234" s="1608"/>
    </row>
    <row r="235" spans="1:3">
      <c r="A235" s="1607" t="s">
        <v>2980</v>
      </c>
      <c r="B235" s="1609">
        <v>515309</v>
      </c>
      <c r="C235" s="1608"/>
    </row>
    <row r="236" spans="1:3">
      <c r="A236" s="1607" t="s">
        <v>275</v>
      </c>
      <c r="B236" s="1609">
        <v>774063</v>
      </c>
      <c r="C236" s="1608"/>
    </row>
    <row r="237" spans="1:3">
      <c r="A237" s="1607" t="s">
        <v>276</v>
      </c>
      <c r="B237" s="1609">
        <v>2500</v>
      </c>
      <c r="C237" s="1608"/>
    </row>
    <row r="238" spans="1:3">
      <c r="A238" s="1607" t="s">
        <v>529</v>
      </c>
      <c r="B238" s="1608"/>
      <c r="C238" s="1609">
        <v>127241303.03</v>
      </c>
    </row>
    <row r="239" spans="1:3">
      <c r="A239" s="1607" t="s">
        <v>279</v>
      </c>
      <c r="B239" s="1608"/>
      <c r="C239" s="1609">
        <v>9444000</v>
      </c>
    </row>
    <row r="240" spans="1:3">
      <c r="A240" s="1607" t="s">
        <v>530</v>
      </c>
      <c r="B240" s="1609">
        <v>1553342</v>
      </c>
      <c r="C240" s="1608"/>
    </row>
    <row r="241" spans="1:3">
      <c r="A241" s="1607" t="s">
        <v>281</v>
      </c>
      <c r="B241" s="1608"/>
      <c r="C241" s="1609">
        <v>5868548</v>
      </c>
    </row>
    <row r="242" spans="1:3">
      <c r="A242" s="1607" t="s">
        <v>282</v>
      </c>
      <c r="B242" s="1608"/>
      <c r="C242" s="1609">
        <v>10709998</v>
      </c>
    </row>
    <row r="243" spans="1:3">
      <c r="A243" s="1607" t="s">
        <v>531</v>
      </c>
      <c r="B243" s="1608"/>
      <c r="C243" s="1609">
        <v>812860</v>
      </c>
    </row>
    <row r="244" spans="1:3">
      <c r="A244" s="1607" t="s">
        <v>532</v>
      </c>
      <c r="B244" s="1608"/>
      <c r="C244" s="1609">
        <v>21589226</v>
      </c>
    </row>
    <row r="245" spans="1:3">
      <c r="A245" s="1607" t="s">
        <v>284</v>
      </c>
      <c r="B245" s="1608"/>
      <c r="C245" s="1609">
        <v>379192</v>
      </c>
    </row>
    <row r="246" spans="1:3">
      <c r="A246" s="1607" t="s">
        <v>533</v>
      </c>
      <c r="B246" s="1608"/>
      <c r="C246" s="1609">
        <v>1166259</v>
      </c>
    </row>
    <row r="247" spans="1:3">
      <c r="A247" s="1607" t="s">
        <v>534</v>
      </c>
      <c r="B247" s="1608"/>
      <c r="C247" s="1609">
        <v>921977</v>
      </c>
    </row>
    <row r="248" spans="1:3">
      <c r="A248" s="1607" t="s">
        <v>535</v>
      </c>
      <c r="B248" s="1608"/>
      <c r="C248" s="1609">
        <v>141175873</v>
      </c>
    </row>
    <row r="249" spans="1:3">
      <c r="A249" s="1607" t="s">
        <v>536</v>
      </c>
      <c r="B249" s="1608"/>
      <c r="C249" s="1609">
        <v>1602489</v>
      </c>
    </row>
    <row r="250" spans="1:3">
      <c r="A250" s="1607" t="s">
        <v>288</v>
      </c>
      <c r="B250" s="1609">
        <v>122153</v>
      </c>
      <c r="C250" s="1608"/>
    </row>
    <row r="251" spans="1:3">
      <c r="A251" s="1607" t="s">
        <v>291</v>
      </c>
      <c r="B251" s="1609">
        <v>271788</v>
      </c>
      <c r="C251" s="1608"/>
    </row>
    <row r="252" spans="1:3">
      <c r="A252" s="1607" t="s">
        <v>290</v>
      </c>
      <c r="B252" s="1609">
        <v>139678</v>
      </c>
      <c r="C252" s="1608"/>
    </row>
    <row r="253" spans="1:3">
      <c r="A253" s="1607" t="s">
        <v>285</v>
      </c>
      <c r="B253" s="1609">
        <v>34285</v>
      </c>
      <c r="C253" s="1608"/>
    </row>
    <row r="254" spans="1:3">
      <c r="A254" s="1607" t="s">
        <v>537</v>
      </c>
      <c r="B254" s="1608"/>
      <c r="C254" s="1609">
        <v>2663935.7000000002</v>
      </c>
    </row>
    <row r="255" spans="1:3">
      <c r="A255" s="1607" t="s">
        <v>292</v>
      </c>
      <c r="B255" s="1609">
        <v>11114075</v>
      </c>
      <c r="C255" s="1608"/>
    </row>
    <row r="256" spans="1:3">
      <c r="A256" s="1607" t="s">
        <v>2981</v>
      </c>
      <c r="B256" s="1608"/>
      <c r="C256" s="1609">
        <v>39629</v>
      </c>
    </row>
    <row r="257" spans="1:3">
      <c r="A257" s="1607" t="s">
        <v>538</v>
      </c>
      <c r="B257" s="1608"/>
      <c r="C257" s="1609">
        <v>570460</v>
      </c>
    </row>
    <row r="258" spans="1:3">
      <c r="A258" s="1607" t="s">
        <v>293</v>
      </c>
      <c r="B258" s="1609">
        <v>248584</v>
      </c>
      <c r="C258" s="1608"/>
    </row>
    <row r="259" spans="1:3">
      <c r="A259" s="1607" t="s">
        <v>294</v>
      </c>
      <c r="B259" s="1609">
        <v>8344106</v>
      </c>
      <c r="C259" s="1608"/>
    </row>
    <row r="260" spans="1:3">
      <c r="A260" s="1607" t="s">
        <v>295</v>
      </c>
      <c r="B260" s="1609">
        <v>210</v>
      </c>
      <c r="C260" s="1608"/>
    </row>
    <row r="261" spans="1:3">
      <c r="A261" s="1607" t="s">
        <v>540</v>
      </c>
      <c r="B261" s="1609">
        <v>11174515.4</v>
      </c>
      <c r="C261" s="1608"/>
    </row>
    <row r="262" spans="1:3">
      <c r="A262" s="1607" t="s">
        <v>2982</v>
      </c>
      <c r="B262" s="1609">
        <v>11449790</v>
      </c>
      <c r="C262" s="1608"/>
    </row>
    <row r="263" spans="1:3">
      <c r="A263" s="1607" t="s">
        <v>2983</v>
      </c>
      <c r="B263" s="1608"/>
      <c r="C263" s="1609">
        <v>328373</v>
      </c>
    </row>
    <row r="264" spans="1:3">
      <c r="A264" s="1607" t="s">
        <v>301</v>
      </c>
      <c r="B264" s="1608"/>
      <c r="C264" s="1609">
        <v>3493499</v>
      </c>
    </row>
    <row r="265" spans="1:3">
      <c r="A265" s="1607" t="s">
        <v>2984</v>
      </c>
      <c r="B265" s="1609">
        <v>846</v>
      </c>
      <c r="C265" s="1608"/>
    </row>
    <row r="266" spans="1:3">
      <c r="A266" s="1607" t="s">
        <v>82</v>
      </c>
      <c r="B266" s="1609">
        <v>248399</v>
      </c>
      <c r="C266" s="1608"/>
    </row>
    <row r="267" spans="1:3">
      <c r="A267" s="1607" t="s">
        <v>2565</v>
      </c>
      <c r="B267" s="1609">
        <v>15000</v>
      </c>
      <c r="C267" s="1608"/>
    </row>
    <row r="268" spans="1:3">
      <c r="A268" s="1607" t="s">
        <v>303</v>
      </c>
      <c r="B268" s="1609">
        <v>3685087.84</v>
      </c>
      <c r="C268" s="1608"/>
    </row>
    <row r="269" spans="1:3">
      <c r="A269" s="1607" t="s">
        <v>299</v>
      </c>
      <c r="B269" s="1609">
        <v>1924603.5</v>
      </c>
      <c r="C269" s="1608"/>
    </row>
    <row r="270" spans="1:3">
      <c r="A270" s="1607" t="s">
        <v>304</v>
      </c>
      <c r="B270" s="1608"/>
      <c r="C270" s="1609">
        <v>29783</v>
      </c>
    </row>
    <row r="271" spans="1:3">
      <c r="A271" s="1607" t="s">
        <v>305</v>
      </c>
      <c r="B271" s="1608"/>
      <c r="C271" s="1609">
        <v>27120</v>
      </c>
    </row>
    <row r="272" spans="1:3">
      <c r="A272" s="1607" t="s">
        <v>306</v>
      </c>
      <c r="B272" s="1608"/>
      <c r="C272" s="1609">
        <v>29783</v>
      </c>
    </row>
    <row r="273" spans="1:3">
      <c r="A273" s="1607" t="s">
        <v>545</v>
      </c>
      <c r="B273" s="1609">
        <v>1916000</v>
      </c>
      <c r="C273" s="1608"/>
    </row>
    <row r="274" spans="1:3">
      <c r="A274" s="1607" t="s">
        <v>309</v>
      </c>
      <c r="B274" s="1609">
        <v>453493</v>
      </c>
      <c r="C274" s="1608"/>
    </row>
    <row r="275" spans="1:3">
      <c r="A275" s="1607" t="s">
        <v>2985</v>
      </c>
      <c r="B275" s="1609">
        <v>51534</v>
      </c>
      <c r="C275" s="1608"/>
    </row>
    <row r="276" spans="1:3">
      <c r="A276" s="1607" t="s">
        <v>311</v>
      </c>
      <c r="B276" s="1609">
        <v>357129.36</v>
      </c>
      <c r="C276" s="1608"/>
    </row>
    <row r="277" spans="1:3">
      <c r="A277" s="1607" t="s">
        <v>546</v>
      </c>
      <c r="B277" s="1609">
        <v>263090.43</v>
      </c>
      <c r="C277" s="1608"/>
    </row>
    <row r="278" spans="1:3">
      <c r="A278" s="1607" t="s">
        <v>2986</v>
      </c>
      <c r="B278" s="1609">
        <v>58000</v>
      </c>
      <c r="C278" s="1608"/>
    </row>
    <row r="279" spans="1:3">
      <c r="A279" s="1607" t="s">
        <v>312</v>
      </c>
      <c r="B279" s="1608"/>
      <c r="C279" s="1609">
        <v>50905004</v>
      </c>
    </row>
    <row r="280" spans="1:3">
      <c r="A280" s="1607" t="s">
        <v>549</v>
      </c>
      <c r="B280" s="1608"/>
      <c r="C280" s="1609">
        <v>54000</v>
      </c>
    </row>
    <row r="281" spans="1:3">
      <c r="A281" s="1607" t="s">
        <v>313</v>
      </c>
      <c r="B281" s="1609">
        <v>4800</v>
      </c>
      <c r="C281" s="1608"/>
    </row>
    <row r="282" spans="1:3">
      <c r="A282" s="1607" t="s">
        <v>405</v>
      </c>
      <c r="B282" s="1609">
        <v>221984</v>
      </c>
      <c r="C282" s="1608"/>
    </row>
    <row r="283" spans="1:3">
      <c r="A283" s="1607" t="s">
        <v>314</v>
      </c>
      <c r="B283" s="1608"/>
      <c r="C283" s="1609">
        <v>3110810</v>
      </c>
    </row>
    <row r="284" spans="1:3">
      <c r="A284" s="1607" t="s">
        <v>315</v>
      </c>
      <c r="B284" s="1608"/>
      <c r="C284" s="1609">
        <v>243.41</v>
      </c>
    </row>
    <row r="285" spans="1:3">
      <c r="A285" s="1607" t="s">
        <v>407</v>
      </c>
      <c r="B285" s="1609">
        <v>15353091</v>
      </c>
      <c r="C285" s="1608"/>
    </row>
    <row r="286" spans="1:3">
      <c r="A286" s="1607" t="s">
        <v>550</v>
      </c>
      <c r="B286" s="1609">
        <v>231709</v>
      </c>
      <c r="C286" s="1608"/>
    </row>
    <row r="287" spans="1:3">
      <c r="A287" s="1607" t="s">
        <v>320</v>
      </c>
      <c r="B287" s="1608"/>
      <c r="C287" s="1609">
        <v>2400131</v>
      </c>
    </row>
    <row r="288" spans="1:3">
      <c r="A288" s="1607" t="s">
        <v>321</v>
      </c>
      <c r="B288" s="1608"/>
      <c r="C288" s="1609">
        <v>1515372</v>
      </c>
    </row>
    <row r="289" spans="1:3">
      <c r="A289" s="1607" t="s">
        <v>323</v>
      </c>
      <c r="B289" s="1609">
        <v>252000</v>
      </c>
      <c r="C289" s="1608"/>
    </row>
    <row r="290" spans="1:3">
      <c r="A290" s="1607" t="s">
        <v>552</v>
      </c>
      <c r="B290" s="1609">
        <v>1930419</v>
      </c>
      <c r="C290" s="1608"/>
    </row>
    <row r="291" spans="1:3">
      <c r="A291" s="1607" t="s">
        <v>553</v>
      </c>
      <c r="B291" s="1609">
        <v>2844200</v>
      </c>
      <c r="C291" s="1608"/>
    </row>
    <row r="292" spans="1:3">
      <c r="A292" s="1607" t="s">
        <v>554</v>
      </c>
      <c r="B292" s="1609">
        <v>9905920</v>
      </c>
      <c r="C292" s="1608"/>
    </row>
    <row r="293" spans="1:3">
      <c r="A293" s="1607" t="s">
        <v>2987</v>
      </c>
      <c r="B293" s="1608"/>
      <c r="C293" s="1609">
        <v>1300144</v>
      </c>
    </row>
    <row r="294" spans="1:3">
      <c r="A294" s="1607" t="s">
        <v>324</v>
      </c>
      <c r="B294" s="1608"/>
      <c r="C294" s="1609">
        <v>512311311.10000002</v>
      </c>
    </row>
    <row r="295" spans="1:3">
      <c r="A295" s="1607" t="s">
        <v>145</v>
      </c>
      <c r="B295" s="1608"/>
      <c r="C295" s="1609">
        <v>99943120.799999997</v>
      </c>
    </row>
    <row r="296" spans="1:3">
      <c r="A296" s="1607" t="s">
        <v>2988</v>
      </c>
      <c r="B296" s="1609">
        <v>322707</v>
      </c>
      <c r="C296" s="1608"/>
    </row>
    <row r="297" spans="1:3">
      <c r="A297" s="1607" t="s">
        <v>556</v>
      </c>
      <c r="B297" s="1608"/>
      <c r="C297" s="1609">
        <v>409917</v>
      </c>
    </row>
    <row r="298" spans="1:3">
      <c r="A298" s="1607" t="s">
        <v>325</v>
      </c>
      <c r="B298" s="1608"/>
      <c r="C298" s="1609">
        <v>1406203</v>
      </c>
    </row>
    <row r="299" spans="1:3">
      <c r="A299" s="1607" t="s">
        <v>2989</v>
      </c>
      <c r="B299" s="1608"/>
      <c r="C299" s="1609">
        <v>5290</v>
      </c>
    </row>
    <row r="300" spans="1:3">
      <c r="A300" s="1607" t="s">
        <v>557</v>
      </c>
      <c r="B300" s="1608"/>
      <c r="C300" s="1609">
        <v>2200740</v>
      </c>
    </row>
    <row r="301" spans="1:3">
      <c r="A301" s="1607" t="s">
        <v>2990</v>
      </c>
      <c r="B301" s="1609">
        <v>1094</v>
      </c>
      <c r="C301" s="1608"/>
    </row>
    <row r="302" spans="1:3">
      <c r="A302" s="1607" t="s">
        <v>42</v>
      </c>
      <c r="B302" s="1609">
        <v>8712571</v>
      </c>
      <c r="C302" s="1608"/>
    </row>
    <row r="303" spans="1:3">
      <c r="A303" s="1607" t="s">
        <v>558</v>
      </c>
      <c r="B303" s="1608"/>
      <c r="C303" s="1609">
        <v>11159826</v>
      </c>
    </row>
    <row r="304" spans="1:3">
      <c r="A304" s="1607" t="s">
        <v>409</v>
      </c>
      <c r="B304" s="1608"/>
      <c r="C304" s="1609">
        <v>6263137</v>
      </c>
    </row>
    <row r="305" spans="1:3">
      <c r="A305" s="1607" t="s">
        <v>437</v>
      </c>
      <c r="B305" s="1608"/>
      <c r="C305" s="1609">
        <v>68723.86</v>
      </c>
    </row>
    <row r="306" spans="1:3">
      <c r="A306" s="1607" t="s">
        <v>316</v>
      </c>
      <c r="B306" s="1609">
        <v>9459.64</v>
      </c>
      <c r="C306" s="1608"/>
    </row>
    <row r="307" spans="1:3">
      <c r="A307" s="1607" t="s">
        <v>2991</v>
      </c>
      <c r="B307" s="1608"/>
      <c r="C307" s="1609">
        <v>28972386</v>
      </c>
    </row>
    <row r="308" spans="1:3">
      <c r="A308" s="1607" t="s">
        <v>410</v>
      </c>
      <c r="B308" s="1608"/>
      <c r="C308" s="1609">
        <v>46199076</v>
      </c>
    </row>
    <row r="309" spans="1:3">
      <c r="A309" s="1607" t="s">
        <v>326</v>
      </c>
      <c r="B309" s="1608"/>
      <c r="C309" s="1609">
        <v>8664946</v>
      </c>
    </row>
    <row r="310" spans="1:3">
      <c r="A310" s="1607" t="s">
        <v>328</v>
      </c>
      <c r="B310" s="1609">
        <v>827794</v>
      </c>
      <c r="C310" s="1608"/>
    </row>
    <row r="311" spans="1:3">
      <c r="A311" s="1607" t="s">
        <v>411</v>
      </c>
      <c r="B311" s="1608"/>
      <c r="C311" s="1609">
        <v>1397710</v>
      </c>
    </row>
    <row r="312" spans="1:3">
      <c r="A312" s="1607" t="s">
        <v>16</v>
      </c>
      <c r="B312" s="1608"/>
      <c r="C312" s="1609">
        <v>210890</v>
      </c>
    </row>
    <row r="313" spans="1:3">
      <c r="A313" s="1607" t="s">
        <v>2992</v>
      </c>
      <c r="B313" s="1608"/>
      <c r="C313" s="1609">
        <v>2239174.58</v>
      </c>
    </row>
    <row r="314" spans="1:3">
      <c r="A314" s="1607" t="s">
        <v>2993</v>
      </c>
      <c r="B314" s="1609">
        <v>1534437.7</v>
      </c>
      <c r="C314" s="1608"/>
    </row>
    <row r="315" spans="1:3">
      <c r="A315" s="1607" t="s">
        <v>217</v>
      </c>
      <c r="B315" s="1608"/>
      <c r="C315" s="1609">
        <v>474189</v>
      </c>
    </row>
    <row r="316" spans="1:3">
      <c r="A316" s="1607" t="s">
        <v>332</v>
      </c>
      <c r="B316" s="1609">
        <v>719897</v>
      </c>
      <c r="C316" s="1608"/>
    </row>
    <row r="317" spans="1:3">
      <c r="A317" s="1607" t="s">
        <v>2994</v>
      </c>
      <c r="B317" s="1609">
        <v>1651.44</v>
      </c>
      <c r="C317" s="1608"/>
    </row>
    <row r="318" spans="1:3">
      <c r="A318" s="1607" t="s">
        <v>333</v>
      </c>
      <c r="B318" s="1608"/>
      <c r="C318" s="1609">
        <v>1449699.7</v>
      </c>
    </row>
    <row r="319" spans="1:3">
      <c r="A319" s="1607" t="s">
        <v>414</v>
      </c>
      <c r="B319" s="1609">
        <v>221637</v>
      </c>
      <c r="C319" s="1608"/>
    </row>
    <row r="320" spans="1:3">
      <c r="A320" s="1607" t="s">
        <v>336</v>
      </c>
      <c r="B320" s="1609">
        <v>125</v>
      </c>
      <c r="C320" s="1608"/>
    </row>
    <row r="321" spans="1:3">
      <c r="A321" s="1607" t="s">
        <v>2995</v>
      </c>
      <c r="B321" s="1608"/>
      <c r="C321" s="1609">
        <v>258302</v>
      </c>
    </row>
    <row r="322" spans="1:3">
      <c r="A322" s="1607" t="s">
        <v>2996</v>
      </c>
      <c r="B322" s="1608"/>
      <c r="C322" s="1609">
        <v>114628</v>
      </c>
    </row>
    <row r="323" spans="1:3">
      <c r="A323" s="1607" t="s">
        <v>337</v>
      </c>
      <c r="B323" s="1608"/>
      <c r="C323" s="1609">
        <v>559434</v>
      </c>
    </row>
    <row r="324" spans="1:3">
      <c r="A324" s="1607" t="s">
        <v>338</v>
      </c>
      <c r="B324" s="1608"/>
      <c r="C324" s="1609">
        <v>14175</v>
      </c>
    </row>
    <row r="325" spans="1:3">
      <c r="A325" s="1607" t="s">
        <v>416</v>
      </c>
      <c r="B325" s="1609">
        <v>12900</v>
      </c>
      <c r="C325" s="1608"/>
    </row>
    <row r="326" spans="1:3">
      <c r="A326" s="1607" t="s">
        <v>562</v>
      </c>
      <c r="B326" s="1608"/>
      <c r="C326" s="1609">
        <v>89643931.159999996</v>
      </c>
    </row>
    <row r="327" spans="1:3">
      <c r="A327" s="1607" t="s">
        <v>341</v>
      </c>
      <c r="B327" s="1609">
        <v>5149248</v>
      </c>
      <c r="C327" s="1608"/>
    </row>
    <row r="328" spans="1:3">
      <c r="A328" s="1607" t="s">
        <v>563</v>
      </c>
      <c r="B328" s="1609">
        <v>217506.58</v>
      </c>
      <c r="C328" s="1608"/>
    </row>
    <row r="329" spans="1:3">
      <c r="A329" s="1607" t="s">
        <v>343</v>
      </c>
      <c r="B329" s="1609">
        <v>275000</v>
      </c>
      <c r="C329" s="1608"/>
    </row>
    <row r="330" spans="1:3">
      <c r="A330" s="1607" t="s">
        <v>345</v>
      </c>
      <c r="B330" s="1609">
        <v>46000</v>
      </c>
      <c r="C330" s="1608"/>
    </row>
    <row r="331" spans="1:3">
      <c r="A331" s="1607" t="s">
        <v>564</v>
      </c>
      <c r="B331" s="1608"/>
      <c r="C331" s="1609">
        <v>548430</v>
      </c>
    </row>
    <row r="332" spans="1:3">
      <c r="A332" s="1607" t="s">
        <v>565</v>
      </c>
      <c r="B332" s="1608"/>
      <c r="C332" s="1609">
        <v>37305.5</v>
      </c>
    </row>
    <row r="333" spans="1:3">
      <c r="A333" s="1607" t="s">
        <v>349</v>
      </c>
      <c r="B333" s="1609">
        <v>30000</v>
      </c>
      <c r="C333" s="1608"/>
    </row>
    <row r="334" spans="1:3">
      <c r="A334" s="1607" t="s">
        <v>2997</v>
      </c>
      <c r="B334" s="1608"/>
      <c r="C334" s="1609">
        <v>142512</v>
      </c>
    </row>
    <row r="335" spans="1:3">
      <c r="A335" s="1607" t="s">
        <v>2998</v>
      </c>
      <c r="B335" s="1608"/>
      <c r="C335" s="1609">
        <v>423547</v>
      </c>
    </row>
    <row r="336" spans="1:3">
      <c r="A336" s="1607" t="s">
        <v>350</v>
      </c>
      <c r="B336" s="1608"/>
      <c r="C336" s="1609">
        <v>1046424</v>
      </c>
    </row>
    <row r="337" spans="1:3">
      <c r="A337" s="1607" t="s">
        <v>2999</v>
      </c>
      <c r="B337" s="1608"/>
      <c r="C337" s="1609">
        <v>103673</v>
      </c>
    </row>
    <row r="338" spans="1:3">
      <c r="A338" s="1607" t="s">
        <v>568</v>
      </c>
      <c r="B338" s="1609">
        <v>11611</v>
      </c>
      <c r="C338" s="1608"/>
    </row>
    <row r="339" spans="1:3">
      <c r="A339" s="1607" t="s">
        <v>3000</v>
      </c>
      <c r="B339" s="1609">
        <v>52979.92</v>
      </c>
      <c r="C339" s="1608"/>
    </row>
    <row r="340" spans="1:3">
      <c r="A340" s="1607" t="s">
        <v>351</v>
      </c>
      <c r="B340" s="1608"/>
      <c r="C340" s="1609">
        <v>14885.01</v>
      </c>
    </row>
    <row r="341" spans="1:3">
      <c r="A341" s="1607" t="s">
        <v>420</v>
      </c>
      <c r="B341" s="1609">
        <v>24886</v>
      </c>
      <c r="C341" s="1608"/>
    </row>
    <row r="342" spans="1:3">
      <c r="A342" s="1607" t="s">
        <v>569</v>
      </c>
      <c r="B342" s="1609">
        <v>15998</v>
      </c>
      <c r="C342" s="1608"/>
    </row>
    <row r="343" spans="1:3">
      <c r="A343" s="1607" t="s">
        <v>3001</v>
      </c>
      <c r="B343" s="1609">
        <v>427586</v>
      </c>
      <c r="C343" s="1608"/>
    </row>
    <row r="344" spans="1:3">
      <c r="A344" s="1607" t="s">
        <v>571</v>
      </c>
      <c r="B344" s="1608"/>
      <c r="C344" s="1609">
        <v>18590.04</v>
      </c>
    </row>
    <row r="345" spans="1:3">
      <c r="A345" s="1607" t="s">
        <v>572</v>
      </c>
      <c r="B345" s="1608"/>
      <c r="C345" s="1609">
        <v>32890</v>
      </c>
    </row>
    <row r="346" spans="1:3">
      <c r="A346" s="1607" t="s">
        <v>573</v>
      </c>
      <c r="B346" s="1608"/>
      <c r="C346" s="1609">
        <v>5513</v>
      </c>
    </row>
    <row r="347" spans="1:3">
      <c r="A347" s="1607" t="s">
        <v>574</v>
      </c>
      <c r="B347" s="1608"/>
      <c r="C347" s="1609">
        <v>48309</v>
      </c>
    </row>
    <row r="348" spans="1:3">
      <c r="A348" s="1607" t="s">
        <v>421</v>
      </c>
      <c r="B348" s="1608"/>
      <c r="C348" s="1609">
        <v>32615</v>
      </c>
    </row>
    <row r="349" spans="1:3">
      <c r="A349" s="1607" t="s">
        <v>354</v>
      </c>
      <c r="B349" s="1608"/>
      <c r="C349" s="1609">
        <v>31000</v>
      </c>
    </row>
    <row r="350" spans="1:3">
      <c r="A350" s="1607" t="s">
        <v>575</v>
      </c>
      <c r="B350" s="1608"/>
      <c r="C350" s="1609">
        <v>8000</v>
      </c>
    </row>
    <row r="351" spans="1:3">
      <c r="A351" s="1607" t="s">
        <v>353</v>
      </c>
      <c r="B351" s="1608"/>
      <c r="C351" s="1609">
        <v>23905</v>
      </c>
    </row>
    <row r="352" spans="1:3">
      <c r="A352" s="1607" t="s">
        <v>576</v>
      </c>
      <c r="B352" s="1609">
        <v>933217.36</v>
      </c>
      <c r="C352" s="1608"/>
    </row>
    <row r="353" spans="1:3">
      <c r="A353" s="1607" t="s">
        <v>577</v>
      </c>
      <c r="B353" s="1609">
        <v>72945</v>
      </c>
      <c r="C353" s="1608"/>
    </row>
    <row r="354" spans="1:3">
      <c r="A354" s="1607" t="s">
        <v>358</v>
      </c>
      <c r="B354" s="1609">
        <v>99717</v>
      </c>
      <c r="C354" s="1608"/>
    </row>
    <row r="355" spans="1:3">
      <c r="A355" s="1607" t="s">
        <v>3002</v>
      </c>
      <c r="B355" s="1608"/>
      <c r="C355" s="1609">
        <v>197478</v>
      </c>
    </row>
    <row r="356" spans="1:3">
      <c r="A356" s="1607" t="s">
        <v>578</v>
      </c>
      <c r="B356" s="1609">
        <v>59132.5</v>
      </c>
      <c r="C356" s="1608"/>
    </row>
    <row r="357" spans="1:3">
      <c r="A357" s="1607" t="s">
        <v>359</v>
      </c>
      <c r="B357" s="1609">
        <v>210670</v>
      </c>
      <c r="C357" s="1608"/>
    </row>
    <row r="358" spans="1:3">
      <c r="A358" s="1607" t="s">
        <v>582</v>
      </c>
      <c r="B358" s="1609">
        <v>313340</v>
      </c>
      <c r="C358" s="1608"/>
    </row>
    <row r="359" spans="1:3">
      <c r="A359" s="1607" t="s">
        <v>583</v>
      </c>
      <c r="B359" s="1609">
        <v>1977842</v>
      </c>
      <c r="C359" s="1608"/>
    </row>
    <row r="360" spans="1:3">
      <c r="A360" s="1607" t="s">
        <v>427</v>
      </c>
      <c r="B360" s="1608"/>
      <c r="C360" s="1609">
        <v>22950</v>
      </c>
    </row>
    <row r="361" spans="1:3">
      <c r="A361" s="1607" t="s">
        <v>10</v>
      </c>
      <c r="B361" s="1608"/>
      <c r="C361" s="1609">
        <v>1018930</v>
      </c>
    </row>
    <row r="362" spans="1:3">
      <c r="A362" s="1607" t="s">
        <v>3003</v>
      </c>
      <c r="B362" s="1608"/>
      <c r="C362" s="1609">
        <v>18125083</v>
      </c>
    </row>
    <row r="363" spans="1:3">
      <c r="A363" s="1607" t="s">
        <v>3004</v>
      </c>
      <c r="B363" s="1608"/>
      <c r="C363" s="1609">
        <v>162657.20000000001</v>
      </c>
    </row>
    <row r="364" spans="1:3">
      <c r="A364" s="1607" t="s">
        <v>3005</v>
      </c>
      <c r="B364" s="1609">
        <v>306572</v>
      </c>
      <c r="C364" s="1608"/>
    </row>
    <row r="365" spans="1:3">
      <c r="A365" s="1607" t="s">
        <v>438</v>
      </c>
      <c r="B365" s="1609">
        <v>2991111</v>
      </c>
      <c r="C365" s="1608"/>
    </row>
    <row r="366" spans="1:3">
      <c r="A366" s="1607" t="s">
        <v>584</v>
      </c>
      <c r="B366" s="1609">
        <v>765698</v>
      </c>
      <c r="C366" s="1608"/>
    </row>
    <row r="367" spans="1:3">
      <c r="A367" s="1607" t="s">
        <v>440</v>
      </c>
      <c r="B367" s="1609">
        <v>253880</v>
      </c>
      <c r="C367" s="1608"/>
    </row>
    <row r="368" spans="1:3">
      <c r="A368" s="1607" t="s">
        <v>441</v>
      </c>
      <c r="B368" s="1608"/>
      <c r="C368" s="1609">
        <v>9434465</v>
      </c>
    </row>
    <row r="369" spans="1:3">
      <c r="A369" s="1607" t="s">
        <v>442</v>
      </c>
      <c r="B369" s="1608"/>
      <c r="C369" s="1609">
        <v>560256</v>
      </c>
    </row>
    <row r="370" spans="1:3">
      <c r="A370" s="1607" t="s">
        <v>587</v>
      </c>
      <c r="B370" s="1608"/>
      <c r="C370" s="1609">
        <v>7622054</v>
      </c>
    </row>
    <row r="371" spans="1:3">
      <c r="A371" s="1607" t="s">
        <v>3006</v>
      </c>
      <c r="B371" s="1609">
        <v>30768</v>
      </c>
      <c r="C371" s="1608"/>
    </row>
    <row r="372" spans="1:3">
      <c r="A372" s="1607" t="s">
        <v>3007</v>
      </c>
      <c r="B372" s="1609">
        <v>246345</v>
      </c>
      <c r="C372" s="1608"/>
    </row>
    <row r="373" spans="1:3">
      <c r="A373" s="1607" t="s">
        <v>3008</v>
      </c>
      <c r="B373" s="1609">
        <v>42376</v>
      </c>
      <c r="C373" s="1608"/>
    </row>
    <row r="374" spans="1:3">
      <c r="A374" s="1607" t="s">
        <v>445</v>
      </c>
      <c r="B374" s="1609">
        <v>4714336.38</v>
      </c>
      <c r="C374" s="1608"/>
    </row>
    <row r="375" spans="1:3">
      <c r="A375" s="1607" t="s">
        <v>447</v>
      </c>
      <c r="B375" s="1609">
        <v>239312224.5</v>
      </c>
      <c r="C375" s="1608"/>
    </row>
    <row r="376" spans="1:3">
      <c r="A376" s="1607" t="s">
        <v>448</v>
      </c>
      <c r="B376" s="1609">
        <v>2933800.43</v>
      </c>
      <c r="C376" s="1608"/>
    </row>
    <row r="377" spans="1:3">
      <c r="A377" s="1607" t="s">
        <v>3009</v>
      </c>
      <c r="B377" s="1608"/>
      <c r="C377" s="1609">
        <v>714051</v>
      </c>
    </row>
    <row r="378" spans="1:3">
      <c r="A378" s="1607" t="s">
        <v>449</v>
      </c>
      <c r="B378" s="1609">
        <v>6880140.1100000003</v>
      </c>
      <c r="C378" s="1608"/>
    </row>
    <row r="379" spans="1:3">
      <c r="A379" s="1607" t="s">
        <v>425</v>
      </c>
      <c r="B379" s="1609">
        <v>32052876.649999999</v>
      </c>
      <c r="C379" s="1608"/>
    </row>
    <row r="380" spans="1:3">
      <c r="A380" s="1607" t="s">
        <v>2614</v>
      </c>
      <c r="B380" s="1609">
        <v>300000</v>
      </c>
      <c r="C380" s="1608"/>
    </row>
    <row r="381" spans="1:3">
      <c r="A381" s="1607" t="s">
        <v>450</v>
      </c>
      <c r="B381" s="1609">
        <v>114404164.15000001</v>
      </c>
      <c r="C381" s="1608"/>
    </row>
    <row r="382" spans="1:3">
      <c r="A382" s="1607" t="s">
        <v>426</v>
      </c>
      <c r="B382" s="1609">
        <v>17362000</v>
      </c>
      <c r="C382" s="1608"/>
    </row>
    <row r="383" spans="1:3">
      <c r="A383" s="1607" t="s">
        <v>3010</v>
      </c>
      <c r="B383" s="1608"/>
      <c r="C383" s="1609">
        <v>351471</v>
      </c>
    </row>
    <row r="384" spans="1:3">
      <c r="A384" s="1607" t="s">
        <v>590</v>
      </c>
      <c r="B384" s="1609">
        <v>8923</v>
      </c>
      <c r="C384" s="1608"/>
    </row>
    <row r="385" spans="1:3">
      <c r="A385" s="1607" t="s">
        <v>451</v>
      </c>
      <c r="B385" s="1609">
        <v>14904501.640000001</v>
      </c>
      <c r="C385" s="1608"/>
    </row>
    <row r="386" spans="1:3">
      <c r="A386" s="1610" t="s">
        <v>591</v>
      </c>
      <c r="B386" s="1611">
        <v>1396873186.48</v>
      </c>
      <c r="C386" s="1611">
        <v>1396873186.48</v>
      </c>
    </row>
  </sheetData>
  <autoFilter ref="A11:C386" xr:uid="{B96236E4-9F8C-4D21-9515-EE1F7F51A4A8}"/>
  <customSheetViews>
    <customSheetView guid="{ADEA4918-0326-423A-8D00-FB47A486004B}" showAutoFilter="1" state="hidden">
      <selection activeCell="C11" sqref="C11"/>
      <pageMargins left="0.7" right="0.7" top="0.75" bottom="0.75" header="0.3" footer="0.3"/>
      <autoFilter ref="A11:C386" xr:uid="{B4CC9E74-62D9-4B7D-82BF-B49EBB072877}"/>
    </customSheetView>
    <customSheetView guid="{2A78E287-3113-4387-BB62-BE98FA5C13C2}" showAutoFilter="1" state="hidden">
      <selection activeCell="C11" sqref="C11"/>
      <pageMargins left="0.7" right="0.7" top="0.75" bottom="0.75" header="0.3" footer="0.3"/>
      <autoFilter ref="A11:C386" xr:uid="{5AF73E79-1F61-45F9-8490-287D57A96DED}"/>
    </customSheetView>
    <customSheetView guid="{DC5DA12B-0FA6-4F41-A983-6E433AD4604D}" showAutoFilter="1" state="hidden">
      <selection activeCell="C11" sqref="C11"/>
      <pageMargins left="0.7" right="0.7" top="0.75" bottom="0.75" header="0.3" footer="0.3"/>
      <autoFilter ref="A11:C386" xr:uid="{4C03A963-EC5D-4B3D-8F31-A168180CF89C}"/>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30"/>
  <sheetViews>
    <sheetView topLeftCell="A483" zoomScale="85" zoomScaleNormal="85" workbookViewId="0">
      <selection activeCell="H46" sqref="H46"/>
    </sheetView>
  </sheetViews>
  <sheetFormatPr defaultColWidth="9.109375" defaultRowHeight="13.2"/>
  <cols>
    <col min="1" max="1" width="10.33203125" style="728" bestFit="1" customWidth="1"/>
    <col min="2" max="2" width="19" style="728" bestFit="1" customWidth="1"/>
    <col min="3" max="3" width="23.6640625" style="728" bestFit="1" customWidth="1"/>
    <col min="4" max="4" width="13.6640625" style="762" bestFit="1" customWidth="1"/>
    <col min="5" max="5" width="16.88671875" style="763" customWidth="1"/>
    <col min="6" max="6" width="27.44140625" style="728" bestFit="1" customWidth="1"/>
    <col min="7" max="7" width="21.6640625" style="764" bestFit="1" customWidth="1"/>
    <col min="8" max="8" width="17.6640625" style="765" bestFit="1" customWidth="1"/>
    <col min="9" max="9" width="18.44140625" style="766" bestFit="1" customWidth="1"/>
    <col min="10" max="10" width="25.88671875" style="764" customWidth="1"/>
    <col min="11" max="11" width="21.88671875" style="728" customWidth="1"/>
    <col min="12" max="12" width="22.109375" style="728" customWidth="1"/>
    <col min="13" max="13" width="9.88671875" style="728" bestFit="1" customWidth="1"/>
    <col min="14" max="14" width="20.5546875" style="728" customWidth="1"/>
    <col min="15" max="16" width="9.109375" style="728"/>
    <col min="17" max="17" width="13.109375" style="728" bestFit="1" customWidth="1"/>
    <col min="18" max="16384" width="9.109375" style="728"/>
  </cols>
  <sheetData>
    <row r="1" spans="1:17" ht="18">
      <c r="A1" s="2552" t="s">
        <v>456</v>
      </c>
      <c r="B1" s="2552"/>
      <c r="C1" s="2552"/>
      <c r="D1" s="2552"/>
      <c r="E1" s="2552"/>
      <c r="F1" s="2552"/>
      <c r="G1" s="2552"/>
      <c r="H1" s="2552"/>
      <c r="I1" s="2552"/>
      <c r="J1" s="2552"/>
      <c r="K1" s="2552"/>
      <c r="L1" s="2552"/>
      <c r="M1" s="2552"/>
      <c r="N1" s="2552"/>
      <c r="Q1" s="729">
        <v>45016</v>
      </c>
    </row>
    <row r="2" spans="1:17">
      <c r="A2" s="730"/>
      <c r="B2" s="730"/>
      <c r="C2" s="730"/>
      <c r="D2" s="730"/>
      <c r="E2" s="730"/>
      <c r="F2" s="730"/>
      <c r="G2" s="730"/>
      <c r="H2" s="730"/>
      <c r="I2" s="730"/>
      <c r="J2" s="730"/>
      <c r="K2" s="730"/>
      <c r="L2" s="730"/>
      <c r="M2" s="730"/>
      <c r="N2" s="730"/>
    </row>
    <row r="3" spans="1:17">
      <c r="A3" s="2553" t="s">
        <v>2580</v>
      </c>
      <c r="B3" s="2553"/>
      <c r="C3" s="2553"/>
      <c r="D3" s="2553"/>
      <c r="E3" s="2553"/>
      <c r="F3" s="2553"/>
      <c r="G3" s="2553"/>
      <c r="H3" s="2553"/>
      <c r="I3" s="2553"/>
      <c r="J3" s="2553"/>
      <c r="K3" s="2553"/>
      <c r="L3" s="2553"/>
      <c r="M3" s="2553"/>
      <c r="N3" s="2553"/>
    </row>
    <row r="4" spans="1:17">
      <c r="A4" s="731"/>
      <c r="B4" s="732"/>
      <c r="C4" s="730"/>
      <c r="D4" s="731"/>
      <c r="E4" s="733"/>
      <c r="F4" s="734"/>
      <c r="G4" s="735"/>
      <c r="H4" s="733"/>
      <c r="I4" s="728"/>
      <c r="J4" s="728"/>
    </row>
    <row r="5" spans="1:17">
      <c r="A5" s="2554" t="s">
        <v>2011</v>
      </c>
      <c r="B5" s="2555" t="s">
        <v>463</v>
      </c>
      <c r="C5" s="2555" t="s">
        <v>2581</v>
      </c>
      <c r="D5" s="2554" t="s">
        <v>2582</v>
      </c>
      <c r="E5" s="2548" t="s">
        <v>1981</v>
      </c>
      <c r="F5" s="2556" t="s">
        <v>2583</v>
      </c>
      <c r="G5" s="2556" t="s">
        <v>2584</v>
      </c>
      <c r="H5" s="2548" t="s">
        <v>2585</v>
      </c>
      <c r="I5" s="2548" t="s">
        <v>2586</v>
      </c>
      <c r="J5" s="2548" t="s">
        <v>2587</v>
      </c>
      <c r="K5" s="2548"/>
      <c r="L5" s="2548"/>
      <c r="M5" s="2548"/>
      <c r="N5" s="2548"/>
    </row>
    <row r="6" spans="1:17">
      <c r="A6" s="2554"/>
      <c r="B6" s="2555"/>
      <c r="C6" s="2555"/>
      <c r="D6" s="2554"/>
      <c r="E6" s="2548"/>
      <c r="F6" s="2556"/>
      <c r="G6" s="2556"/>
      <c r="H6" s="2548"/>
      <c r="I6" s="2548"/>
      <c r="J6" s="736" t="s">
        <v>2588</v>
      </c>
      <c r="K6" s="736" t="s">
        <v>2589</v>
      </c>
      <c r="L6" s="736" t="s">
        <v>2590</v>
      </c>
      <c r="M6" s="736" t="s">
        <v>2591</v>
      </c>
      <c r="N6" s="736" t="s">
        <v>2592</v>
      </c>
    </row>
    <row r="7" spans="1:17" ht="15.6">
      <c r="A7" s="737">
        <v>1</v>
      </c>
      <c r="B7" s="738" t="s">
        <v>29</v>
      </c>
      <c r="C7" s="737"/>
      <c r="D7" s="739">
        <v>3061</v>
      </c>
      <c r="E7" s="740">
        <v>44989</v>
      </c>
      <c r="F7" s="741">
        <v>511057</v>
      </c>
      <c r="G7" s="737">
        <v>30</v>
      </c>
      <c r="H7" s="742">
        <f t="shared" ref="H7:H79" si="0">+E7+G7</f>
        <v>45019</v>
      </c>
      <c r="I7" s="743">
        <f t="shared" ref="I7:I79" si="1">+$Q$1-H7+1</f>
        <v>-2</v>
      </c>
      <c r="J7" s="743">
        <f>IF(I7&lt;=30,F10,0)</f>
        <v>509902</v>
      </c>
      <c r="K7" s="743">
        <f t="shared" ref="K7:K79" si="2">IF(I7&lt;=30,0,IF(I7&gt;60,0,F7))</f>
        <v>0</v>
      </c>
      <c r="L7" s="743">
        <f t="shared" ref="L7:L79" si="3">IF(I7&lt;=60,0,IF(I7&gt;90,0,F7))</f>
        <v>0</v>
      </c>
      <c r="M7" s="743">
        <f t="shared" ref="M7:M79" si="4">IF(I7&lt;=90,0,IF(I7&gt;120,0,F7))</f>
        <v>0</v>
      </c>
      <c r="N7" s="743">
        <f t="shared" ref="N7:N79" si="5">IF(I7&lt;=120,0,F7)</f>
        <v>0</v>
      </c>
    </row>
    <row r="8" spans="1:17" ht="15.6">
      <c r="A8" s="737"/>
      <c r="B8" s="738" t="s">
        <v>2593</v>
      </c>
      <c r="C8" s="737"/>
      <c r="D8" s="739"/>
      <c r="E8" s="740">
        <v>44989</v>
      </c>
      <c r="F8" s="741">
        <v>-644</v>
      </c>
      <c r="G8" s="737"/>
      <c r="H8" s="742"/>
      <c r="I8" s="743"/>
      <c r="J8" s="743"/>
      <c r="K8" s="743"/>
      <c r="L8" s="743"/>
      <c r="M8" s="743"/>
      <c r="N8" s="743"/>
    </row>
    <row r="9" spans="1:17" ht="15.6">
      <c r="A9" s="737"/>
      <c r="B9" s="738" t="s">
        <v>2593</v>
      </c>
      <c r="C9" s="737"/>
      <c r="D9" s="739"/>
      <c r="E9" s="740">
        <v>45016</v>
      </c>
      <c r="F9" s="741">
        <v>-511</v>
      </c>
      <c r="G9" s="737"/>
      <c r="H9" s="742"/>
      <c r="I9" s="743"/>
      <c r="J9" s="743"/>
      <c r="K9" s="743"/>
      <c r="L9" s="743"/>
      <c r="M9" s="743"/>
      <c r="N9" s="743"/>
    </row>
    <row r="10" spans="1:17" ht="15.6">
      <c r="A10" s="737"/>
      <c r="B10" s="738"/>
      <c r="C10" s="737"/>
      <c r="D10" s="739"/>
      <c r="E10" s="740"/>
      <c r="F10" s="744">
        <f>SUM(F7:F9)</f>
        <v>509902</v>
      </c>
      <c r="G10" s="737"/>
      <c r="H10" s="742"/>
      <c r="I10" s="743"/>
      <c r="J10" s="743"/>
      <c r="K10" s="743"/>
      <c r="L10" s="743"/>
      <c r="M10" s="743"/>
      <c r="N10" s="743"/>
    </row>
    <row r="11" spans="1:17" ht="15.6">
      <c r="A11" s="737"/>
      <c r="B11" s="738"/>
      <c r="C11" s="737"/>
      <c r="D11" s="739"/>
      <c r="E11" s="740"/>
      <c r="F11" s="741"/>
      <c r="G11" s="737"/>
      <c r="H11" s="742"/>
      <c r="I11" s="743"/>
      <c r="J11" s="743"/>
      <c r="K11" s="743"/>
      <c r="L11" s="743"/>
      <c r="M11" s="743"/>
      <c r="N11" s="743"/>
    </row>
    <row r="12" spans="1:17" ht="15.6">
      <c r="A12" s="737">
        <f>A7+1</f>
        <v>2</v>
      </c>
      <c r="B12" s="738" t="s">
        <v>15</v>
      </c>
      <c r="C12" s="737"/>
      <c r="D12" s="739">
        <v>3051</v>
      </c>
      <c r="E12" s="740">
        <v>44987</v>
      </c>
      <c r="F12" s="745">
        <v>201823</v>
      </c>
      <c r="G12" s="737">
        <v>30</v>
      </c>
      <c r="H12" s="742">
        <f t="shared" si="0"/>
        <v>45017</v>
      </c>
      <c r="I12" s="743">
        <f t="shared" si="1"/>
        <v>0</v>
      </c>
      <c r="J12" s="743">
        <f t="shared" ref="J12:J79" si="6">IF(I12&lt;=30,F12,0)</f>
        <v>201823</v>
      </c>
      <c r="K12" s="743">
        <f t="shared" si="2"/>
        <v>0</v>
      </c>
      <c r="L12" s="743">
        <f t="shared" si="3"/>
        <v>0</v>
      </c>
      <c r="M12" s="743">
        <f t="shared" si="4"/>
        <v>0</v>
      </c>
      <c r="N12" s="743">
        <f t="shared" si="5"/>
        <v>0</v>
      </c>
    </row>
    <row r="13" spans="1:17" ht="15.6">
      <c r="A13" s="737"/>
      <c r="B13" s="737"/>
      <c r="C13" s="737"/>
      <c r="D13" s="739">
        <v>3055</v>
      </c>
      <c r="E13" s="740">
        <v>44988</v>
      </c>
      <c r="F13" s="745">
        <v>273224</v>
      </c>
      <c r="G13" s="737">
        <v>30</v>
      </c>
      <c r="H13" s="742">
        <f t="shared" si="0"/>
        <v>45018</v>
      </c>
      <c r="I13" s="743">
        <f t="shared" si="1"/>
        <v>-1</v>
      </c>
      <c r="J13" s="743">
        <f t="shared" si="6"/>
        <v>273224</v>
      </c>
      <c r="K13" s="743">
        <f t="shared" si="2"/>
        <v>0</v>
      </c>
      <c r="L13" s="743">
        <f t="shared" si="3"/>
        <v>0</v>
      </c>
      <c r="M13" s="743">
        <f t="shared" si="4"/>
        <v>0</v>
      </c>
      <c r="N13" s="743">
        <f t="shared" si="5"/>
        <v>0</v>
      </c>
    </row>
    <row r="14" spans="1:17" ht="15.6">
      <c r="A14" s="737"/>
      <c r="B14" s="737"/>
      <c r="C14" s="737"/>
      <c r="D14" s="739">
        <v>3056</v>
      </c>
      <c r="E14" s="740">
        <v>44988</v>
      </c>
      <c r="F14" s="745">
        <v>223528</v>
      </c>
      <c r="G14" s="737">
        <v>30</v>
      </c>
      <c r="H14" s="742">
        <f t="shared" si="0"/>
        <v>45018</v>
      </c>
      <c r="I14" s="743">
        <f t="shared" si="1"/>
        <v>-1</v>
      </c>
      <c r="J14" s="743">
        <f t="shared" si="6"/>
        <v>223528</v>
      </c>
      <c r="K14" s="743">
        <f t="shared" si="2"/>
        <v>0</v>
      </c>
      <c r="L14" s="743">
        <f t="shared" si="3"/>
        <v>0</v>
      </c>
      <c r="M14" s="743">
        <f t="shared" si="4"/>
        <v>0</v>
      </c>
      <c r="N14" s="743">
        <f t="shared" si="5"/>
        <v>0</v>
      </c>
    </row>
    <row r="15" spans="1:17" ht="15.6">
      <c r="A15" s="737"/>
      <c r="B15" s="737"/>
      <c r="C15" s="737"/>
      <c r="D15" s="739">
        <v>3058</v>
      </c>
      <c r="E15" s="740">
        <v>44988</v>
      </c>
      <c r="F15" s="745">
        <v>534884</v>
      </c>
      <c r="G15" s="737">
        <v>30</v>
      </c>
      <c r="H15" s="742">
        <f t="shared" si="0"/>
        <v>45018</v>
      </c>
      <c r="I15" s="743">
        <f t="shared" si="1"/>
        <v>-1</v>
      </c>
      <c r="J15" s="743">
        <f t="shared" si="6"/>
        <v>534884</v>
      </c>
      <c r="K15" s="743">
        <f t="shared" si="2"/>
        <v>0</v>
      </c>
      <c r="L15" s="743">
        <f t="shared" si="3"/>
        <v>0</v>
      </c>
      <c r="M15" s="743">
        <f t="shared" si="4"/>
        <v>0</v>
      </c>
      <c r="N15" s="743">
        <f t="shared" si="5"/>
        <v>0</v>
      </c>
    </row>
    <row r="16" spans="1:17" ht="15.6">
      <c r="A16" s="737"/>
      <c r="B16" s="737"/>
      <c r="C16" s="737"/>
      <c r="D16" s="739">
        <v>3059</v>
      </c>
      <c r="E16" s="740">
        <v>44988</v>
      </c>
      <c r="F16" s="745">
        <v>208226</v>
      </c>
      <c r="G16" s="737">
        <v>30</v>
      </c>
      <c r="H16" s="742">
        <f t="shared" si="0"/>
        <v>45018</v>
      </c>
      <c r="I16" s="743">
        <f t="shared" si="1"/>
        <v>-1</v>
      </c>
      <c r="J16" s="743">
        <f t="shared" si="6"/>
        <v>208226</v>
      </c>
      <c r="K16" s="743">
        <f t="shared" si="2"/>
        <v>0</v>
      </c>
      <c r="L16" s="743">
        <f t="shared" si="3"/>
        <v>0</v>
      </c>
      <c r="M16" s="743">
        <f t="shared" si="4"/>
        <v>0</v>
      </c>
      <c r="N16" s="743">
        <f t="shared" si="5"/>
        <v>0</v>
      </c>
    </row>
    <row r="17" spans="1:14" ht="15.6">
      <c r="A17" s="737"/>
      <c r="B17" s="737"/>
      <c r="C17" s="737"/>
      <c r="D17" s="739">
        <v>3060</v>
      </c>
      <c r="E17" s="740">
        <v>44988</v>
      </c>
      <c r="F17" s="745">
        <v>210690</v>
      </c>
      <c r="G17" s="737">
        <v>30</v>
      </c>
      <c r="H17" s="742">
        <f t="shared" si="0"/>
        <v>45018</v>
      </c>
      <c r="I17" s="743">
        <f t="shared" si="1"/>
        <v>-1</v>
      </c>
      <c r="J17" s="743">
        <f t="shared" si="6"/>
        <v>210690</v>
      </c>
      <c r="K17" s="743">
        <f t="shared" si="2"/>
        <v>0</v>
      </c>
      <c r="L17" s="743">
        <f t="shared" si="3"/>
        <v>0</v>
      </c>
      <c r="M17" s="743">
        <f t="shared" si="4"/>
        <v>0</v>
      </c>
      <c r="N17" s="743">
        <f t="shared" si="5"/>
        <v>0</v>
      </c>
    </row>
    <row r="18" spans="1:14" ht="15.6">
      <c r="A18" s="737"/>
      <c r="B18" s="737"/>
      <c r="C18" s="737"/>
      <c r="D18" s="739">
        <v>3064</v>
      </c>
      <c r="E18" s="740">
        <v>44989</v>
      </c>
      <c r="F18" s="745">
        <v>225645</v>
      </c>
      <c r="G18" s="737">
        <v>30</v>
      </c>
      <c r="H18" s="742">
        <f t="shared" si="0"/>
        <v>45019</v>
      </c>
      <c r="I18" s="743">
        <f t="shared" si="1"/>
        <v>-2</v>
      </c>
      <c r="J18" s="743">
        <f t="shared" si="6"/>
        <v>225645</v>
      </c>
      <c r="K18" s="743">
        <f t="shared" si="2"/>
        <v>0</v>
      </c>
      <c r="L18" s="743">
        <f t="shared" si="3"/>
        <v>0</v>
      </c>
      <c r="M18" s="743">
        <f t="shared" si="4"/>
        <v>0</v>
      </c>
      <c r="N18" s="743">
        <f t="shared" si="5"/>
        <v>0</v>
      </c>
    </row>
    <row r="19" spans="1:14" ht="15.6">
      <c r="A19" s="737"/>
      <c r="B19" s="737"/>
      <c r="C19" s="737"/>
      <c r="D19" s="739">
        <v>3066</v>
      </c>
      <c r="E19" s="740">
        <v>44989</v>
      </c>
      <c r="F19" s="745">
        <v>230403</v>
      </c>
      <c r="G19" s="737">
        <v>30</v>
      </c>
      <c r="H19" s="742">
        <f t="shared" si="0"/>
        <v>45019</v>
      </c>
      <c r="I19" s="743">
        <f t="shared" si="1"/>
        <v>-2</v>
      </c>
      <c r="J19" s="743">
        <f t="shared" si="6"/>
        <v>230403</v>
      </c>
      <c r="K19" s="743">
        <f t="shared" si="2"/>
        <v>0</v>
      </c>
      <c r="L19" s="743">
        <f t="shared" si="3"/>
        <v>0</v>
      </c>
      <c r="M19" s="743">
        <f t="shared" si="4"/>
        <v>0</v>
      </c>
      <c r="N19" s="743">
        <f t="shared" si="5"/>
        <v>0</v>
      </c>
    </row>
    <row r="20" spans="1:14" ht="15.6">
      <c r="A20" s="737"/>
      <c r="B20" s="737"/>
      <c r="C20" s="737"/>
      <c r="D20" s="739">
        <v>3070</v>
      </c>
      <c r="E20" s="740">
        <v>44989</v>
      </c>
      <c r="F20" s="745">
        <v>295529</v>
      </c>
      <c r="G20" s="737">
        <v>30</v>
      </c>
      <c r="H20" s="742">
        <f t="shared" si="0"/>
        <v>45019</v>
      </c>
      <c r="I20" s="743">
        <f t="shared" si="1"/>
        <v>-2</v>
      </c>
      <c r="J20" s="743">
        <f t="shared" si="6"/>
        <v>295529</v>
      </c>
      <c r="K20" s="743">
        <f t="shared" si="2"/>
        <v>0</v>
      </c>
      <c r="L20" s="743">
        <f t="shared" si="3"/>
        <v>0</v>
      </c>
      <c r="M20" s="743">
        <f t="shared" si="4"/>
        <v>0</v>
      </c>
      <c r="N20" s="743">
        <f t="shared" si="5"/>
        <v>0</v>
      </c>
    </row>
    <row r="21" spans="1:14" ht="15.6">
      <c r="A21" s="737"/>
      <c r="B21" s="737"/>
      <c r="C21" s="737"/>
      <c r="D21" s="739">
        <v>3072</v>
      </c>
      <c r="E21" s="740">
        <v>44990</v>
      </c>
      <c r="F21" s="745">
        <v>204780</v>
      </c>
      <c r="G21" s="737">
        <v>30</v>
      </c>
      <c r="H21" s="742">
        <f t="shared" si="0"/>
        <v>45020</v>
      </c>
      <c r="I21" s="743">
        <f t="shared" si="1"/>
        <v>-3</v>
      </c>
      <c r="J21" s="743">
        <f t="shared" si="6"/>
        <v>204780</v>
      </c>
      <c r="K21" s="743">
        <f t="shared" si="2"/>
        <v>0</v>
      </c>
      <c r="L21" s="743">
        <f t="shared" si="3"/>
        <v>0</v>
      </c>
      <c r="M21" s="743">
        <f t="shared" si="4"/>
        <v>0</v>
      </c>
      <c r="N21" s="743">
        <f t="shared" si="5"/>
        <v>0</v>
      </c>
    </row>
    <row r="22" spans="1:14" ht="15.6">
      <c r="A22" s="737"/>
      <c r="B22" s="737"/>
      <c r="C22" s="737"/>
      <c r="D22" s="739">
        <v>3077</v>
      </c>
      <c r="E22" s="740">
        <v>44990</v>
      </c>
      <c r="F22" s="745">
        <v>208283</v>
      </c>
      <c r="G22" s="737">
        <v>30</v>
      </c>
      <c r="H22" s="742">
        <f t="shared" si="0"/>
        <v>45020</v>
      </c>
      <c r="I22" s="743">
        <f t="shared" si="1"/>
        <v>-3</v>
      </c>
      <c r="J22" s="743">
        <f t="shared" si="6"/>
        <v>208283</v>
      </c>
      <c r="K22" s="743">
        <f t="shared" si="2"/>
        <v>0</v>
      </c>
      <c r="L22" s="743">
        <f t="shared" si="3"/>
        <v>0</v>
      </c>
      <c r="M22" s="743">
        <f t="shared" si="4"/>
        <v>0</v>
      </c>
      <c r="N22" s="743">
        <f t="shared" si="5"/>
        <v>0</v>
      </c>
    </row>
    <row r="23" spans="1:14" ht="15.6">
      <c r="A23" s="737"/>
      <c r="B23" s="737"/>
      <c r="C23" s="737"/>
      <c r="D23" s="739">
        <v>3079</v>
      </c>
      <c r="E23" s="740">
        <v>44991</v>
      </c>
      <c r="F23" s="745">
        <v>269917</v>
      </c>
      <c r="G23" s="737">
        <v>30</v>
      </c>
      <c r="H23" s="742">
        <f t="shared" si="0"/>
        <v>45021</v>
      </c>
      <c r="I23" s="743">
        <f t="shared" si="1"/>
        <v>-4</v>
      </c>
      <c r="J23" s="743">
        <f t="shared" si="6"/>
        <v>269917</v>
      </c>
      <c r="K23" s="743">
        <f t="shared" si="2"/>
        <v>0</v>
      </c>
      <c r="L23" s="743">
        <f t="shared" si="3"/>
        <v>0</v>
      </c>
      <c r="M23" s="743">
        <f t="shared" si="4"/>
        <v>0</v>
      </c>
      <c r="N23" s="743">
        <f t="shared" si="5"/>
        <v>0</v>
      </c>
    </row>
    <row r="24" spans="1:14" ht="15.6">
      <c r="A24" s="737"/>
      <c r="B24" s="737"/>
      <c r="C24" s="737"/>
      <c r="D24" s="739">
        <v>3082</v>
      </c>
      <c r="E24" s="740">
        <v>44991</v>
      </c>
      <c r="F24" s="745">
        <v>195679</v>
      </c>
      <c r="G24" s="737">
        <v>30</v>
      </c>
      <c r="H24" s="742">
        <f t="shared" si="0"/>
        <v>45021</v>
      </c>
      <c r="I24" s="743">
        <f t="shared" si="1"/>
        <v>-4</v>
      </c>
      <c r="J24" s="743">
        <f t="shared" si="6"/>
        <v>195679</v>
      </c>
      <c r="K24" s="743">
        <f t="shared" si="2"/>
        <v>0</v>
      </c>
      <c r="L24" s="743">
        <f t="shared" si="3"/>
        <v>0</v>
      </c>
      <c r="M24" s="743">
        <f t="shared" si="4"/>
        <v>0</v>
      </c>
      <c r="N24" s="743">
        <f t="shared" si="5"/>
        <v>0</v>
      </c>
    </row>
    <row r="25" spans="1:14" ht="15.6">
      <c r="A25" s="737"/>
      <c r="B25" s="737"/>
      <c r="C25" s="737"/>
      <c r="D25" s="739">
        <v>3087</v>
      </c>
      <c r="E25" s="740">
        <v>44991</v>
      </c>
      <c r="F25" s="745">
        <v>224693</v>
      </c>
      <c r="G25" s="737">
        <v>30</v>
      </c>
      <c r="H25" s="742">
        <f t="shared" si="0"/>
        <v>45021</v>
      </c>
      <c r="I25" s="743">
        <f t="shared" si="1"/>
        <v>-4</v>
      </c>
      <c r="J25" s="743">
        <f t="shared" si="6"/>
        <v>224693</v>
      </c>
      <c r="K25" s="743">
        <f t="shared" si="2"/>
        <v>0</v>
      </c>
      <c r="L25" s="743">
        <f t="shared" si="3"/>
        <v>0</v>
      </c>
      <c r="M25" s="743">
        <f t="shared" si="4"/>
        <v>0</v>
      </c>
      <c r="N25" s="743">
        <f t="shared" si="5"/>
        <v>0</v>
      </c>
    </row>
    <row r="26" spans="1:14" ht="15.6">
      <c r="A26" s="737"/>
      <c r="B26" s="737"/>
      <c r="C26" s="737"/>
      <c r="D26" s="739">
        <v>3094</v>
      </c>
      <c r="E26" s="740">
        <v>44994</v>
      </c>
      <c r="F26" s="745">
        <v>206264</v>
      </c>
      <c r="G26" s="737">
        <v>30</v>
      </c>
      <c r="H26" s="742">
        <f t="shared" si="0"/>
        <v>45024</v>
      </c>
      <c r="I26" s="743">
        <f t="shared" si="1"/>
        <v>-7</v>
      </c>
      <c r="J26" s="743">
        <f t="shared" si="6"/>
        <v>206264</v>
      </c>
      <c r="K26" s="743">
        <f t="shared" si="2"/>
        <v>0</v>
      </c>
      <c r="L26" s="743">
        <f t="shared" si="3"/>
        <v>0</v>
      </c>
      <c r="M26" s="743">
        <f t="shared" si="4"/>
        <v>0</v>
      </c>
      <c r="N26" s="743">
        <f t="shared" si="5"/>
        <v>0</v>
      </c>
    </row>
    <row r="27" spans="1:14" ht="15.6">
      <c r="A27" s="737"/>
      <c r="B27" s="737"/>
      <c r="C27" s="737"/>
      <c r="D27" s="739">
        <v>3109</v>
      </c>
      <c r="E27" s="740">
        <v>44995</v>
      </c>
      <c r="F27" s="745">
        <v>251803</v>
      </c>
      <c r="G27" s="737">
        <v>30</v>
      </c>
      <c r="H27" s="742">
        <f t="shared" si="0"/>
        <v>45025</v>
      </c>
      <c r="I27" s="743">
        <f t="shared" si="1"/>
        <v>-8</v>
      </c>
      <c r="J27" s="743">
        <f t="shared" si="6"/>
        <v>251803</v>
      </c>
      <c r="K27" s="743">
        <f t="shared" si="2"/>
        <v>0</v>
      </c>
      <c r="L27" s="743">
        <f t="shared" si="3"/>
        <v>0</v>
      </c>
      <c r="M27" s="743">
        <f t="shared" si="4"/>
        <v>0</v>
      </c>
      <c r="N27" s="743">
        <f t="shared" si="5"/>
        <v>0</v>
      </c>
    </row>
    <row r="28" spans="1:14" ht="15.6">
      <c r="A28" s="737"/>
      <c r="B28" s="737"/>
      <c r="C28" s="737"/>
      <c r="D28" s="739">
        <v>3114</v>
      </c>
      <c r="E28" s="740">
        <v>44995</v>
      </c>
      <c r="F28" s="745">
        <v>205715</v>
      </c>
      <c r="G28" s="737">
        <v>30</v>
      </c>
      <c r="H28" s="742">
        <f t="shared" si="0"/>
        <v>45025</v>
      </c>
      <c r="I28" s="743">
        <f t="shared" si="1"/>
        <v>-8</v>
      </c>
      <c r="J28" s="743">
        <f t="shared" si="6"/>
        <v>205715</v>
      </c>
      <c r="K28" s="743">
        <f t="shared" si="2"/>
        <v>0</v>
      </c>
      <c r="L28" s="743">
        <f t="shared" si="3"/>
        <v>0</v>
      </c>
      <c r="M28" s="743">
        <f t="shared" si="4"/>
        <v>0</v>
      </c>
      <c r="N28" s="743">
        <f t="shared" si="5"/>
        <v>0</v>
      </c>
    </row>
    <row r="29" spans="1:14" ht="15.6">
      <c r="A29" s="737"/>
      <c r="B29" s="737"/>
      <c r="C29" s="737"/>
      <c r="D29" s="739">
        <v>3121</v>
      </c>
      <c r="E29" s="740">
        <v>44996</v>
      </c>
      <c r="F29" s="745">
        <v>221030</v>
      </c>
      <c r="G29" s="737">
        <v>30</v>
      </c>
      <c r="H29" s="742">
        <f t="shared" si="0"/>
        <v>45026</v>
      </c>
      <c r="I29" s="743">
        <f t="shared" si="1"/>
        <v>-9</v>
      </c>
      <c r="J29" s="743">
        <f t="shared" si="6"/>
        <v>221030</v>
      </c>
      <c r="K29" s="743">
        <f t="shared" si="2"/>
        <v>0</v>
      </c>
      <c r="L29" s="743">
        <f t="shared" si="3"/>
        <v>0</v>
      </c>
      <c r="M29" s="743">
        <f t="shared" si="4"/>
        <v>0</v>
      </c>
      <c r="N29" s="743">
        <f t="shared" si="5"/>
        <v>0</v>
      </c>
    </row>
    <row r="30" spans="1:14" ht="15.6">
      <c r="A30" s="737"/>
      <c r="B30" s="737"/>
      <c r="C30" s="737"/>
      <c r="D30" s="739">
        <v>3122</v>
      </c>
      <c r="E30" s="740">
        <v>44996</v>
      </c>
      <c r="F30" s="745">
        <v>229969</v>
      </c>
      <c r="G30" s="737">
        <v>30</v>
      </c>
      <c r="H30" s="742">
        <f t="shared" si="0"/>
        <v>45026</v>
      </c>
      <c r="I30" s="743">
        <f t="shared" si="1"/>
        <v>-9</v>
      </c>
      <c r="J30" s="743">
        <f t="shared" si="6"/>
        <v>229969</v>
      </c>
      <c r="K30" s="743">
        <f t="shared" si="2"/>
        <v>0</v>
      </c>
      <c r="L30" s="743">
        <f t="shared" si="3"/>
        <v>0</v>
      </c>
      <c r="M30" s="743">
        <f t="shared" si="4"/>
        <v>0</v>
      </c>
      <c r="N30" s="743">
        <f t="shared" si="5"/>
        <v>0</v>
      </c>
    </row>
    <row r="31" spans="1:14" ht="15.6">
      <c r="A31" s="737"/>
      <c r="B31" s="737"/>
      <c r="C31" s="737"/>
      <c r="D31" s="739">
        <v>3125</v>
      </c>
      <c r="E31" s="740">
        <v>44996</v>
      </c>
      <c r="F31" s="745">
        <v>195016</v>
      </c>
      <c r="G31" s="737">
        <v>30</v>
      </c>
      <c r="H31" s="742">
        <f t="shared" si="0"/>
        <v>45026</v>
      </c>
      <c r="I31" s="743">
        <f t="shared" si="1"/>
        <v>-9</v>
      </c>
      <c r="J31" s="743">
        <f t="shared" si="6"/>
        <v>195016</v>
      </c>
      <c r="K31" s="743">
        <f t="shared" si="2"/>
        <v>0</v>
      </c>
      <c r="L31" s="743">
        <f t="shared" si="3"/>
        <v>0</v>
      </c>
      <c r="M31" s="743">
        <f t="shared" si="4"/>
        <v>0</v>
      </c>
      <c r="N31" s="743">
        <f t="shared" si="5"/>
        <v>0</v>
      </c>
    </row>
    <row r="32" spans="1:14" ht="15.6">
      <c r="A32" s="737"/>
      <c r="B32" s="737"/>
      <c r="C32" s="737"/>
      <c r="D32" s="739">
        <v>3132</v>
      </c>
      <c r="E32" s="740">
        <v>44997</v>
      </c>
      <c r="F32" s="745">
        <v>195249</v>
      </c>
      <c r="G32" s="737">
        <v>30</v>
      </c>
      <c r="H32" s="742">
        <f t="shared" si="0"/>
        <v>45027</v>
      </c>
      <c r="I32" s="743">
        <f t="shared" si="1"/>
        <v>-10</v>
      </c>
      <c r="J32" s="743">
        <f t="shared" si="6"/>
        <v>195249</v>
      </c>
      <c r="K32" s="743">
        <f t="shared" si="2"/>
        <v>0</v>
      </c>
      <c r="L32" s="743">
        <f t="shared" si="3"/>
        <v>0</v>
      </c>
      <c r="M32" s="743">
        <f t="shared" si="4"/>
        <v>0</v>
      </c>
      <c r="N32" s="743">
        <f t="shared" si="5"/>
        <v>0</v>
      </c>
    </row>
    <row r="33" spans="1:14" ht="15.6">
      <c r="A33" s="737"/>
      <c r="B33" s="737"/>
      <c r="C33" s="737"/>
      <c r="D33" s="739">
        <v>3137</v>
      </c>
      <c r="E33" s="740">
        <v>44997</v>
      </c>
      <c r="F33" s="745">
        <v>209177</v>
      </c>
      <c r="G33" s="737">
        <v>30</v>
      </c>
      <c r="H33" s="742">
        <f t="shared" si="0"/>
        <v>45027</v>
      </c>
      <c r="I33" s="743">
        <f t="shared" si="1"/>
        <v>-10</v>
      </c>
      <c r="J33" s="743">
        <f t="shared" si="6"/>
        <v>209177</v>
      </c>
      <c r="K33" s="743">
        <f t="shared" si="2"/>
        <v>0</v>
      </c>
      <c r="L33" s="743">
        <f t="shared" si="3"/>
        <v>0</v>
      </c>
      <c r="M33" s="743">
        <f t="shared" si="4"/>
        <v>0</v>
      </c>
      <c r="N33" s="743">
        <f t="shared" si="5"/>
        <v>0</v>
      </c>
    </row>
    <row r="34" spans="1:14" ht="15.6">
      <c r="A34" s="737"/>
      <c r="B34" s="737"/>
      <c r="C34" s="737"/>
      <c r="D34" s="739">
        <v>3138</v>
      </c>
      <c r="E34" s="740">
        <v>44998</v>
      </c>
      <c r="F34" s="745">
        <v>232826</v>
      </c>
      <c r="G34" s="737">
        <v>30</v>
      </c>
      <c r="H34" s="742">
        <f t="shared" si="0"/>
        <v>45028</v>
      </c>
      <c r="I34" s="743">
        <f t="shared" si="1"/>
        <v>-11</v>
      </c>
      <c r="J34" s="743">
        <f t="shared" si="6"/>
        <v>232826</v>
      </c>
      <c r="K34" s="743">
        <f t="shared" si="2"/>
        <v>0</v>
      </c>
      <c r="L34" s="743">
        <f t="shared" si="3"/>
        <v>0</v>
      </c>
      <c r="M34" s="743">
        <f t="shared" si="4"/>
        <v>0</v>
      </c>
      <c r="N34" s="743">
        <f t="shared" si="5"/>
        <v>0</v>
      </c>
    </row>
    <row r="35" spans="1:14" ht="15.6">
      <c r="A35" s="737"/>
      <c r="B35" s="737"/>
      <c r="C35" s="737"/>
      <c r="D35" s="739">
        <v>3146</v>
      </c>
      <c r="E35" s="740">
        <v>44999</v>
      </c>
      <c r="F35" s="745">
        <v>224031</v>
      </c>
      <c r="G35" s="737">
        <v>30</v>
      </c>
      <c r="H35" s="742">
        <f t="shared" si="0"/>
        <v>45029</v>
      </c>
      <c r="I35" s="743">
        <f t="shared" si="1"/>
        <v>-12</v>
      </c>
      <c r="J35" s="743">
        <f t="shared" si="6"/>
        <v>224031</v>
      </c>
      <c r="K35" s="743">
        <f t="shared" si="2"/>
        <v>0</v>
      </c>
      <c r="L35" s="743">
        <f t="shared" si="3"/>
        <v>0</v>
      </c>
      <c r="M35" s="743">
        <f t="shared" si="4"/>
        <v>0</v>
      </c>
      <c r="N35" s="743">
        <f t="shared" si="5"/>
        <v>0</v>
      </c>
    </row>
    <row r="36" spans="1:14" ht="15.6">
      <c r="A36" s="737"/>
      <c r="B36" s="737"/>
      <c r="C36" s="737"/>
      <c r="D36" s="739">
        <v>3149</v>
      </c>
      <c r="E36" s="740">
        <v>44999</v>
      </c>
      <c r="F36" s="745">
        <v>219848</v>
      </c>
      <c r="G36" s="737">
        <v>30</v>
      </c>
      <c r="H36" s="742">
        <f t="shared" si="0"/>
        <v>45029</v>
      </c>
      <c r="I36" s="743">
        <f t="shared" si="1"/>
        <v>-12</v>
      </c>
      <c r="J36" s="743">
        <f t="shared" si="6"/>
        <v>219848</v>
      </c>
      <c r="K36" s="743">
        <f t="shared" si="2"/>
        <v>0</v>
      </c>
      <c r="L36" s="743">
        <f t="shared" si="3"/>
        <v>0</v>
      </c>
      <c r="M36" s="743">
        <f t="shared" si="4"/>
        <v>0</v>
      </c>
      <c r="N36" s="743">
        <f t="shared" si="5"/>
        <v>0</v>
      </c>
    </row>
    <row r="37" spans="1:14" ht="15.6">
      <c r="A37" s="737"/>
      <c r="B37" s="737"/>
      <c r="C37" s="737"/>
      <c r="D37" s="739">
        <v>3150</v>
      </c>
      <c r="E37" s="740">
        <v>44999</v>
      </c>
      <c r="F37" s="745">
        <v>216474</v>
      </c>
      <c r="G37" s="737">
        <v>30</v>
      </c>
      <c r="H37" s="742">
        <f t="shared" si="0"/>
        <v>45029</v>
      </c>
      <c r="I37" s="743">
        <f t="shared" si="1"/>
        <v>-12</v>
      </c>
      <c r="J37" s="743">
        <f t="shared" si="6"/>
        <v>216474</v>
      </c>
      <c r="K37" s="743">
        <f t="shared" si="2"/>
        <v>0</v>
      </c>
      <c r="L37" s="743">
        <f t="shared" si="3"/>
        <v>0</v>
      </c>
      <c r="M37" s="743">
        <f t="shared" si="4"/>
        <v>0</v>
      </c>
      <c r="N37" s="743">
        <f t="shared" si="5"/>
        <v>0</v>
      </c>
    </row>
    <row r="38" spans="1:14" ht="15.6">
      <c r="A38" s="737"/>
      <c r="B38" s="737"/>
      <c r="C38" s="737"/>
      <c r="D38" s="739">
        <v>3151</v>
      </c>
      <c r="E38" s="740">
        <v>44999</v>
      </c>
      <c r="F38" s="745">
        <v>195679</v>
      </c>
      <c r="G38" s="737">
        <v>30</v>
      </c>
      <c r="H38" s="742">
        <f t="shared" si="0"/>
        <v>45029</v>
      </c>
      <c r="I38" s="743">
        <f t="shared" si="1"/>
        <v>-12</v>
      </c>
      <c r="J38" s="743">
        <f t="shared" si="6"/>
        <v>195679</v>
      </c>
      <c r="K38" s="743">
        <f t="shared" si="2"/>
        <v>0</v>
      </c>
      <c r="L38" s="743">
        <f t="shared" si="3"/>
        <v>0</v>
      </c>
      <c r="M38" s="743">
        <f t="shared" si="4"/>
        <v>0</v>
      </c>
      <c r="N38" s="743">
        <f t="shared" si="5"/>
        <v>0</v>
      </c>
    </row>
    <row r="39" spans="1:14" ht="15.6">
      <c r="A39" s="737"/>
      <c r="B39" s="737"/>
      <c r="C39" s="737"/>
      <c r="D39" s="739">
        <v>3153</v>
      </c>
      <c r="E39" s="740">
        <v>45000</v>
      </c>
      <c r="F39" s="745">
        <v>216268</v>
      </c>
      <c r="G39" s="737">
        <v>30</v>
      </c>
      <c r="H39" s="742">
        <f t="shared" si="0"/>
        <v>45030</v>
      </c>
      <c r="I39" s="743">
        <f t="shared" si="1"/>
        <v>-13</v>
      </c>
      <c r="J39" s="743">
        <f t="shared" si="6"/>
        <v>216268</v>
      </c>
      <c r="K39" s="743">
        <f t="shared" si="2"/>
        <v>0</v>
      </c>
      <c r="L39" s="743">
        <f t="shared" si="3"/>
        <v>0</v>
      </c>
      <c r="M39" s="743">
        <f t="shared" si="4"/>
        <v>0</v>
      </c>
      <c r="N39" s="743">
        <f t="shared" si="5"/>
        <v>0</v>
      </c>
    </row>
    <row r="40" spans="1:14" ht="15.6">
      <c r="A40" s="737"/>
      <c r="B40" s="737"/>
      <c r="C40" s="737"/>
      <c r="D40" s="739">
        <v>3154</v>
      </c>
      <c r="E40" s="740">
        <v>45000</v>
      </c>
      <c r="F40" s="745">
        <v>154958</v>
      </c>
      <c r="G40" s="737">
        <v>30</v>
      </c>
      <c r="H40" s="742">
        <f t="shared" si="0"/>
        <v>45030</v>
      </c>
      <c r="I40" s="743">
        <f t="shared" si="1"/>
        <v>-13</v>
      </c>
      <c r="J40" s="743">
        <f t="shared" si="6"/>
        <v>154958</v>
      </c>
      <c r="K40" s="743">
        <f t="shared" si="2"/>
        <v>0</v>
      </c>
      <c r="L40" s="743">
        <f t="shared" si="3"/>
        <v>0</v>
      </c>
      <c r="M40" s="743">
        <f t="shared" si="4"/>
        <v>0</v>
      </c>
      <c r="N40" s="743">
        <f t="shared" si="5"/>
        <v>0</v>
      </c>
    </row>
    <row r="41" spans="1:14" ht="15.6">
      <c r="A41" s="737"/>
      <c r="B41" s="737"/>
      <c r="C41" s="737"/>
      <c r="D41" s="739">
        <v>3162</v>
      </c>
      <c r="E41" s="740">
        <v>45001</v>
      </c>
      <c r="F41" s="745">
        <v>234325</v>
      </c>
      <c r="G41" s="737">
        <v>30</v>
      </c>
      <c r="H41" s="742">
        <f t="shared" si="0"/>
        <v>45031</v>
      </c>
      <c r="I41" s="743">
        <f t="shared" si="1"/>
        <v>-14</v>
      </c>
      <c r="J41" s="743">
        <f t="shared" si="6"/>
        <v>234325</v>
      </c>
      <c r="K41" s="743">
        <f t="shared" si="2"/>
        <v>0</v>
      </c>
      <c r="L41" s="743">
        <f t="shared" si="3"/>
        <v>0</v>
      </c>
      <c r="M41" s="743">
        <f t="shared" si="4"/>
        <v>0</v>
      </c>
      <c r="N41" s="743">
        <f t="shared" si="5"/>
        <v>0</v>
      </c>
    </row>
    <row r="42" spans="1:14" ht="15.6">
      <c r="A42" s="737"/>
      <c r="B42" s="737"/>
      <c r="C42" s="737"/>
      <c r="D42" s="739">
        <v>3170</v>
      </c>
      <c r="E42" s="740">
        <v>45001</v>
      </c>
      <c r="F42" s="745">
        <v>277562</v>
      </c>
      <c r="G42" s="737">
        <v>30</v>
      </c>
      <c r="H42" s="742">
        <f t="shared" si="0"/>
        <v>45031</v>
      </c>
      <c r="I42" s="743">
        <f t="shared" si="1"/>
        <v>-14</v>
      </c>
      <c r="J42" s="743">
        <f t="shared" si="6"/>
        <v>277562</v>
      </c>
      <c r="K42" s="743">
        <f t="shared" si="2"/>
        <v>0</v>
      </c>
      <c r="L42" s="743">
        <f t="shared" si="3"/>
        <v>0</v>
      </c>
      <c r="M42" s="743">
        <f t="shared" si="4"/>
        <v>0</v>
      </c>
      <c r="N42" s="743">
        <f t="shared" si="5"/>
        <v>0</v>
      </c>
    </row>
    <row r="43" spans="1:14" ht="15.6">
      <c r="A43" s="737"/>
      <c r="B43" s="737"/>
      <c r="C43" s="737"/>
      <c r="D43" s="739">
        <v>3173</v>
      </c>
      <c r="E43" s="740">
        <v>45001</v>
      </c>
      <c r="F43" s="745">
        <v>146393</v>
      </c>
      <c r="G43" s="737">
        <v>30</v>
      </c>
      <c r="H43" s="742">
        <f t="shared" si="0"/>
        <v>45031</v>
      </c>
      <c r="I43" s="743">
        <f t="shared" si="1"/>
        <v>-14</v>
      </c>
      <c r="J43" s="743">
        <f t="shared" si="6"/>
        <v>146393</v>
      </c>
      <c r="K43" s="743">
        <f t="shared" si="2"/>
        <v>0</v>
      </c>
      <c r="L43" s="743">
        <f t="shared" si="3"/>
        <v>0</v>
      </c>
      <c r="M43" s="743">
        <f t="shared" si="4"/>
        <v>0</v>
      </c>
      <c r="N43" s="743">
        <f t="shared" si="5"/>
        <v>0</v>
      </c>
    </row>
    <row r="44" spans="1:14" ht="15.6">
      <c r="A44" s="737"/>
      <c r="B44" s="737"/>
      <c r="C44" s="737"/>
      <c r="D44" s="739">
        <v>3181</v>
      </c>
      <c r="E44" s="740">
        <v>45002</v>
      </c>
      <c r="F44" s="745">
        <v>211533</v>
      </c>
      <c r="G44" s="737">
        <v>30</v>
      </c>
      <c r="H44" s="742">
        <f t="shared" si="0"/>
        <v>45032</v>
      </c>
      <c r="I44" s="743">
        <f t="shared" si="1"/>
        <v>-15</v>
      </c>
      <c r="J44" s="743">
        <f t="shared" si="6"/>
        <v>211533</v>
      </c>
      <c r="K44" s="743">
        <f t="shared" si="2"/>
        <v>0</v>
      </c>
      <c r="L44" s="743">
        <f t="shared" si="3"/>
        <v>0</v>
      </c>
      <c r="M44" s="743">
        <f t="shared" si="4"/>
        <v>0</v>
      </c>
      <c r="N44" s="743">
        <f t="shared" si="5"/>
        <v>0</v>
      </c>
    </row>
    <row r="45" spans="1:14" ht="15.6">
      <c r="A45" s="737"/>
      <c r="B45" s="737"/>
      <c r="C45" s="737"/>
      <c r="D45" s="739">
        <v>3187</v>
      </c>
      <c r="E45" s="740">
        <v>45003</v>
      </c>
      <c r="F45" s="745">
        <v>207014</v>
      </c>
      <c r="G45" s="737">
        <v>30</v>
      </c>
      <c r="H45" s="742">
        <f t="shared" si="0"/>
        <v>45033</v>
      </c>
      <c r="I45" s="743">
        <f t="shared" si="1"/>
        <v>-16</v>
      </c>
      <c r="J45" s="743">
        <f t="shared" si="6"/>
        <v>207014</v>
      </c>
      <c r="K45" s="743">
        <f t="shared" si="2"/>
        <v>0</v>
      </c>
      <c r="L45" s="743">
        <f t="shared" si="3"/>
        <v>0</v>
      </c>
      <c r="M45" s="743">
        <f t="shared" si="4"/>
        <v>0</v>
      </c>
      <c r="N45" s="743">
        <f t="shared" si="5"/>
        <v>0</v>
      </c>
    </row>
    <row r="46" spans="1:14" ht="15.6">
      <c r="A46" s="737"/>
      <c r="B46" s="737"/>
      <c r="C46" s="737"/>
      <c r="D46" s="739">
        <v>3200</v>
      </c>
      <c r="E46" s="740">
        <v>45005</v>
      </c>
      <c r="F46" s="745">
        <v>207821</v>
      </c>
      <c r="G46" s="737">
        <v>30</v>
      </c>
      <c r="H46" s="742">
        <f t="shared" si="0"/>
        <v>45035</v>
      </c>
      <c r="I46" s="743">
        <f t="shared" si="1"/>
        <v>-18</v>
      </c>
      <c r="J46" s="743">
        <f t="shared" si="6"/>
        <v>207821</v>
      </c>
      <c r="K46" s="743">
        <f t="shared" si="2"/>
        <v>0</v>
      </c>
      <c r="L46" s="743">
        <f t="shared" si="3"/>
        <v>0</v>
      </c>
      <c r="M46" s="743">
        <f t="shared" si="4"/>
        <v>0</v>
      </c>
      <c r="N46" s="743">
        <f t="shared" si="5"/>
        <v>0</v>
      </c>
    </row>
    <row r="47" spans="1:14" ht="15.6">
      <c r="A47" s="737"/>
      <c r="B47" s="737"/>
      <c r="C47" s="737"/>
      <c r="D47" s="739">
        <v>3202</v>
      </c>
      <c r="E47" s="740">
        <v>45005</v>
      </c>
      <c r="F47" s="745">
        <v>217113</v>
      </c>
      <c r="G47" s="737">
        <v>30</v>
      </c>
      <c r="H47" s="742">
        <f t="shared" si="0"/>
        <v>45035</v>
      </c>
      <c r="I47" s="743">
        <f t="shared" si="1"/>
        <v>-18</v>
      </c>
      <c r="J47" s="743">
        <f t="shared" si="6"/>
        <v>217113</v>
      </c>
      <c r="K47" s="743">
        <f t="shared" si="2"/>
        <v>0</v>
      </c>
      <c r="L47" s="743">
        <f t="shared" si="3"/>
        <v>0</v>
      </c>
      <c r="M47" s="743">
        <f t="shared" si="4"/>
        <v>0</v>
      </c>
      <c r="N47" s="743">
        <f t="shared" si="5"/>
        <v>0</v>
      </c>
    </row>
    <row r="48" spans="1:14" ht="15.6">
      <c r="A48" s="737"/>
      <c r="B48" s="737"/>
      <c r="C48" s="737"/>
      <c r="D48" s="739">
        <v>3210</v>
      </c>
      <c r="E48" s="740">
        <v>45006</v>
      </c>
      <c r="F48" s="745">
        <v>219106</v>
      </c>
      <c r="G48" s="737">
        <v>30</v>
      </c>
      <c r="H48" s="742">
        <f t="shared" si="0"/>
        <v>45036</v>
      </c>
      <c r="I48" s="743">
        <f t="shared" si="1"/>
        <v>-19</v>
      </c>
      <c r="J48" s="743">
        <f t="shared" si="6"/>
        <v>219106</v>
      </c>
      <c r="K48" s="743">
        <f t="shared" si="2"/>
        <v>0</v>
      </c>
      <c r="L48" s="743">
        <f t="shared" si="3"/>
        <v>0</v>
      </c>
      <c r="M48" s="743">
        <f t="shared" si="4"/>
        <v>0</v>
      </c>
      <c r="N48" s="743">
        <f t="shared" si="5"/>
        <v>0</v>
      </c>
    </row>
    <row r="49" spans="1:14" ht="15.6">
      <c r="A49" s="737"/>
      <c r="B49" s="737"/>
      <c r="C49" s="737"/>
      <c r="D49" s="739">
        <v>3214</v>
      </c>
      <c r="E49" s="740">
        <v>45006</v>
      </c>
      <c r="F49" s="745">
        <v>218521</v>
      </c>
      <c r="G49" s="737">
        <v>30</v>
      </c>
      <c r="H49" s="742">
        <f t="shared" si="0"/>
        <v>45036</v>
      </c>
      <c r="I49" s="743">
        <f t="shared" si="1"/>
        <v>-19</v>
      </c>
      <c r="J49" s="743">
        <f t="shared" si="6"/>
        <v>218521</v>
      </c>
      <c r="K49" s="743">
        <f t="shared" si="2"/>
        <v>0</v>
      </c>
      <c r="L49" s="743">
        <f t="shared" si="3"/>
        <v>0</v>
      </c>
      <c r="M49" s="743">
        <f t="shared" si="4"/>
        <v>0</v>
      </c>
      <c r="N49" s="743">
        <f t="shared" si="5"/>
        <v>0</v>
      </c>
    </row>
    <row r="50" spans="1:14" ht="15.6">
      <c r="A50" s="737"/>
      <c r="B50" s="737"/>
      <c r="C50" s="737"/>
      <c r="D50" s="739">
        <v>3222</v>
      </c>
      <c r="E50" s="740">
        <v>45007</v>
      </c>
      <c r="F50" s="745">
        <v>205542</v>
      </c>
      <c r="G50" s="737">
        <v>30</v>
      </c>
      <c r="H50" s="742">
        <f t="shared" si="0"/>
        <v>45037</v>
      </c>
      <c r="I50" s="743">
        <f t="shared" si="1"/>
        <v>-20</v>
      </c>
      <c r="J50" s="743">
        <f t="shared" si="6"/>
        <v>205542</v>
      </c>
      <c r="K50" s="743">
        <f t="shared" si="2"/>
        <v>0</v>
      </c>
      <c r="L50" s="743">
        <f t="shared" si="3"/>
        <v>0</v>
      </c>
      <c r="M50" s="743">
        <f t="shared" si="4"/>
        <v>0</v>
      </c>
      <c r="N50" s="743">
        <f t="shared" si="5"/>
        <v>0</v>
      </c>
    </row>
    <row r="51" spans="1:14" ht="15.6">
      <c r="A51" s="737"/>
      <c r="B51" s="737"/>
      <c r="C51" s="737"/>
      <c r="D51" s="739">
        <v>3229</v>
      </c>
      <c r="E51" s="740">
        <v>45008</v>
      </c>
      <c r="F51" s="745">
        <v>220452</v>
      </c>
      <c r="G51" s="737">
        <v>30</v>
      </c>
      <c r="H51" s="742">
        <f t="shared" si="0"/>
        <v>45038</v>
      </c>
      <c r="I51" s="743">
        <f t="shared" si="1"/>
        <v>-21</v>
      </c>
      <c r="J51" s="743">
        <f t="shared" si="6"/>
        <v>220452</v>
      </c>
      <c r="K51" s="743">
        <f t="shared" si="2"/>
        <v>0</v>
      </c>
      <c r="L51" s="743">
        <f t="shared" si="3"/>
        <v>0</v>
      </c>
      <c r="M51" s="743">
        <f t="shared" si="4"/>
        <v>0</v>
      </c>
      <c r="N51" s="743">
        <f t="shared" si="5"/>
        <v>0</v>
      </c>
    </row>
    <row r="52" spans="1:14" ht="15.6">
      <c r="A52" s="737"/>
      <c r="B52" s="737"/>
      <c r="C52" s="737"/>
      <c r="D52" s="739">
        <v>3233</v>
      </c>
      <c r="E52" s="740">
        <v>45008</v>
      </c>
      <c r="F52" s="745">
        <v>209984</v>
      </c>
      <c r="G52" s="737">
        <v>30</v>
      </c>
      <c r="H52" s="742">
        <f t="shared" si="0"/>
        <v>45038</v>
      </c>
      <c r="I52" s="743">
        <f t="shared" si="1"/>
        <v>-21</v>
      </c>
      <c r="J52" s="743">
        <f t="shared" si="6"/>
        <v>209984</v>
      </c>
      <c r="K52" s="743">
        <f t="shared" si="2"/>
        <v>0</v>
      </c>
      <c r="L52" s="743">
        <f t="shared" si="3"/>
        <v>0</v>
      </c>
      <c r="M52" s="743">
        <f t="shared" si="4"/>
        <v>0</v>
      </c>
      <c r="N52" s="743">
        <f t="shared" si="5"/>
        <v>0</v>
      </c>
    </row>
    <row r="53" spans="1:14" ht="15.6">
      <c r="A53" s="737"/>
      <c r="B53" s="737"/>
      <c r="C53" s="737"/>
      <c r="D53" s="739">
        <v>3234</v>
      </c>
      <c r="E53" s="740">
        <v>45008</v>
      </c>
      <c r="F53" s="745">
        <v>474361</v>
      </c>
      <c r="G53" s="737">
        <v>30</v>
      </c>
      <c r="H53" s="742">
        <f t="shared" si="0"/>
        <v>45038</v>
      </c>
      <c r="I53" s="743">
        <f t="shared" si="1"/>
        <v>-21</v>
      </c>
      <c r="J53" s="743">
        <f t="shared" si="6"/>
        <v>474361</v>
      </c>
      <c r="K53" s="743">
        <f t="shared" si="2"/>
        <v>0</v>
      </c>
      <c r="L53" s="743">
        <f t="shared" si="3"/>
        <v>0</v>
      </c>
      <c r="M53" s="743">
        <f t="shared" si="4"/>
        <v>0</v>
      </c>
      <c r="N53" s="743">
        <f t="shared" si="5"/>
        <v>0</v>
      </c>
    </row>
    <row r="54" spans="1:14" ht="15.6">
      <c r="A54" s="737"/>
      <c r="B54" s="737"/>
      <c r="C54" s="737"/>
      <c r="D54" s="739">
        <v>3238</v>
      </c>
      <c r="E54" s="740">
        <v>45008</v>
      </c>
      <c r="F54" s="745">
        <v>212089</v>
      </c>
      <c r="G54" s="737">
        <v>30</v>
      </c>
      <c r="H54" s="742">
        <f t="shared" si="0"/>
        <v>45038</v>
      </c>
      <c r="I54" s="743">
        <f t="shared" si="1"/>
        <v>-21</v>
      </c>
      <c r="J54" s="743">
        <f t="shared" si="6"/>
        <v>212089</v>
      </c>
      <c r="K54" s="743">
        <f t="shared" si="2"/>
        <v>0</v>
      </c>
      <c r="L54" s="743">
        <f t="shared" si="3"/>
        <v>0</v>
      </c>
      <c r="M54" s="743">
        <f t="shared" si="4"/>
        <v>0</v>
      </c>
      <c r="N54" s="743">
        <f t="shared" si="5"/>
        <v>0</v>
      </c>
    </row>
    <row r="55" spans="1:14" ht="15.6">
      <c r="A55" s="737"/>
      <c r="B55" s="737"/>
      <c r="C55" s="737"/>
      <c r="D55" s="739">
        <v>3252</v>
      </c>
      <c r="E55" s="740">
        <v>45010</v>
      </c>
      <c r="F55" s="745">
        <v>205485</v>
      </c>
      <c r="G55" s="737">
        <v>30</v>
      </c>
      <c r="H55" s="742">
        <f t="shared" si="0"/>
        <v>45040</v>
      </c>
      <c r="I55" s="743">
        <f t="shared" si="1"/>
        <v>-23</v>
      </c>
      <c r="J55" s="743">
        <f t="shared" si="6"/>
        <v>205485</v>
      </c>
      <c r="K55" s="743">
        <f t="shared" si="2"/>
        <v>0</v>
      </c>
      <c r="L55" s="743">
        <f t="shared" si="3"/>
        <v>0</v>
      </c>
      <c r="M55" s="743">
        <f t="shared" si="4"/>
        <v>0</v>
      </c>
      <c r="N55" s="743">
        <f t="shared" si="5"/>
        <v>0</v>
      </c>
    </row>
    <row r="56" spans="1:14" ht="15.6">
      <c r="A56" s="737"/>
      <c r="B56" s="737"/>
      <c r="C56" s="737"/>
      <c r="D56" s="739">
        <v>3253</v>
      </c>
      <c r="E56" s="740">
        <v>45010</v>
      </c>
      <c r="F56" s="745">
        <v>209147</v>
      </c>
      <c r="G56" s="737">
        <v>30</v>
      </c>
      <c r="H56" s="742">
        <f t="shared" si="0"/>
        <v>45040</v>
      </c>
      <c r="I56" s="743">
        <f t="shared" si="1"/>
        <v>-23</v>
      </c>
      <c r="J56" s="743">
        <f t="shared" si="6"/>
        <v>209147</v>
      </c>
      <c r="K56" s="743">
        <f t="shared" si="2"/>
        <v>0</v>
      </c>
      <c r="L56" s="743">
        <f t="shared" si="3"/>
        <v>0</v>
      </c>
      <c r="M56" s="743">
        <f t="shared" si="4"/>
        <v>0</v>
      </c>
      <c r="N56" s="743">
        <f t="shared" si="5"/>
        <v>0</v>
      </c>
    </row>
    <row r="57" spans="1:14" ht="15.6">
      <c r="A57" s="737"/>
      <c r="B57" s="737"/>
      <c r="C57" s="737"/>
      <c r="D57" s="739">
        <v>3254</v>
      </c>
      <c r="E57" s="740">
        <v>45010</v>
      </c>
      <c r="F57" s="745">
        <v>176934</v>
      </c>
      <c r="G57" s="737">
        <v>30</v>
      </c>
      <c r="H57" s="742">
        <f t="shared" si="0"/>
        <v>45040</v>
      </c>
      <c r="I57" s="743">
        <f t="shared" si="1"/>
        <v>-23</v>
      </c>
      <c r="J57" s="743">
        <f t="shared" si="6"/>
        <v>176934</v>
      </c>
      <c r="K57" s="743">
        <f t="shared" si="2"/>
        <v>0</v>
      </c>
      <c r="L57" s="743">
        <f t="shared" si="3"/>
        <v>0</v>
      </c>
      <c r="M57" s="743">
        <f t="shared" si="4"/>
        <v>0</v>
      </c>
      <c r="N57" s="743">
        <f t="shared" si="5"/>
        <v>0</v>
      </c>
    </row>
    <row r="58" spans="1:14" ht="15.6">
      <c r="A58" s="737"/>
      <c r="B58" s="737"/>
      <c r="C58" s="737"/>
      <c r="D58" s="739">
        <v>3259</v>
      </c>
      <c r="E58" s="740">
        <v>45010</v>
      </c>
      <c r="F58" s="745">
        <v>213071</v>
      </c>
      <c r="G58" s="737">
        <v>30</v>
      </c>
      <c r="H58" s="742">
        <f t="shared" si="0"/>
        <v>45040</v>
      </c>
      <c r="I58" s="743">
        <f t="shared" si="1"/>
        <v>-23</v>
      </c>
      <c r="J58" s="743">
        <f t="shared" si="6"/>
        <v>213071</v>
      </c>
      <c r="K58" s="743">
        <f t="shared" si="2"/>
        <v>0</v>
      </c>
      <c r="L58" s="743">
        <f t="shared" si="3"/>
        <v>0</v>
      </c>
      <c r="M58" s="743">
        <f t="shared" si="4"/>
        <v>0</v>
      </c>
      <c r="N58" s="743">
        <f t="shared" si="5"/>
        <v>0</v>
      </c>
    </row>
    <row r="59" spans="1:14" ht="15.6">
      <c r="A59" s="737"/>
      <c r="B59" s="737"/>
      <c r="C59" s="737"/>
      <c r="D59" s="739">
        <v>3266</v>
      </c>
      <c r="E59" s="740">
        <v>45011</v>
      </c>
      <c r="F59" s="745">
        <v>299641</v>
      </c>
      <c r="G59" s="737">
        <v>30</v>
      </c>
      <c r="H59" s="742">
        <f t="shared" si="0"/>
        <v>45041</v>
      </c>
      <c r="I59" s="743">
        <f t="shared" si="1"/>
        <v>-24</v>
      </c>
      <c r="J59" s="743">
        <f t="shared" si="6"/>
        <v>299641</v>
      </c>
      <c r="K59" s="743">
        <f t="shared" si="2"/>
        <v>0</v>
      </c>
      <c r="L59" s="743">
        <f t="shared" si="3"/>
        <v>0</v>
      </c>
      <c r="M59" s="743">
        <f t="shared" si="4"/>
        <v>0</v>
      </c>
      <c r="N59" s="743">
        <f t="shared" si="5"/>
        <v>0</v>
      </c>
    </row>
    <row r="60" spans="1:14" ht="15.6">
      <c r="A60" s="737"/>
      <c r="B60" s="737"/>
      <c r="C60" s="737"/>
      <c r="D60" s="739">
        <v>3274</v>
      </c>
      <c r="E60" s="740">
        <v>45012</v>
      </c>
      <c r="F60" s="745">
        <v>225703</v>
      </c>
      <c r="G60" s="737">
        <v>30</v>
      </c>
      <c r="H60" s="742">
        <f t="shared" si="0"/>
        <v>45042</v>
      </c>
      <c r="I60" s="743">
        <f t="shared" si="1"/>
        <v>-25</v>
      </c>
      <c r="J60" s="743">
        <f t="shared" si="6"/>
        <v>225703</v>
      </c>
      <c r="K60" s="743">
        <f t="shared" si="2"/>
        <v>0</v>
      </c>
      <c r="L60" s="743">
        <f t="shared" si="3"/>
        <v>0</v>
      </c>
      <c r="M60" s="743">
        <f t="shared" si="4"/>
        <v>0</v>
      </c>
      <c r="N60" s="743">
        <f t="shared" si="5"/>
        <v>0</v>
      </c>
    </row>
    <row r="61" spans="1:14" ht="15.6">
      <c r="A61" s="737"/>
      <c r="B61" s="737"/>
      <c r="C61" s="737"/>
      <c r="D61" s="739">
        <v>3276</v>
      </c>
      <c r="E61" s="740">
        <v>45012</v>
      </c>
      <c r="F61" s="745">
        <v>204419</v>
      </c>
      <c r="G61" s="737">
        <v>30</v>
      </c>
      <c r="H61" s="742">
        <f t="shared" si="0"/>
        <v>45042</v>
      </c>
      <c r="I61" s="743">
        <f t="shared" si="1"/>
        <v>-25</v>
      </c>
      <c r="J61" s="743">
        <f t="shared" si="6"/>
        <v>204419</v>
      </c>
      <c r="K61" s="743">
        <f t="shared" si="2"/>
        <v>0</v>
      </c>
      <c r="L61" s="743">
        <f t="shared" si="3"/>
        <v>0</v>
      </c>
      <c r="M61" s="743">
        <f t="shared" si="4"/>
        <v>0</v>
      </c>
      <c r="N61" s="743">
        <f t="shared" si="5"/>
        <v>0</v>
      </c>
    </row>
    <row r="62" spans="1:14" ht="15.6">
      <c r="A62" s="737"/>
      <c r="B62" s="737"/>
      <c r="C62" s="737"/>
      <c r="D62" s="739">
        <v>3277</v>
      </c>
      <c r="E62" s="740">
        <v>45012</v>
      </c>
      <c r="F62" s="745">
        <v>207793</v>
      </c>
      <c r="G62" s="737">
        <v>30</v>
      </c>
      <c r="H62" s="742">
        <f t="shared" si="0"/>
        <v>45042</v>
      </c>
      <c r="I62" s="743">
        <f t="shared" si="1"/>
        <v>-25</v>
      </c>
      <c r="J62" s="743">
        <f t="shared" si="6"/>
        <v>207793</v>
      </c>
      <c r="K62" s="743">
        <f t="shared" si="2"/>
        <v>0</v>
      </c>
      <c r="L62" s="743">
        <f t="shared" si="3"/>
        <v>0</v>
      </c>
      <c r="M62" s="743">
        <f t="shared" si="4"/>
        <v>0</v>
      </c>
      <c r="N62" s="743">
        <f t="shared" si="5"/>
        <v>0</v>
      </c>
    </row>
    <row r="63" spans="1:14" ht="15.6">
      <c r="A63" s="737"/>
      <c r="B63" s="737"/>
      <c r="C63" s="737"/>
      <c r="D63" s="739">
        <v>3279</v>
      </c>
      <c r="E63" s="740">
        <v>45012</v>
      </c>
      <c r="F63" s="745">
        <v>205484</v>
      </c>
      <c r="G63" s="737">
        <v>30</v>
      </c>
      <c r="H63" s="742">
        <f t="shared" si="0"/>
        <v>45042</v>
      </c>
      <c r="I63" s="743">
        <f t="shared" si="1"/>
        <v>-25</v>
      </c>
      <c r="J63" s="743">
        <f t="shared" si="6"/>
        <v>205484</v>
      </c>
      <c r="K63" s="743">
        <f t="shared" si="2"/>
        <v>0</v>
      </c>
      <c r="L63" s="743">
        <f t="shared" si="3"/>
        <v>0</v>
      </c>
      <c r="M63" s="743">
        <f t="shared" si="4"/>
        <v>0</v>
      </c>
      <c r="N63" s="743">
        <f t="shared" si="5"/>
        <v>0</v>
      </c>
    </row>
    <row r="64" spans="1:14" ht="15.6">
      <c r="A64" s="737"/>
      <c r="B64" s="737"/>
      <c r="C64" s="737"/>
      <c r="D64" s="739">
        <v>3280</v>
      </c>
      <c r="E64" s="740">
        <v>45012</v>
      </c>
      <c r="F64" s="745">
        <v>229941</v>
      </c>
      <c r="G64" s="737">
        <v>30</v>
      </c>
      <c r="H64" s="742">
        <f t="shared" si="0"/>
        <v>45042</v>
      </c>
      <c r="I64" s="743">
        <f t="shared" si="1"/>
        <v>-25</v>
      </c>
      <c r="J64" s="743">
        <f t="shared" si="6"/>
        <v>229941</v>
      </c>
      <c r="K64" s="743">
        <f t="shared" si="2"/>
        <v>0</v>
      </c>
      <c r="L64" s="743">
        <f t="shared" si="3"/>
        <v>0</v>
      </c>
      <c r="M64" s="743">
        <f t="shared" si="4"/>
        <v>0</v>
      </c>
      <c r="N64" s="743">
        <f t="shared" si="5"/>
        <v>0</v>
      </c>
    </row>
    <row r="65" spans="1:14" ht="15.6">
      <c r="A65" s="737"/>
      <c r="B65" s="737"/>
      <c r="C65" s="737"/>
      <c r="D65" s="739">
        <v>3287</v>
      </c>
      <c r="E65" s="740">
        <v>45013</v>
      </c>
      <c r="F65" s="745">
        <v>198678</v>
      </c>
      <c r="G65" s="737">
        <v>30</v>
      </c>
      <c r="H65" s="742">
        <f t="shared" si="0"/>
        <v>45043</v>
      </c>
      <c r="I65" s="743">
        <f t="shared" si="1"/>
        <v>-26</v>
      </c>
      <c r="J65" s="743">
        <f t="shared" si="6"/>
        <v>198678</v>
      </c>
      <c r="K65" s="743">
        <f t="shared" si="2"/>
        <v>0</v>
      </c>
      <c r="L65" s="743">
        <f t="shared" si="3"/>
        <v>0</v>
      </c>
      <c r="M65" s="743">
        <f t="shared" si="4"/>
        <v>0</v>
      </c>
      <c r="N65" s="743">
        <f t="shared" si="5"/>
        <v>0</v>
      </c>
    </row>
    <row r="66" spans="1:14" ht="15.6">
      <c r="A66" s="737"/>
      <c r="B66" s="737"/>
      <c r="C66" s="737"/>
      <c r="D66" s="739">
        <v>3292</v>
      </c>
      <c r="E66" s="740">
        <v>45014</v>
      </c>
      <c r="F66" s="745">
        <v>220194</v>
      </c>
      <c r="G66" s="737">
        <v>30</v>
      </c>
      <c r="H66" s="742">
        <f t="shared" si="0"/>
        <v>45044</v>
      </c>
      <c r="I66" s="743">
        <f t="shared" si="1"/>
        <v>-27</v>
      </c>
      <c r="J66" s="743">
        <f t="shared" si="6"/>
        <v>220194</v>
      </c>
      <c r="K66" s="743">
        <f t="shared" si="2"/>
        <v>0</v>
      </c>
      <c r="L66" s="743">
        <f t="shared" si="3"/>
        <v>0</v>
      </c>
      <c r="M66" s="743">
        <f t="shared" si="4"/>
        <v>0</v>
      </c>
      <c r="N66" s="743">
        <f t="shared" si="5"/>
        <v>0</v>
      </c>
    </row>
    <row r="67" spans="1:14" ht="15.6">
      <c r="A67" s="737"/>
      <c r="B67" s="737"/>
      <c r="C67" s="737"/>
      <c r="D67" s="739">
        <v>3295</v>
      </c>
      <c r="E67" s="740">
        <v>45014</v>
      </c>
      <c r="F67" s="745">
        <v>297031</v>
      </c>
      <c r="G67" s="737">
        <v>30</v>
      </c>
      <c r="H67" s="742">
        <f t="shared" si="0"/>
        <v>45044</v>
      </c>
      <c r="I67" s="743">
        <f t="shared" si="1"/>
        <v>-27</v>
      </c>
      <c r="J67" s="743">
        <f t="shared" si="6"/>
        <v>297031</v>
      </c>
      <c r="K67" s="743">
        <f t="shared" si="2"/>
        <v>0</v>
      </c>
      <c r="L67" s="743">
        <f t="shared" si="3"/>
        <v>0</v>
      </c>
      <c r="M67" s="743">
        <f t="shared" si="4"/>
        <v>0</v>
      </c>
      <c r="N67" s="743">
        <f t="shared" si="5"/>
        <v>0</v>
      </c>
    </row>
    <row r="68" spans="1:14" ht="15.6">
      <c r="A68" s="737"/>
      <c r="B68" s="737"/>
      <c r="C68" s="737"/>
      <c r="D68" s="739">
        <v>3296</v>
      </c>
      <c r="E68" s="740">
        <v>45015</v>
      </c>
      <c r="F68" s="745">
        <v>205998</v>
      </c>
      <c r="G68" s="737">
        <v>30</v>
      </c>
      <c r="H68" s="742">
        <f t="shared" si="0"/>
        <v>45045</v>
      </c>
      <c r="I68" s="743">
        <f t="shared" si="1"/>
        <v>-28</v>
      </c>
      <c r="J68" s="743">
        <f t="shared" si="6"/>
        <v>205998</v>
      </c>
      <c r="K68" s="743">
        <f t="shared" si="2"/>
        <v>0</v>
      </c>
      <c r="L68" s="743">
        <f t="shared" si="3"/>
        <v>0</v>
      </c>
      <c r="M68" s="743">
        <f t="shared" si="4"/>
        <v>0</v>
      </c>
      <c r="N68" s="743">
        <f t="shared" si="5"/>
        <v>0</v>
      </c>
    </row>
    <row r="69" spans="1:14" ht="15.6">
      <c r="A69" s="737"/>
      <c r="B69" s="737"/>
      <c r="C69" s="737"/>
      <c r="D69" s="739">
        <v>3297</v>
      </c>
      <c r="E69" s="740">
        <v>45015</v>
      </c>
      <c r="F69" s="745">
        <v>257038</v>
      </c>
      <c r="G69" s="737">
        <v>30</v>
      </c>
      <c r="H69" s="742">
        <f t="shared" si="0"/>
        <v>45045</v>
      </c>
      <c r="I69" s="743">
        <f t="shared" si="1"/>
        <v>-28</v>
      </c>
      <c r="J69" s="743">
        <f t="shared" si="6"/>
        <v>257038</v>
      </c>
      <c r="K69" s="743">
        <f t="shared" si="2"/>
        <v>0</v>
      </c>
      <c r="L69" s="743">
        <f t="shared" si="3"/>
        <v>0</v>
      </c>
      <c r="M69" s="743">
        <f t="shared" si="4"/>
        <v>0</v>
      </c>
      <c r="N69" s="743">
        <f t="shared" si="5"/>
        <v>0</v>
      </c>
    </row>
    <row r="70" spans="1:14" ht="15.6">
      <c r="A70" s="737"/>
      <c r="B70" s="737"/>
      <c r="C70" s="737"/>
      <c r="D70" s="739">
        <v>3304</v>
      </c>
      <c r="E70" s="740">
        <v>45015</v>
      </c>
      <c r="F70" s="745">
        <v>188088</v>
      </c>
      <c r="G70" s="737">
        <v>30</v>
      </c>
      <c r="H70" s="742">
        <f t="shared" si="0"/>
        <v>45045</v>
      </c>
      <c r="I70" s="743">
        <f t="shared" si="1"/>
        <v>-28</v>
      </c>
      <c r="J70" s="743">
        <f t="shared" si="6"/>
        <v>188088</v>
      </c>
      <c r="K70" s="743">
        <f t="shared" si="2"/>
        <v>0</v>
      </c>
      <c r="L70" s="743">
        <f t="shared" si="3"/>
        <v>0</v>
      </c>
      <c r="M70" s="743">
        <f t="shared" si="4"/>
        <v>0</v>
      </c>
      <c r="N70" s="743">
        <f t="shared" si="5"/>
        <v>0</v>
      </c>
    </row>
    <row r="71" spans="1:14" ht="15.6">
      <c r="A71" s="737"/>
      <c r="B71" s="737"/>
      <c r="C71" s="737"/>
      <c r="D71" s="739" t="s">
        <v>2594</v>
      </c>
      <c r="E71" s="740">
        <v>45016</v>
      </c>
      <c r="F71" s="745">
        <v>-27846</v>
      </c>
      <c r="G71" s="737">
        <v>30</v>
      </c>
      <c r="H71" s="742">
        <f t="shared" si="0"/>
        <v>45046</v>
      </c>
      <c r="I71" s="743">
        <f t="shared" si="1"/>
        <v>-29</v>
      </c>
      <c r="J71" s="743">
        <f t="shared" si="6"/>
        <v>-27846</v>
      </c>
      <c r="K71" s="743"/>
      <c r="L71" s="743"/>
      <c r="M71" s="743"/>
      <c r="N71" s="743"/>
    </row>
    <row r="72" spans="1:14" ht="15.6">
      <c r="A72" s="737"/>
      <c r="B72" s="737"/>
      <c r="C72" s="737"/>
      <c r="D72" s="739"/>
      <c r="E72" s="740"/>
      <c r="F72" s="746">
        <f>SUM(F12:F71)</f>
        <v>13460226</v>
      </c>
      <c r="G72" s="737"/>
      <c r="H72" s="742"/>
      <c r="I72" s="743"/>
      <c r="J72" s="743"/>
      <c r="K72" s="743"/>
      <c r="L72" s="743"/>
      <c r="M72" s="743"/>
      <c r="N72" s="743"/>
    </row>
    <row r="73" spans="1:14" ht="15.6">
      <c r="A73" s="737"/>
      <c r="B73" s="737"/>
      <c r="C73" s="737"/>
      <c r="D73" s="739"/>
      <c r="E73" s="740"/>
      <c r="F73" s="745"/>
      <c r="G73" s="737"/>
      <c r="H73" s="742"/>
      <c r="I73" s="743"/>
      <c r="J73" s="743"/>
      <c r="K73" s="743"/>
      <c r="L73" s="743"/>
      <c r="M73" s="743"/>
      <c r="N73" s="743"/>
    </row>
    <row r="74" spans="1:14" ht="15.6">
      <c r="A74" s="737">
        <v>3</v>
      </c>
      <c r="B74" s="738" t="s">
        <v>470</v>
      </c>
      <c r="C74" s="737"/>
      <c r="D74" s="739">
        <v>3211</v>
      </c>
      <c r="E74" s="740">
        <v>45006</v>
      </c>
      <c r="F74" s="745">
        <v>702885</v>
      </c>
      <c r="G74" s="737">
        <v>30</v>
      </c>
      <c r="H74" s="742">
        <f t="shared" si="0"/>
        <v>45036</v>
      </c>
      <c r="I74" s="743">
        <f t="shared" si="1"/>
        <v>-19</v>
      </c>
      <c r="J74" s="743">
        <f t="shared" si="6"/>
        <v>702885</v>
      </c>
      <c r="K74" s="743">
        <f t="shared" si="2"/>
        <v>0</v>
      </c>
      <c r="L74" s="743">
        <f t="shared" si="3"/>
        <v>0</v>
      </c>
      <c r="M74" s="743">
        <f t="shared" si="4"/>
        <v>0</v>
      </c>
      <c r="N74" s="743">
        <f t="shared" si="5"/>
        <v>0</v>
      </c>
    </row>
    <row r="75" spans="1:14" ht="15.6">
      <c r="A75" s="737"/>
      <c r="B75" s="737"/>
      <c r="C75" s="737"/>
      <c r="D75" s="739">
        <v>3264</v>
      </c>
      <c r="E75" s="740">
        <v>45011</v>
      </c>
      <c r="F75" s="741">
        <v>739340</v>
      </c>
      <c r="G75" s="737">
        <v>30</v>
      </c>
      <c r="H75" s="742">
        <f t="shared" si="0"/>
        <v>45041</v>
      </c>
      <c r="I75" s="743">
        <f t="shared" si="1"/>
        <v>-24</v>
      </c>
      <c r="J75" s="743">
        <f t="shared" si="6"/>
        <v>739340</v>
      </c>
      <c r="K75" s="743">
        <f t="shared" si="2"/>
        <v>0</v>
      </c>
      <c r="L75" s="743">
        <f t="shared" si="3"/>
        <v>0</v>
      </c>
      <c r="M75" s="743">
        <f t="shared" si="4"/>
        <v>0</v>
      </c>
      <c r="N75" s="743">
        <f t="shared" si="5"/>
        <v>0</v>
      </c>
    </row>
    <row r="76" spans="1:14" ht="15.6">
      <c r="A76" s="737"/>
      <c r="B76" s="737"/>
      <c r="C76" s="737"/>
      <c r="D76" s="739"/>
      <c r="E76" s="740"/>
      <c r="F76" s="744">
        <f>SUM(F74:F75)</f>
        <v>1442225</v>
      </c>
      <c r="G76" s="737"/>
      <c r="H76" s="742"/>
      <c r="I76" s="743"/>
      <c r="J76" s="743"/>
      <c r="K76" s="743"/>
      <c r="L76" s="743"/>
      <c r="M76" s="743"/>
      <c r="N76" s="743"/>
    </row>
    <row r="77" spans="1:14" ht="15.6">
      <c r="A77" s="737"/>
      <c r="B77" s="737"/>
      <c r="C77" s="737"/>
      <c r="D77" s="739"/>
      <c r="E77" s="740"/>
      <c r="F77" s="741"/>
      <c r="G77" s="737"/>
      <c r="H77" s="742"/>
      <c r="I77" s="743"/>
      <c r="J77" s="743"/>
      <c r="K77" s="743"/>
      <c r="L77" s="743"/>
      <c r="M77" s="743"/>
      <c r="N77" s="743"/>
    </row>
    <row r="78" spans="1:14" ht="15.6">
      <c r="A78" s="737">
        <v>4</v>
      </c>
      <c r="B78" s="738" t="s">
        <v>472</v>
      </c>
      <c r="C78" s="737"/>
      <c r="D78" s="739">
        <v>3116</v>
      </c>
      <c r="E78" s="740">
        <v>44995</v>
      </c>
      <c r="F78" s="745">
        <v>265188</v>
      </c>
      <c r="G78" s="737">
        <v>30</v>
      </c>
      <c r="H78" s="742">
        <f t="shared" si="0"/>
        <v>45025</v>
      </c>
      <c r="I78" s="743">
        <f t="shared" si="1"/>
        <v>-8</v>
      </c>
      <c r="J78" s="743">
        <f t="shared" si="6"/>
        <v>265188</v>
      </c>
      <c r="K78" s="743">
        <f t="shared" si="2"/>
        <v>0</v>
      </c>
      <c r="L78" s="743">
        <f t="shared" si="3"/>
        <v>0</v>
      </c>
      <c r="M78" s="743">
        <f t="shared" si="4"/>
        <v>0</v>
      </c>
      <c r="N78" s="743">
        <f t="shared" si="5"/>
        <v>0</v>
      </c>
    </row>
    <row r="79" spans="1:14" ht="15.6">
      <c r="A79" s="737"/>
      <c r="B79" s="737"/>
      <c r="C79" s="737"/>
      <c r="D79" s="739">
        <v>3141</v>
      </c>
      <c r="E79" s="740">
        <v>44998</v>
      </c>
      <c r="F79" s="745">
        <v>417317</v>
      </c>
      <c r="G79" s="737">
        <v>30</v>
      </c>
      <c r="H79" s="742">
        <f t="shared" si="0"/>
        <v>45028</v>
      </c>
      <c r="I79" s="743">
        <f t="shared" si="1"/>
        <v>-11</v>
      </c>
      <c r="J79" s="743">
        <f t="shared" si="6"/>
        <v>417317</v>
      </c>
      <c r="K79" s="743">
        <f t="shared" si="2"/>
        <v>0</v>
      </c>
      <c r="L79" s="743">
        <f t="shared" si="3"/>
        <v>0</v>
      </c>
      <c r="M79" s="743">
        <f t="shared" si="4"/>
        <v>0</v>
      </c>
      <c r="N79" s="743">
        <f t="shared" si="5"/>
        <v>0</v>
      </c>
    </row>
    <row r="80" spans="1:14" ht="15.6">
      <c r="A80" s="737"/>
      <c r="B80" s="737"/>
      <c r="C80" s="737"/>
      <c r="D80" s="739">
        <v>3191</v>
      </c>
      <c r="E80" s="740">
        <v>45004</v>
      </c>
      <c r="F80" s="745">
        <v>459328</v>
      </c>
      <c r="G80" s="737">
        <v>30</v>
      </c>
      <c r="H80" s="742">
        <f t="shared" ref="H80:H162" si="7">+E80+G80</f>
        <v>45034</v>
      </c>
      <c r="I80" s="743">
        <f t="shared" ref="I80:I162" si="8">+$Q$1-H80+1</f>
        <v>-17</v>
      </c>
      <c r="J80" s="743">
        <f t="shared" ref="J80:J162" si="9">IF(I80&lt;=30,F80,0)</f>
        <v>459328</v>
      </c>
      <c r="K80" s="743">
        <f t="shared" ref="K80:K162" si="10">IF(I80&lt;=30,0,IF(I80&gt;60,0,F80))</f>
        <v>0</v>
      </c>
      <c r="L80" s="743">
        <f t="shared" ref="L80:L162" si="11">IF(I80&lt;=60,0,IF(I80&gt;90,0,F80))</f>
        <v>0</v>
      </c>
      <c r="M80" s="743">
        <f t="shared" ref="M80:M162" si="12">IF(I80&lt;=90,0,IF(I80&gt;120,0,F80))</f>
        <v>0</v>
      </c>
      <c r="N80" s="743">
        <f t="shared" ref="N80:N162" si="13">IF(I80&lt;=120,0,F80)</f>
        <v>0</v>
      </c>
    </row>
    <row r="81" spans="1:14" ht="15.6">
      <c r="A81" s="737"/>
      <c r="B81" s="737"/>
      <c r="C81" s="737"/>
      <c r="D81" s="739">
        <v>3241</v>
      </c>
      <c r="E81" s="740">
        <v>45009</v>
      </c>
      <c r="F81" s="745">
        <v>430204</v>
      </c>
      <c r="G81" s="737">
        <v>30</v>
      </c>
      <c r="H81" s="742">
        <f t="shared" si="7"/>
        <v>45039</v>
      </c>
      <c r="I81" s="743">
        <f t="shared" si="8"/>
        <v>-22</v>
      </c>
      <c r="J81" s="743">
        <f t="shared" si="9"/>
        <v>430204</v>
      </c>
      <c r="K81" s="743">
        <f t="shared" si="10"/>
        <v>0</v>
      </c>
      <c r="L81" s="743">
        <f t="shared" si="11"/>
        <v>0</v>
      </c>
      <c r="M81" s="743">
        <f t="shared" si="12"/>
        <v>0</v>
      </c>
      <c r="N81" s="743">
        <f t="shared" si="13"/>
        <v>0</v>
      </c>
    </row>
    <row r="82" spans="1:14" ht="15.6">
      <c r="A82" s="737"/>
      <c r="B82" s="737"/>
      <c r="C82" s="737"/>
      <c r="D82" s="739">
        <v>3262</v>
      </c>
      <c r="E82" s="740">
        <v>45011</v>
      </c>
      <c r="F82" s="745">
        <v>289704</v>
      </c>
      <c r="G82" s="737">
        <v>30</v>
      </c>
      <c r="H82" s="742">
        <f t="shared" si="7"/>
        <v>45041</v>
      </c>
      <c r="I82" s="743">
        <f t="shared" si="8"/>
        <v>-24</v>
      </c>
      <c r="J82" s="743">
        <f t="shared" si="9"/>
        <v>289704</v>
      </c>
      <c r="K82" s="743">
        <f t="shared" si="10"/>
        <v>0</v>
      </c>
      <c r="L82" s="743">
        <f t="shared" si="11"/>
        <v>0</v>
      </c>
      <c r="M82" s="743">
        <f t="shared" si="12"/>
        <v>0</v>
      </c>
      <c r="N82" s="743">
        <f t="shared" si="13"/>
        <v>0</v>
      </c>
    </row>
    <row r="83" spans="1:14" ht="15.6">
      <c r="A83" s="737"/>
      <c r="B83" s="737"/>
      <c r="C83" s="737"/>
      <c r="D83" s="739">
        <v>3309</v>
      </c>
      <c r="E83" s="740">
        <v>45016</v>
      </c>
      <c r="F83" s="745">
        <v>420387</v>
      </c>
      <c r="G83" s="737">
        <v>30</v>
      </c>
      <c r="H83" s="742">
        <f t="shared" si="7"/>
        <v>45046</v>
      </c>
      <c r="I83" s="743">
        <f t="shared" si="8"/>
        <v>-29</v>
      </c>
      <c r="J83" s="743">
        <f t="shared" si="9"/>
        <v>420387</v>
      </c>
      <c r="K83" s="743">
        <f t="shared" si="10"/>
        <v>0</v>
      </c>
      <c r="L83" s="743">
        <f t="shared" si="11"/>
        <v>0</v>
      </c>
      <c r="M83" s="743">
        <f t="shared" si="12"/>
        <v>0</v>
      </c>
      <c r="N83" s="743">
        <f t="shared" si="13"/>
        <v>0</v>
      </c>
    </row>
    <row r="84" spans="1:14" ht="15.6">
      <c r="A84" s="737"/>
      <c r="B84" s="737"/>
      <c r="C84" s="737"/>
      <c r="D84" s="739"/>
      <c r="E84" s="740"/>
      <c r="F84" s="747">
        <v>1</v>
      </c>
      <c r="G84" s="737">
        <v>30</v>
      </c>
      <c r="H84" s="742"/>
      <c r="I84" s="743"/>
      <c r="J84" s="743">
        <f t="shared" si="9"/>
        <v>1</v>
      </c>
      <c r="K84" s="743"/>
      <c r="L84" s="743"/>
      <c r="M84" s="743"/>
      <c r="N84" s="743"/>
    </row>
    <row r="85" spans="1:14" ht="15.6">
      <c r="A85" s="737"/>
      <c r="B85" s="737"/>
      <c r="C85" s="737"/>
      <c r="D85" s="739"/>
      <c r="E85" s="740"/>
      <c r="F85" s="748">
        <f>SUM(F78:F84)</f>
        <v>2282129</v>
      </c>
      <c r="G85" s="737"/>
      <c r="H85" s="742"/>
      <c r="I85" s="743"/>
      <c r="J85" s="743"/>
      <c r="K85" s="743"/>
      <c r="L85" s="743"/>
      <c r="M85" s="743"/>
      <c r="N85" s="743"/>
    </row>
    <row r="86" spans="1:14" ht="15.6">
      <c r="A86" s="737"/>
      <c r="B86" s="737"/>
      <c r="C86" s="737"/>
      <c r="D86" s="739"/>
      <c r="E86" s="740"/>
      <c r="F86" s="747"/>
      <c r="G86" s="737"/>
      <c r="H86" s="742"/>
      <c r="I86" s="743"/>
      <c r="J86" s="743"/>
      <c r="K86" s="743"/>
      <c r="L86" s="743"/>
      <c r="M86" s="743"/>
      <c r="N86" s="743"/>
    </row>
    <row r="87" spans="1:14" ht="15.6">
      <c r="A87" s="737">
        <v>5</v>
      </c>
      <c r="B87" s="738" t="s">
        <v>93</v>
      </c>
      <c r="C87" s="737"/>
      <c r="D87" s="739">
        <v>2832</v>
      </c>
      <c r="E87" s="740">
        <v>44965</v>
      </c>
      <c r="F87" s="747">
        <v>212153</v>
      </c>
      <c r="G87" s="737">
        <v>30</v>
      </c>
      <c r="H87" s="742">
        <f t="shared" si="7"/>
        <v>44995</v>
      </c>
      <c r="I87" s="743">
        <f t="shared" si="8"/>
        <v>22</v>
      </c>
      <c r="J87" s="743">
        <f t="shared" si="9"/>
        <v>212153</v>
      </c>
      <c r="K87" s="743">
        <f t="shared" si="10"/>
        <v>0</v>
      </c>
      <c r="L87" s="743">
        <f t="shared" si="11"/>
        <v>0</v>
      </c>
      <c r="M87" s="743">
        <f t="shared" si="12"/>
        <v>0</v>
      </c>
      <c r="N87" s="743">
        <f t="shared" si="13"/>
        <v>0</v>
      </c>
    </row>
    <row r="88" spans="1:14" ht="15.6">
      <c r="A88" s="737"/>
      <c r="B88" s="737"/>
      <c r="C88" s="737"/>
      <c r="D88" s="739">
        <v>2833</v>
      </c>
      <c r="E88" s="740">
        <v>44965</v>
      </c>
      <c r="F88" s="747">
        <v>213891</v>
      </c>
      <c r="G88" s="737">
        <v>30</v>
      </c>
      <c r="H88" s="742">
        <f t="shared" si="7"/>
        <v>44995</v>
      </c>
      <c r="I88" s="743">
        <f t="shared" si="8"/>
        <v>22</v>
      </c>
      <c r="J88" s="743">
        <f t="shared" si="9"/>
        <v>213891</v>
      </c>
      <c r="K88" s="743">
        <f t="shared" si="10"/>
        <v>0</v>
      </c>
      <c r="L88" s="743">
        <f t="shared" si="11"/>
        <v>0</v>
      </c>
      <c r="M88" s="743">
        <f t="shared" si="12"/>
        <v>0</v>
      </c>
      <c r="N88" s="743">
        <f t="shared" si="13"/>
        <v>0</v>
      </c>
    </row>
    <row r="89" spans="1:14" ht="15.6">
      <c r="A89" s="737"/>
      <c r="B89" s="737"/>
      <c r="C89" s="737"/>
      <c r="D89" s="739">
        <v>2839</v>
      </c>
      <c r="E89" s="740">
        <v>44965</v>
      </c>
      <c r="F89" s="747">
        <v>240736</v>
      </c>
      <c r="G89" s="737">
        <v>30</v>
      </c>
      <c r="H89" s="742">
        <f t="shared" si="7"/>
        <v>44995</v>
      </c>
      <c r="I89" s="743">
        <f t="shared" si="8"/>
        <v>22</v>
      </c>
      <c r="J89" s="743">
        <f t="shared" si="9"/>
        <v>240736</v>
      </c>
      <c r="K89" s="743">
        <f t="shared" si="10"/>
        <v>0</v>
      </c>
      <c r="L89" s="743">
        <f t="shared" si="11"/>
        <v>0</v>
      </c>
      <c r="M89" s="743">
        <f t="shared" si="12"/>
        <v>0</v>
      </c>
      <c r="N89" s="743">
        <f t="shared" si="13"/>
        <v>0</v>
      </c>
    </row>
    <row r="90" spans="1:14" ht="15.6">
      <c r="A90" s="737"/>
      <c r="B90" s="737"/>
      <c r="C90" s="737"/>
      <c r="D90" s="739">
        <v>2840</v>
      </c>
      <c r="E90" s="740">
        <v>44965</v>
      </c>
      <c r="F90" s="747">
        <v>190708</v>
      </c>
      <c r="G90" s="737">
        <v>30</v>
      </c>
      <c r="H90" s="742">
        <f t="shared" si="7"/>
        <v>44995</v>
      </c>
      <c r="I90" s="743">
        <f t="shared" si="8"/>
        <v>22</v>
      </c>
      <c r="J90" s="743">
        <f t="shared" si="9"/>
        <v>190708</v>
      </c>
      <c r="K90" s="743">
        <f t="shared" si="10"/>
        <v>0</v>
      </c>
      <c r="L90" s="743">
        <f t="shared" si="11"/>
        <v>0</v>
      </c>
      <c r="M90" s="743">
        <f t="shared" si="12"/>
        <v>0</v>
      </c>
      <c r="N90" s="743">
        <f t="shared" si="13"/>
        <v>0</v>
      </c>
    </row>
    <row r="91" spans="1:14" ht="15.6">
      <c r="A91" s="737"/>
      <c r="B91" s="737"/>
      <c r="C91" s="737"/>
      <c r="D91" s="739">
        <v>2841</v>
      </c>
      <c r="E91" s="740">
        <v>44965</v>
      </c>
      <c r="F91" s="747">
        <v>225393</v>
      </c>
      <c r="G91" s="737">
        <v>30</v>
      </c>
      <c r="H91" s="742">
        <f t="shared" si="7"/>
        <v>44995</v>
      </c>
      <c r="I91" s="743">
        <f t="shared" si="8"/>
        <v>22</v>
      </c>
      <c r="J91" s="743">
        <f t="shared" si="9"/>
        <v>225393</v>
      </c>
      <c r="K91" s="743">
        <f t="shared" si="10"/>
        <v>0</v>
      </c>
      <c r="L91" s="743">
        <f t="shared" si="11"/>
        <v>0</v>
      </c>
      <c r="M91" s="743">
        <f t="shared" si="12"/>
        <v>0</v>
      </c>
      <c r="N91" s="743">
        <f t="shared" si="13"/>
        <v>0</v>
      </c>
    </row>
    <row r="92" spans="1:14" ht="15.6">
      <c r="A92" s="737"/>
      <c r="B92" s="737"/>
      <c r="C92" s="737"/>
      <c r="D92" s="739">
        <v>2860</v>
      </c>
      <c r="E92" s="740">
        <v>44967</v>
      </c>
      <c r="F92" s="747">
        <v>286558</v>
      </c>
      <c r="G92" s="737">
        <v>30</v>
      </c>
      <c r="H92" s="742">
        <f t="shared" si="7"/>
        <v>44997</v>
      </c>
      <c r="I92" s="743">
        <f t="shared" si="8"/>
        <v>20</v>
      </c>
      <c r="J92" s="743">
        <f t="shared" si="9"/>
        <v>286558</v>
      </c>
      <c r="K92" s="743">
        <f t="shared" si="10"/>
        <v>0</v>
      </c>
      <c r="L92" s="743">
        <f t="shared" si="11"/>
        <v>0</v>
      </c>
      <c r="M92" s="743">
        <f t="shared" si="12"/>
        <v>0</v>
      </c>
      <c r="N92" s="743">
        <f t="shared" si="13"/>
        <v>0</v>
      </c>
    </row>
    <row r="93" spans="1:14" ht="15.6">
      <c r="A93" s="737"/>
      <c r="B93" s="737"/>
      <c r="C93" s="737"/>
      <c r="D93" s="739">
        <v>2866</v>
      </c>
      <c r="E93" s="740">
        <v>44968</v>
      </c>
      <c r="F93" s="747">
        <v>298186</v>
      </c>
      <c r="G93" s="737">
        <v>30</v>
      </c>
      <c r="H93" s="742">
        <f t="shared" si="7"/>
        <v>44998</v>
      </c>
      <c r="I93" s="743">
        <f t="shared" si="8"/>
        <v>19</v>
      </c>
      <c r="J93" s="743">
        <f t="shared" si="9"/>
        <v>298186</v>
      </c>
      <c r="K93" s="743">
        <f t="shared" si="10"/>
        <v>0</v>
      </c>
      <c r="L93" s="743">
        <f t="shared" si="11"/>
        <v>0</v>
      </c>
      <c r="M93" s="743">
        <f t="shared" si="12"/>
        <v>0</v>
      </c>
      <c r="N93" s="743">
        <f t="shared" si="13"/>
        <v>0</v>
      </c>
    </row>
    <row r="94" spans="1:14" ht="15.6">
      <c r="A94" s="737"/>
      <c r="B94" s="737"/>
      <c r="C94" s="737"/>
      <c r="D94" s="739">
        <v>2878</v>
      </c>
      <c r="E94" s="740">
        <v>44969</v>
      </c>
      <c r="F94" s="747">
        <v>233939</v>
      </c>
      <c r="G94" s="737">
        <v>30</v>
      </c>
      <c r="H94" s="742">
        <f t="shared" si="7"/>
        <v>44999</v>
      </c>
      <c r="I94" s="743">
        <f t="shared" si="8"/>
        <v>18</v>
      </c>
      <c r="J94" s="743">
        <f t="shared" si="9"/>
        <v>233939</v>
      </c>
      <c r="K94" s="743">
        <f t="shared" si="10"/>
        <v>0</v>
      </c>
      <c r="L94" s="743">
        <f t="shared" si="11"/>
        <v>0</v>
      </c>
      <c r="M94" s="743">
        <f t="shared" si="12"/>
        <v>0</v>
      </c>
      <c r="N94" s="743">
        <f t="shared" si="13"/>
        <v>0</v>
      </c>
    </row>
    <row r="95" spans="1:14" ht="15.6">
      <c r="A95" s="737"/>
      <c r="B95" s="737"/>
      <c r="C95" s="737"/>
      <c r="D95" s="739">
        <v>2881</v>
      </c>
      <c r="E95" s="740">
        <v>44970</v>
      </c>
      <c r="F95" s="747">
        <v>207338</v>
      </c>
      <c r="G95" s="737">
        <v>30</v>
      </c>
      <c r="H95" s="742">
        <f t="shared" si="7"/>
        <v>45000</v>
      </c>
      <c r="I95" s="743">
        <f t="shared" si="8"/>
        <v>17</v>
      </c>
      <c r="J95" s="743">
        <f t="shared" si="9"/>
        <v>207338</v>
      </c>
      <c r="K95" s="743">
        <f t="shared" si="10"/>
        <v>0</v>
      </c>
      <c r="L95" s="743">
        <f t="shared" si="11"/>
        <v>0</v>
      </c>
      <c r="M95" s="743">
        <f t="shared" si="12"/>
        <v>0</v>
      </c>
      <c r="N95" s="743">
        <f t="shared" si="13"/>
        <v>0</v>
      </c>
    </row>
    <row r="96" spans="1:14" ht="15.6">
      <c r="A96" s="737"/>
      <c r="B96" s="737"/>
      <c r="C96" s="737"/>
      <c r="D96" s="739">
        <v>2888</v>
      </c>
      <c r="E96" s="740">
        <v>44971</v>
      </c>
      <c r="F96" s="747">
        <v>228407</v>
      </c>
      <c r="G96" s="737">
        <v>30</v>
      </c>
      <c r="H96" s="742">
        <f t="shared" si="7"/>
        <v>45001</v>
      </c>
      <c r="I96" s="743">
        <f t="shared" si="8"/>
        <v>16</v>
      </c>
      <c r="J96" s="743">
        <f t="shared" si="9"/>
        <v>228407</v>
      </c>
      <c r="K96" s="743">
        <f t="shared" si="10"/>
        <v>0</v>
      </c>
      <c r="L96" s="743">
        <f t="shared" si="11"/>
        <v>0</v>
      </c>
      <c r="M96" s="743">
        <f t="shared" si="12"/>
        <v>0</v>
      </c>
      <c r="N96" s="743">
        <f t="shared" si="13"/>
        <v>0</v>
      </c>
    </row>
    <row r="97" spans="1:14" ht="15.6">
      <c r="A97" s="737"/>
      <c r="B97" s="737"/>
      <c r="C97" s="737"/>
      <c r="D97" s="739">
        <v>2895</v>
      </c>
      <c r="E97" s="740">
        <v>44971</v>
      </c>
      <c r="F97" s="747">
        <v>275522</v>
      </c>
      <c r="G97" s="737">
        <v>30</v>
      </c>
      <c r="H97" s="742">
        <f t="shared" si="7"/>
        <v>45001</v>
      </c>
      <c r="I97" s="743">
        <f t="shared" si="8"/>
        <v>16</v>
      </c>
      <c r="J97" s="743">
        <f t="shared" si="9"/>
        <v>275522</v>
      </c>
      <c r="K97" s="743">
        <f t="shared" si="10"/>
        <v>0</v>
      </c>
      <c r="L97" s="743">
        <f t="shared" si="11"/>
        <v>0</v>
      </c>
      <c r="M97" s="743">
        <f t="shared" si="12"/>
        <v>0</v>
      </c>
      <c r="N97" s="743">
        <f t="shared" si="13"/>
        <v>0</v>
      </c>
    </row>
    <row r="98" spans="1:14" ht="15.6">
      <c r="A98" s="737"/>
      <c r="B98" s="737"/>
      <c r="C98" s="737"/>
      <c r="D98" s="749">
        <v>2901</v>
      </c>
      <c r="E98" s="750">
        <v>44972</v>
      </c>
      <c r="F98" s="747">
        <v>242145</v>
      </c>
      <c r="G98" s="737">
        <v>30</v>
      </c>
      <c r="H98" s="742">
        <f t="shared" si="7"/>
        <v>45002</v>
      </c>
      <c r="I98" s="743">
        <f t="shared" si="8"/>
        <v>15</v>
      </c>
      <c r="J98" s="743">
        <f t="shared" si="9"/>
        <v>242145</v>
      </c>
      <c r="K98" s="743">
        <f t="shared" si="10"/>
        <v>0</v>
      </c>
      <c r="L98" s="743">
        <f t="shared" si="11"/>
        <v>0</v>
      </c>
      <c r="M98" s="743">
        <f t="shared" si="12"/>
        <v>0</v>
      </c>
      <c r="N98" s="743">
        <f t="shared" si="13"/>
        <v>0</v>
      </c>
    </row>
    <row r="99" spans="1:14" ht="15.6">
      <c r="A99" s="737"/>
      <c r="B99" s="737"/>
      <c r="C99" s="737"/>
      <c r="D99" s="739">
        <v>2906</v>
      </c>
      <c r="E99" s="740">
        <v>44973</v>
      </c>
      <c r="F99" s="747">
        <v>231266</v>
      </c>
      <c r="G99" s="737">
        <v>30</v>
      </c>
      <c r="H99" s="742">
        <f t="shared" si="7"/>
        <v>45003</v>
      </c>
      <c r="I99" s="743">
        <f t="shared" si="8"/>
        <v>14</v>
      </c>
      <c r="J99" s="743">
        <f t="shared" si="9"/>
        <v>231266</v>
      </c>
      <c r="K99" s="743">
        <f t="shared" si="10"/>
        <v>0</v>
      </c>
      <c r="L99" s="743">
        <f t="shared" si="11"/>
        <v>0</v>
      </c>
      <c r="M99" s="743">
        <f t="shared" si="12"/>
        <v>0</v>
      </c>
      <c r="N99" s="743">
        <f t="shared" si="13"/>
        <v>0</v>
      </c>
    </row>
    <row r="100" spans="1:14" ht="15.6">
      <c r="A100" s="737"/>
      <c r="B100" s="737"/>
      <c r="C100" s="737"/>
      <c r="D100" s="739">
        <v>2907</v>
      </c>
      <c r="E100" s="740">
        <v>44973</v>
      </c>
      <c r="F100" s="747">
        <v>205533</v>
      </c>
      <c r="G100" s="737">
        <v>30</v>
      </c>
      <c r="H100" s="742">
        <f t="shared" si="7"/>
        <v>45003</v>
      </c>
      <c r="I100" s="743">
        <f t="shared" si="8"/>
        <v>14</v>
      </c>
      <c r="J100" s="743">
        <f t="shared" si="9"/>
        <v>205533</v>
      </c>
      <c r="K100" s="743">
        <f t="shared" si="10"/>
        <v>0</v>
      </c>
      <c r="L100" s="743">
        <f t="shared" si="11"/>
        <v>0</v>
      </c>
      <c r="M100" s="743">
        <f t="shared" si="12"/>
        <v>0</v>
      </c>
      <c r="N100" s="743">
        <f t="shared" si="13"/>
        <v>0</v>
      </c>
    </row>
    <row r="101" spans="1:14" ht="15.6">
      <c r="A101" s="737"/>
      <c r="B101" s="737"/>
      <c r="C101" s="737"/>
      <c r="D101" s="739">
        <v>2908</v>
      </c>
      <c r="E101" s="740">
        <v>44973</v>
      </c>
      <c r="F101" s="747">
        <v>233163</v>
      </c>
      <c r="G101" s="737">
        <v>30</v>
      </c>
      <c r="H101" s="742">
        <f t="shared" si="7"/>
        <v>45003</v>
      </c>
      <c r="I101" s="743">
        <f t="shared" si="8"/>
        <v>14</v>
      </c>
      <c r="J101" s="743">
        <f t="shared" si="9"/>
        <v>233163</v>
      </c>
      <c r="K101" s="743">
        <f t="shared" si="10"/>
        <v>0</v>
      </c>
      <c r="L101" s="743">
        <f t="shared" si="11"/>
        <v>0</v>
      </c>
      <c r="M101" s="743">
        <f t="shared" si="12"/>
        <v>0</v>
      </c>
      <c r="N101" s="743">
        <f t="shared" si="13"/>
        <v>0</v>
      </c>
    </row>
    <row r="102" spans="1:14" ht="15.6">
      <c r="A102" s="737"/>
      <c r="B102" s="737"/>
      <c r="C102" s="737"/>
      <c r="D102" s="739">
        <v>2915</v>
      </c>
      <c r="E102" s="740">
        <v>44973</v>
      </c>
      <c r="F102" s="747">
        <v>275637</v>
      </c>
      <c r="G102" s="737">
        <v>30</v>
      </c>
      <c r="H102" s="742">
        <f t="shared" si="7"/>
        <v>45003</v>
      </c>
      <c r="I102" s="743">
        <f t="shared" si="8"/>
        <v>14</v>
      </c>
      <c r="J102" s="743">
        <f t="shared" si="9"/>
        <v>275637</v>
      </c>
      <c r="K102" s="743">
        <f t="shared" si="10"/>
        <v>0</v>
      </c>
      <c r="L102" s="743">
        <f t="shared" si="11"/>
        <v>0</v>
      </c>
      <c r="M102" s="743">
        <f t="shared" si="12"/>
        <v>0</v>
      </c>
      <c r="N102" s="743">
        <f t="shared" si="13"/>
        <v>0</v>
      </c>
    </row>
    <row r="103" spans="1:14" ht="15.6">
      <c r="A103" s="737"/>
      <c r="B103" s="737"/>
      <c r="C103" s="737"/>
      <c r="D103" s="739">
        <v>2918</v>
      </c>
      <c r="E103" s="740">
        <v>44973</v>
      </c>
      <c r="F103" s="747">
        <v>301742</v>
      </c>
      <c r="G103" s="737">
        <v>30</v>
      </c>
      <c r="H103" s="742">
        <f t="shared" si="7"/>
        <v>45003</v>
      </c>
      <c r="I103" s="743">
        <f t="shared" si="8"/>
        <v>14</v>
      </c>
      <c r="J103" s="743">
        <f t="shared" si="9"/>
        <v>301742</v>
      </c>
      <c r="K103" s="743">
        <f t="shared" si="10"/>
        <v>0</v>
      </c>
      <c r="L103" s="743">
        <f t="shared" si="11"/>
        <v>0</v>
      </c>
      <c r="M103" s="743">
        <f t="shared" si="12"/>
        <v>0</v>
      </c>
      <c r="N103" s="743">
        <f t="shared" si="13"/>
        <v>0</v>
      </c>
    </row>
    <row r="104" spans="1:14" ht="15.6">
      <c r="A104" s="737"/>
      <c r="B104" s="737"/>
      <c r="C104" s="737"/>
      <c r="D104" s="739">
        <v>2921</v>
      </c>
      <c r="E104" s="740">
        <v>44974</v>
      </c>
      <c r="F104" s="747">
        <v>240820</v>
      </c>
      <c r="G104" s="737">
        <v>30</v>
      </c>
      <c r="H104" s="742">
        <f t="shared" si="7"/>
        <v>45004</v>
      </c>
      <c r="I104" s="743">
        <f t="shared" si="8"/>
        <v>13</v>
      </c>
      <c r="J104" s="743">
        <f t="shared" si="9"/>
        <v>240820</v>
      </c>
      <c r="K104" s="743">
        <f t="shared" si="10"/>
        <v>0</v>
      </c>
      <c r="L104" s="743">
        <f t="shared" si="11"/>
        <v>0</v>
      </c>
      <c r="M104" s="743">
        <f t="shared" si="12"/>
        <v>0</v>
      </c>
      <c r="N104" s="743">
        <f t="shared" si="13"/>
        <v>0</v>
      </c>
    </row>
    <row r="105" spans="1:14" ht="15.6">
      <c r="A105" s="737"/>
      <c r="B105" s="737"/>
      <c r="C105" s="737"/>
      <c r="D105" s="739">
        <v>2925</v>
      </c>
      <c r="E105" s="740">
        <v>44974</v>
      </c>
      <c r="F105" s="747">
        <v>222063</v>
      </c>
      <c r="G105" s="737">
        <v>30</v>
      </c>
      <c r="H105" s="742">
        <f t="shared" si="7"/>
        <v>45004</v>
      </c>
      <c r="I105" s="743">
        <f t="shared" si="8"/>
        <v>13</v>
      </c>
      <c r="J105" s="743">
        <f t="shared" si="9"/>
        <v>222063</v>
      </c>
      <c r="K105" s="743">
        <f t="shared" si="10"/>
        <v>0</v>
      </c>
      <c r="L105" s="743">
        <f t="shared" si="11"/>
        <v>0</v>
      </c>
      <c r="M105" s="743">
        <f t="shared" si="12"/>
        <v>0</v>
      </c>
      <c r="N105" s="743">
        <f t="shared" si="13"/>
        <v>0</v>
      </c>
    </row>
    <row r="106" spans="1:14" ht="15.6">
      <c r="A106" s="737"/>
      <c r="B106" s="737"/>
      <c r="C106" s="737"/>
      <c r="D106" s="739">
        <v>2927</v>
      </c>
      <c r="E106" s="740">
        <v>44974</v>
      </c>
      <c r="F106" s="747">
        <v>225981</v>
      </c>
      <c r="G106" s="737">
        <v>30</v>
      </c>
      <c r="H106" s="742">
        <f t="shared" si="7"/>
        <v>45004</v>
      </c>
      <c r="I106" s="743">
        <f t="shared" si="8"/>
        <v>13</v>
      </c>
      <c r="J106" s="743">
        <f t="shared" si="9"/>
        <v>225981</v>
      </c>
      <c r="K106" s="743">
        <f t="shared" si="10"/>
        <v>0</v>
      </c>
      <c r="L106" s="743">
        <f t="shared" si="11"/>
        <v>0</v>
      </c>
      <c r="M106" s="743">
        <f t="shared" si="12"/>
        <v>0</v>
      </c>
      <c r="N106" s="743">
        <f t="shared" si="13"/>
        <v>0</v>
      </c>
    </row>
    <row r="107" spans="1:14" ht="15.6">
      <c r="A107" s="737"/>
      <c r="B107" s="737"/>
      <c r="C107" s="737"/>
      <c r="D107" s="739">
        <v>2931</v>
      </c>
      <c r="E107" s="740">
        <v>44974</v>
      </c>
      <c r="F107" s="747">
        <v>280910</v>
      </c>
      <c r="G107" s="737">
        <v>30</v>
      </c>
      <c r="H107" s="742">
        <f t="shared" si="7"/>
        <v>45004</v>
      </c>
      <c r="I107" s="743">
        <f t="shared" si="8"/>
        <v>13</v>
      </c>
      <c r="J107" s="743">
        <f t="shared" si="9"/>
        <v>280910</v>
      </c>
      <c r="K107" s="743">
        <f t="shared" si="10"/>
        <v>0</v>
      </c>
      <c r="L107" s="743">
        <f t="shared" si="11"/>
        <v>0</v>
      </c>
      <c r="M107" s="743">
        <f t="shared" si="12"/>
        <v>0</v>
      </c>
      <c r="N107" s="743">
        <f t="shared" si="13"/>
        <v>0</v>
      </c>
    </row>
    <row r="108" spans="1:14" ht="15.6">
      <c r="A108" s="737"/>
      <c r="B108" s="737"/>
      <c r="C108" s="737"/>
      <c r="D108" s="739">
        <v>2936</v>
      </c>
      <c r="E108" s="740">
        <v>44975</v>
      </c>
      <c r="F108" s="747">
        <v>199863</v>
      </c>
      <c r="G108" s="737">
        <v>30</v>
      </c>
      <c r="H108" s="742">
        <f t="shared" si="7"/>
        <v>45005</v>
      </c>
      <c r="I108" s="743">
        <f t="shared" si="8"/>
        <v>12</v>
      </c>
      <c r="J108" s="743">
        <f t="shared" si="9"/>
        <v>199863</v>
      </c>
      <c r="K108" s="743">
        <f t="shared" si="10"/>
        <v>0</v>
      </c>
      <c r="L108" s="743">
        <f t="shared" si="11"/>
        <v>0</v>
      </c>
      <c r="M108" s="743">
        <f t="shared" si="12"/>
        <v>0</v>
      </c>
      <c r="N108" s="743">
        <f t="shared" si="13"/>
        <v>0</v>
      </c>
    </row>
    <row r="109" spans="1:14" ht="15.6">
      <c r="A109" s="737"/>
      <c r="B109" s="737"/>
      <c r="C109" s="737"/>
      <c r="D109" s="739">
        <v>2939</v>
      </c>
      <c r="E109" s="740">
        <v>44975</v>
      </c>
      <c r="F109" s="747">
        <v>222978</v>
      </c>
      <c r="G109" s="737">
        <v>30</v>
      </c>
      <c r="H109" s="742">
        <f t="shared" si="7"/>
        <v>45005</v>
      </c>
      <c r="I109" s="743">
        <f t="shared" si="8"/>
        <v>12</v>
      </c>
      <c r="J109" s="743">
        <f t="shared" si="9"/>
        <v>222978</v>
      </c>
      <c r="K109" s="743">
        <f t="shared" si="10"/>
        <v>0</v>
      </c>
      <c r="L109" s="743">
        <f t="shared" si="11"/>
        <v>0</v>
      </c>
      <c r="M109" s="743">
        <f t="shared" si="12"/>
        <v>0</v>
      </c>
      <c r="N109" s="743">
        <f t="shared" si="13"/>
        <v>0</v>
      </c>
    </row>
    <row r="110" spans="1:14" ht="15.6">
      <c r="A110" s="737"/>
      <c r="B110" s="737"/>
      <c r="C110" s="737"/>
      <c r="D110" s="739">
        <v>2941</v>
      </c>
      <c r="E110" s="740">
        <v>44975</v>
      </c>
      <c r="F110" s="747">
        <v>226138</v>
      </c>
      <c r="G110" s="737">
        <v>30</v>
      </c>
      <c r="H110" s="742">
        <f t="shared" si="7"/>
        <v>45005</v>
      </c>
      <c r="I110" s="743">
        <f t="shared" si="8"/>
        <v>12</v>
      </c>
      <c r="J110" s="743">
        <f t="shared" si="9"/>
        <v>226138</v>
      </c>
      <c r="K110" s="743">
        <f t="shared" si="10"/>
        <v>0</v>
      </c>
      <c r="L110" s="743">
        <f t="shared" si="11"/>
        <v>0</v>
      </c>
      <c r="M110" s="743">
        <f t="shared" si="12"/>
        <v>0</v>
      </c>
      <c r="N110" s="743">
        <f t="shared" si="13"/>
        <v>0</v>
      </c>
    </row>
    <row r="111" spans="1:14" ht="15.6">
      <c r="A111" s="737"/>
      <c r="B111" s="737"/>
      <c r="C111" s="737"/>
      <c r="D111" s="739">
        <v>2950</v>
      </c>
      <c r="E111" s="740">
        <v>44977</v>
      </c>
      <c r="F111" s="747">
        <v>273124</v>
      </c>
      <c r="G111" s="737">
        <v>30</v>
      </c>
      <c r="H111" s="742">
        <f t="shared" si="7"/>
        <v>45007</v>
      </c>
      <c r="I111" s="743">
        <f t="shared" si="8"/>
        <v>10</v>
      </c>
      <c r="J111" s="743">
        <f t="shared" si="9"/>
        <v>273124</v>
      </c>
      <c r="K111" s="743">
        <f t="shared" si="10"/>
        <v>0</v>
      </c>
      <c r="L111" s="743">
        <f t="shared" si="11"/>
        <v>0</v>
      </c>
      <c r="M111" s="743">
        <f t="shared" si="12"/>
        <v>0</v>
      </c>
      <c r="N111" s="743">
        <f t="shared" si="13"/>
        <v>0</v>
      </c>
    </row>
    <row r="112" spans="1:14" ht="15.6">
      <c r="A112" s="737"/>
      <c r="B112" s="737"/>
      <c r="C112" s="737"/>
      <c r="D112" s="739">
        <v>2971</v>
      </c>
      <c r="E112" s="740">
        <v>44978</v>
      </c>
      <c r="F112" s="747">
        <v>267183</v>
      </c>
      <c r="G112" s="737">
        <v>30</v>
      </c>
      <c r="H112" s="742">
        <f t="shared" si="7"/>
        <v>45008</v>
      </c>
      <c r="I112" s="743">
        <f t="shared" si="8"/>
        <v>9</v>
      </c>
      <c r="J112" s="743">
        <f t="shared" si="9"/>
        <v>267183</v>
      </c>
      <c r="K112" s="743">
        <f t="shared" si="10"/>
        <v>0</v>
      </c>
      <c r="L112" s="743">
        <f t="shared" si="11"/>
        <v>0</v>
      </c>
      <c r="M112" s="743">
        <f t="shared" si="12"/>
        <v>0</v>
      </c>
      <c r="N112" s="743">
        <f t="shared" si="13"/>
        <v>0</v>
      </c>
    </row>
    <row r="113" spans="1:14" ht="15.6">
      <c r="A113" s="737"/>
      <c r="B113" s="737"/>
      <c r="C113" s="737"/>
      <c r="D113" s="739">
        <v>2987</v>
      </c>
      <c r="E113" s="740">
        <v>44980</v>
      </c>
      <c r="F113" s="747">
        <v>207891</v>
      </c>
      <c r="G113" s="737">
        <v>30</v>
      </c>
      <c r="H113" s="742">
        <f t="shared" si="7"/>
        <v>45010</v>
      </c>
      <c r="I113" s="743">
        <f t="shared" si="8"/>
        <v>7</v>
      </c>
      <c r="J113" s="743">
        <f t="shared" si="9"/>
        <v>207891</v>
      </c>
      <c r="K113" s="743">
        <f t="shared" si="10"/>
        <v>0</v>
      </c>
      <c r="L113" s="743">
        <f t="shared" si="11"/>
        <v>0</v>
      </c>
      <c r="M113" s="743">
        <f t="shared" si="12"/>
        <v>0</v>
      </c>
      <c r="N113" s="743">
        <f t="shared" si="13"/>
        <v>0</v>
      </c>
    </row>
    <row r="114" spans="1:14" ht="15.6">
      <c r="A114" s="737"/>
      <c r="B114" s="737"/>
      <c r="C114" s="737"/>
      <c r="D114" s="739">
        <v>2990</v>
      </c>
      <c r="E114" s="740">
        <v>44980</v>
      </c>
      <c r="F114" s="747">
        <v>209810</v>
      </c>
      <c r="G114" s="737">
        <v>30</v>
      </c>
      <c r="H114" s="742">
        <f t="shared" si="7"/>
        <v>45010</v>
      </c>
      <c r="I114" s="743">
        <f t="shared" si="8"/>
        <v>7</v>
      </c>
      <c r="J114" s="743">
        <f t="shared" si="9"/>
        <v>209810</v>
      </c>
      <c r="K114" s="743">
        <f t="shared" si="10"/>
        <v>0</v>
      </c>
      <c r="L114" s="743">
        <f t="shared" si="11"/>
        <v>0</v>
      </c>
      <c r="M114" s="743">
        <f t="shared" si="12"/>
        <v>0</v>
      </c>
      <c r="N114" s="743">
        <f t="shared" si="13"/>
        <v>0</v>
      </c>
    </row>
    <row r="115" spans="1:14" ht="15.6">
      <c r="A115" s="737"/>
      <c r="B115" s="737"/>
      <c r="C115" s="737"/>
      <c r="D115" s="739">
        <v>2997</v>
      </c>
      <c r="E115" s="740">
        <v>44980</v>
      </c>
      <c r="F115" s="747">
        <v>194137</v>
      </c>
      <c r="G115" s="737">
        <v>30</v>
      </c>
      <c r="H115" s="742">
        <f t="shared" si="7"/>
        <v>45010</v>
      </c>
      <c r="I115" s="743">
        <f t="shared" si="8"/>
        <v>7</v>
      </c>
      <c r="J115" s="743">
        <f t="shared" si="9"/>
        <v>194137</v>
      </c>
      <c r="K115" s="743">
        <f t="shared" si="10"/>
        <v>0</v>
      </c>
      <c r="L115" s="743">
        <f t="shared" si="11"/>
        <v>0</v>
      </c>
      <c r="M115" s="743">
        <f t="shared" si="12"/>
        <v>0</v>
      </c>
      <c r="N115" s="743">
        <f t="shared" si="13"/>
        <v>0</v>
      </c>
    </row>
    <row r="116" spans="1:14" ht="15.6">
      <c r="A116" s="737"/>
      <c r="B116" s="737"/>
      <c r="C116" s="737"/>
      <c r="D116" s="739">
        <v>2998</v>
      </c>
      <c r="E116" s="740">
        <v>44980</v>
      </c>
      <c r="F116" s="747">
        <v>243621</v>
      </c>
      <c r="G116" s="737">
        <v>30</v>
      </c>
      <c r="H116" s="742">
        <f t="shared" si="7"/>
        <v>45010</v>
      </c>
      <c r="I116" s="743">
        <f t="shared" si="8"/>
        <v>7</v>
      </c>
      <c r="J116" s="743">
        <f t="shared" si="9"/>
        <v>243621</v>
      </c>
      <c r="K116" s="743">
        <f t="shared" si="10"/>
        <v>0</v>
      </c>
      <c r="L116" s="743">
        <f t="shared" si="11"/>
        <v>0</v>
      </c>
      <c r="M116" s="743">
        <f t="shared" si="12"/>
        <v>0</v>
      </c>
      <c r="N116" s="743">
        <f t="shared" si="13"/>
        <v>0</v>
      </c>
    </row>
    <row r="117" spans="1:14" ht="15.6">
      <c r="A117" s="737"/>
      <c r="B117" s="737"/>
      <c r="C117" s="737"/>
      <c r="D117" s="739">
        <v>3000</v>
      </c>
      <c r="E117" s="740">
        <v>44981</v>
      </c>
      <c r="F117" s="747">
        <v>241028</v>
      </c>
      <c r="G117" s="737">
        <v>30</v>
      </c>
      <c r="H117" s="742">
        <f t="shared" si="7"/>
        <v>45011</v>
      </c>
      <c r="I117" s="743">
        <f t="shared" si="8"/>
        <v>6</v>
      </c>
      <c r="J117" s="743">
        <f t="shared" si="9"/>
        <v>241028</v>
      </c>
      <c r="K117" s="743">
        <f t="shared" si="10"/>
        <v>0</v>
      </c>
      <c r="L117" s="743">
        <f t="shared" si="11"/>
        <v>0</v>
      </c>
      <c r="M117" s="743">
        <f t="shared" si="12"/>
        <v>0</v>
      </c>
      <c r="N117" s="743">
        <f t="shared" si="13"/>
        <v>0</v>
      </c>
    </row>
    <row r="118" spans="1:14" ht="15.6">
      <c r="A118" s="737"/>
      <c r="B118" s="737"/>
      <c r="C118" s="737"/>
      <c r="D118" s="739">
        <v>3001</v>
      </c>
      <c r="E118" s="740">
        <v>44981</v>
      </c>
      <c r="F118" s="747">
        <v>197436</v>
      </c>
      <c r="G118" s="737">
        <v>30</v>
      </c>
      <c r="H118" s="742">
        <f t="shared" si="7"/>
        <v>45011</v>
      </c>
      <c r="I118" s="743">
        <f t="shared" si="8"/>
        <v>6</v>
      </c>
      <c r="J118" s="743">
        <f t="shared" si="9"/>
        <v>197436</v>
      </c>
      <c r="K118" s="743">
        <f t="shared" si="10"/>
        <v>0</v>
      </c>
      <c r="L118" s="743">
        <f t="shared" si="11"/>
        <v>0</v>
      </c>
      <c r="M118" s="743">
        <f t="shared" si="12"/>
        <v>0</v>
      </c>
      <c r="N118" s="743">
        <f t="shared" si="13"/>
        <v>0</v>
      </c>
    </row>
    <row r="119" spans="1:14" ht="15.6">
      <c r="A119" s="737"/>
      <c r="B119" s="737"/>
      <c r="C119" s="737"/>
      <c r="D119" s="739">
        <v>3004</v>
      </c>
      <c r="E119" s="740">
        <v>44981</v>
      </c>
      <c r="F119" s="747">
        <v>224250</v>
      </c>
      <c r="G119" s="737">
        <v>30</v>
      </c>
      <c r="H119" s="742">
        <f t="shared" si="7"/>
        <v>45011</v>
      </c>
      <c r="I119" s="743">
        <f t="shared" si="8"/>
        <v>6</v>
      </c>
      <c r="J119" s="743">
        <f t="shared" si="9"/>
        <v>224250</v>
      </c>
      <c r="K119" s="743">
        <f t="shared" si="10"/>
        <v>0</v>
      </c>
      <c r="L119" s="743">
        <f t="shared" si="11"/>
        <v>0</v>
      </c>
      <c r="M119" s="743">
        <f t="shared" si="12"/>
        <v>0</v>
      </c>
      <c r="N119" s="743">
        <f t="shared" si="13"/>
        <v>0</v>
      </c>
    </row>
    <row r="120" spans="1:14" ht="15.6">
      <c r="A120" s="737"/>
      <c r="B120" s="737"/>
      <c r="C120" s="737"/>
      <c r="D120" s="739">
        <v>3005</v>
      </c>
      <c r="E120" s="740">
        <v>44981</v>
      </c>
      <c r="F120" s="747">
        <v>227577</v>
      </c>
      <c r="G120" s="737">
        <v>30</v>
      </c>
      <c r="H120" s="742">
        <f t="shared" si="7"/>
        <v>45011</v>
      </c>
      <c r="I120" s="743">
        <f t="shared" si="8"/>
        <v>6</v>
      </c>
      <c r="J120" s="743">
        <f t="shared" si="9"/>
        <v>227577</v>
      </c>
      <c r="K120" s="743">
        <f t="shared" si="10"/>
        <v>0</v>
      </c>
      <c r="L120" s="743">
        <f t="shared" si="11"/>
        <v>0</v>
      </c>
      <c r="M120" s="743">
        <f t="shared" si="12"/>
        <v>0</v>
      </c>
      <c r="N120" s="743">
        <f t="shared" si="13"/>
        <v>0</v>
      </c>
    </row>
    <row r="121" spans="1:14" ht="15.6">
      <c r="A121" s="737"/>
      <c r="B121" s="737"/>
      <c r="C121" s="737"/>
      <c r="D121" s="739">
        <v>3006</v>
      </c>
      <c r="E121" s="740">
        <v>44981</v>
      </c>
      <c r="F121" s="747">
        <v>211758</v>
      </c>
      <c r="G121" s="737">
        <v>30</v>
      </c>
      <c r="H121" s="742">
        <f t="shared" si="7"/>
        <v>45011</v>
      </c>
      <c r="I121" s="743">
        <f t="shared" si="8"/>
        <v>6</v>
      </c>
      <c r="J121" s="743">
        <f t="shared" si="9"/>
        <v>211758</v>
      </c>
      <c r="K121" s="743">
        <f t="shared" si="10"/>
        <v>0</v>
      </c>
      <c r="L121" s="743">
        <f t="shared" si="11"/>
        <v>0</v>
      </c>
      <c r="M121" s="743">
        <f t="shared" si="12"/>
        <v>0</v>
      </c>
      <c r="N121" s="743">
        <f t="shared" si="13"/>
        <v>0</v>
      </c>
    </row>
    <row r="122" spans="1:14" ht="15.6">
      <c r="A122" s="737"/>
      <c r="B122" s="737"/>
      <c r="C122" s="737"/>
      <c r="D122" s="739">
        <v>3008</v>
      </c>
      <c r="E122" s="740">
        <v>44982</v>
      </c>
      <c r="F122" s="747">
        <v>256352</v>
      </c>
      <c r="G122" s="737">
        <v>30</v>
      </c>
      <c r="H122" s="742">
        <f t="shared" si="7"/>
        <v>45012</v>
      </c>
      <c r="I122" s="743">
        <f t="shared" si="8"/>
        <v>5</v>
      </c>
      <c r="J122" s="743">
        <f t="shared" si="9"/>
        <v>256352</v>
      </c>
      <c r="K122" s="743">
        <f t="shared" si="10"/>
        <v>0</v>
      </c>
      <c r="L122" s="743">
        <f t="shared" si="11"/>
        <v>0</v>
      </c>
      <c r="M122" s="743">
        <f t="shared" si="12"/>
        <v>0</v>
      </c>
      <c r="N122" s="743">
        <f t="shared" si="13"/>
        <v>0</v>
      </c>
    </row>
    <row r="123" spans="1:14" ht="15.6">
      <c r="A123" s="737"/>
      <c r="B123" s="737"/>
      <c r="C123" s="737"/>
      <c r="D123" s="739">
        <v>3016</v>
      </c>
      <c r="E123" s="740">
        <v>44983</v>
      </c>
      <c r="F123" s="747">
        <v>260540</v>
      </c>
      <c r="G123" s="737">
        <v>30</v>
      </c>
      <c r="H123" s="742">
        <f t="shared" si="7"/>
        <v>45013</v>
      </c>
      <c r="I123" s="743">
        <f t="shared" si="8"/>
        <v>4</v>
      </c>
      <c r="J123" s="743">
        <f t="shared" si="9"/>
        <v>260540</v>
      </c>
      <c r="K123" s="743">
        <f t="shared" si="10"/>
        <v>0</v>
      </c>
      <c r="L123" s="743">
        <f t="shared" si="11"/>
        <v>0</v>
      </c>
      <c r="M123" s="743">
        <f t="shared" si="12"/>
        <v>0</v>
      </c>
      <c r="N123" s="743">
        <f t="shared" si="13"/>
        <v>0</v>
      </c>
    </row>
    <row r="124" spans="1:14" ht="15.6">
      <c r="A124" s="737"/>
      <c r="B124" s="737"/>
      <c r="C124" s="737"/>
      <c r="D124" s="739">
        <v>3022</v>
      </c>
      <c r="E124" s="740">
        <v>44984</v>
      </c>
      <c r="F124" s="747">
        <v>217079</v>
      </c>
      <c r="G124" s="737">
        <v>30</v>
      </c>
      <c r="H124" s="742">
        <f t="shared" si="7"/>
        <v>45014</v>
      </c>
      <c r="I124" s="743">
        <f t="shared" si="8"/>
        <v>3</v>
      </c>
      <c r="J124" s="743">
        <f t="shared" si="9"/>
        <v>217079</v>
      </c>
      <c r="K124" s="743">
        <f t="shared" si="10"/>
        <v>0</v>
      </c>
      <c r="L124" s="743">
        <f t="shared" si="11"/>
        <v>0</v>
      </c>
      <c r="M124" s="743">
        <f t="shared" si="12"/>
        <v>0</v>
      </c>
      <c r="N124" s="743">
        <f t="shared" si="13"/>
        <v>0</v>
      </c>
    </row>
    <row r="125" spans="1:14" ht="15.6">
      <c r="A125" s="737"/>
      <c r="B125" s="737"/>
      <c r="C125" s="737"/>
      <c r="D125" s="739">
        <v>3023</v>
      </c>
      <c r="E125" s="740">
        <v>44984</v>
      </c>
      <c r="F125" s="747">
        <v>211570</v>
      </c>
      <c r="G125" s="737">
        <v>30</v>
      </c>
      <c r="H125" s="742">
        <f t="shared" si="7"/>
        <v>45014</v>
      </c>
      <c r="I125" s="743">
        <f t="shared" si="8"/>
        <v>3</v>
      </c>
      <c r="J125" s="743">
        <f t="shared" si="9"/>
        <v>211570</v>
      </c>
      <c r="K125" s="743">
        <f t="shared" si="10"/>
        <v>0</v>
      </c>
      <c r="L125" s="743">
        <f t="shared" si="11"/>
        <v>0</v>
      </c>
      <c r="M125" s="743">
        <f t="shared" si="12"/>
        <v>0</v>
      </c>
      <c r="N125" s="743">
        <f t="shared" si="13"/>
        <v>0</v>
      </c>
    </row>
    <row r="126" spans="1:14" ht="15.6">
      <c r="A126" s="737"/>
      <c r="B126" s="737"/>
      <c r="C126" s="737"/>
      <c r="D126" s="739">
        <v>3026</v>
      </c>
      <c r="E126" s="740">
        <v>44985</v>
      </c>
      <c r="F126" s="747">
        <v>180604</v>
      </c>
      <c r="G126" s="737">
        <v>30</v>
      </c>
      <c r="H126" s="742">
        <f t="shared" si="7"/>
        <v>45015</v>
      </c>
      <c r="I126" s="743">
        <f t="shared" si="8"/>
        <v>2</v>
      </c>
      <c r="J126" s="743">
        <f t="shared" si="9"/>
        <v>180604</v>
      </c>
      <c r="K126" s="743">
        <f t="shared" si="10"/>
        <v>0</v>
      </c>
      <c r="L126" s="743">
        <f t="shared" si="11"/>
        <v>0</v>
      </c>
      <c r="M126" s="743">
        <f t="shared" si="12"/>
        <v>0</v>
      </c>
      <c r="N126" s="743">
        <f t="shared" si="13"/>
        <v>0</v>
      </c>
    </row>
    <row r="127" spans="1:14" ht="15.6">
      <c r="A127" s="737"/>
      <c r="B127" s="737"/>
      <c r="C127" s="737"/>
      <c r="D127" s="739">
        <v>3027</v>
      </c>
      <c r="E127" s="740">
        <v>44985</v>
      </c>
      <c r="F127" s="747">
        <v>226783</v>
      </c>
      <c r="G127" s="737">
        <v>30</v>
      </c>
      <c r="H127" s="742">
        <f t="shared" si="7"/>
        <v>45015</v>
      </c>
      <c r="I127" s="743">
        <f t="shared" si="8"/>
        <v>2</v>
      </c>
      <c r="J127" s="743">
        <f t="shared" si="9"/>
        <v>226783</v>
      </c>
      <c r="K127" s="743">
        <f t="shared" si="10"/>
        <v>0</v>
      </c>
      <c r="L127" s="743">
        <f t="shared" si="11"/>
        <v>0</v>
      </c>
      <c r="M127" s="743">
        <f t="shared" si="12"/>
        <v>0</v>
      </c>
      <c r="N127" s="743">
        <f t="shared" si="13"/>
        <v>0</v>
      </c>
    </row>
    <row r="128" spans="1:14" ht="15.6">
      <c r="A128" s="737"/>
      <c r="B128" s="737"/>
      <c r="C128" s="737"/>
      <c r="D128" s="739">
        <v>3031</v>
      </c>
      <c r="E128" s="740">
        <v>44985</v>
      </c>
      <c r="F128" s="747">
        <v>243208</v>
      </c>
      <c r="G128" s="737">
        <v>30</v>
      </c>
      <c r="H128" s="742">
        <f t="shared" si="7"/>
        <v>45015</v>
      </c>
      <c r="I128" s="743">
        <f t="shared" si="8"/>
        <v>2</v>
      </c>
      <c r="J128" s="743">
        <f t="shared" si="9"/>
        <v>243208</v>
      </c>
      <c r="K128" s="743">
        <f t="shared" si="10"/>
        <v>0</v>
      </c>
      <c r="L128" s="743">
        <f t="shared" si="11"/>
        <v>0</v>
      </c>
      <c r="M128" s="743">
        <f t="shared" si="12"/>
        <v>0</v>
      </c>
      <c r="N128" s="743">
        <f t="shared" si="13"/>
        <v>0</v>
      </c>
    </row>
    <row r="129" spans="1:14" ht="15.6">
      <c r="A129" s="737"/>
      <c r="B129" s="737"/>
      <c r="C129" s="737"/>
      <c r="D129" s="739">
        <v>3035</v>
      </c>
      <c r="E129" s="740">
        <v>44986</v>
      </c>
      <c r="F129" s="745">
        <v>205005</v>
      </c>
      <c r="G129" s="737">
        <v>30</v>
      </c>
      <c r="H129" s="742">
        <f t="shared" si="7"/>
        <v>45016</v>
      </c>
      <c r="I129" s="743">
        <f t="shared" si="8"/>
        <v>1</v>
      </c>
      <c r="J129" s="743">
        <f t="shared" si="9"/>
        <v>205005</v>
      </c>
      <c r="K129" s="743">
        <f t="shared" si="10"/>
        <v>0</v>
      </c>
      <c r="L129" s="743">
        <f t="shared" si="11"/>
        <v>0</v>
      </c>
      <c r="M129" s="743">
        <f t="shared" si="12"/>
        <v>0</v>
      </c>
      <c r="N129" s="743">
        <f t="shared" si="13"/>
        <v>0</v>
      </c>
    </row>
    <row r="130" spans="1:14" ht="15.6">
      <c r="A130" s="737"/>
      <c r="B130" s="737"/>
      <c r="C130" s="737"/>
      <c r="D130" s="739">
        <v>3036</v>
      </c>
      <c r="E130" s="740">
        <v>44986</v>
      </c>
      <c r="F130" s="745">
        <v>179443</v>
      </c>
      <c r="G130" s="737">
        <v>30</v>
      </c>
      <c r="H130" s="742">
        <f t="shared" si="7"/>
        <v>45016</v>
      </c>
      <c r="I130" s="743">
        <f t="shared" si="8"/>
        <v>1</v>
      </c>
      <c r="J130" s="743">
        <f t="shared" si="9"/>
        <v>179443</v>
      </c>
      <c r="K130" s="743">
        <f t="shared" si="10"/>
        <v>0</v>
      </c>
      <c r="L130" s="743">
        <f t="shared" si="11"/>
        <v>0</v>
      </c>
      <c r="M130" s="743">
        <f t="shared" si="12"/>
        <v>0</v>
      </c>
      <c r="N130" s="743">
        <f t="shared" si="13"/>
        <v>0</v>
      </c>
    </row>
    <row r="131" spans="1:14" ht="15.6">
      <c r="A131" s="737"/>
      <c r="B131" s="737"/>
      <c r="C131" s="737"/>
      <c r="D131" s="739">
        <v>3039</v>
      </c>
      <c r="E131" s="740">
        <v>44986</v>
      </c>
      <c r="F131" s="745">
        <v>208801</v>
      </c>
      <c r="G131" s="737">
        <v>30</v>
      </c>
      <c r="H131" s="742">
        <f t="shared" si="7"/>
        <v>45016</v>
      </c>
      <c r="I131" s="743">
        <f t="shared" si="8"/>
        <v>1</v>
      </c>
      <c r="J131" s="743">
        <f t="shared" si="9"/>
        <v>208801</v>
      </c>
      <c r="K131" s="743">
        <f t="shared" si="10"/>
        <v>0</v>
      </c>
      <c r="L131" s="743">
        <f t="shared" si="11"/>
        <v>0</v>
      </c>
      <c r="M131" s="743">
        <f t="shared" si="12"/>
        <v>0</v>
      </c>
      <c r="N131" s="743">
        <f t="shared" si="13"/>
        <v>0</v>
      </c>
    </row>
    <row r="132" spans="1:14" ht="15.6">
      <c r="A132" s="737"/>
      <c r="B132" s="737"/>
      <c r="C132" s="737"/>
      <c r="D132" s="739">
        <v>3041</v>
      </c>
      <c r="E132" s="740">
        <v>44986</v>
      </c>
      <c r="F132" s="745">
        <v>210013</v>
      </c>
      <c r="G132" s="737">
        <v>30</v>
      </c>
      <c r="H132" s="742">
        <f t="shared" si="7"/>
        <v>45016</v>
      </c>
      <c r="I132" s="743">
        <f t="shared" si="8"/>
        <v>1</v>
      </c>
      <c r="J132" s="743">
        <f t="shared" si="9"/>
        <v>210013</v>
      </c>
      <c r="K132" s="743">
        <f t="shared" si="10"/>
        <v>0</v>
      </c>
      <c r="L132" s="743">
        <f t="shared" si="11"/>
        <v>0</v>
      </c>
      <c r="M132" s="743">
        <f t="shared" si="12"/>
        <v>0</v>
      </c>
      <c r="N132" s="743">
        <f t="shared" si="13"/>
        <v>0</v>
      </c>
    </row>
    <row r="133" spans="1:14" ht="15.6">
      <c r="A133" s="737"/>
      <c r="B133" s="737"/>
      <c r="C133" s="737"/>
      <c r="D133" s="739">
        <v>3042</v>
      </c>
      <c r="E133" s="740">
        <v>44986</v>
      </c>
      <c r="F133" s="745">
        <v>223856</v>
      </c>
      <c r="G133" s="737">
        <v>30</v>
      </c>
      <c r="H133" s="742">
        <f t="shared" si="7"/>
        <v>45016</v>
      </c>
      <c r="I133" s="743">
        <f t="shared" si="8"/>
        <v>1</v>
      </c>
      <c r="J133" s="743">
        <f t="shared" si="9"/>
        <v>223856</v>
      </c>
      <c r="K133" s="743">
        <f t="shared" si="10"/>
        <v>0</v>
      </c>
      <c r="L133" s="743">
        <f t="shared" si="11"/>
        <v>0</v>
      </c>
      <c r="M133" s="743">
        <f t="shared" si="12"/>
        <v>0</v>
      </c>
      <c r="N133" s="743">
        <f t="shared" si="13"/>
        <v>0</v>
      </c>
    </row>
    <row r="134" spans="1:14" ht="15.6">
      <c r="A134" s="737"/>
      <c r="B134" s="737"/>
      <c r="C134" s="737"/>
      <c r="D134" s="739">
        <v>3311</v>
      </c>
      <c r="E134" s="740">
        <v>45016</v>
      </c>
      <c r="F134" s="745">
        <v>205705</v>
      </c>
      <c r="G134" s="737">
        <v>30</v>
      </c>
      <c r="H134" s="742">
        <f t="shared" si="7"/>
        <v>45046</v>
      </c>
      <c r="I134" s="743">
        <f t="shared" si="8"/>
        <v>-29</v>
      </c>
      <c r="J134" s="743">
        <f t="shared" si="9"/>
        <v>205705</v>
      </c>
      <c r="K134" s="743">
        <f t="shared" si="10"/>
        <v>0</v>
      </c>
      <c r="L134" s="743">
        <f t="shared" si="11"/>
        <v>0</v>
      </c>
      <c r="M134" s="743">
        <f t="shared" si="12"/>
        <v>0</v>
      </c>
      <c r="N134" s="743">
        <f t="shared" si="13"/>
        <v>0</v>
      </c>
    </row>
    <row r="135" spans="1:14" ht="15.6">
      <c r="A135" s="737"/>
      <c r="B135" s="737"/>
      <c r="C135" s="737"/>
      <c r="D135" s="739" t="s">
        <v>2595</v>
      </c>
      <c r="E135" s="740">
        <v>44687</v>
      </c>
      <c r="F135" s="747">
        <v>-171167</v>
      </c>
      <c r="G135" s="737">
        <v>30</v>
      </c>
      <c r="H135" s="742">
        <f t="shared" si="7"/>
        <v>44717</v>
      </c>
      <c r="I135" s="743">
        <f t="shared" si="8"/>
        <v>300</v>
      </c>
      <c r="J135" s="743">
        <f t="shared" si="9"/>
        <v>0</v>
      </c>
      <c r="K135" s="743">
        <f t="shared" si="10"/>
        <v>0</v>
      </c>
      <c r="L135" s="743">
        <f t="shared" si="11"/>
        <v>0</v>
      </c>
      <c r="M135" s="743">
        <f t="shared" si="12"/>
        <v>0</v>
      </c>
      <c r="N135" s="743">
        <f t="shared" si="13"/>
        <v>-171167</v>
      </c>
    </row>
    <row r="136" spans="1:14" ht="15.6">
      <c r="A136" s="737"/>
      <c r="B136" s="737"/>
      <c r="C136" s="737"/>
      <c r="D136" s="739"/>
      <c r="E136" s="740"/>
      <c r="F136" s="747">
        <v>22333</v>
      </c>
      <c r="G136" s="737">
        <v>30</v>
      </c>
      <c r="H136" s="742"/>
      <c r="I136" s="743"/>
      <c r="J136" s="743">
        <f t="shared" si="9"/>
        <v>22333</v>
      </c>
      <c r="K136" s="743"/>
      <c r="L136" s="743"/>
      <c r="M136" s="743"/>
      <c r="N136" s="743"/>
    </row>
    <row r="137" spans="1:14" ht="15.6">
      <c r="A137" s="737"/>
      <c r="B137" s="737"/>
      <c r="C137" s="737"/>
      <c r="D137" s="739"/>
      <c r="E137" s="740"/>
      <c r="F137" s="748">
        <f>SUM(F87:F136)</f>
        <v>10899010</v>
      </c>
      <c r="G137" s="737"/>
      <c r="H137" s="742"/>
      <c r="I137" s="743"/>
      <c r="J137" s="743"/>
      <c r="K137" s="743"/>
      <c r="L137" s="743"/>
      <c r="M137" s="743"/>
      <c r="N137" s="743"/>
    </row>
    <row r="138" spans="1:14" ht="15.6">
      <c r="A138" s="737"/>
      <c r="B138" s="737"/>
      <c r="C138" s="737"/>
      <c r="D138" s="739"/>
      <c r="E138" s="740"/>
      <c r="F138" s="747"/>
      <c r="G138" s="737"/>
      <c r="H138" s="742"/>
      <c r="I138" s="743"/>
      <c r="J138" s="743"/>
      <c r="K138" s="743"/>
      <c r="L138" s="743"/>
      <c r="M138" s="743"/>
      <c r="N138" s="743"/>
    </row>
    <row r="139" spans="1:14" ht="15.6">
      <c r="A139" s="737"/>
      <c r="B139" s="737"/>
      <c r="C139" s="737"/>
      <c r="D139" s="739"/>
      <c r="E139" s="740"/>
      <c r="F139" s="747"/>
      <c r="G139" s="737"/>
      <c r="H139" s="742"/>
      <c r="I139" s="743"/>
      <c r="J139" s="743"/>
      <c r="K139" s="743"/>
      <c r="L139" s="743"/>
      <c r="M139" s="743"/>
      <c r="N139" s="743"/>
    </row>
    <row r="140" spans="1:14" ht="15.6">
      <c r="A140" s="737">
        <v>6</v>
      </c>
      <c r="B140" s="738" t="s">
        <v>94</v>
      </c>
      <c r="C140" s="737"/>
      <c r="D140" s="739">
        <v>2880</v>
      </c>
      <c r="E140" s="740">
        <v>44969</v>
      </c>
      <c r="F140" s="747">
        <v>72882</v>
      </c>
      <c r="G140" s="737">
        <v>30</v>
      </c>
      <c r="H140" s="742">
        <f t="shared" si="7"/>
        <v>44999</v>
      </c>
      <c r="I140" s="743">
        <f t="shared" si="8"/>
        <v>18</v>
      </c>
      <c r="J140" s="743">
        <f t="shared" si="9"/>
        <v>72882</v>
      </c>
      <c r="K140" s="743">
        <f t="shared" si="10"/>
        <v>0</v>
      </c>
      <c r="L140" s="743">
        <f t="shared" si="11"/>
        <v>0</v>
      </c>
      <c r="M140" s="743">
        <f t="shared" si="12"/>
        <v>0</v>
      </c>
      <c r="N140" s="743">
        <f t="shared" si="13"/>
        <v>0</v>
      </c>
    </row>
    <row r="141" spans="1:14" ht="15.6">
      <c r="A141" s="737"/>
      <c r="B141" s="737"/>
      <c r="C141" s="737"/>
      <c r="D141" s="739">
        <v>3216</v>
      </c>
      <c r="E141" s="740">
        <v>45007</v>
      </c>
      <c r="F141" s="745">
        <v>53478</v>
      </c>
      <c r="G141" s="737">
        <v>30</v>
      </c>
      <c r="H141" s="742">
        <f t="shared" si="7"/>
        <v>45037</v>
      </c>
      <c r="I141" s="743">
        <f t="shared" si="8"/>
        <v>-20</v>
      </c>
      <c r="J141" s="743">
        <f t="shared" si="9"/>
        <v>53478</v>
      </c>
      <c r="K141" s="743">
        <f t="shared" si="10"/>
        <v>0</v>
      </c>
      <c r="L141" s="743">
        <f t="shared" si="11"/>
        <v>0</v>
      </c>
      <c r="M141" s="743">
        <f t="shared" si="12"/>
        <v>0</v>
      </c>
      <c r="N141" s="743">
        <f t="shared" si="13"/>
        <v>0</v>
      </c>
    </row>
    <row r="142" spans="1:14" ht="15.6">
      <c r="A142" s="737"/>
      <c r="B142" s="737"/>
      <c r="C142" s="737"/>
      <c r="D142" s="739">
        <v>3288</v>
      </c>
      <c r="E142" s="740">
        <v>45013</v>
      </c>
      <c r="F142" s="745">
        <v>203021</v>
      </c>
      <c r="G142" s="737">
        <v>30</v>
      </c>
      <c r="H142" s="742">
        <f t="shared" si="7"/>
        <v>45043</v>
      </c>
      <c r="I142" s="743">
        <f t="shared" si="8"/>
        <v>-26</v>
      </c>
      <c r="J142" s="743">
        <f t="shared" si="9"/>
        <v>203021</v>
      </c>
      <c r="K142" s="743">
        <f t="shared" si="10"/>
        <v>0</v>
      </c>
      <c r="L142" s="743">
        <f t="shared" si="11"/>
        <v>0</v>
      </c>
      <c r="M142" s="743">
        <f t="shared" si="12"/>
        <v>0</v>
      </c>
      <c r="N142" s="743">
        <f t="shared" si="13"/>
        <v>0</v>
      </c>
    </row>
    <row r="143" spans="1:14" ht="15.6">
      <c r="A143" s="737"/>
      <c r="B143" s="737"/>
      <c r="C143" s="737"/>
      <c r="D143" s="739" t="s">
        <v>2596</v>
      </c>
      <c r="E143" s="740"/>
      <c r="F143" s="745">
        <v>-6162</v>
      </c>
      <c r="G143" s="737">
        <v>30</v>
      </c>
      <c r="H143" s="742"/>
      <c r="I143" s="743"/>
      <c r="J143" s="743">
        <f t="shared" si="9"/>
        <v>-6162</v>
      </c>
      <c r="K143" s="743"/>
      <c r="L143" s="743"/>
      <c r="M143" s="743"/>
      <c r="N143" s="743"/>
    </row>
    <row r="144" spans="1:14" ht="15.6">
      <c r="A144" s="737"/>
      <c r="B144" s="737"/>
      <c r="C144" s="737"/>
      <c r="D144" s="739" t="s">
        <v>2597</v>
      </c>
      <c r="E144" s="740"/>
      <c r="F144" s="745">
        <v>-14149</v>
      </c>
      <c r="G144" s="737">
        <v>30</v>
      </c>
      <c r="H144" s="742"/>
      <c r="I144" s="743"/>
      <c r="J144" s="743">
        <f t="shared" si="9"/>
        <v>-14149</v>
      </c>
      <c r="K144" s="743"/>
      <c r="L144" s="743"/>
      <c r="M144" s="743"/>
      <c r="N144" s="743"/>
    </row>
    <row r="145" spans="1:14" ht="15.6">
      <c r="A145" s="737"/>
      <c r="B145" s="737"/>
      <c r="C145" s="737"/>
      <c r="D145" s="739"/>
      <c r="E145" s="740"/>
      <c r="F145" s="745">
        <v>-3207</v>
      </c>
      <c r="G145" s="737">
        <v>30</v>
      </c>
      <c r="H145" s="742"/>
      <c r="I145" s="743"/>
      <c r="J145" s="743">
        <f t="shared" si="9"/>
        <v>-3207</v>
      </c>
      <c r="K145" s="743"/>
      <c r="L145" s="743"/>
      <c r="M145" s="743"/>
      <c r="N145" s="743"/>
    </row>
    <row r="146" spans="1:14" ht="15.6">
      <c r="A146" s="737"/>
      <c r="B146" s="737"/>
      <c r="C146" s="737"/>
      <c r="D146" s="739"/>
      <c r="E146" s="740"/>
      <c r="F146" s="746">
        <f>SUM(F140:F145)</f>
        <v>305863</v>
      </c>
      <c r="G146" s="737"/>
      <c r="H146" s="742"/>
      <c r="I146" s="743"/>
      <c r="J146" s="743"/>
      <c r="K146" s="743"/>
      <c r="L146" s="743"/>
      <c r="M146" s="743"/>
      <c r="N146" s="743"/>
    </row>
    <row r="147" spans="1:14" ht="15.6">
      <c r="A147" s="737"/>
      <c r="B147" s="737"/>
      <c r="C147" s="737"/>
      <c r="D147" s="739"/>
      <c r="E147" s="740"/>
      <c r="F147" s="745"/>
      <c r="G147" s="737"/>
      <c r="H147" s="742"/>
      <c r="I147" s="743"/>
      <c r="J147" s="743"/>
      <c r="K147" s="743"/>
      <c r="L147" s="743"/>
      <c r="M147" s="743"/>
      <c r="N147" s="743"/>
    </row>
    <row r="148" spans="1:14" ht="15.6">
      <c r="A148" s="737">
        <v>7</v>
      </c>
      <c r="B148" s="738" t="s">
        <v>481</v>
      </c>
      <c r="C148" s="737"/>
      <c r="D148" s="739">
        <v>3095</v>
      </c>
      <c r="E148" s="740">
        <v>44994</v>
      </c>
      <c r="F148" s="745">
        <v>172337</v>
      </c>
      <c r="G148" s="737">
        <v>30</v>
      </c>
      <c r="H148" s="742">
        <f t="shared" si="7"/>
        <v>45024</v>
      </c>
      <c r="I148" s="743">
        <f t="shared" si="8"/>
        <v>-7</v>
      </c>
      <c r="J148" s="743">
        <f t="shared" si="9"/>
        <v>172337</v>
      </c>
      <c r="K148" s="743">
        <f t="shared" si="10"/>
        <v>0</v>
      </c>
      <c r="L148" s="743">
        <f t="shared" si="11"/>
        <v>0</v>
      </c>
      <c r="M148" s="743">
        <f t="shared" si="12"/>
        <v>0</v>
      </c>
      <c r="N148" s="743">
        <f t="shared" si="13"/>
        <v>0</v>
      </c>
    </row>
    <row r="149" spans="1:14" ht="15.6">
      <c r="A149" s="737"/>
      <c r="B149" s="737"/>
      <c r="C149" s="737"/>
      <c r="D149" s="739">
        <v>3192</v>
      </c>
      <c r="E149" s="740">
        <v>45004</v>
      </c>
      <c r="F149" s="745">
        <v>144211</v>
      </c>
      <c r="G149" s="737">
        <v>30</v>
      </c>
      <c r="H149" s="742">
        <f t="shared" si="7"/>
        <v>45034</v>
      </c>
      <c r="I149" s="743">
        <f t="shared" si="8"/>
        <v>-17</v>
      </c>
      <c r="J149" s="743">
        <f t="shared" si="9"/>
        <v>144211</v>
      </c>
      <c r="K149" s="743">
        <f t="shared" si="10"/>
        <v>0</v>
      </c>
      <c r="L149" s="743">
        <f t="shared" si="11"/>
        <v>0</v>
      </c>
      <c r="M149" s="743">
        <f t="shared" si="12"/>
        <v>0</v>
      </c>
      <c r="N149" s="743">
        <f t="shared" si="13"/>
        <v>0</v>
      </c>
    </row>
    <row r="150" spans="1:14" ht="15.6">
      <c r="A150" s="737"/>
      <c r="B150" s="737"/>
      <c r="C150" s="737"/>
      <c r="D150" s="739">
        <v>3250</v>
      </c>
      <c r="E150" s="740">
        <v>45010</v>
      </c>
      <c r="F150" s="745">
        <v>82084</v>
      </c>
      <c r="G150" s="737">
        <v>30</v>
      </c>
      <c r="H150" s="742">
        <f t="shared" si="7"/>
        <v>45040</v>
      </c>
      <c r="I150" s="743">
        <f t="shared" si="8"/>
        <v>-23</v>
      </c>
      <c r="J150" s="743">
        <f t="shared" si="9"/>
        <v>82084</v>
      </c>
      <c r="K150" s="743">
        <f t="shared" si="10"/>
        <v>0</v>
      </c>
      <c r="L150" s="743">
        <f t="shared" si="11"/>
        <v>0</v>
      </c>
      <c r="M150" s="743">
        <f t="shared" si="12"/>
        <v>0</v>
      </c>
      <c r="N150" s="743">
        <f t="shared" si="13"/>
        <v>0</v>
      </c>
    </row>
    <row r="151" spans="1:14" ht="15.6">
      <c r="A151" s="737"/>
      <c r="B151" s="737"/>
      <c r="C151" s="737"/>
      <c r="D151" s="739">
        <v>3272</v>
      </c>
      <c r="E151" s="740">
        <v>45011</v>
      </c>
      <c r="F151" s="745">
        <v>58238</v>
      </c>
      <c r="G151" s="737">
        <v>30</v>
      </c>
      <c r="H151" s="742">
        <f t="shared" si="7"/>
        <v>45041</v>
      </c>
      <c r="I151" s="743">
        <f t="shared" si="8"/>
        <v>-24</v>
      </c>
      <c r="J151" s="743">
        <f t="shared" si="9"/>
        <v>58238</v>
      </c>
      <c r="K151" s="743">
        <f t="shared" si="10"/>
        <v>0</v>
      </c>
      <c r="L151" s="743">
        <f t="shared" si="11"/>
        <v>0</v>
      </c>
      <c r="M151" s="743">
        <f t="shared" si="12"/>
        <v>0</v>
      </c>
      <c r="N151" s="743">
        <f t="shared" si="13"/>
        <v>0</v>
      </c>
    </row>
    <row r="152" spans="1:14" ht="15.6">
      <c r="A152" s="737"/>
      <c r="B152" s="737"/>
      <c r="C152" s="737"/>
      <c r="D152" s="739"/>
      <c r="E152" s="740"/>
      <c r="F152" s="746">
        <f>SUM(F148:F151)</f>
        <v>456870</v>
      </c>
      <c r="G152" s="737"/>
      <c r="H152" s="742"/>
      <c r="I152" s="743"/>
      <c r="J152" s="743"/>
      <c r="K152" s="743"/>
      <c r="L152" s="743"/>
      <c r="M152" s="743"/>
      <c r="N152" s="743"/>
    </row>
    <row r="153" spans="1:14" ht="15.6">
      <c r="A153" s="737"/>
      <c r="B153" s="737"/>
      <c r="C153" s="737"/>
      <c r="D153" s="739"/>
      <c r="E153" s="740"/>
      <c r="F153" s="745"/>
      <c r="G153" s="737"/>
      <c r="H153" s="742"/>
      <c r="I153" s="743"/>
      <c r="J153" s="743"/>
      <c r="K153" s="743"/>
      <c r="L153" s="743"/>
      <c r="M153" s="743"/>
      <c r="N153" s="743"/>
    </row>
    <row r="154" spans="1:14" ht="15.6">
      <c r="A154" s="737">
        <v>8</v>
      </c>
      <c r="B154" s="738" t="s">
        <v>218</v>
      </c>
      <c r="C154" s="737"/>
      <c r="D154" s="739">
        <v>48</v>
      </c>
      <c r="E154" s="740">
        <v>44658</v>
      </c>
      <c r="F154" s="751">
        <v>114712</v>
      </c>
      <c r="G154" s="737">
        <v>30</v>
      </c>
      <c r="H154" s="742">
        <f t="shared" si="7"/>
        <v>44688</v>
      </c>
      <c r="I154" s="743">
        <f t="shared" si="8"/>
        <v>329</v>
      </c>
      <c r="J154" s="743">
        <f t="shared" si="9"/>
        <v>0</v>
      </c>
      <c r="K154" s="743">
        <f t="shared" si="10"/>
        <v>0</v>
      </c>
      <c r="L154" s="743">
        <f t="shared" si="11"/>
        <v>0</v>
      </c>
      <c r="M154" s="743">
        <f t="shared" si="12"/>
        <v>0</v>
      </c>
      <c r="N154" s="743">
        <f t="shared" si="13"/>
        <v>114712</v>
      </c>
    </row>
    <row r="155" spans="1:14" ht="15.6">
      <c r="A155" s="737"/>
      <c r="B155" s="737"/>
      <c r="C155" s="737"/>
      <c r="D155" s="739">
        <v>50</v>
      </c>
      <c r="E155" s="740">
        <v>44658</v>
      </c>
      <c r="F155" s="751">
        <v>116602</v>
      </c>
      <c r="G155" s="737">
        <v>30</v>
      </c>
      <c r="H155" s="742">
        <f t="shared" si="7"/>
        <v>44688</v>
      </c>
      <c r="I155" s="743">
        <f t="shared" si="8"/>
        <v>329</v>
      </c>
      <c r="J155" s="743">
        <f t="shared" si="9"/>
        <v>0</v>
      </c>
      <c r="K155" s="743">
        <f t="shared" si="10"/>
        <v>0</v>
      </c>
      <c r="L155" s="743">
        <f t="shared" si="11"/>
        <v>0</v>
      </c>
      <c r="M155" s="743">
        <f t="shared" si="12"/>
        <v>0</v>
      </c>
      <c r="N155" s="743">
        <f t="shared" si="13"/>
        <v>116602</v>
      </c>
    </row>
    <row r="156" spans="1:14" ht="15.6">
      <c r="A156" s="737"/>
      <c r="B156" s="737"/>
      <c r="C156" s="737"/>
      <c r="D156" s="739"/>
      <c r="E156" s="740"/>
      <c r="F156" s="752">
        <f>SUM(F154:F155)</f>
        <v>231314</v>
      </c>
      <c r="G156" s="737"/>
      <c r="H156" s="742"/>
      <c r="I156" s="743"/>
      <c r="J156" s="743"/>
      <c r="K156" s="743"/>
      <c r="L156" s="743"/>
      <c r="M156" s="743"/>
      <c r="N156" s="743"/>
    </row>
    <row r="157" spans="1:14" ht="15.6">
      <c r="A157" s="737"/>
      <c r="B157" s="737"/>
      <c r="C157" s="737"/>
      <c r="D157" s="739"/>
      <c r="E157" s="740"/>
      <c r="F157" s="753"/>
      <c r="G157" s="737"/>
      <c r="H157" s="742"/>
      <c r="I157" s="743"/>
      <c r="J157" s="743"/>
      <c r="K157" s="743"/>
      <c r="L157" s="743"/>
      <c r="M157" s="743"/>
      <c r="N157" s="743"/>
    </row>
    <row r="158" spans="1:14" ht="15.6">
      <c r="A158" s="737">
        <v>9</v>
      </c>
      <c r="B158" s="738" t="s">
        <v>433</v>
      </c>
      <c r="C158" s="737"/>
      <c r="D158" s="739">
        <v>2952</v>
      </c>
      <c r="E158" s="740">
        <v>44977</v>
      </c>
      <c r="F158" s="747">
        <v>270682</v>
      </c>
      <c r="G158" s="737">
        <v>30</v>
      </c>
      <c r="H158" s="742">
        <f t="shared" si="7"/>
        <v>45007</v>
      </c>
      <c r="I158" s="743">
        <f t="shared" si="8"/>
        <v>10</v>
      </c>
      <c r="J158" s="743">
        <f t="shared" si="9"/>
        <v>270682</v>
      </c>
      <c r="K158" s="743">
        <f t="shared" si="10"/>
        <v>0</v>
      </c>
      <c r="L158" s="743">
        <f t="shared" si="11"/>
        <v>0</v>
      </c>
      <c r="M158" s="743">
        <f t="shared" si="12"/>
        <v>0</v>
      </c>
      <c r="N158" s="743">
        <f t="shared" si="13"/>
        <v>0</v>
      </c>
    </row>
    <row r="159" spans="1:14" ht="15.6">
      <c r="A159" s="737"/>
      <c r="B159" s="737"/>
      <c r="C159" s="737"/>
      <c r="D159" s="749">
        <v>2967</v>
      </c>
      <c r="E159" s="750">
        <v>44978</v>
      </c>
      <c r="F159" s="747">
        <v>292444</v>
      </c>
      <c r="G159" s="737">
        <v>30</v>
      </c>
      <c r="H159" s="742">
        <f t="shared" si="7"/>
        <v>45008</v>
      </c>
      <c r="I159" s="743">
        <f t="shared" si="8"/>
        <v>9</v>
      </c>
      <c r="J159" s="743">
        <f t="shared" si="9"/>
        <v>292444</v>
      </c>
      <c r="K159" s="743">
        <f t="shared" si="10"/>
        <v>0</v>
      </c>
      <c r="L159" s="743">
        <f t="shared" si="11"/>
        <v>0</v>
      </c>
      <c r="M159" s="743">
        <f t="shared" si="12"/>
        <v>0</v>
      </c>
      <c r="N159" s="743">
        <f t="shared" si="13"/>
        <v>0</v>
      </c>
    </row>
    <row r="160" spans="1:14" ht="15.6">
      <c r="A160" s="737"/>
      <c r="B160" s="737"/>
      <c r="C160" s="737"/>
      <c r="D160" s="749"/>
      <c r="E160" s="750"/>
      <c r="F160" s="748">
        <f>SUM(F158:F159)</f>
        <v>563126</v>
      </c>
      <c r="G160" s="737"/>
      <c r="H160" s="742"/>
      <c r="I160" s="743"/>
      <c r="J160" s="743"/>
      <c r="K160" s="743"/>
      <c r="L160" s="743"/>
      <c r="M160" s="743"/>
      <c r="N160" s="743"/>
    </row>
    <row r="161" spans="1:14" ht="15.6">
      <c r="A161" s="737"/>
      <c r="B161" s="737"/>
      <c r="C161" s="737"/>
      <c r="D161" s="749"/>
      <c r="E161" s="750"/>
      <c r="F161" s="747"/>
      <c r="G161" s="737"/>
      <c r="H161" s="742"/>
      <c r="I161" s="743"/>
      <c r="J161" s="743"/>
      <c r="K161" s="743"/>
      <c r="L161" s="743"/>
      <c r="M161" s="743"/>
      <c r="N161" s="743"/>
    </row>
    <row r="162" spans="1:14" ht="15.6">
      <c r="A162" s="737">
        <v>10</v>
      </c>
      <c r="B162" s="738" t="s">
        <v>230</v>
      </c>
      <c r="C162" s="737"/>
      <c r="D162" s="739">
        <v>2834</v>
      </c>
      <c r="E162" s="740">
        <v>44965</v>
      </c>
      <c r="F162" s="747">
        <v>250915</v>
      </c>
      <c r="G162" s="737">
        <v>30</v>
      </c>
      <c r="H162" s="742">
        <f t="shared" si="7"/>
        <v>44995</v>
      </c>
      <c r="I162" s="743">
        <f t="shared" si="8"/>
        <v>22</v>
      </c>
      <c r="J162" s="743">
        <f t="shared" si="9"/>
        <v>250915</v>
      </c>
      <c r="K162" s="743">
        <f t="shared" si="10"/>
        <v>0</v>
      </c>
      <c r="L162" s="743">
        <f t="shared" si="11"/>
        <v>0</v>
      </c>
      <c r="M162" s="743">
        <f t="shared" si="12"/>
        <v>0</v>
      </c>
      <c r="N162" s="743">
        <f t="shared" si="13"/>
        <v>0</v>
      </c>
    </row>
    <row r="163" spans="1:14" ht="15.6">
      <c r="A163" s="737"/>
      <c r="B163" s="737"/>
      <c r="C163" s="737"/>
      <c r="D163" s="739">
        <v>2835</v>
      </c>
      <c r="E163" s="740">
        <v>44965</v>
      </c>
      <c r="F163" s="747">
        <v>224117</v>
      </c>
      <c r="G163" s="737">
        <v>30</v>
      </c>
      <c r="H163" s="742">
        <f>+E163+G163</f>
        <v>44995</v>
      </c>
      <c r="I163" s="743">
        <f>+$Q$1-H163+1</f>
        <v>22</v>
      </c>
      <c r="J163" s="743">
        <f>IF(I163&lt;=30,F163,0)</f>
        <v>224117</v>
      </c>
      <c r="K163" s="743">
        <f>IF(I163&lt;=30,0,IF(I163&gt;60,0,F163))</f>
        <v>0</v>
      </c>
      <c r="L163" s="743">
        <f>IF(I163&lt;=60,0,IF(I163&gt;90,0,F163))</f>
        <v>0</v>
      </c>
      <c r="M163" s="743">
        <f>IF(I163&lt;=90,0,IF(I163&gt;120,0,F163))</f>
        <v>0</v>
      </c>
      <c r="N163" s="743">
        <f>IF(I163&lt;=120,0,F163)</f>
        <v>0</v>
      </c>
    </row>
    <row r="164" spans="1:14" ht="15.6">
      <c r="A164" s="737"/>
      <c r="B164" s="737"/>
      <c r="C164" s="737"/>
      <c r="D164" s="739">
        <v>2838</v>
      </c>
      <c r="E164" s="740">
        <v>44965</v>
      </c>
      <c r="F164" s="747">
        <v>273910</v>
      </c>
      <c r="G164" s="737">
        <v>30</v>
      </c>
      <c r="H164" s="742">
        <f>+E164+G164</f>
        <v>44995</v>
      </c>
      <c r="I164" s="743">
        <f>+$Q$1-H164+1</f>
        <v>22</v>
      </c>
      <c r="J164" s="743">
        <f>IF(I164&lt;=30,F164,0)</f>
        <v>273910</v>
      </c>
      <c r="K164" s="743">
        <f>IF(I164&lt;=30,0,IF(I164&gt;60,0,F164))</f>
        <v>0</v>
      </c>
      <c r="L164" s="743">
        <f>IF(I164&lt;=60,0,IF(I164&gt;90,0,F164))</f>
        <v>0</v>
      </c>
      <c r="M164" s="743">
        <f>IF(I164&lt;=90,0,IF(I164&gt;120,0,F164))</f>
        <v>0</v>
      </c>
      <c r="N164" s="743">
        <f>IF(I164&lt;=120,0,F164)</f>
        <v>0</v>
      </c>
    </row>
    <row r="165" spans="1:14" ht="15.6">
      <c r="A165" s="737"/>
      <c r="B165" s="737"/>
      <c r="C165" s="737"/>
      <c r="D165" s="739">
        <v>2843</v>
      </c>
      <c r="E165" s="740">
        <v>44966</v>
      </c>
      <c r="F165" s="747">
        <v>127599</v>
      </c>
      <c r="G165" s="737">
        <v>30</v>
      </c>
      <c r="H165" s="742">
        <f>+E165+G165</f>
        <v>44996</v>
      </c>
      <c r="I165" s="743">
        <f>+$Q$1-H165+1</f>
        <v>21</v>
      </c>
      <c r="J165" s="743">
        <f>IF(I165&lt;=30,F165,0)</f>
        <v>127599</v>
      </c>
      <c r="K165" s="743">
        <f>IF(I165&lt;=30,0,IF(I165&gt;60,0,F165))</f>
        <v>0</v>
      </c>
      <c r="L165" s="743">
        <f>IF(I165&lt;=60,0,IF(I165&gt;90,0,F165))</f>
        <v>0</v>
      </c>
      <c r="M165" s="743">
        <f>IF(I165&lt;=90,0,IF(I165&gt;120,0,F165))</f>
        <v>0</v>
      </c>
      <c r="N165" s="743">
        <f>IF(I165&lt;=120,0,F165)</f>
        <v>0</v>
      </c>
    </row>
    <row r="166" spans="1:14" ht="15.6">
      <c r="A166" s="737"/>
      <c r="B166" s="737"/>
      <c r="C166" s="737"/>
      <c r="D166" s="739">
        <v>2847</v>
      </c>
      <c r="E166" s="740">
        <v>44966</v>
      </c>
      <c r="F166" s="747">
        <v>242473</v>
      </c>
      <c r="G166" s="737">
        <v>30</v>
      </c>
      <c r="H166" s="742">
        <f t="shared" ref="H166:H229" si="14">+E166+G166</f>
        <v>44996</v>
      </c>
      <c r="I166" s="743">
        <f t="shared" ref="I166:I229" si="15">+$Q$1-H166+1</f>
        <v>21</v>
      </c>
      <c r="J166" s="743">
        <f t="shared" ref="J166:J229" si="16">IF(I166&lt;=30,F166,0)</f>
        <v>242473</v>
      </c>
      <c r="K166" s="743">
        <f t="shared" ref="K166:K229" si="17">IF(I166&lt;=30,0,IF(I166&gt;60,0,F166))</f>
        <v>0</v>
      </c>
      <c r="L166" s="743">
        <f t="shared" ref="L166:L229" si="18">IF(I166&lt;=60,0,IF(I166&gt;90,0,F166))</f>
        <v>0</v>
      </c>
      <c r="M166" s="743">
        <f t="shared" ref="M166:M229" si="19">IF(I166&lt;=90,0,IF(I166&gt;120,0,F166))</f>
        <v>0</v>
      </c>
      <c r="N166" s="743">
        <f t="shared" ref="N166:N229" si="20">IF(I166&lt;=120,0,F166)</f>
        <v>0</v>
      </c>
    </row>
    <row r="167" spans="1:14" ht="15.6">
      <c r="A167" s="737"/>
      <c r="B167" s="737"/>
      <c r="C167" s="737"/>
      <c r="D167" s="739">
        <v>2849</v>
      </c>
      <c r="E167" s="740">
        <v>44966</v>
      </c>
      <c r="F167" s="747">
        <v>340713</v>
      </c>
      <c r="G167" s="737">
        <v>30</v>
      </c>
      <c r="H167" s="742">
        <f t="shared" si="14"/>
        <v>44996</v>
      </c>
      <c r="I167" s="743">
        <f t="shared" si="15"/>
        <v>21</v>
      </c>
      <c r="J167" s="743">
        <f t="shared" si="16"/>
        <v>340713</v>
      </c>
      <c r="K167" s="743">
        <f t="shared" si="17"/>
        <v>0</v>
      </c>
      <c r="L167" s="743">
        <f t="shared" si="18"/>
        <v>0</v>
      </c>
      <c r="M167" s="743">
        <f t="shared" si="19"/>
        <v>0</v>
      </c>
      <c r="N167" s="743">
        <f t="shared" si="20"/>
        <v>0</v>
      </c>
    </row>
    <row r="168" spans="1:14" ht="15.6">
      <c r="A168" s="737"/>
      <c r="B168" s="737"/>
      <c r="C168" s="737"/>
      <c r="D168" s="739">
        <v>2856</v>
      </c>
      <c r="E168" s="740">
        <v>44967</v>
      </c>
      <c r="F168" s="747">
        <v>257293</v>
      </c>
      <c r="G168" s="737">
        <v>30</v>
      </c>
      <c r="H168" s="742">
        <f t="shared" si="14"/>
        <v>44997</v>
      </c>
      <c r="I168" s="743">
        <f t="shared" si="15"/>
        <v>20</v>
      </c>
      <c r="J168" s="743">
        <f t="shared" si="16"/>
        <v>257293</v>
      </c>
      <c r="K168" s="743">
        <f t="shared" si="17"/>
        <v>0</v>
      </c>
      <c r="L168" s="743">
        <f t="shared" si="18"/>
        <v>0</v>
      </c>
      <c r="M168" s="743">
        <f t="shared" si="19"/>
        <v>0</v>
      </c>
      <c r="N168" s="743">
        <f t="shared" si="20"/>
        <v>0</v>
      </c>
    </row>
    <row r="169" spans="1:14" ht="15.6">
      <c r="A169" s="737"/>
      <c r="B169" s="737"/>
      <c r="C169" s="737"/>
      <c r="D169" s="739">
        <v>2861</v>
      </c>
      <c r="E169" s="740">
        <v>44967</v>
      </c>
      <c r="F169" s="747">
        <v>234588</v>
      </c>
      <c r="G169" s="737">
        <v>30</v>
      </c>
      <c r="H169" s="742">
        <f t="shared" si="14"/>
        <v>44997</v>
      </c>
      <c r="I169" s="743">
        <f t="shared" si="15"/>
        <v>20</v>
      </c>
      <c r="J169" s="743">
        <f t="shared" si="16"/>
        <v>234588</v>
      </c>
      <c r="K169" s="743">
        <f t="shared" si="17"/>
        <v>0</v>
      </c>
      <c r="L169" s="743">
        <f t="shared" si="18"/>
        <v>0</v>
      </c>
      <c r="M169" s="743">
        <f t="shared" si="19"/>
        <v>0</v>
      </c>
      <c r="N169" s="743">
        <f t="shared" si="20"/>
        <v>0</v>
      </c>
    </row>
    <row r="170" spans="1:14" ht="15.6">
      <c r="A170" s="737"/>
      <c r="B170" s="737"/>
      <c r="C170" s="737"/>
      <c r="D170" s="739">
        <v>2864</v>
      </c>
      <c r="E170" s="740">
        <v>44967</v>
      </c>
      <c r="F170" s="747">
        <v>227110</v>
      </c>
      <c r="G170" s="737">
        <v>30</v>
      </c>
      <c r="H170" s="742">
        <f t="shared" si="14"/>
        <v>44997</v>
      </c>
      <c r="I170" s="743">
        <f t="shared" si="15"/>
        <v>20</v>
      </c>
      <c r="J170" s="743">
        <f t="shared" si="16"/>
        <v>227110</v>
      </c>
      <c r="K170" s="743">
        <f t="shared" si="17"/>
        <v>0</v>
      </c>
      <c r="L170" s="743">
        <f t="shared" si="18"/>
        <v>0</v>
      </c>
      <c r="M170" s="743">
        <f t="shared" si="19"/>
        <v>0</v>
      </c>
      <c r="N170" s="743">
        <f t="shared" si="20"/>
        <v>0</v>
      </c>
    </row>
    <row r="171" spans="1:14" ht="15.6">
      <c r="A171" s="737"/>
      <c r="B171" s="737"/>
      <c r="C171" s="737"/>
      <c r="D171" s="739">
        <v>2867</v>
      </c>
      <c r="E171" s="740">
        <v>44968</v>
      </c>
      <c r="F171" s="747">
        <v>251708</v>
      </c>
      <c r="G171" s="737">
        <v>30</v>
      </c>
      <c r="H171" s="742">
        <f t="shared" si="14"/>
        <v>44998</v>
      </c>
      <c r="I171" s="743">
        <f t="shared" si="15"/>
        <v>19</v>
      </c>
      <c r="J171" s="743">
        <f t="shared" si="16"/>
        <v>251708</v>
      </c>
      <c r="K171" s="743">
        <f t="shared" si="17"/>
        <v>0</v>
      </c>
      <c r="L171" s="743">
        <f t="shared" si="18"/>
        <v>0</v>
      </c>
      <c r="M171" s="743">
        <f t="shared" si="19"/>
        <v>0</v>
      </c>
      <c r="N171" s="743">
        <f t="shared" si="20"/>
        <v>0</v>
      </c>
    </row>
    <row r="172" spans="1:14" ht="15.6">
      <c r="A172" s="737"/>
      <c r="B172" s="737"/>
      <c r="C172" s="737"/>
      <c r="D172" s="739">
        <v>2875</v>
      </c>
      <c r="E172" s="740">
        <v>44969</v>
      </c>
      <c r="F172" s="747">
        <v>239987</v>
      </c>
      <c r="G172" s="737">
        <v>30</v>
      </c>
      <c r="H172" s="742">
        <f t="shared" si="14"/>
        <v>44999</v>
      </c>
      <c r="I172" s="743">
        <f t="shared" si="15"/>
        <v>18</v>
      </c>
      <c r="J172" s="743">
        <f t="shared" si="16"/>
        <v>239987</v>
      </c>
      <c r="K172" s="743">
        <f t="shared" si="17"/>
        <v>0</v>
      </c>
      <c r="L172" s="743">
        <f t="shared" si="18"/>
        <v>0</v>
      </c>
      <c r="M172" s="743">
        <f t="shared" si="19"/>
        <v>0</v>
      </c>
      <c r="N172" s="743">
        <f t="shared" si="20"/>
        <v>0</v>
      </c>
    </row>
    <row r="173" spans="1:14" ht="15.6">
      <c r="A173" s="737"/>
      <c r="B173" s="737"/>
      <c r="C173" s="737"/>
      <c r="D173" s="739">
        <v>2876</v>
      </c>
      <c r="E173" s="740">
        <v>44969</v>
      </c>
      <c r="F173" s="747">
        <v>323256</v>
      </c>
      <c r="G173" s="737">
        <v>30</v>
      </c>
      <c r="H173" s="742">
        <f t="shared" si="14"/>
        <v>44999</v>
      </c>
      <c r="I173" s="743">
        <f t="shared" si="15"/>
        <v>18</v>
      </c>
      <c r="J173" s="743">
        <f t="shared" si="16"/>
        <v>323256</v>
      </c>
      <c r="K173" s="743">
        <f t="shared" si="17"/>
        <v>0</v>
      </c>
      <c r="L173" s="743">
        <f t="shared" si="18"/>
        <v>0</v>
      </c>
      <c r="M173" s="743">
        <f t="shared" si="19"/>
        <v>0</v>
      </c>
      <c r="N173" s="743">
        <f t="shared" si="20"/>
        <v>0</v>
      </c>
    </row>
    <row r="174" spans="1:14" ht="15.6">
      <c r="A174" s="737"/>
      <c r="B174" s="737"/>
      <c r="C174" s="737"/>
      <c r="D174" s="739">
        <v>2882</v>
      </c>
      <c r="E174" s="740">
        <v>44970</v>
      </c>
      <c r="F174" s="747">
        <v>497732</v>
      </c>
      <c r="G174" s="737">
        <v>30</v>
      </c>
      <c r="H174" s="742">
        <f t="shared" si="14"/>
        <v>45000</v>
      </c>
      <c r="I174" s="743">
        <f t="shared" si="15"/>
        <v>17</v>
      </c>
      <c r="J174" s="743">
        <f t="shared" si="16"/>
        <v>497732</v>
      </c>
      <c r="K174" s="743">
        <f t="shared" si="17"/>
        <v>0</v>
      </c>
      <c r="L174" s="743">
        <f t="shared" si="18"/>
        <v>0</v>
      </c>
      <c r="M174" s="743">
        <f t="shared" si="19"/>
        <v>0</v>
      </c>
      <c r="N174" s="743">
        <f t="shared" si="20"/>
        <v>0</v>
      </c>
    </row>
    <row r="175" spans="1:14" ht="15.6">
      <c r="A175" s="737"/>
      <c r="B175" s="737"/>
      <c r="C175" s="737"/>
      <c r="D175" s="739">
        <v>2892</v>
      </c>
      <c r="E175" s="740">
        <v>44971</v>
      </c>
      <c r="F175" s="747">
        <v>233121</v>
      </c>
      <c r="G175" s="737">
        <v>30</v>
      </c>
      <c r="H175" s="742">
        <f t="shared" si="14"/>
        <v>45001</v>
      </c>
      <c r="I175" s="743">
        <f t="shared" si="15"/>
        <v>16</v>
      </c>
      <c r="J175" s="743">
        <f t="shared" si="16"/>
        <v>233121</v>
      </c>
      <c r="K175" s="743">
        <f t="shared" si="17"/>
        <v>0</v>
      </c>
      <c r="L175" s="743">
        <f t="shared" si="18"/>
        <v>0</v>
      </c>
      <c r="M175" s="743">
        <f t="shared" si="19"/>
        <v>0</v>
      </c>
      <c r="N175" s="743">
        <f t="shared" si="20"/>
        <v>0</v>
      </c>
    </row>
    <row r="176" spans="1:14" ht="15.6">
      <c r="A176" s="737"/>
      <c r="B176" s="737"/>
      <c r="C176" s="737"/>
      <c r="D176" s="739">
        <v>2902</v>
      </c>
      <c r="E176" s="740">
        <v>44972</v>
      </c>
      <c r="F176" s="747">
        <v>233499</v>
      </c>
      <c r="G176" s="737">
        <v>30</v>
      </c>
      <c r="H176" s="742">
        <f t="shared" si="14"/>
        <v>45002</v>
      </c>
      <c r="I176" s="743">
        <f t="shared" si="15"/>
        <v>15</v>
      </c>
      <c r="J176" s="743">
        <f t="shared" si="16"/>
        <v>233499</v>
      </c>
      <c r="K176" s="743">
        <f t="shared" si="17"/>
        <v>0</v>
      </c>
      <c r="L176" s="743">
        <f t="shared" si="18"/>
        <v>0</v>
      </c>
      <c r="M176" s="743">
        <f t="shared" si="19"/>
        <v>0</v>
      </c>
      <c r="N176" s="743">
        <f t="shared" si="20"/>
        <v>0</v>
      </c>
    </row>
    <row r="177" spans="1:14" ht="15.6">
      <c r="A177" s="737"/>
      <c r="B177" s="737"/>
      <c r="C177" s="737"/>
      <c r="D177" s="739">
        <v>2912</v>
      </c>
      <c r="E177" s="740">
        <v>44973</v>
      </c>
      <c r="F177" s="747">
        <v>307121</v>
      </c>
      <c r="G177" s="737">
        <v>30</v>
      </c>
      <c r="H177" s="742">
        <f t="shared" si="14"/>
        <v>45003</v>
      </c>
      <c r="I177" s="743">
        <f t="shared" si="15"/>
        <v>14</v>
      </c>
      <c r="J177" s="743">
        <f t="shared" si="16"/>
        <v>307121</v>
      </c>
      <c r="K177" s="743">
        <f t="shared" si="17"/>
        <v>0</v>
      </c>
      <c r="L177" s="743">
        <f t="shared" si="18"/>
        <v>0</v>
      </c>
      <c r="M177" s="743">
        <f t="shared" si="19"/>
        <v>0</v>
      </c>
      <c r="N177" s="743">
        <f t="shared" si="20"/>
        <v>0</v>
      </c>
    </row>
    <row r="178" spans="1:14" ht="15.6">
      <c r="A178" s="737"/>
      <c r="B178" s="737"/>
      <c r="C178" s="737"/>
      <c r="D178" s="739">
        <v>2913</v>
      </c>
      <c r="E178" s="740">
        <v>44973</v>
      </c>
      <c r="F178" s="747">
        <v>410833</v>
      </c>
      <c r="G178" s="737">
        <v>30</v>
      </c>
      <c r="H178" s="742">
        <f t="shared" si="14"/>
        <v>45003</v>
      </c>
      <c r="I178" s="743">
        <f t="shared" si="15"/>
        <v>14</v>
      </c>
      <c r="J178" s="743">
        <f t="shared" si="16"/>
        <v>410833</v>
      </c>
      <c r="K178" s="743">
        <f t="shared" si="17"/>
        <v>0</v>
      </c>
      <c r="L178" s="743">
        <f t="shared" si="18"/>
        <v>0</v>
      </c>
      <c r="M178" s="743">
        <f t="shared" si="19"/>
        <v>0</v>
      </c>
      <c r="N178" s="743">
        <f t="shared" si="20"/>
        <v>0</v>
      </c>
    </row>
    <row r="179" spans="1:14" ht="15.6">
      <c r="A179" s="737"/>
      <c r="B179" s="737"/>
      <c r="C179" s="737"/>
      <c r="D179" s="739">
        <v>2922</v>
      </c>
      <c r="E179" s="740">
        <v>44974</v>
      </c>
      <c r="F179" s="747">
        <v>235256</v>
      </c>
      <c r="G179" s="737">
        <v>30</v>
      </c>
      <c r="H179" s="742">
        <f t="shared" si="14"/>
        <v>45004</v>
      </c>
      <c r="I179" s="743">
        <f t="shared" si="15"/>
        <v>13</v>
      </c>
      <c r="J179" s="743">
        <f t="shared" si="16"/>
        <v>235256</v>
      </c>
      <c r="K179" s="743">
        <f t="shared" si="17"/>
        <v>0</v>
      </c>
      <c r="L179" s="743">
        <f t="shared" si="18"/>
        <v>0</v>
      </c>
      <c r="M179" s="743">
        <f t="shared" si="19"/>
        <v>0</v>
      </c>
      <c r="N179" s="743">
        <f t="shared" si="20"/>
        <v>0</v>
      </c>
    </row>
    <row r="180" spans="1:14" ht="15.6">
      <c r="A180" s="737"/>
      <c r="B180" s="737"/>
      <c r="C180" s="737"/>
      <c r="D180" s="739">
        <v>2924</v>
      </c>
      <c r="E180" s="740">
        <v>44974</v>
      </c>
      <c r="F180" s="747">
        <v>282100</v>
      </c>
      <c r="G180" s="737">
        <v>30</v>
      </c>
      <c r="H180" s="742">
        <f t="shared" si="14"/>
        <v>45004</v>
      </c>
      <c r="I180" s="743">
        <f t="shared" si="15"/>
        <v>13</v>
      </c>
      <c r="J180" s="743">
        <f t="shared" si="16"/>
        <v>282100</v>
      </c>
      <c r="K180" s="743">
        <f t="shared" si="17"/>
        <v>0</v>
      </c>
      <c r="L180" s="743">
        <f t="shared" si="18"/>
        <v>0</v>
      </c>
      <c r="M180" s="743">
        <f t="shared" si="19"/>
        <v>0</v>
      </c>
      <c r="N180" s="743">
        <f t="shared" si="20"/>
        <v>0</v>
      </c>
    </row>
    <row r="181" spans="1:14" ht="15.6">
      <c r="A181" s="737"/>
      <c r="B181" s="737"/>
      <c r="C181" s="737"/>
      <c r="D181" s="739">
        <v>2933</v>
      </c>
      <c r="E181" s="740">
        <v>44975</v>
      </c>
      <c r="F181" s="747">
        <v>271274</v>
      </c>
      <c r="G181" s="737">
        <v>30</v>
      </c>
      <c r="H181" s="742">
        <f t="shared" si="14"/>
        <v>45005</v>
      </c>
      <c r="I181" s="743">
        <f t="shared" si="15"/>
        <v>12</v>
      </c>
      <c r="J181" s="743">
        <f t="shared" si="16"/>
        <v>271274</v>
      </c>
      <c r="K181" s="743">
        <f t="shared" si="17"/>
        <v>0</v>
      </c>
      <c r="L181" s="743">
        <f t="shared" si="18"/>
        <v>0</v>
      </c>
      <c r="M181" s="743">
        <f t="shared" si="19"/>
        <v>0</v>
      </c>
      <c r="N181" s="743">
        <f t="shared" si="20"/>
        <v>0</v>
      </c>
    </row>
    <row r="182" spans="1:14" ht="15.6">
      <c r="A182" s="737"/>
      <c r="B182" s="737"/>
      <c r="C182" s="737"/>
      <c r="D182" s="739">
        <v>2934</v>
      </c>
      <c r="E182" s="740">
        <v>44975</v>
      </c>
      <c r="F182" s="747">
        <v>297359</v>
      </c>
      <c r="G182" s="737">
        <v>30</v>
      </c>
      <c r="H182" s="742">
        <f t="shared" si="14"/>
        <v>45005</v>
      </c>
      <c r="I182" s="743">
        <f t="shared" si="15"/>
        <v>12</v>
      </c>
      <c r="J182" s="743">
        <f t="shared" si="16"/>
        <v>297359</v>
      </c>
      <c r="K182" s="743">
        <f t="shared" si="17"/>
        <v>0</v>
      </c>
      <c r="L182" s="743">
        <f t="shared" si="18"/>
        <v>0</v>
      </c>
      <c r="M182" s="743">
        <f t="shared" si="19"/>
        <v>0</v>
      </c>
      <c r="N182" s="743">
        <f t="shared" si="20"/>
        <v>0</v>
      </c>
    </row>
    <row r="183" spans="1:14" ht="15.6">
      <c r="A183" s="737"/>
      <c r="B183" s="737"/>
      <c r="C183" s="737"/>
      <c r="D183" s="739">
        <v>2938</v>
      </c>
      <c r="E183" s="740">
        <v>44975</v>
      </c>
      <c r="F183" s="747">
        <v>253985</v>
      </c>
      <c r="G183" s="737">
        <v>30</v>
      </c>
      <c r="H183" s="742">
        <f t="shared" si="14"/>
        <v>45005</v>
      </c>
      <c r="I183" s="743">
        <f t="shared" si="15"/>
        <v>12</v>
      </c>
      <c r="J183" s="743">
        <f t="shared" si="16"/>
        <v>253985</v>
      </c>
      <c r="K183" s="743">
        <f t="shared" si="17"/>
        <v>0</v>
      </c>
      <c r="L183" s="743">
        <f t="shared" si="18"/>
        <v>0</v>
      </c>
      <c r="M183" s="743">
        <f t="shared" si="19"/>
        <v>0</v>
      </c>
      <c r="N183" s="743">
        <f t="shared" si="20"/>
        <v>0</v>
      </c>
    </row>
    <row r="184" spans="1:14" ht="15.6">
      <c r="A184" s="737"/>
      <c r="B184" s="737"/>
      <c r="C184" s="737"/>
      <c r="D184" s="739">
        <v>2940</v>
      </c>
      <c r="E184" s="740">
        <v>44975</v>
      </c>
      <c r="F184" s="747">
        <v>182878</v>
      </c>
      <c r="G184" s="737">
        <v>30</v>
      </c>
      <c r="H184" s="742">
        <f t="shared" si="14"/>
        <v>45005</v>
      </c>
      <c r="I184" s="743">
        <f t="shared" si="15"/>
        <v>12</v>
      </c>
      <c r="J184" s="743">
        <f t="shared" si="16"/>
        <v>182878</v>
      </c>
      <c r="K184" s="743">
        <f t="shared" si="17"/>
        <v>0</v>
      </c>
      <c r="L184" s="743">
        <f t="shared" si="18"/>
        <v>0</v>
      </c>
      <c r="M184" s="743">
        <f t="shared" si="19"/>
        <v>0</v>
      </c>
      <c r="N184" s="743">
        <f t="shared" si="20"/>
        <v>0</v>
      </c>
    </row>
    <row r="185" spans="1:14" ht="15.6">
      <c r="A185" s="737"/>
      <c r="B185" s="737"/>
      <c r="C185" s="737"/>
      <c r="D185" s="739">
        <v>2945</v>
      </c>
      <c r="E185" s="740">
        <v>44976</v>
      </c>
      <c r="F185" s="747">
        <v>230659</v>
      </c>
      <c r="G185" s="737">
        <v>30</v>
      </c>
      <c r="H185" s="742">
        <f t="shared" si="14"/>
        <v>45006</v>
      </c>
      <c r="I185" s="743">
        <f t="shared" si="15"/>
        <v>11</v>
      </c>
      <c r="J185" s="743">
        <f t="shared" si="16"/>
        <v>230659</v>
      </c>
      <c r="K185" s="743">
        <f t="shared" si="17"/>
        <v>0</v>
      </c>
      <c r="L185" s="743">
        <f t="shared" si="18"/>
        <v>0</v>
      </c>
      <c r="M185" s="743">
        <f t="shared" si="19"/>
        <v>0</v>
      </c>
      <c r="N185" s="743">
        <f t="shared" si="20"/>
        <v>0</v>
      </c>
    </row>
    <row r="186" spans="1:14" ht="15.6">
      <c r="A186" s="737"/>
      <c r="B186" s="737"/>
      <c r="C186" s="737"/>
      <c r="D186" s="739">
        <v>2947</v>
      </c>
      <c r="E186" s="740">
        <v>44976</v>
      </c>
      <c r="F186" s="747">
        <v>234856</v>
      </c>
      <c r="G186" s="737">
        <v>30</v>
      </c>
      <c r="H186" s="742">
        <f t="shared" si="14"/>
        <v>45006</v>
      </c>
      <c r="I186" s="743">
        <f t="shared" si="15"/>
        <v>11</v>
      </c>
      <c r="J186" s="743">
        <f t="shared" si="16"/>
        <v>234856</v>
      </c>
      <c r="K186" s="743">
        <f t="shared" si="17"/>
        <v>0</v>
      </c>
      <c r="L186" s="743">
        <f t="shared" si="18"/>
        <v>0</v>
      </c>
      <c r="M186" s="743">
        <f t="shared" si="19"/>
        <v>0</v>
      </c>
      <c r="N186" s="743">
        <f t="shared" si="20"/>
        <v>0</v>
      </c>
    </row>
    <row r="187" spans="1:14" ht="15.6">
      <c r="A187" s="737"/>
      <c r="B187" s="737"/>
      <c r="C187" s="737"/>
      <c r="D187" s="739">
        <v>2948</v>
      </c>
      <c r="E187" s="740">
        <v>44976</v>
      </c>
      <c r="F187" s="747">
        <v>194613</v>
      </c>
      <c r="G187" s="737">
        <v>30</v>
      </c>
      <c r="H187" s="742">
        <f t="shared" si="14"/>
        <v>45006</v>
      </c>
      <c r="I187" s="743">
        <f t="shared" si="15"/>
        <v>11</v>
      </c>
      <c r="J187" s="743">
        <f t="shared" si="16"/>
        <v>194613</v>
      </c>
      <c r="K187" s="743">
        <f t="shared" si="17"/>
        <v>0</v>
      </c>
      <c r="L187" s="743">
        <f t="shared" si="18"/>
        <v>0</v>
      </c>
      <c r="M187" s="743">
        <f t="shared" si="19"/>
        <v>0</v>
      </c>
      <c r="N187" s="743">
        <f t="shared" si="20"/>
        <v>0</v>
      </c>
    </row>
    <row r="188" spans="1:14" ht="15.6">
      <c r="A188" s="737"/>
      <c r="B188" s="737"/>
      <c r="C188" s="737"/>
      <c r="D188" s="739">
        <v>2951</v>
      </c>
      <c r="E188" s="740">
        <v>44977</v>
      </c>
      <c r="F188" s="747">
        <v>202426</v>
      </c>
      <c r="G188" s="737">
        <v>30</v>
      </c>
      <c r="H188" s="742">
        <f t="shared" si="14"/>
        <v>45007</v>
      </c>
      <c r="I188" s="743">
        <f t="shared" si="15"/>
        <v>10</v>
      </c>
      <c r="J188" s="743">
        <f t="shared" si="16"/>
        <v>202426</v>
      </c>
      <c r="K188" s="743">
        <f t="shared" si="17"/>
        <v>0</v>
      </c>
      <c r="L188" s="743">
        <f t="shared" si="18"/>
        <v>0</v>
      </c>
      <c r="M188" s="743">
        <f t="shared" si="19"/>
        <v>0</v>
      </c>
      <c r="N188" s="743">
        <f t="shared" si="20"/>
        <v>0</v>
      </c>
    </row>
    <row r="189" spans="1:14" ht="15.6">
      <c r="A189" s="737"/>
      <c r="B189" s="737"/>
      <c r="C189" s="737"/>
      <c r="D189" s="739">
        <v>2953</v>
      </c>
      <c r="E189" s="740">
        <v>44977</v>
      </c>
      <c r="F189" s="747">
        <v>200525</v>
      </c>
      <c r="G189" s="737">
        <v>30</v>
      </c>
      <c r="H189" s="742">
        <f t="shared" si="14"/>
        <v>45007</v>
      </c>
      <c r="I189" s="743">
        <f t="shared" si="15"/>
        <v>10</v>
      </c>
      <c r="J189" s="743">
        <f t="shared" si="16"/>
        <v>200525</v>
      </c>
      <c r="K189" s="743">
        <f t="shared" si="17"/>
        <v>0</v>
      </c>
      <c r="L189" s="743">
        <f t="shared" si="18"/>
        <v>0</v>
      </c>
      <c r="M189" s="743">
        <f t="shared" si="19"/>
        <v>0</v>
      </c>
      <c r="N189" s="743">
        <f t="shared" si="20"/>
        <v>0</v>
      </c>
    </row>
    <row r="190" spans="1:14" ht="15.6">
      <c r="A190" s="737"/>
      <c r="B190" s="737"/>
      <c r="C190" s="737"/>
      <c r="D190" s="739">
        <v>2958</v>
      </c>
      <c r="E190" s="740">
        <v>44977</v>
      </c>
      <c r="F190" s="747">
        <v>523432</v>
      </c>
      <c r="G190" s="737">
        <v>30</v>
      </c>
      <c r="H190" s="742">
        <f t="shared" si="14"/>
        <v>45007</v>
      </c>
      <c r="I190" s="743">
        <f t="shared" si="15"/>
        <v>10</v>
      </c>
      <c r="J190" s="743">
        <f t="shared" si="16"/>
        <v>523432</v>
      </c>
      <c r="K190" s="743">
        <f t="shared" si="17"/>
        <v>0</v>
      </c>
      <c r="L190" s="743">
        <f t="shared" si="18"/>
        <v>0</v>
      </c>
      <c r="M190" s="743">
        <f t="shared" si="19"/>
        <v>0</v>
      </c>
      <c r="N190" s="743">
        <f t="shared" si="20"/>
        <v>0</v>
      </c>
    </row>
    <row r="191" spans="1:14" ht="15.6">
      <c r="A191" s="737"/>
      <c r="B191" s="737"/>
      <c r="C191" s="737"/>
      <c r="D191" s="739">
        <v>2962</v>
      </c>
      <c r="E191" s="740">
        <v>44978</v>
      </c>
      <c r="F191" s="747">
        <v>603196</v>
      </c>
      <c r="G191" s="737">
        <v>30</v>
      </c>
      <c r="H191" s="742">
        <f t="shared" si="14"/>
        <v>45008</v>
      </c>
      <c r="I191" s="743">
        <f t="shared" si="15"/>
        <v>9</v>
      </c>
      <c r="J191" s="743">
        <f t="shared" si="16"/>
        <v>603196</v>
      </c>
      <c r="K191" s="743">
        <f t="shared" si="17"/>
        <v>0</v>
      </c>
      <c r="L191" s="743">
        <f t="shared" si="18"/>
        <v>0</v>
      </c>
      <c r="M191" s="743">
        <f t="shared" si="19"/>
        <v>0</v>
      </c>
      <c r="N191" s="743">
        <f t="shared" si="20"/>
        <v>0</v>
      </c>
    </row>
    <row r="192" spans="1:14" ht="15.6">
      <c r="A192" s="737"/>
      <c r="B192" s="737"/>
      <c r="C192" s="737"/>
      <c r="D192" s="739">
        <v>2963</v>
      </c>
      <c r="E192" s="740">
        <v>44978</v>
      </c>
      <c r="F192" s="747">
        <v>338345</v>
      </c>
      <c r="G192" s="737">
        <v>30</v>
      </c>
      <c r="H192" s="742">
        <f t="shared" si="14"/>
        <v>45008</v>
      </c>
      <c r="I192" s="743">
        <f t="shared" si="15"/>
        <v>9</v>
      </c>
      <c r="J192" s="743">
        <f t="shared" si="16"/>
        <v>338345</v>
      </c>
      <c r="K192" s="743">
        <f t="shared" si="17"/>
        <v>0</v>
      </c>
      <c r="L192" s="743">
        <f t="shared" si="18"/>
        <v>0</v>
      </c>
      <c r="M192" s="743">
        <f t="shared" si="19"/>
        <v>0</v>
      </c>
      <c r="N192" s="743">
        <f t="shared" si="20"/>
        <v>0</v>
      </c>
    </row>
    <row r="193" spans="1:14" ht="15.6">
      <c r="A193" s="737"/>
      <c r="B193" s="737"/>
      <c r="C193" s="737"/>
      <c r="D193" s="739">
        <v>2970</v>
      </c>
      <c r="E193" s="740">
        <v>44978</v>
      </c>
      <c r="F193" s="747">
        <v>413606</v>
      </c>
      <c r="G193" s="737">
        <v>30</v>
      </c>
      <c r="H193" s="742">
        <f t="shared" si="14"/>
        <v>45008</v>
      </c>
      <c r="I193" s="743">
        <f t="shared" si="15"/>
        <v>9</v>
      </c>
      <c r="J193" s="743">
        <f t="shared" si="16"/>
        <v>413606</v>
      </c>
      <c r="K193" s="743">
        <f t="shared" si="17"/>
        <v>0</v>
      </c>
      <c r="L193" s="743">
        <f t="shared" si="18"/>
        <v>0</v>
      </c>
      <c r="M193" s="743">
        <f t="shared" si="19"/>
        <v>0</v>
      </c>
      <c r="N193" s="743">
        <f t="shared" si="20"/>
        <v>0</v>
      </c>
    </row>
    <row r="194" spans="1:14" ht="15.6">
      <c r="A194" s="737"/>
      <c r="B194" s="737"/>
      <c r="C194" s="737"/>
      <c r="D194" s="739">
        <v>2972</v>
      </c>
      <c r="E194" s="740">
        <v>44979</v>
      </c>
      <c r="F194" s="747">
        <v>279355</v>
      </c>
      <c r="G194" s="737">
        <v>30</v>
      </c>
      <c r="H194" s="742">
        <f t="shared" si="14"/>
        <v>45009</v>
      </c>
      <c r="I194" s="743">
        <f t="shared" si="15"/>
        <v>8</v>
      </c>
      <c r="J194" s="743">
        <f t="shared" si="16"/>
        <v>279355</v>
      </c>
      <c r="K194" s="743">
        <f t="shared" si="17"/>
        <v>0</v>
      </c>
      <c r="L194" s="743">
        <f t="shared" si="18"/>
        <v>0</v>
      </c>
      <c r="M194" s="743">
        <f t="shared" si="19"/>
        <v>0</v>
      </c>
      <c r="N194" s="743">
        <f t="shared" si="20"/>
        <v>0</v>
      </c>
    </row>
    <row r="195" spans="1:14" ht="15.6">
      <c r="A195" s="737"/>
      <c r="B195" s="737"/>
      <c r="C195" s="737"/>
      <c r="D195" s="739">
        <v>2974</v>
      </c>
      <c r="E195" s="740">
        <v>44979</v>
      </c>
      <c r="F195" s="747">
        <v>254245</v>
      </c>
      <c r="G195" s="737">
        <v>30</v>
      </c>
      <c r="H195" s="742">
        <f t="shared" si="14"/>
        <v>45009</v>
      </c>
      <c r="I195" s="743">
        <f t="shared" si="15"/>
        <v>8</v>
      </c>
      <c r="J195" s="743">
        <f t="shared" si="16"/>
        <v>254245</v>
      </c>
      <c r="K195" s="743">
        <f t="shared" si="17"/>
        <v>0</v>
      </c>
      <c r="L195" s="743">
        <f t="shared" si="18"/>
        <v>0</v>
      </c>
      <c r="M195" s="743">
        <f t="shared" si="19"/>
        <v>0</v>
      </c>
      <c r="N195" s="743">
        <f t="shared" si="20"/>
        <v>0</v>
      </c>
    </row>
    <row r="196" spans="1:14" ht="15.6">
      <c r="A196" s="737"/>
      <c r="B196" s="737"/>
      <c r="C196" s="737"/>
      <c r="D196" s="739">
        <v>2978</v>
      </c>
      <c r="E196" s="740">
        <v>44979</v>
      </c>
      <c r="F196" s="747">
        <v>168198</v>
      </c>
      <c r="G196" s="737">
        <v>30</v>
      </c>
      <c r="H196" s="742">
        <f t="shared" si="14"/>
        <v>45009</v>
      </c>
      <c r="I196" s="743">
        <f t="shared" si="15"/>
        <v>8</v>
      </c>
      <c r="J196" s="743">
        <f t="shared" si="16"/>
        <v>168198</v>
      </c>
      <c r="K196" s="743">
        <f t="shared" si="17"/>
        <v>0</v>
      </c>
      <c r="L196" s="743">
        <f t="shared" si="18"/>
        <v>0</v>
      </c>
      <c r="M196" s="743">
        <f t="shared" si="19"/>
        <v>0</v>
      </c>
      <c r="N196" s="743">
        <f t="shared" si="20"/>
        <v>0</v>
      </c>
    </row>
    <row r="197" spans="1:14" ht="15.6">
      <c r="A197" s="737"/>
      <c r="B197" s="737"/>
      <c r="C197" s="737"/>
      <c r="D197" s="739">
        <v>2979</v>
      </c>
      <c r="E197" s="740">
        <v>44979</v>
      </c>
      <c r="F197" s="747">
        <v>213697</v>
      </c>
      <c r="G197" s="737">
        <v>30</v>
      </c>
      <c r="H197" s="742">
        <f t="shared" si="14"/>
        <v>45009</v>
      </c>
      <c r="I197" s="743">
        <f t="shared" si="15"/>
        <v>8</v>
      </c>
      <c r="J197" s="743">
        <f t="shared" si="16"/>
        <v>213697</v>
      </c>
      <c r="K197" s="743">
        <f t="shared" si="17"/>
        <v>0</v>
      </c>
      <c r="L197" s="743">
        <f t="shared" si="18"/>
        <v>0</v>
      </c>
      <c r="M197" s="743">
        <f t="shared" si="19"/>
        <v>0</v>
      </c>
      <c r="N197" s="743">
        <f t="shared" si="20"/>
        <v>0</v>
      </c>
    </row>
    <row r="198" spans="1:14" ht="15.6">
      <c r="A198" s="737"/>
      <c r="B198" s="737"/>
      <c r="C198" s="737"/>
      <c r="D198" s="739">
        <v>2980</v>
      </c>
      <c r="E198" s="740">
        <v>44979</v>
      </c>
      <c r="F198" s="747">
        <v>240395</v>
      </c>
      <c r="G198" s="737">
        <v>30</v>
      </c>
      <c r="H198" s="742">
        <f t="shared" si="14"/>
        <v>45009</v>
      </c>
      <c r="I198" s="743">
        <f t="shared" si="15"/>
        <v>8</v>
      </c>
      <c r="J198" s="743">
        <f t="shared" si="16"/>
        <v>240395</v>
      </c>
      <c r="K198" s="743">
        <f t="shared" si="17"/>
        <v>0</v>
      </c>
      <c r="L198" s="743">
        <f t="shared" si="18"/>
        <v>0</v>
      </c>
      <c r="M198" s="743">
        <f t="shared" si="19"/>
        <v>0</v>
      </c>
      <c r="N198" s="743">
        <f t="shared" si="20"/>
        <v>0</v>
      </c>
    </row>
    <row r="199" spans="1:14" ht="15.6">
      <c r="A199" s="737"/>
      <c r="B199" s="737"/>
      <c r="C199" s="737"/>
      <c r="D199" s="739">
        <v>2986</v>
      </c>
      <c r="E199" s="740">
        <v>44980</v>
      </c>
      <c r="F199" s="747">
        <v>78851</v>
      </c>
      <c r="G199" s="737">
        <v>30</v>
      </c>
      <c r="H199" s="742">
        <f t="shared" si="14"/>
        <v>45010</v>
      </c>
      <c r="I199" s="743">
        <f t="shared" si="15"/>
        <v>7</v>
      </c>
      <c r="J199" s="743">
        <f t="shared" si="16"/>
        <v>78851</v>
      </c>
      <c r="K199" s="743">
        <f t="shared" si="17"/>
        <v>0</v>
      </c>
      <c r="L199" s="743">
        <f t="shared" si="18"/>
        <v>0</v>
      </c>
      <c r="M199" s="743">
        <f t="shared" si="19"/>
        <v>0</v>
      </c>
      <c r="N199" s="743">
        <f t="shared" si="20"/>
        <v>0</v>
      </c>
    </row>
    <row r="200" spans="1:14" ht="15.6">
      <c r="A200" s="737"/>
      <c r="B200" s="737"/>
      <c r="C200" s="737"/>
      <c r="D200" s="739">
        <v>2991</v>
      </c>
      <c r="E200" s="740">
        <v>44980</v>
      </c>
      <c r="F200" s="747">
        <v>47915</v>
      </c>
      <c r="G200" s="737">
        <v>30</v>
      </c>
      <c r="H200" s="742">
        <f t="shared" si="14"/>
        <v>45010</v>
      </c>
      <c r="I200" s="743">
        <f t="shared" si="15"/>
        <v>7</v>
      </c>
      <c r="J200" s="743">
        <f t="shared" si="16"/>
        <v>47915</v>
      </c>
      <c r="K200" s="743">
        <f t="shared" si="17"/>
        <v>0</v>
      </c>
      <c r="L200" s="743">
        <f t="shared" si="18"/>
        <v>0</v>
      </c>
      <c r="M200" s="743">
        <f t="shared" si="19"/>
        <v>0</v>
      </c>
      <c r="N200" s="743">
        <f t="shared" si="20"/>
        <v>0</v>
      </c>
    </row>
    <row r="201" spans="1:14" ht="15.6">
      <c r="A201" s="737"/>
      <c r="B201" s="737"/>
      <c r="C201" s="737"/>
      <c r="D201" s="739">
        <v>3002</v>
      </c>
      <c r="E201" s="740">
        <v>44981</v>
      </c>
      <c r="F201" s="747">
        <v>49877</v>
      </c>
      <c r="G201" s="737">
        <v>30</v>
      </c>
      <c r="H201" s="742">
        <f t="shared" si="14"/>
        <v>45011</v>
      </c>
      <c r="I201" s="743">
        <f t="shared" si="15"/>
        <v>6</v>
      </c>
      <c r="J201" s="743">
        <f t="shared" si="16"/>
        <v>49877</v>
      </c>
      <c r="K201" s="743">
        <f t="shared" si="17"/>
        <v>0</v>
      </c>
      <c r="L201" s="743">
        <f t="shared" si="18"/>
        <v>0</v>
      </c>
      <c r="M201" s="743">
        <f t="shared" si="19"/>
        <v>0</v>
      </c>
      <c r="N201" s="743">
        <f t="shared" si="20"/>
        <v>0</v>
      </c>
    </row>
    <row r="202" spans="1:14" ht="15.6">
      <c r="A202" s="737"/>
      <c r="B202" s="737"/>
      <c r="C202" s="737"/>
      <c r="D202" s="739">
        <v>3013</v>
      </c>
      <c r="E202" s="740">
        <v>44983</v>
      </c>
      <c r="F202" s="747">
        <v>100638</v>
      </c>
      <c r="G202" s="737">
        <v>30</v>
      </c>
      <c r="H202" s="742">
        <f t="shared" si="14"/>
        <v>45013</v>
      </c>
      <c r="I202" s="743">
        <f t="shared" si="15"/>
        <v>4</v>
      </c>
      <c r="J202" s="743">
        <f t="shared" si="16"/>
        <v>100638</v>
      </c>
      <c r="K202" s="743">
        <f t="shared" si="17"/>
        <v>0</v>
      </c>
      <c r="L202" s="743">
        <f t="shared" si="18"/>
        <v>0</v>
      </c>
      <c r="M202" s="743">
        <f t="shared" si="19"/>
        <v>0</v>
      </c>
      <c r="N202" s="743">
        <f t="shared" si="20"/>
        <v>0</v>
      </c>
    </row>
    <row r="203" spans="1:14" ht="15.6">
      <c r="A203" s="737"/>
      <c r="B203" s="737"/>
      <c r="C203" s="737"/>
      <c r="D203" s="739">
        <v>3014</v>
      </c>
      <c r="E203" s="740">
        <v>44983</v>
      </c>
      <c r="F203" s="747">
        <v>125233</v>
      </c>
      <c r="G203" s="737">
        <v>30</v>
      </c>
      <c r="H203" s="742">
        <f t="shared" si="14"/>
        <v>45013</v>
      </c>
      <c r="I203" s="743">
        <f t="shared" si="15"/>
        <v>4</v>
      </c>
      <c r="J203" s="743">
        <f t="shared" si="16"/>
        <v>125233</v>
      </c>
      <c r="K203" s="743">
        <f t="shared" si="17"/>
        <v>0</v>
      </c>
      <c r="L203" s="743">
        <f t="shared" si="18"/>
        <v>0</v>
      </c>
      <c r="M203" s="743">
        <f t="shared" si="19"/>
        <v>0</v>
      </c>
      <c r="N203" s="743">
        <f t="shared" si="20"/>
        <v>0</v>
      </c>
    </row>
    <row r="204" spans="1:14" ht="15.6">
      <c r="A204" s="737"/>
      <c r="B204" s="737"/>
      <c r="C204" s="737"/>
      <c r="D204" s="739">
        <v>3048</v>
      </c>
      <c r="E204" s="740">
        <v>44987</v>
      </c>
      <c r="F204" s="745">
        <v>227413</v>
      </c>
      <c r="G204" s="737">
        <v>30</v>
      </c>
      <c r="H204" s="742">
        <f t="shared" si="14"/>
        <v>45017</v>
      </c>
      <c r="I204" s="743">
        <f t="shared" si="15"/>
        <v>0</v>
      </c>
      <c r="J204" s="743">
        <f t="shared" si="16"/>
        <v>227413</v>
      </c>
      <c r="K204" s="743">
        <f t="shared" si="17"/>
        <v>0</v>
      </c>
      <c r="L204" s="743">
        <f t="shared" si="18"/>
        <v>0</v>
      </c>
      <c r="M204" s="743">
        <f t="shared" si="19"/>
        <v>0</v>
      </c>
      <c r="N204" s="743">
        <f t="shared" si="20"/>
        <v>0</v>
      </c>
    </row>
    <row r="205" spans="1:14" ht="15.6">
      <c r="A205" s="737"/>
      <c r="B205" s="737"/>
      <c r="C205" s="737"/>
      <c r="D205" s="739">
        <v>3068</v>
      </c>
      <c r="E205" s="740">
        <v>44989</v>
      </c>
      <c r="F205" s="745">
        <v>469166</v>
      </c>
      <c r="G205" s="737">
        <v>30</v>
      </c>
      <c r="H205" s="742">
        <f t="shared" si="14"/>
        <v>45019</v>
      </c>
      <c r="I205" s="743">
        <f t="shared" si="15"/>
        <v>-2</v>
      </c>
      <c r="J205" s="743">
        <f t="shared" si="16"/>
        <v>469166</v>
      </c>
      <c r="K205" s="743">
        <f t="shared" si="17"/>
        <v>0</v>
      </c>
      <c r="L205" s="743">
        <f t="shared" si="18"/>
        <v>0</v>
      </c>
      <c r="M205" s="743">
        <f t="shared" si="19"/>
        <v>0</v>
      </c>
      <c r="N205" s="743">
        <f t="shared" si="20"/>
        <v>0</v>
      </c>
    </row>
    <row r="206" spans="1:14" ht="15.6">
      <c r="A206" s="737"/>
      <c r="B206" s="737"/>
      <c r="C206" s="737"/>
      <c r="D206" s="739">
        <v>3069</v>
      </c>
      <c r="E206" s="740">
        <v>44989</v>
      </c>
      <c r="F206" s="745">
        <v>77524</v>
      </c>
      <c r="G206" s="737">
        <v>30</v>
      </c>
      <c r="H206" s="742">
        <f t="shared" si="14"/>
        <v>45019</v>
      </c>
      <c r="I206" s="743">
        <f t="shared" si="15"/>
        <v>-2</v>
      </c>
      <c r="J206" s="743">
        <f t="shared" si="16"/>
        <v>77524</v>
      </c>
      <c r="K206" s="743">
        <f t="shared" si="17"/>
        <v>0</v>
      </c>
      <c r="L206" s="743">
        <f t="shared" si="18"/>
        <v>0</v>
      </c>
      <c r="M206" s="743">
        <f t="shared" si="19"/>
        <v>0</v>
      </c>
      <c r="N206" s="743">
        <f t="shared" si="20"/>
        <v>0</v>
      </c>
    </row>
    <row r="207" spans="1:14" ht="15.6">
      <c r="A207" s="737"/>
      <c r="B207" s="737"/>
      <c r="C207" s="737"/>
      <c r="D207" s="739">
        <v>3071</v>
      </c>
      <c r="E207" s="740">
        <v>44990</v>
      </c>
      <c r="F207" s="745">
        <v>185033</v>
      </c>
      <c r="G207" s="737">
        <v>30</v>
      </c>
      <c r="H207" s="742">
        <f t="shared" si="14"/>
        <v>45020</v>
      </c>
      <c r="I207" s="743">
        <f t="shared" si="15"/>
        <v>-3</v>
      </c>
      <c r="J207" s="743">
        <f t="shared" si="16"/>
        <v>185033</v>
      </c>
      <c r="K207" s="743">
        <f t="shared" si="17"/>
        <v>0</v>
      </c>
      <c r="L207" s="743">
        <f t="shared" si="18"/>
        <v>0</v>
      </c>
      <c r="M207" s="743">
        <f t="shared" si="19"/>
        <v>0</v>
      </c>
      <c r="N207" s="743">
        <f t="shared" si="20"/>
        <v>0</v>
      </c>
    </row>
    <row r="208" spans="1:14" ht="15.6">
      <c r="A208" s="737"/>
      <c r="B208" s="737"/>
      <c r="C208" s="737"/>
      <c r="D208" s="739">
        <v>3076</v>
      </c>
      <c r="E208" s="740">
        <v>44990</v>
      </c>
      <c r="F208" s="745">
        <v>208525</v>
      </c>
      <c r="G208" s="737">
        <v>30</v>
      </c>
      <c r="H208" s="742">
        <f t="shared" si="14"/>
        <v>45020</v>
      </c>
      <c r="I208" s="743">
        <f t="shared" si="15"/>
        <v>-3</v>
      </c>
      <c r="J208" s="743">
        <f t="shared" si="16"/>
        <v>208525</v>
      </c>
      <c r="K208" s="743">
        <f t="shared" si="17"/>
        <v>0</v>
      </c>
      <c r="L208" s="743">
        <f t="shared" si="18"/>
        <v>0</v>
      </c>
      <c r="M208" s="743">
        <f t="shared" si="19"/>
        <v>0</v>
      </c>
      <c r="N208" s="743">
        <f t="shared" si="20"/>
        <v>0</v>
      </c>
    </row>
    <row r="209" spans="1:14" ht="15.6">
      <c r="A209" s="737"/>
      <c r="B209" s="737"/>
      <c r="C209" s="737"/>
      <c r="D209" s="749">
        <v>3078</v>
      </c>
      <c r="E209" s="750">
        <v>44990</v>
      </c>
      <c r="F209" s="747">
        <v>678157</v>
      </c>
      <c r="G209" s="737">
        <v>30</v>
      </c>
      <c r="H209" s="742">
        <f t="shared" si="14"/>
        <v>45020</v>
      </c>
      <c r="I209" s="743">
        <f t="shared" si="15"/>
        <v>-3</v>
      </c>
      <c r="J209" s="743">
        <f t="shared" si="16"/>
        <v>678157</v>
      </c>
      <c r="K209" s="743">
        <f t="shared" si="17"/>
        <v>0</v>
      </c>
      <c r="L209" s="743">
        <f t="shared" si="18"/>
        <v>0</v>
      </c>
      <c r="M209" s="743">
        <f t="shared" si="19"/>
        <v>0</v>
      </c>
      <c r="N209" s="743">
        <f t="shared" si="20"/>
        <v>0</v>
      </c>
    </row>
    <row r="210" spans="1:14" ht="15.6">
      <c r="A210" s="737"/>
      <c r="B210" s="737"/>
      <c r="C210" s="737"/>
      <c r="D210" s="739">
        <v>3090</v>
      </c>
      <c r="E210" s="740">
        <v>44993</v>
      </c>
      <c r="F210" s="745">
        <v>822768</v>
      </c>
      <c r="G210" s="737">
        <v>30</v>
      </c>
      <c r="H210" s="742">
        <f t="shared" si="14"/>
        <v>45023</v>
      </c>
      <c r="I210" s="743">
        <f t="shared" si="15"/>
        <v>-6</v>
      </c>
      <c r="J210" s="743">
        <f t="shared" si="16"/>
        <v>822768</v>
      </c>
      <c r="K210" s="743">
        <f t="shared" si="17"/>
        <v>0</v>
      </c>
      <c r="L210" s="743">
        <f t="shared" si="18"/>
        <v>0</v>
      </c>
      <c r="M210" s="743">
        <f t="shared" si="19"/>
        <v>0</v>
      </c>
      <c r="N210" s="743">
        <f t="shared" si="20"/>
        <v>0</v>
      </c>
    </row>
    <row r="211" spans="1:14" ht="15.6">
      <c r="A211" s="737"/>
      <c r="B211" s="737"/>
      <c r="C211" s="737"/>
      <c r="D211" s="739">
        <v>3093</v>
      </c>
      <c r="E211" s="740">
        <v>44994</v>
      </c>
      <c r="F211" s="745">
        <v>50276</v>
      </c>
      <c r="G211" s="737">
        <v>30</v>
      </c>
      <c r="H211" s="742">
        <f t="shared" si="14"/>
        <v>45024</v>
      </c>
      <c r="I211" s="743">
        <f t="shared" si="15"/>
        <v>-7</v>
      </c>
      <c r="J211" s="743">
        <f t="shared" si="16"/>
        <v>50276</v>
      </c>
      <c r="K211" s="743">
        <f t="shared" si="17"/>
        <v>0</v>
      </c>
      <c r="L211" s="743">
        <f t="shared" si="18"/>
        <v>0</v>
      </c>
      <c r="M211" s="743">
        <f t="shared" si="19"/>
        <v>0</v>
      </c>
      <c r="N211" s="743">
        <f t="shared" si="20"/>
        <v>0</v>
      </c>
    </row>
    <row r="212" spans="1:14" ht="15.6">
      <c r="A212" s="737"/>
      <c r="B212" s="737"/>
      <c r="C212" s="737"/>
      <c r="D212" s="739">
        <v>3097</v>
      </c>
      <c r="E212" s="740">
        <v>44994</v>
      </c>
      <c r="F212" s="745">
        <v>45127</v>
      </c>
      <c r="G212" s="737">
        <v>30</v>
      </c>
      <c r="H212" s="742">
        <f t="shared" si="14"/>
        <v>45024</v>
      </c>
      <c r="I212" s="743">
        <f t="shared" si="15"/>
        <v>-7</v>
      </c>
      <c r="J212" s="743">
        <f t="shared" si="16"/>
        <v>45127</v>
      </c>
      <c r="K212" s="743">
        <f t="shared" si="17"/>
        <v>0</v>
      </c>
      <c r="L212" s="743">
        <f t="shared" si="18"/>
        <v>0</v>
      </c>
      <c r="M212" s="743">
        <f t="shared" si="19"/>
        <v>0</v>
      </c>
      <c r="N212" s="743">
        <f t="shared" si="20"/>
        <v>0</v>
      </c>
    </row>
    <row r="213" spans="1:14" ht="15.6">
      <c r="A213" s="737"/>
      <c r="B213" s="737"/>
      <c r="C213" s="737"/>
      <c r="D213" s="739">
        <v>3099</v>
      </c>
      <c r="E213" s="740">
        <v>44994</v>
      </c>
      <c r="F213" s="745">
        <v>63957</v>
      </c>
      <c r="G213" s="737">
        <v>30</v>
      </c>
      <c r="H213" s="742">
        <f t="shared" si="14"/>
        <v>45024</v>
      </c>
      <c r="I213" s="743">
        <f t="shared" si="15"/>
        <v>-7</v>
      </c>
      <c r="J213" s="743">
        <f t="shared" si="16"/>
        <v>63957</v>
      </c>
      <c r="K213" s="743">
        <f t="shared" si="17"/>
        <v>0</v>
      </c>
      <c r="L213" s="743">
        <f t="shared" si="18"/>
        <v>0</v>
      </c>
      <c r="M213" s="743">
        <f t="shared" si="19"/>
        <v>0</v>
      </c>
      <c r="N213" s="743">
        <f t="shared" si="20"/>
        <v>0</v>
      </c>
    </row>
    <row r="214" spans="1:14" ht="15.6">
      <c r="A214" s="737"/>
      <c r="B214" s="737"/>
      <c r="C214" s="737"/>
      <c r="D214" s="739">
        <v>3133</v>
      </c>
      <c r="E214" s="740">
        <v>44997</v>
      </c>
      <c r="F214" s="745">
        <v>197297</v>
      </c>
      <c r="G214" s="737">
        <v>30</v>
      </c>
      <c r="H214" s="742">
        <f t="shared" si="14"/>
        <v>45027</v>
      </c>
      <c r="I214" s="743">
        <f t="shared" si="15"/>
        <v>-10</v>
      </c>
      <c r="J214" s="743">
        <f t="shared" si="16"/>
        <v>197297</v>
      </c>
      <c r="K214" s="743">
        <f t="shared" si="17"/>
        <v>0</v>
      </c>
      <c r="L214" s="743">
        <f t="shared" si="18"/>
        <v>0</v>
      </c>
      <c r="M214" s="743">
        <f t="shared" si="19"/>
        <v>0</v>
      </c>
      <c r="N214" s="743">
        <f t="shared" si="20"/>
        <v>0</v>
      </c>
    </row>
    <row r="215" spans="1:14" ht="15.6">
      <c r="A215" s="737"/>
      <c r="B215" s="737"/>
      <c r="C215" s="737"/>
      <c r="D215" s="739">
        <v>3134</v>
      </c>
      <c r="E215" s="740">
        <v>44997</v>
      </c>
      <c r="F215" s="745">
        <v>274280</v>
      </c>
      <c r="G215" s="737">
        <v>30</v>
      </c>
      <c r="H215" s="742">
        <f t="shared" si="14"/>
        <v>45027</v>
      </c>
      <c r="I215" s="743">
        <f t="shared" si="15"/>
        <v>-10</v>
      </c>
      <c r="J215" s="743">
        <f t="shared" si="16"/>
        <v>274280</v>
      </c>
      <c r="K215" s="743">
        <f t="shared" si="17"/>
        <v>0</v>
      </c>
      <c r="L215" s="743">
        <f t="shared" si="18"/>
        <v>0</v>
      </c>
      <c r="M215" s="743">
        <f t="shared" si="19"/>
        <v>0</v>
      </c>
      <c r="N215" s="743">
        <f t="shared" si="20"/>
        <v>0</v>
      </c>
    </row>
    <row r="216" spans="1:14" ht="15.6">
      <c r="A216" s="737"/>
      <c r="B216" s="737"/>
      <c r="C216" s="737"/>
      <c r="D216" s="739">
        <v>3139</v>
      </c>
      <c r="E216" s="740">
        <v>44998</v>
      </c>
      <c r="F216" s="745">
        <v>222027</v>
      </c>
      <c r="G216" s="737">
        <v>30</v>
      </c>
      <c r="H216" s="742">
        <f t="shared" si="14"/>
        <v>45028</v>
      </c>
      <c r="I216" s="743">
        <f t="shared" si="15"/>
        <v>-11</v>
      </c>
      <c r="J216" s="743">
        <f t="shared" si="16"/>
        <v>222027</v>
      </c>
      <c r="K216" s="743">
        <f t="shared" si="17"/>
        <v>0</v>
      </c>
      <c r="L216" s="743">
        <f t="shared" si="18"/>
        <v>0</v>
      </c>
      <c r="M216" s="743">
        <f t="shared" si="19"/>
        <v>0</v>
      </c>
      <c r="N216" s="743">
        <f t="shared" si="20"/>
        <v>0</v>
      </c>
    </row>
    <row r="217" spans="1:14" ht="15.6">
      <c r="A217" s="737"/>
      <c r="B217" s="737"/>
      <c r="C217" s="737"/>
      <c r="D217" s="739">
        <v>3140</v>
      </c>
      <c r="E217" s="740">
        <v>44998</v>
      </c>
      <c r="F217" s="745">
        <v>276428</v>
      </c>
      <c r="G217" s="737">
        <v>30</v>
      </c>
      <c r="H217" s="742">
        <f t="shared" si="14"/>
        <v>45028</v>
      </c>
      <c r="I217" s="743">
        <f t="shared" si="15"/>
        <v>-11</v>
      </c>
      <c r="J217" s="743">
        <f t="shared" si="16"/>
        <v>276428</v>
      </c>
      <c r="K217" s="743">
        <f t="shared" si="17"/>
        <v>0</v>
      </c>
      <c r="L217" s="743">
        <f t="shared" si="18"/>
        <v>0</v>
      </c>
      <c r="M217" s="743">
        <f t="shared" si="19"/>
        <v>0</v>
      </c>
      <c r="N217" s="743">
        <f t="shared" si="20"/>
        <v>0</v>
      </c>
    </row>
    <row r="218" spans="1:14" ht="15.6">
      <c r="A218" s="737"/>
      <c r="B218" s="737"/>
      <c r="C218" s="737"/>
      <c r="D218" s="739">
        <v>3142</v>
      </c>
      <c r="E218" s="740">
        <v>44998</v>
      </c>
      <c r="F218" s="745">
        <v>212856</v>
      </c>
      <c r="G218" s="737">
        <v>30</v>
      </c>
      <c r="H218" s="742">
        <f t="shared" si="14"/>
        <v>45028</v>
      </c>
      <c r="I218" s="743">
        <f t="shared" si="15"/>
        <v>-11</v>
      </c>
      <c r="J218" s="743">
        <f t="shared" si="16"/>
        <v>212856</v>
      </c>
      <c r="K218" s="743">
        <f t="shared" si="17"/>
        <v>0</v>
      </c>
      <c r="L218" s="743">
        <f t="shared" si="18"/>
        <v>0</v>
      </c>
      <c r="M218" s="743">
        <f t="shared" si="19"/>
        <v>0</v>
      </c>
      <c r="N218" s="743">
        <f t="shared" si="20"/>
        <v>0</v>
      </c>
    </row>
    <row r="219" spans="1:14" ht="15.6">
      <c r="A219" s="737"/>
      <c r="B219" s="737"/>
      <c r="C219" s="737"/>
      <c r="D219" s="739">
        <v>3158</v>
      </c>
      <c r="E219" s="740">
        <v>45000</v>
      </c>
      <c r="F219" s="745">
        <v>127206</v>
      </c>
      <c r="G219" s="737">
        <v>30</v>
      </c>
      <c r="H219" s="742">
        <f t="shared" si="14"/>
        <v>45030</v>
      </c>
      <c r="I219" s="743">
        <f t="shared" si="15"/>
        <v>-13</v>
      </c>
      <c r="J219" s="743">
        <f t="shared" si="16"/>
        <v>127206</v>
      </c>
      <c r="K219" s="743">
        <f t="shared" si="17"/>
        <v>0</v>
      </c>
      <c r="L219" s="743">
        <f t="shared" si="18"/>
        <v>0</v>
      </c>
      <c r="M219" s="743">
        <f t="shared" si="19"/>
        <v>0</v>
      </c>
      <c r="N219" s="743">
        <f t="shared" si="20"/>
        <v>0</v>
      </c>
    </row>
    <row r="220" spans="1:14" ht="15.6">
      <c r="A220" s="737"/>
      <c r="B220" s="737"/>
      <c r="C220" s="737"/>
      <c r="D220" s="739">
        <v>3164</v>
      </c>
      <c r="E220" s="740">
        <v>45001</v>
      </c>
      <c r="F220" s="745">
        <v>228061</v>
      </c>
      <c r="G220" s="737">
        <v>30</v>
      </c>
      <c r="H220" s="742">
        <f t="shared" si="14"/>
        <v>45031</v>
      </c>
      <c r="I220" s="743">
        <f t="shared" si="15"/>
        <v>-14</v>
      </c>
      <c r="J220" s="743">
        <f t="shared" si="16"/>
        <v>228061</v>
      </c>
      <c r="K220" s="743">
        <f t="shared" si="17"/>
        <v>0</v>
      </c>
      <c r="L220" s="743">
        <f t="shared" si="18"/>
        <v>0</v>
      </c>
      <c r="M220" s="743">
        <f t="shared" si="19"/>
        <v>0</v>
      </c>
      <c r="N220" s="743">
        <f t="shared" si="20"/>
        <v>0</v>
      </c>
    </row>
    <row r="221" spans="1:14" ht="15.6">
      <c r="A221" s="737"/>
      <c r="B221" s="737"/>
      <c r="C221" s="737"/>
      <c r="D221" s="739">
        <v>3165</v>
      </c>
      <c r="E221" s="740">
        <v>45001</v>
      </c>
      <c r="F221" s="745">
        <v>185163</v>
      </c>
      <c r="G221" s="737">
        <v>30</v>
      </c>
      <c r="H221" s="742">
        <f t="shared" si="14"/>
        <v>45031</v>
      </c>
      <c r="I221" s="743">
        <f t="shared" si="15"/>
        <v>-14</v>
      </c>
      <c r="J221" s="743">
        <f t="shared" si="16"/>
        <v>185163</v>
      </c>
      <c r="K221" s="743">
        <f t="shared" si="17"/>
        <v>0</v>
      </c>
      <c r="L221" s="743">
        <f t="shared" si="18"/>
        <v>0</v>
      </c>
      <c r="M221" s="743">
        <f t="shared" si="19"/>
        <v>0</v>
      </c>
      <c r="N221" s="743">
        <f t="shared" si="20"/>
        <v>0</v>
      </c>
    </row>
    <row r="222" spans="1:14" ht="15.6">
      <c r="A222" s="737"/>
      <c r="B222" s="737"/>
      <c r="C222" s="737"/>
      <c r="D222" s="739">
        <v>3176</v>
      </c>
      <c r="E222" s="740">
        <v>45002</v>
      </c>
      <c r="F222" s="745">
        <v>521173</v>
      </c>
      <c r="G222" s="737">
        <v>30</v>
      </c>
      <c r="H222" s="742">
        <f t="shared" si="14"/>
        <v>45032</v>
      </c>
      <c r="I222" s="743">
        <f t="shared" si="15"/>
        <v>-15</v>
      </c>
      <c r="J222" s="743">
        <f t="shared" si="16"/>
        <v>521173</v>
      </c>
      <c r="K222" s="743">
        <f t="shared" si="17"/>
        <v>0</v>
      </c>
      <c r="L222" s="743">
        <f t="shared" si="18"/>
        <v>0</v>
      </c>
      <c r="M222" s="743">
        <f t="shared" si="19"/>
        <v>0</v>
      </c>
      <c r="N222" s="743">
        <f t="shared" si="20"/>
        <v>0</v>
      </c>
    </row>
    <row r="223" spans="1:14" ht="15.6">
      <c r="A223" s="737"/>
      <c r="B223" s="737"/>
      <c r="C223" s="737"/>
      <c r="D223" s="739">
        <v>3180</v>
      </c>
      <c r="E223" s="740">
        <v>45002</v>
      </c>
      <c r="F223" s="745">
        <v>95820</v>
      </c>
      <c r="G223" s="737">
        <v>30</v>
      </c>
      <c r="H223" s="742">
        <f t="shared" si="14"/>
        <v>45032</v>
      </c>
      <c r="I223" s="743">
        <f t="shared" si="15"/>
        <v>-15</v>
      </c>
      <c r="J223" s="743">
        <f t="shared" si="16"/>
        <v>95820</v>
      </c>
      <c r="K223" s="743">
        <f t="shared" si="17"/>
        <v>0</v>
      </c>
      <c r="L223" s="743">
        <f t="shared" si="18"/>
        <v>0</v>
      </c>
      <c r="M223" s="743">
        <f t="shared" si="19"/>
        <v>0</v>
      </c>
      <c r="N223" s="743">
        <f t="shared" si="20"/>
        <v>0</v>
      </c>
    </row>
    <row r="224" spans="1:14" ht="15.6">
      <c r="A224" s="737"/>
      <c r="B224" s="737"/>
      <c r="C224" s="737"/>
      <c r="D224" s="739">
        <v>3186</v>
      </c>
      <c r="E224" s="740">
        <v>45003</v>
      </c>
      <c r="F224" s="745">
        <v>239596</v>
      </c>
      <c r="G224" s="737">
        <v>30</v>
      </c>
      <c r="H224" s="742">
        <f t="shared" si="14"/>
        <v>45033</v>
      </c>
      <c r="I224" s="743">
        <f t="shared" si="15"/>
        <v>-16</v>
      </c>
      <c r="J224" s="743">
        <f t="shared" si="16"/>
        <v>239596</v>
      </c>
      <c r="K224" s="743">
        <f t="shared" si="17"/>
        <v>0</v>
      </c>
      <c r="L224" s="743">
        <f t="shared" si="18"/>
        <v>0</v>
      </c>
      <c r="M224" s="743">
        <f t="shared" si="19"/>
        <v>0</v>
      </c>
      <c r="N224" s="743">
        <f t="shared" si="20"/>
        <v>0</v>
      </c>
    </row>
    <row r="225" spans="1:14" ht="15.6">
      <c r="A225" s="737"/>
      <c r="B225" s="737"/>
      <c r="C225" s="737"/>
      <c r="D225" s="739">
        <v>3193</v>
      </c>
      <c r="E225" s="740">
        <v>45004</v>
      </c>
      <c r="F225" s="745">
        <v>236149</v>
      </c>
      <c r="G225" s="737">
        <v>30</v>
      </c>
      <c r="H225" s="742">
        <f t="shared" si="14"/>
        <v>45034</v>
      </c>
      <c r="I225" s="743">
        <f t="shared" si="15"/>
        <v>-17</v>
      </c>
      <c r="J225" s="743">
        <f t="shared" si="16"/>
        <v>236149</v>
      </c>
      <c r="K225" s="743">
        <f t="shared" si="17"/>
        <v>0</v>
      </c>
      <c r="L225" s="743">
        <f t="shared" si="18"/>
        <v>0</v>
      </c>
      <c r="M225" s="743">
        <f t="shared" si="19"/>
        <v>0</v>
      </c>
      <c r="N225" s="743">
        <f t="shared" si="20"/>
        <v>0</v>
      </c>
    </row>
    <row r="226" spans="1:14" ht="15.6">
      <c r="A226" s="737"/>
      <c r="B226" s="737"/>
      <c r="C226" s="737"/>
      <c r="D226" s="739">
        <v>3194</v>
      </c>
      <c r="E226" s="740">
        <v>45004</v>
      </c>
      <c r="F226" s="745">
        <v>230352</v>
      </c>
      <c r="G226" s="737">
        <v>30</v>
      </c>
      <c r="H226" s="742">
        <f t="shared" si="14"/>
        <v>45034</v>
      </c>
      <c r="I226" s="743">
        <f t="shared" si="15"/>
        <v>-17</v>
      </c>
      <c r="J226" s="743">
        <f t="shared" si="16"/>
        <v>230352</v>
      </c>
      <c r="K226" s="743">
        <f t="shared" si="17"/>
        <v>0</v>
      </c>
      <c r="L226" s="743">
        <f t="shared" si="18"/>
        <v>0</v>
      </c>
      <c r="M226" s="743">
        <f t="shared" si="19"/>
        <v>0</v>
      </c>
      <c r="N226" s="743">
        <f t="shared" si="20"/>
        <v>0</v>
      </c>
    </row>
    <row r="227" spans="1:14" ht="15.6">
      <c r="A227" s="737"/>
      <c r="B227" s="737"/>
      <c r="C227" s="737"/>
      <c r="D227" s="739">
        <v>3199</v>
      </c>
      <c r="E227" s="740">
        <v>45004</v>
      </c>
      <c r="F227" s="745">
        <v>255197</v>
      </c>
      <c r="G227" s="737">
        <v>30</v>
      </c>
      <c r="H227" s="742">
        <f t="shared" si="14"/>
        <v>45034</v>
      </c>
      <c r="I227" s="743">
        <f t="shared" si="15"/>
        <v>-17</v>
      </c>
      <c r="J227" s="743">
        <f t="shared" si="16"/>
        <v>255197</v>
      </c>
      <c r="K227" s="743">
        <f t="shared" si="17"/>
        <v>0</v>
      </c>
      <c r="L227" s="743">
        <f t="shared" si="18"/>
        <v>0</v>
      </c>
      <c r="M227" s="743">
        <f t="shared" si="19"/>
        <v>0</v>
      </c>
      <c r="N227" s="743">
        <f t="shared" si="20"/>
        <v>0</v>
      </c>
    </row>
    <row r="228" spans="1:14" ht="15.6">
      <c r="A228" s="737"/>
      <c r="B228" s="737"/>
      <c r="C228" s="737"/>
      <c r="D228" s="739">
        <v>3203</v>
      </c>
      <c r="E228" s="740">
        <v>45005</v>
      </c>
      <c r="F228" s="745">
        <v>205269</v>
      </c>
      <c r="G228" s="737">
        <v>30</v>
      </c>
      <c r="H228" s="742">
        <f t="shared" si="14"/>
        <v>45035</v>
      </c>
      <c r="I228" s="743">
        <f t="shared" si="15"/>
        <v>-18</v>
      </c>
      <c r="J228" s="743">
        <f t="shared" si="16"/>
        <v>205269</v>
      </c>
      <c r="K228" s="743">
        <f t="shared" si="17"/>
        <v>0</v>
      </c>
      <c r="L228" s="743">
        <f t="shared" si="18"/>
        <v>0</v>
      </c>
      <c r="M228" s="743">
        <f t="shared" si="19"/>
        <v>0</v>
      </c>
      <c r="N228" s="743">
        <f t="shared" si="20"/>
        <v>0</v>
      </c>
    </row>
    <row r="229" spans="1:14" ht="15.6">
      <c r="A229" s="737"/>
      <c r="B229" s="737"/>
      <c r="C229" s="737"/>
      <c r="D229" s="739">
        <v>3218</v>
      </c>
      <c r="E229" s="740">
        <v>45007</v>
      </c>
      <c r="F229" s="745">
        <v>238401</v>
      </c>
      <c r="G229" s="737">
        <v>30</v>
      </c>
      <c r="H229" s="742">
        <f t="shared" si="14"/>
        <v>45037</v>
      </c>
      <c r="I229" s="743">
        <f t="shared" si="15"/>
        <v>-20</v>
      </c>
      <c r="J229" s="743">
        <f t="shared" si="16"/>
        <v>238401</v>
      </c>
      <c r="K229" s="743">
        <f t="shared" si="17"/>
        <v>0</v>
      </c>
      <c r="L229" s="743">
        <f t="shared" si="18"/>
        <v>0</v>
      </c>
      <c r="M229" s="743">
        <f t="shared" si="19"/>
        <v>0</v>
      </c>
      <c r="N229" s="743">
        <f t="shared" si="20"/>
        <v>0</v>
      </c>
    </row>
    <row r="230" spans="1:14" ht="15.6">
      <c r="A230" s="737"/>
      <c r="B230" s="737"/>
      <c r="C230" s="737"/>
      <c r="D230" s="739">
        <v>3219</v>
      </c>
      <c r="E230" s="740">
        <v>45007</v>
      </c>
      <c r="F230" s="745">
        <v>212903</v>
      </c>
      <c r="G230" s="737">
        <v>30</v>
      </c>
      <c r="H230" s="742">
        <f t="shared" ref="H230:H293" si="21">+E230+G230</f>
        <v>45037</v>
      </c>
      <c r="I230" s="743">
        <f t="shared" ref="I230:I293" si="22">+$Q$1-H230+1</f>
        <v>-20</v>
      </c>
      <c r="J230" s="743">
        <f t="shared" ref="J230:J293" si="23">IF(I230&lt;=30,F230,0)</f>
        <v>212903</v>
      </c>
      <c r="K230" s="743">
        <f t="shared" ref="K230:K293" si="24">IF(I230&lt;=30,0,IF(I230&gt;60,0,F230))</f>
        <v>0</v>
      </c>
      <c r="L230" s="743">
        <f t="shared" ref="L230:L293" si="25">IF(I230&lt;=60,0,IF(I230&gt;90,0,F230))</f>
        <v>0</v>
      </c>
      <c r="M230" s="743">
        <f t="shared" ref="M230:M293" si="26">IF(I230&lt;=90,0,IF(I230&gt;120,0,F230))</f>
        <v>0</v>
      </c>
      <c r="N230" s="743">
        <f t="shared" ref="N230:N293" si="27">IF(I230&lt;=120,0,F230)</f>
        <v>0</v>
      </c>
    </row>
    <row r="231" spans="1:14" ht="15.6">
      <c r="A231" s="737"/>
      <c r="B231" s="737"/>
      <c r="C231" s="737"/>
      <c r="D231" s="739">
        <v>3223</v>
      </c>
      <c r="E231" s="740">
        <v>45007</v>
      </c>
      <c r="F231" s="745">
        <v>125886</v>
      </c>
      <c r="G231" s="737">
        <v>30</v>
      </c>
      <c r="H231" s="742">
        <f t="shared" si="21"/>
        <v>45037</v>
      </c>
      <c r="I231" s="743">
        <f t="shared" si="22"/>
        <v>-20</v>
      </c>
      <c r="J231" s="743">
        <f t="shared" si="23"/>
        <v>125886</v>
      </c>
      <c r="K231" s="743">
        <f t="shared" si="24"/>
        <v>0</v>
      </c>
      <c r="L231" s="743">
        <f t="shared" si="25"/>
        <v>0</v>
      </c>
      <c r="M231" s="743">
        <f t="shared" si="26"/>
        <v>0</v>
      </c>
      <c r="N231" s="743">
        <f t="shared" si="27"/>
        <v>0</v>
      </c>
    </row>
    <row r="232" spans="1:14" ht="15.6">
      <c r="A232" s="737"/>
      <c r="B232" s="737"/>
      <c r="C232" s="737"/>
      <c r="D232" s="739">
        <v>3225</v>
      </c>
      <c r="E232" s="740">
        <v>45007</v>
      </c>
      <c r="F232" s="745">
        <v>330627</v>
      </c>
      <c r="G232" s="737">
        <v>30</v>
      </c>
      <c r="H232" s="742">
        <f t="shared" si="21"/>
        <v>45037</v>
      </c>
      <c r="I232" s="743">
        <f t="shared" si="22"/>
        <v>-20</v>
      </c>
      <c r="J232" s="743">
        <f t="shared" si="23"/>
        <v>330627</v>
      </c>
      <c r="K232" s="743">
        <f t="shared" si="24"/>
        <v>0</v>
      </c>
      <c r="L232" s="743">
        <f t="shared" si="25"/>
        <v>0</v>
      </c>
      <c r="M232" s="743">
        <f t="shared" si="26"/>
        <v>0</v>
      </c>
      <c r="N232" s="743">
        <f t="shared" si="27"/>
        <v>0</v>
      </c>
    </row>
    <row r="233" spans="1:14" ht="15.6">
      <c r="A233" s="737"/>
      <c r="B233" s="737"/>
      <c r="C233" s="737"/>
      <c r="D233" s="739">
        <v>3227</v>
      </c>
      <c r="E233" s="740">
        <v>45007</v>
      </c>
      <c r="F233" s="745">
        <v>255558</v>
      </c>
      <c r="G233" s="737">
        <v>30</v>
      </c>
      <c r="H233" s="742">
        <f t="shared" si="21"/>
        <v>45037</v>
      </c>
      <c r="I233" s="743">
        <f t="shared" si="22"/>
        <v>-20</v>
      </c>
      <c r="J233" s="743">
        <f t="shared" si="23"/>
        <v>255558</v>
      </c>
      <c r="K233" s="743">
        <f t="shared" si="24"/>
        <v>0</v>
      </c>
      <c r="L233" s="743">
        <f t="shared" si="25"/>
        <v>0</v>
      </c>
      <c r="M233" s="743">
        <f t="shared" si="26"/>
        <v>0</v>
      </c>
      <c r="N233" s="743">
        <f t="shared" si="27"/>
        <v>0</v>
      </c>
    </row>
    <row r="234" spans="1:14" ht="15.6">
      <c r="A234" s="737"/>
      <c r="B234" s="737"/>
      <c r="C234" s="737"/>
      <c r="D234" s="739">
        <v>3228</v>
      </c>
      <c r="E234" s="740">
        <v>45008</v>
      </c>
      <c r="F234" s="745">
        <v>162766</v>
      </c>
      <c r="G234" s="737">
        <v>30</v>
      </c>
      <c r="H234" s="742">
        <f t="shared" si="21"/>
        <v>45038</v>
      </c>
      <c r="I234" s="743">
        <f t="shared" si="22"/>
        <v>-21</v>
      </c>
      <c r="J234" s="743">
        <f t="shared" si="23"/>
        <v>162766</v>
      </c>
      <c r="K234" s="743">
        <f t="shared" si="24"/>
        <v>0</v>
      </c>
      <c r="L234" s="743">
        <f t="shared" si="25"/>
        <v>0</v>
      </c>
      <c r="M234" s="743">
        <f t="shared" si="26"/>
        <v>0</v>
      </c>
      <c r="N234" s="743">
        <f t="shared" si="27"/>
        <v>0</v>
      </c>
    </row>
    <row r="235" spans="1:14" ht="15.6">
      <c r="A235" s="737"/>
      <c r="B235" s="737"/>
      <c r="C235" s="737"/>
      <c r="D235" s="739">
        <v>3240</v>
      </c>
      <c r="E235" s="740">
        <v>45009</v>
      </c>
      <c r="F235" s="745">
        <v>208558</v>
      </c>
      <c r="G235" s="737">
        <v>30</v>
      </c>
      <c r="H235" s="742">
        <f t="shared" si="21"/>
        <v>45039</v>
      </c>
      <c r="I235" s="743">
        <f t="shared" si="22"/>
        <v>-22</v>
      </c>
      <c r="J235" s="743">
        <f t="shared" si="23"/>
        <v>208558</v>
      </c>
      <c r="K235" s="743">
        <f t="shared" si="24"/>
        <v>0</v>
      </c>
      <c r="L235" s="743">
        <f t="shared" si="25"/>
        <v>0</v>
      </c>
      <c r="M235" s="743">
        <f t="shared" si="26"/>
        <v>0</v>
      </c>
      <c r="N235" s="743">
        <f t="shared" si="27"/>
        <v>0</v>
      </c>
    </row>
    <row r="236" spans="1:14" ht="15.6">
      <c r="A236" s="737"/>
      <c r="B236" s="737"/>
      <c r="C236" s="737"/>
      <c r="D236" s="739">
        <v>3246</v>
      </c>
      <c r="E236" s="740">
        <v>45010</v>
      </c>
      <c r="F236" s="745">
        <v>268220</v>
      </c>
      <c r="G236" s="737">
        <v>30</v>
      </c>
      <c r="H236" s="742">
        <f t="shared" si="21"/>
        <v>45040</v>
      </c>
      <c r="I236" s="743">
        <f t="shared" si="22"/>
        <v>-23</v>
      </c>
      <c r="J236" s="743">
        <f t="shared" si="23"/>
        <v>268220</v>
      </c>
      <c r="K236" s="743">
        <f t="shared" si="24"/>
        <v>0</v>
      </c>
      <c r="L236" s="743">
        <f t="shared" si="25"/>
        <v>0</v>
      </c>
      <c r="M236" s="743">
        <f t="shared" si="26"/>
        <v>0</v>
      </c>
      <c r="N236" s="743">
        <f t="shared" si="27"/>
        <v>0</v>
      </c>
    </row>
    <row r="237" spans="1:14" ht="15.6">
      <c r="A237" s="737"/>
      <c r="B237" s="737"/>
      <c r="C237" s="737"/>
      <c r="D237" s="739">
        <v>3251</v>
      </c>
      <c r="E237" s="740">
        <v>45010</v>
      </c>
      <c r="F237" s="745">
        <v>532316</v>
      </c>
      <c r="G237" s="737">
        <v>30</v>
      </c>
      <c r="H237" s="742">
        <f t="shared" si="21"/>
        <v>45040</v>
      </c>
      <c r="I237" s="743">
        <f t="shared" si="22"/>
        <v>-23</v>
      </c>
      <c r="J237" s="743">
        <f t="shared" si="23"/>
        <v>532316</v>
      </c>
      <c r="K237" s="743">
        <f t="shared" si="24"/>
        <v>0</v>
      </c>
      <c r="L237" s="743">
        <f t="shared" si="25"/>
        <v>0</v>
      </c>
      <c r="M237" s="743">
        <f t="shared" si="26"/>
        <v>0</v>
      </c>
      <c r="N237" s="743">
        <f t="shared" si="27"/>
        <v>0</v>
      </c>
    </row>
    <row r="238" spans="1:14" ht="15.6">
      <c r="A238" s="737"/>
      <c r="B238" s="737"/>
      <c r="C238" s="737"/>
      <c r="D238" s="739">
        <v>3257</v>
      </c>
      <c r="E238" s="740">
        <v>45010</v>
      </c>
      <c r="F238" s="745">
        <v>146705</v>
      </c>
      <c r="G238" s="737">
        <v>30</v>
      </c>
      <c r="H238" s="742">
        <f t="shared" si="21"/>
        <v>45040</v>
      </c>
      <c r="I238" s="743">
        <f t="shared" si="22"/>
        <v>-23</v>
      </c>
      <c r="J238" s="743">
        <f t="shared" si="23"/>
        <v>146705</v>
      </c>
      <c r="K238" s="743">
        <f t="shared" si="24"/>
        <v>0</v>
      </c>
      <c r="L238" s="743">
        <f t="shared" si="25"/>
        <v>0</v>
      </c>
      <c r="M238" s="743">
        <f t="shared" si="26"/>
        <v>0</v>
      </c>
      <c r="N238" s="743">
        <f t="shared" si="27"/>
        <v>0</v>
      </c>
    </row>
    <row r="239" spans="1:14" ht="15.6">
      <c r="A239" s="737"/>
      <c r="B239" s="737"/>
      <c r="C239" s="737"/>
      <c r="D239" s="739">
        <v>3258</v>
      </c>
      <c r="E239" s="740">
        <v>45010</v>
      </c>
      <c r="F239" s="745">
        <v>196510</v>
      </c>
      <c r="G239" s="737">
        <v>30</v>
      </c>
      <c r="H239" s="742">
        <f t="shared" si="21"/>
        <v>45040</v>
      </c>
      <c r="I239" s="743">
        <f t="shared" si="22"/>
        <v>-23</v>
      </c>
      <c r="J239" s="743">
        <f t="shared" si="23"/>
        <v>196510</v>
      </c>
      <c r="K239" s="743">
        <f t="shared" si="24"/>
        <v>0</v>
      </c>
      <c r="L239" s="743">
        <f t="shared" si="25"/>
        <v>0</v>
      </c>
      <c r="M239" s="743">
        <f t="shared" si="26"/>
        <v>0</v>
      </c>
      <c r="N239" s="743">
        <f t="shared" si="27"/>
        <v>0</v>
      </c>
    </row>
    <row r="240" spans="1:14" ht="15.6">
      <c r="A240" s="737"/>
      <c r="B240" s="737"/>
      <c r="C240" s="737"/>
      <c r="D240" s="739">
        <v>3265</v>
      </c>
      <c r="E240" s="740">
        <v>45011</v>
      </c>
      <c r="F240" s="745">
        <v>230593</v>
      </c>
      <c r="G240" s="737">
        <v>30</v>
      </c>
      <c r="H240" s="742">
        <f t="shared" si="21"/>
        <v>45041</v>
      </c>
      <c r="I240" s="743">
        <f t="shared" si="22"/>
        <v>-24</v>
      </c>
      <c r="J240" s="743">
        <f t="shared" si="23"/>
        <v>230593</v>
      </c>
      <c r="K240" s="743">
        <f t="shared" si="24"/>
        <v>0</v>
      </c>
      <c r="L240" s="743">
        <f t="shared" si="25"/>
        <v>0</v>
      </c>
      <c r="M240" s="743">
        <f t="shared" si="26"/>
        <v>0</v>
      </c>
      <c r="N240" s="743">
        <f t="shared" si="27"/>
        <v>0</v>
      </c>
    </row>
    <row r="241" spans="1:14" ht="15.6">
      <c r="A241" s="737"/>
      <c r="B241" s="737"/>
      <c r="C241" s="737"/>
      <c r="D241" s="739">
        <v>3282</v>
      </c>
      <c r="E241" s="740">
        <v>45012</v>
      </c>
      <c r="F241" s="745">
        <v>209856</v>
      </c>
      <c r="G241" s="737">
        <v>30</v>
      </c>
      <c r="H241" s="742">
        <f t="shared" si="21"/>
        <v>45042</v>
      </c>
      <c r="I241" s="743">
        <f t="shared" si="22"/>
        <v>-25</v>
      </c>
      <c r="J241" s="743">
        <f t="shared" si="23"/>
        <v>209856</v>
      </c>
      <c r="K241" s="743">
        <f t="shared" si="24"/>
        <v>0</v>
      </c>
      <c r="L241" s="743">
        <f t="shared" si="25"/>
        <v>0</v>
      </c>
      <c r="M241" s="743">
        <f t="shared" si="26"/>
        <v>0</v>
      </c>
      <c r="N241" s="743">
        <f t="shared" si="27"/>
        <v>0</v>
      </c>
    </row>
    <row r="242" spans="1:14" ht="15.6">
      <c r="A242" s="737"/>
      <c r="B242" s="737"/>
      <c r="C242" s="737"/>
      <c r="D242" s="739">
        <v>3283</v>
      </c>
      <c r="E242" s="740">
        <v>45012</v>
      </c>
      <c r="F242" s="745">
        <v>203652</v>
      </c>
      <c r="G242" s="737">
        <v>30</v>
      </c>
      <c r="H242" s="742">
        <f t="shared" si="21"/>
        <v>45042</v>
      </c>
      <c r="I242" s="743">
        <f t="shared" si="22"/>
        <v>-25</v>
      </c>
      <c r="J242" s="743">
        <f t="shared" si="23"/>
        <v>203652</v>
      </c>
      <c r="K242" s="743">
        <f t="shared" si="24"/>
        <v>0</v>
      </c>
      <c r="L242" s="743">
        <f t="shared" si="25"/>
        <v>0</v>
      </c>
      <c r="M242" s="743">
        <f t="shared" si="26"/>
        <v>0</v>
      </c>
      <c r="N242" s="743">
        <f t="shared" si="27"/>
        <v>0</v>
      </c>
    </row>
    <row r="243" spans="1:14" ht="15.6">
      <c r="A243" s="737"/>
      <c r="B243" s="737"/>
      <c r="C243" s="737"/>
      <c r="D243" s="739">
        <v>3284</v>
      </c>
      <c r="E243" s="740">
        <v>45013</v>
      </c>
      <c r="F243" s="745">
        <v>432261</v>
      </c>
      <c r="G243" s="737">
        <v>30</v>
      </c>
      <c r="H243" s="742">
        <f t="shared" si="21"/>
        <v>45043</v>
      </c>
      <c r="I243" s="743">
        <f t="shared" si="22"/>
        <v>-26</v>
      </c>
      <c r="J243" s="743">
        <f t="shared" si="23"/>
        <v>432261</v>
      </c>
      <c r="K243" s="743">
        <f t="shared" si="24"/>
        <v>0</v>
      </c>
      <c r="L243" s="743">
        <f t="shared" si="25"/>
        <v>0</v>
      </c>
      <c r="M243" s="743">
        <f t="shared" si="26"/>
        <v>0</v>
      </c>
      <c r="N243" s="743">
        <f t="shared" si="27"/>
        <v>0</v>
      </c>
    </row>
    <row r="244" spans="1:14" ht="15.6">
      <c r="A244" s="737"/>
      <c r="B244" s="737"/>
      <c r="C244" s="737"/>
      <c r="D244" s="739">
        <v>3285</v>
      </c>
      <c r="E244" s="740">
        <v>45013</v>
      </c>
      <c r="F244" s="745">
        <v>247768</v>
      </c>
      <c r="G244" s="737">
        <v>30</v>
      </c>
      <c r="H244" s="742">
        <f t="shared" si="21"/>
        <v>45043</v>
      </c>
      <c r="I244" s="743">
        <f t="shared" si="22"/>
        <v>-26</v>
      </c>
      <c r="J244" s="743">
        <f t="shared" si="23"/>
        <v>247768</v>
      </c>
      <c r="K244" s="743">
        <f t="shared" si="24"/>
        <v>0</v>
      </c>
      <c r="L244" s="743">
        <f t="shared" si="25"/>
        <v>0</v>
      </c>
      <c r="M244" s="743">
        <f t="shared" si="26"/>
        <v>0</v>
      </c>
      <c r="N244" s="743">
        <f t="shared" si="27"/>
        <v>0</v>
      </c>
    </row>
    <row r="245" spans="1:14" ht="15.6">
      <c r="A245" s="737"/>
      <c r="B245" s="737"/>
      <c r="C245" s="737"/>
      <c r="D245" s="739">
        <v>3290</v>
      </c>
      <c r="E245" s="740">
        <v>45013</v>
      </c>
      <c r="F245" s="745">
        <v>221620</v>
      </c>
      <c r="G245" s="737">
        <v>30</v>
      </c>
      <c r="H245" s="742">
        <f t="shared" si="21"/>
        <v>45043</v>
      </c>
      <c r="I245" s="743">
        <f t="shared" si="22"/>
        <v>-26</v>
      </c>
      <c r="J245" s="743">
        <f t="shared" si="23"/>
        <v>221620</v>
      </c>
      <c r="K245" s="743">
        <f t="shared" si="24"/>
        <v>0</v>
      </c>
      <c r="L245" s="743">
        <f t="shared" si="25"/>
        <v>0</v>
      </c>
      <c r="M245" s="743">
        <f t="shared" si="26"/>
        <v>0</v>
      </c>
      <c r="N245" s="743">
        <f t="shared" si="27"/>
        <v>0</v>
      </c>
    </row>
    <row r="246" spans="1:14" ht="15.6">
      <c r="A246" s="737"/>
      <c r="B246" s="737"/>
      <c r="C246" s="737"/>
      <c r="D246" s="739">
        <v>3293</v>
      </c>
      <c r="E246" s="740">
        <v>45014</v>
      </c>
      <c r="F246" s="745">
        <v>484571</v>
      </c>
      <c r="G246" s="737">
        <v>30</v>
      </c>
      <c r="H246" s="742">
        <f t="shared" si="21"/>
        <v>45044</v>
      </c>
      <c r="I246" s="743">
        <f t="shared" si="22"/>
        <v>-27</v>
      </c>
      <c r="J246" s="743">
        <f t="shared" si="23"/>
        <v>484571</v>
      </c>
      <c r="K246" s="743">
        <f t="shared" si="24"/>
        <v>0</v>
      </c>
      <c r="L246" s="743">
        <f t="shared" si="25"/>
        <v>0</v>
      </c>
      <c r="M246" s="743">
        <f t="shared" si="26"/>
        <v>0</v>
      </c>
      <c r="N246" s="743">
        <f t="shared" si="27"/>
        <v>0</v>
      </c>
    </row>
    <row r="247" spans="1:14" ht="15.6">
      <c r="A247" s="737"/>
      <c r="B247" s="737"/>
      <c r="C247" s="737"/>
      <c r="D247" s="739">
        <v>3294</v>
      </c>
      <c r="E247" s="740">
        <v>45014</v>
      </c>
      <c r="F247" s="745">
        <v>243228</v>
      </c>
      <c r="G247" s="737">
        <v>30</v>
      </c>
      <c r="H247" s="742">
        <f t="shared" si="21"/>
        <v>45044</v>
      </c>
      <c r="I247" s="743">
        <f t="shared" si="22"/>
        <v>-27</v>
      </c>
      <c r="J247" s="743">
        <f t="shared" si="23"/>
        <v>243228</v>
      </c>
      <c r="K247" s="743">
        <f t="shared" si="24"/>
        <v>0</v>
      </c>
      <c r="L247" s="743">
        <f t="shared" si="25"/>
        <v>0</v>
      </c>
      <c r="M247" s="743">
        <f t="shared" si="26"/>
        <v>0</v>
      </c>
      <c r="N247" s="743">
        <f t="shared" si="27"/>
        <v>0</v>
      </c>
    </row>
    <row r="248" spans="1:14" ht="15.6">
      <c r="A248" s="737"/>
      <c r="B248" s="737"/>
      <c r="C248" s="737"/>
      <c r="D248" s="739">
        <v>3298</v>
      </c>
      <c r="E248" s="740">
        <v>45015</v>
      </c>
      <c r="F248" s="745">
        <v>248603</v>
      </c>
      <c r="G248" s="737">
        <v>30</v>
      </c>
      <c r="H248" s="742">
        <f t="shared" si="21"/>
        <v>45045</v>
      </c>
      <c r="I248" s="743">
        <f t="shared" si="22"/>
        <v>-28</v>
      </c>
      <c r="J248" s="743">
        <f t="shared" si="23"/>
        <v>248603</v>
      </c>
      <c r="K248" s="743">
        <f t="shared" si="24"/>
        <v>0</v>
      </c>
      <c r="L248" s="743">
        <f t="shared" si="25"/>
        <v>0</v>
      </c>
      <c r="M248" s="743">
        <f t="shared" si="26"/>
        <v>0</v>
      </c>
      <c r="N248" s="743">
        <f t="shared" si="27"/>
        <v>0</v>
      </c>
    </row>
    <row r="249" spans="1:14" ht="15.6">
      <c r="A249" s="737"/>
      <c r="B249" s="737"/>
      <c r="C249" s="737"/>
      <c r="D249" s="739">
        <v>3299</v>
      </c>
      <c r="E249" s="740">
        <v>45015</v>
      </c>
      <c r="F249" s="745">
        <v>303724</v>
      </c>
      <c r="G249" s="737">
        <v>30</v>
      </c>
      <c r="H249" s="742">
        <f t="shared" si="21"/>
        <v>45045</v>
      </c>
      <c r="I249" s="743">
        <f t="shared" si="22"/>
        <v>-28</v>
      </c>
      <c r="J249" s="743">
        <f t="shared" si="23"/>
        <v>303724</v>
      </c>
      <c r="K249" s="743">
        <f t="shared" si="24"/>
        <v>0</v>
      </c>
      <c r="L249" s="743">
        <f t="shared" si="25"/>
        <v>0</v>
      </c>
      <c r="M249" s="743">
        <f t="shared" si="26"/>
        <v>0</v>
      </c>
      <c r="N249" s="743">
        <f t="shared" si="27"/>
        <v>0</v>
      </c>
    </row>
    <row r="250" spans="1:14" ht="15.6">
      <c r="A250" s="737"/>
      <c r="B250" s="737"/>
      <c r="C250" s="737"/>
      <c r="D250" s="739">
        <v>3305</v>
      </c>
      <c r="E250" s="740">
        <v>45015</v>
      </c>
      <c r="F250" s="745">
        <v>473491</v>
      </c>
      <c r="G250" s="737">
        <v>30</v>
      </c>
      <c r="H250" s="742">
        <f t="shared" si="21"/>
        <v>45045</v>
      </c>
      <c r="I250" s="743">
        <f t="shared" si="22"/>
        <v>-28</v>
      </c>
      <c r="J250" s="743">
        <f t="shared" si="23"/>
        <v>473491</v>
      </c>
      <c r="K250" s="743">
        <f t="shared" si="24"/>
        <v>0</v>
      </c>
      <c r="L250" s="743">
        <f t="shared" si="25"/>
        <v>0</v>
      </c>
      <c r="M250" s="743">
        <f t="shared" si="26"/>
        <v>0</v>
      </c>
      <c r="N250" s="743">
        <f t="shared" si="27"/>
        <v>0</v>
      </c>
    </row>
    <row r="251" spans="1:14" ht="15.6">
      <c r="A251" s="737"/>
      <c r="B251" s="737"/>
      <c r="C251" s="737"/>
      <c r="D251" s="739">
        <v>3308</v>
      </c>
      <c r="E251" s="740">
        <v>45016</v>
      </c>
      <c r="F251" s="745">
        <v>269358</v>
      </c>
      <c r="G251" s="737">
        <v>30</v>
      </c>
      <c r="H251" s="742">
        <f t="shared" si="21"/>
        <v>45046</v>
      </c>
      <c r="I251" s="743">
        <f t="shared" si="22"/>
        <v>-29</v>
      </c>
      <c r="J251" s="743">
        <f t="shared" si="23"/>
        <v>269358</v>
      </c>
      <c r="K251" s="743">
        <f t="shared" si="24"/>
        <v>0</v>
      </c>
      <c r="L251" s="743">
        <f t="shared" si="25"/>
        <v>0</v>
      </c>
      <c r="M251" s="743">
        <f t="shared" si="26"/>
        <v>0</v>
      </c>
      <c r="N251" s="743">
        <f t="shared" si="27"/>
        <v>0</v>
      </c>
    </row>
    <row r="252" spans="1:14" ht="15.6">
      <c r="A252" s="737"/>
      <c r="B252" s="737"/>
      <c r="C252" s="737"/>
      <c r="D252" s="739" t="s">
        <v>2598</v>
      </c>
      <c r="E252" s="740">
        <v>45016</v>
      </c>
      <c r="F252" s="747">
        <v>-13639</v>
      </c>
      <c r="G252" s="737">
        <v>30</v>
      </c>
      <c r="H252" s="742">
        <f t="shared" si="21"/>
        <v>45046</v>
      </c>
      <c r="I252" s="743">
        <f t="shared" si="22"/>
        <v>-29</v>
      </c>
      <c r="J252" s="743">
        <f t="shared" si="23"/>
        <v>-13639</v>
      </c>
      <c r="K252" s="743">
        <f t="shared" si="24"/>
        <v>0</v>
      </c>
      <c r="L252" s="743">
        <f t="shared" si="25"/>
        <v>0</v>
      </c>
      <c r="M252" s="743">
        <f t="shared" si="26"/>
        <v>0</v>
      </c>
      <c r="N252" s="743">
        <f t="shared" si="27"/>
        <v>0</v>
      </c>
    </row>
    <row r="253" spans="1:14" ht="15.6">
      <c r="A253" s="737"/>
      <c r="B253" s="737"/>
      <c r="C253" s="737"/>
      <c r="D253" s="739" t="s">
        <v>2599</v>
      </c>
      <c r="E253" s="740">
        <v>45016</v>
      </c>
      <c r="F253" s="747">
        <v>-35358</v>
      </c>
      <c r="G253" s="737">
        <v>30</v>
      </c>
      <c r="H253" s="742">
        <f t="shared" si="21"/>
        <v>45046</v>
      </c>
      <c r="I253" s="743">
        <f t="shared" si="22"/>
        <v>-29</v>
      </c>
      <c r="J253" s="743">
        <f t="shared" si="23"/>
        <v>-35358</v>
      </c>
      <c r="K253" s="743">
        <f t="shared" si="24"/>
        <v>0</v>
      </c>
      <c r="L253" s="743">
        <f t="shared" si="25"/>
        <v>0</v>
      </c>
      <c r="M253" s="743">
        <f t="shared" si="26"/>
        <v>0</v>
      </c>
      <c r="N253" s="743">
        <f t="shared" si="27"/>
        <v>0</v>
      </c>
    </row>
    <row r="254" spans="1:14" ht="15.6">
      <c r="A254" s="737"/>
      <c r="B254" s="737"/>
      <c r="C254" s="737"/>
      <c r="D254" s="739"/>
      <c r="E254" s="740">
        <v>45016</v>
      </c>
      <c r="F254" s="747">
        <v>-16865</v>
      </c>
      <c r="G254" s="737">
        <v>30</v>
      </c>
      <c r="H254" s="742">
        <f t="shared" si="21"/>
        <v>45046</v>
      </c>
      <c r="I254" s="743">
        <f t="shared" si="22"/>
        <v>-29</v>
      </c>
      <c r="J254" s="743">
        <f t="shared" si="23"/>
        <v>-16865</v>
      </c>
      <c r="K254" s="743">
        <f t="shared" si="24"/>
        <v>0</v>
      </c>
      <c r="L254" s="743">
        <f t="shared" si="25"/>
        <v>0</v>
      </c>
      <c r="M254" s="743">
        <f t="shared" si="26"/>
        <v>0</v>
      </c>
      <c r="N254" s="743">
        <f t="shared" si="27"/>
        <v>0</v>
      </c>
    </row>
    <row r="255" spans="1:14" ht="15.6">
      <c r="A255" s="737"/>
      <c r="B255" s="737"/>
      <c r="C255" s="737"/>
      <c r="D255" s="739"/>
      <c r="E255" s="740"/>
      <c r="F255" s="748">
        <f>SUM(F162:F254)</f>
        <v>23215022</v>
      </c>
      <c r="G255" s="737"/>
      <c r="H255" s="742"/>
      <c r="I255" s="743"/>
      <c r="J255" s="743"/>
      <c r="K255" s="743"/>
      <c r="L255" s="743"/>
      <c r="M255" s="743"/>
      <c r="N255" s="743"/>
    </row>
    <row r="256" spans="1:14" ht="15.6">
      <c r="A256" s="737"/>
      <c r="B256" s="737"/>
      <c r="C256" s="737"/>
      <c r="D256" s="739"/>
      <c r="E256" s="740"/>
      <c r="F256" s="747"/>
      <c r="G256" s="737"/>
      <c r="H256" s="742"/>
      <c r="I256" s="743"/>
      <c r="J256" s="743"/>
      <c r="K256" s="743"/>
      <c r="L256" s="743"/>
      <c r="M256" s="743"/>
      <c r="N256" s="743"/>
    </row>
    <row r="257" spans="1:14" ht="15.6">
      <c r="A257" s="737">
        <v>11</v>
      </c>
      <c r="B257" s="738" t="s">
        <v>253</v>
      </c>
      <c r="C257" s="737"/>
      <c r="D257" s="739">
        <v>2976</v>
      </c>
      <c r="E257" s="740">
        <v>44979</v>
      </c>
      <c r="F257" s="747">
        <v>65020</v>
      </c>
      <c r="G257" s="737">
        <v>30</v>
      </c>
      <c r="H257" s="742">
        <f t="shared" si="21"/>
        <v>45009</v>
      </c>
      <c r="I257" s="743">
        <f t="shared" si="22"/>
        <v>8</v>
      </c>
      <c r="J257" s="743">
        <f t="shared" si="23"/>
        <v>65020</v>
      </c>
      <c r="K257" s="743">
        <f t="shared" si="24"/>
        <v>0</v>
      </c>
      <c r="L257" s="743">
        <f t="shared" si="25"/>
        <v>0</v>
      </c>
      <c r="M257" s="743">
        <f t="shared" si="26"/>
        <v>0</v>
      </c>
      <c r="N257" s="743">
        <f t="shared" si="27"/>
        <v>0</v>
      </c>
    </row>
    <row r="258" spans="1:14" ht="15.6">
      <c r="A258" s="737"/>
      <c r="B258" s="737"/>
      <c r="C258" s="737"/>
      <c r="D258" s="749">
        <v>2988</v>
      </c>
      <c r="E258" s="750">
        <v>44980</v>
      </c>
      <c r="F258" s="747">
        <v>52396</v>
      </c>
      <c r="G258" s="737">
        <v>30</v>
      </c>
      <c r="H258" s="742">
        <f t="shared" si="21"/>
        <v>45010</v>
      </c>
      <c r="I258" s="743">
        <f t="shared" si="22"/>
        <v>7</v>
      </c>
      <c r="J258" s="743">
        <f t="shared" si="23"/>
        <v>52396</v>
      </c>
      <c r="K258" s="743">
        <f t="shared" si="24"/>
        <v>0</v>
      </c>
      <c r="L258" s="743">
        <f t="shared" si="25"/>
        <v>0</v>
      </c>
      <c r="M258" s="743">
        <f t="shared" si="26"/>
        <v>0</v>
      </c>
      <c r="N258" s="743">
        <f t="shared" si="27"/>
        <v>0</v>
      </c>
    </row>
    <row r="259" spans="1:14" ht="15.6">
      <c r="A259" s="737"/>
      <c r="B259" s="737"/>
      <c r="C259" s="737"/>
      <c r="D259" s="739">
        <v>3054</v>
      </c>
      <c r="E259" s="740">
        <v>44988</v>
      </c>
      <c r="F259" s="745">
        <v>67223</v>
      </c>
      <c r="G259" s="737">
        <v>30</v>
      </c>
      <c r="H259" s="742">
        <f t="shared" si="21"/>
        <v>45018</v>
      </c>
      <c r="I259" s="743">
        <f t="shared" si="22"/>
        <v>-1</v>
      </c>
      <c r="J259" s="743">
        <f t="shared" si="23"/>
        <v>67223</v>
      </c>
      <c r="K259" s="743">
        <f t="shared" si="24"/>
        <v>0</v>
      </c>
      <c r="L259" s="743">
        <f t="shared" si="25"/>
        <v>0</v>
      </c>
      <c r="M259" s="743">
        <f t="shared" si="26"/>
        <v>0</v>
      </c>
      <c r="N259" s="743">
        <f t="shared" si="27"/>
        <v>0</v>
      </c>
    </row>
    <row r="260" spans="1:14" ht="15.6">
      <c r="A260" s="737"/>
      <c r="B260" s="737"/>
      <c r="C260" s="737"/>
      <c r="D260" s="739">
        <v>3062</v>
      </c>
      <c r="E260" s="740">
        <v>44989</v>
      </c>
      <c r="F260" s="745">
        <v>67092</v>
      </c>
      <c r="G260" s="737">
        <v>30</v>
      </c>
      <c r="H260" s="742">
        <f t="shared" si="21"/>
        <v>45019</v>
      </c>
      <c r="I260" s="743">
        <f t="shared" si="22"/>
        <v>-2</v>
      </c>
      <c r="J260" s="743">
        <f t="shared" si="23"/>
        <v>67092</v>
      </c>
      <c r="K260" s="743">
        <f t="shared" si="24"/>
        <v>0</v>
      </c>
      <c r="L260" s="743">
        <f t="shared" si="25"/>
        <v>0</v>
      </c>
      <c r="M260" s="743">
        <f t="shared" si="26"/>
        <v>0</v>
      </c>
      <c r="N260" s="743">
        <f t="shared" si="27"/>
        <v>0</v>
      </c>
    </row>
    <row r="261" spans="1:14" ht="15.6">
      <c r="A261" s="737"/>
      <c r="B261" s="737"/>
      <c r="C261" s="737"/>
      <c r="D261" s="739">
        <v>3080</v>
      </c>
      <c r="E261" s="740">
        <v>44991</v>
      </c>
      <c r="F261" s="745">
        <v>60016</v>
      </c>
      <c r="G261" s="737">
        <v>30</v>
      </c>
      <c r="H261" s="742">
        <f t="shared" si="21"/>
        <v>45021</v>
      </c>
      <c r="I261" s="743">
        <f t="shared" si="22"/>
        <v>-4</v>
      </c>
      <c r="J261" s="743">
        <f t="shared" si="23"/>
        <v>60016</v>
      </c>
      <c r="K261" s="743">
        <f t="shared" si="24"/>
        <v>0</v>
      </c>
      <c r="L261" s="743">
        <f t="shared" si="25"/>
        <v>0</v>
      </c>
      <c r="M261" s="743">
        <f t="shared" si="26"/>
        <v>0</v>
      </c>
      <c r="N261" s="743">
        <f t="shared" si="27"/>
        <v>0</v>
      </c>
    </row>
    <row r="262" spans="1:14" ht="15.6">
      <c r="A262" s="737"/>
      <c r="B262" s="737"/>
      <c r="C262" s="737"/>
      <c r="D262" s="739"/>
      <c r="E262" s="740"/>
      <c r="F262" s="746">
        <f>SUM(F257:F261)</f>
        <v>311747</v>
      </c>
      <c r="G262" s="737"/>
      <c r="H262" s="742"/>
      <c r="I262" s="743"/>
      <c r="J262" s="743"/>
      <c r="K262" s="743"/>
      <c r="L262" s="743"/>
      <c r="M262" s="743"/>
      <c r="N262" s="743"/>
    </row>
    <row r="263" spans="1:14" ht="15.6">
      <c r="A263" s="737"/>
      <c r="B263" s="737"/>
      <c r="C263" s="737"/>
      <c r="D263" s="739"/>
      <c r="E263" s="740"/>
      <c r="F263" s="745"/>
      <c r="G263" s="737"/>
      <c r="H263" s="742"/>
      <c r="I263" s="743"/>
      <c r="J263" s="743"/>
      <c r="K263" s="743"/>
      <c r="L263" s="743"/>
      <c r="M263" s="743"/>
      <c r="N263" s="743"/>
    </row>
    <row r="264" spans="1:14" ht="15.6">
      <c r="A264" s="737">
        <v>12</v>
      </c>
      <c r="B264" s="738" t="s">
        <v>272</v>
      </c>
      <c r="C264" s="737"/>
      <c r="D264" s="739">
        <v>3024</v>
      </c>
      <c r="E264" s="740">
        <v>44985</v>
      </c>
      <c r="F264" s="741">
        <v>721126</v>
      </c>
      <c r="G264" s="737">
        <v>30</v>
      </c>
      <c r="H264" s="742">
        <f t="shared" si="21"/>
        <v>45015</v>
      </c>
      <c r="I264" s="743">
        <f t="shared" si="22"/>
        <v>2</v>
      </c>
      <c r="J264" s="743">
        <f t="shared" si="23"/>
        <v>721126</v>
      </c>
      <c r="K264" s="743">
        <f t="shared" si="24"/>
        <v>0</v>
      </c>
      <c r="L264" s="743">
        <f t="shared" si="25"/>
        <v>0</v>
      </c>
      <c r="M264" s="743">
        <f t="shared" si="26"/>
        <v>0</v>
      </c>
      <c r="N264" s="743">
        <f t="shared" si="27"/>
        <v>0</v>
      </c>
    </row>
    <row r="265" spans="1:14" ht="15.6">
      <c r="A265" s="737"/>
      <c r="B265" s="737"/>
      <c r="C265" s="737"/>
      <c r="D265" s="739">
        <v>3208</v>
      </c>
      <c r="E265" s="740">
        <v>45006</v>
      </c>
      <c r="F265" s="741">
        <v>706261</v>
      </c>
      <c r="G265" s="737">
        <v>30</v>
      </c>
      <c r="H265" s="742">
        <f t="shared" si="21"/>
        <v>45036</v>
      </c>
      <c r="I265" s="743">
        <f t="shared" si="22"/>
        <v>-19</v>
      </c>
      <c r="J265" s="743">
        <f t="shared" si="23"/>
        <v>706261</v>
      </c>
      <c r="K265" s="743">
        <f t="shared" si="24"/>
        <v>0</v>
      </c>
      <c r="L265" s="743">
        <f t="shared" si="25"/>
        <v>0</v>
      </c>
      <c r="M265" s="743">
        <f t="shared" si="26"/>
        <v>0</v>
      </c>
      <c r="N265" s="743">
        <f t="shared" si="27"/>
        <v>0</v>
      </c>
    </row>
    <row r="266" spans="1:14" ht="15.6">
      <c r="A266" s="737"/>
      <c r="B266" s="737"/>
      <c r="C266" s="737"/>
      <c r="D266" s="739">
        <v>3226</v>
      </c>
      <c r="E266" s="740">
        <v>45007</v>
      </c>
      <c r="F266" s="741">
        <v>764647</v>
      </c>
      <c r="G266" s="737">
        <v>30</v>
      </c>
      <c r="H266" s="742">
        <f t="shared" si="21"/>
        <v>45037</v>
      </c>
      <c r="I266" s="743">
        <f t="shared" si="22"/>
        <v>-20</v>
      </c>
      <c r="J266" s="743">
        <f t="shared" si="23"/>
        <v>764647</v>
      </c>
      <c r="K266" s="743">
        <f t="shared" si="24"/>
        <v>0</v>
      </c>
      <c r="L266" s="743">
        <f t="shared" si="25"/>
        <v>0</v>
      </c>
      <c r="M266" s="743">
        <f t="shared" si="26"/>
        <v>0</v>
      </c>
      <c r="N266" s="743">
        <f t="shared" si="27"/>
        <v>0</v>
      </c>
    </row>
    <row r="267" spans="1:14" ht="15.6">
      <c r="A267" s="737"/>
      <c r="B267" s="737"/>
      <c r="C267" s="737"/>
      <c r="D267" s="739">
        <v>3255</v>
      </c>
      <c r="E267" s="740">
        <v>45010</v>
      </c>
      <c r="F267" s="741">
        <v>699377</v>
      </c>
      <c r="G267" s="737">
        <v>30</v>
      </c>
      <c r="H267" s="742">
        <f t="shared" si="21"/>
        <v>45040</v>
      </c>
      <c r="I267" s="743">
        <f t="shared" si="22"/>
        <v>-23</v>
      </c>
      <c r="J267" s="743">
        <f t="shared" si="23"/>
        <v>699377</v>
      </c>
      <c r="K267" s="743">
        <f t="shared" si="24"/>
        <v>0</v>
      </c>
      <c r="L267" s="743">
        <f t="shared" si="25"/>
        <v>0</v>
      </c>
      <c r="M267" s="743">
        <f t="shared" si="26"/>
        <v>0</v>
      </c>
      <c r="N267" s="743">
        <f t="shared" si="27"/>
        <v>0</v>
      </c>
    </row>
    <row r="268" spans="1:14" ht="15.6">
      <c r="A268" s="737"/>
      <c r="B268" s="737"/>
      <c r="C268" s="737"/>
      <c r="D268" s="739"/>
      <c r="E268" s="740">
        <v>45010</v>
      </c>
      <c r="F268" s="741">
        <v>6773</v>
      </c>
      <c r="G268" s="737">
        <v>30</v>
      </c>
      <c r="H268" s="742"/>
      <c r="I268" s="743"/>
      <c r="J268" s="743">
        <f t="shared" si="23"/>
        <v>6773</v>
      </c>
      <c r="K268" s="743"/>
      <c r="L268" s="743"/>
      <c r="M268" s="743"/>
      <c r="N268" s="743"/>
    </row>
    <row r="269" spans="1:14" ht="15.6">
      <c r="A269" s="737"/>
      <c r="B269" s="737"/>
      <c r="C269" s="737"/>
      <c r="D269" s="739"/>
      <c r="E269" s="740"/>
      <c r="F269" s="744">
        <f>SUM(F264:F268)</f>
        <v>2898184</v>
      </c>
      <c r="G269" s="737"/>
      <c r="H269" s="742"/>
      <c r="I269" s="743"/>
      <c r="J269" s="743"/>
      <c r="K269" s="743"/>
      <c r="L269" s="743"/>
      <c r="M269" s="743"/>
      <c r="N269" s="743"/>
    </row>
    <row r="270" spans="1:14" ht="15.6">
      <c r="A270" s="737"/>
      <c r="B270" s="737"/>
      <c r="C270" s="737"/>
      <c r="D270" s="739"/>
      <c r="E270" s="740"/>
      <c r="F270" s="744"/>
      <c r="G270" s="737"/>
      <c r="H270" s="742"/>
      <c r="I270" s="743"/>
      <c r="J270" s="743"/>
      <c r="K270" s="743"/>
      <c r="L270" s="743"/>
      <c r="M270" s="743"/>
      <c r="N270" s="743"/>
    </row>
    <row r="271" spans="1:14" ht="15.6">
      <c r="A271" s="737">
        <v>13</v>
      </c>
      <c r="B271" s="738" t="s">
        <v>299</v>
      </c>
      <c r="C271" s="737"/>
      <c r="D271" s="739">
        <v>3263</v>
      </c>
      <c r="E271" s="740">
        <v>45011</v>
      </c>
      <c r="F271" s="745">
        <v>524289</v>
      </c>
      <c r="G271" s="737">
        <v>30</v>
      </c>
      <c r="H271" s="742">
        <f t="shared" si="21"/>
        <v>45041</v>
      </c>
      <c r="I271" s="743">
        <f t="shared" si="22"/>
        <v>-24</v>
      </c>
      <c r="J271" s="743">
        <f t="shared" si="23"/>
        <v>524289</v>
      </c>
      <c r="K271" s="743">
        <f t="shared" si="24"/>
        <v>0</v>
      </c>
      <c r="L271" s="743">
        <f t="shared" si="25"/>
        <v>0</v>
      </c>
      <c r="M271" s="743">
        <f t="shared" si="26"/>
        <v>0</v>
      </c>
      <c r="N271" s="743">
        <f t="shared" si="27"/>
        <v>0</v>
      </c>
    </row>
    <row r="272" spans="1:14" ht="15.6">
      <c r="A272" s="737"/>
      <c r="B272" s="737"/>
      <c r="C272" s="737"/>
      <c r="D272" s="739">
        <v>3291</v>
      </c>
      <c r="E272" s="740">
        <v>45013</v>
      </c>
      <c r="F272" s="745">
        <v>252245</v>
      </c>
      <c r="G272" s="737">
        <v>30</v>
      </c>
      <c r="H272" s="742">
        <f t="shared" si="21"/>
        <v>45043</v>
      </c>
      <c r="I272" s="743">
        <f t="shared" si="22"/>
        <v>-26</v>
      </c>
      <c r="J272" s="743">
        <f t="shared" si="23"/>
        <v>252245</v>
      </c>
      <c r="K272" s="743">
        <f t="shared" si="24"/>
        <v>0</v>
      </c>
      <c r="L272" s="743">
        <f t="shared" si="25"/>
        <v>0</v>
      </c>
      <c r="M272" s="743">
        <f t="shared" si="26"/>
        <v>0</v>
      </c>
      <c r="N272" s="743">
        <f t="shared" si="27"/>
        <v>0</v>
      </c>
    </row>
    <row r="273" spans="1:14" ht="15.6">
      <c r="A273" s="737"/>
      <c r="B273" s="737"/>
      <c r="C273" s="737"/>
      <c r="D273" s="739">
        <v>3307</v>
      </c>
      <c r="E273" s="740">
        <v>45016</v>
      </c>
      <c r="F273" s="745">
        <v>226542</v>
      </c>
      <c r="G273" s="737">
        <v>30</v>
      </c>
      <c r="H273" s="742">
        <f t="shared" si="21"/>
        <v>45046</v>
      </c>
      <c r="I273" s="743">
        <f t="shared" si="22"/>
        <v>-29</v>
      </c>
      <c r="J273" s="743">
        <f t="shared" si="23"/>
        <v>226542</v>
      </c>
      <c r="K273" s="743">
        <f t="shared" si="24"/>
        <v>0</v>
      </c>
      <c r="L273" s="743">
        <f t="shared" si="25"/>
        <v>0</v>
      </c>
      <c r="M273" s="743">
        <f t="shared" si="26"/>
        <v>0</v>
      </c>
      <c r="N273" s="743">
        <f t="shared" si="27"/>
        <v>0</v>
      </c>
    </row>
    <row r="274" spans="1:14" ht="15.6">
      <c r="A274" s="737"/>
      <c r="B274" s="737"/>
      <c r="C274" s="737"/>
      <c r="D274" s="739" t="s">
        <v>2600</v>
      </c>
      <c r="E274" s="740">
        <v>45016</v>
      </c>
      <c r="F274" s="747">
        <v>-28340</v>
      </c>
      <c r="G274" s="737">
        <v>30</v>
      </c>
      <c r="H274" s="742"/>
      <c r="I274" s="743"/>
      <c r="J274" s="743">
        <f t="shared" si="23"/>
        <v>-28340</v>
      </c>
      <c r="K274" s="743"/>
      <c r="L274" s="743"/>
      <c r="M274" s="743"/>
      <c r="N274" s="743"/>
    </row>
    <row r="275" spans="1:14" ht="15.6">
      <c r="A275" s="737"/>
      <c r="B275" s="737"/>
      <c r="C275" s="737"/>
      <c r="D275" s="739" t="s">
        <v>2601</v>
      </c>
      <c r="E275" s="740">
        <v>45016</v>
      </c>
      <c r="F275" s="747">
        <v>-13635</v>
      </c>
      <c r="G275" s="737">
        <v>30</v>
      </c>
      <c r="H275" s="742"/>
      <c r="I275" s="743"/>
      <c r="J275" s="743">
        <f t="shared" si="23"/>
        <v>-13635</v>
      </c>
      <c r="K275" s="743"/>
      <c r="L275" s="743"/>
      <c r="M275" s="743"/>
      <c r="N275" s="743"/>
    </row>
    <row r="276" spans="1:14" ht="15.6">
      <c r="A276" s="737"/>
      <c r="B276" s="737"/>
      <c r="C276" s="737"/>
      <c r="D276" s="739" t="s">
        <v>2002</v>
      </c>
      <c r="E276" s="740"/>
      <c r="F276" s="747">
        <v>-239.5</v>
      </c>
      <c r="G276" s="737">
        <v>30</v>
      </c>
      <c r="H276" s="742"/>
      <c r="I276" s="743"/>
      <c r="J276" s="743">
        <f t="shared" si="23"/>
        <v>-239.5</v>
      </c>
      <c r="K276" s="743"/>
      <c r="L276" s="743"/>
      <c r="M276" s="743"/>
      <c r="N276" s="743"/>
    </row>
    <row r="277" spans="1:14" ht="15.6">
      <c r="A277" s="737"/>
      <c r="B277" s="737"/>
      <c r="C277" s="737"/>
      <c r="D277" s="739"/>
      <c r="E277" s="740"/>
      <c r="F277" s="748">
        <f>SUM(F271:F276)</f>
        <v>960861.5</v>
      </c>
      <c r="G277" s="737"/>
      <c r="H277" s="742"/>
      <c r="I277" s="743"/>
      <c r="J277" s="743"/>
      <c r="K277" s="743"/>
      <c r="L277" s="743"/>
      <c r="M277" s="743"/>
      <c r="N277" s="743"/>
    </row>
    <row r="278" spans="1:14" ht="15.6">
      <c r="A278" s="737"/>
      <c r="B278" s="737"/>
      <c r="C278" s="737"/>
      <c r="D278" s="739"/>
      <c r="E278" s="740"/>
      <c r="F278" s="747"/>
      <c r="G278" s="737"/>
      <c r="H278" s="742"/>
      <c r="I278" s="743"/>
      <c r="J278" s="743"/>
      <c r="K278" s="743"/>
      <c r="L278" s="743"/>
      <c r="M278" s="743"/>
      <c r="N278" s="743"/>
    </row>
    <row r="279" spans="1:14" ht="15.6">
      <c r="A279" s="737">
        <v>14</v>
      </c>
      <c r="B279" s="738" t="s">
        <v>407</v>
      </c>
      <c r="C279" s="737"/>
      <c r="D279" s="739">
        <v>2758</v>
      </c>
      <c r="E279" s="740">
        <v>44959</v>
      </c>
      <c r="F279" s="747">
        <v>83794</v>
      </c>
      <c r="G279" s="737">
        <v>30</v>
      </c>
      <c r="H279" s="742">
        <f t="shared" si="21"/>
        <v>44989</v>
      </c>
      <c r="I279" s="743">
        <f t="shared" si="22"/>
        <v>28</v>
      </c>
      <c r="J279" s="743">
        <f t="shared" si="23"/>
        <v>83794</v>
      </c>
      <c r="K279" s="743">
        <f t="shared" si="24"/>
        <v>0</v>
      </c>
      <c r="L279" s="743">
        <f t="shared" si="25"/>
        <v>0</v>
      </c>
      <c r="M279" s="743">
        <f t="shared" si="26"/>
        <v>0</v>
      </c>
      <c r="N279" s="743">
        <f t="shared" si="27"/>
        <v>0</v>
      </c>
    </row>
    <row r="280" spans="1:14" ht="15.6">
      <c r="A280" s="737"/>
      <c r="B280" s="737"/>
      <c r="C280" s="737"/>
      <c r="D280" s="739">
        <v>2761</v>
      </c>
      <c r="E280" s="740">
        <v>44959</v>
      </c>
      <c r="F280" s="747">
        <v>380177</v>
      </c>
      <c r="G280" s="737">
        <v>30</v>
      </c>
      <c r="H280" s="742">
        <f t="shared" si="21"/>
        <v>44989</v>
      </c>
      <c r="I280" s="743">
        <f t="shared" si="22"/>
        <v>28</v>
      </c>
      <c r="J280" s="743">
        <f t="shared" si="23"/>
        <v>380177</v>
      </c>
      <c r="K280" s="743">
        <f t="shared" si="24"/>
        <v>0</v>
      </c>
      <c r="L280" s="743">
        <f t="shared" si="25"/>
        <v>0</v>
      </c>
      <c r="M280" s="743">
        <f t="shared" si="26"/>
        <v>0</v>
      </c>
      <c r="N280" s="743">
        <f t="shared" si="27"/>
        <v>0</v>
      </c>
    </row>
    <row r="281" spans="1:14" ht="15.6">
      <c r="A281" s="737"/>
      <c r="B281" s="737"/>
      <c r="C281" s="737"/>
      <c r="D281" s="739">
        <v>2774</v>
      </c>
      <c r="E281" s="740">
        <v>44960</v>
      </c>
      <c r="F281" s="747">
        <v>28498</v>
      </c>
      <c r="G281" s="737">
        <v>30</v>
      </c>
      <c r="H281" s="742">
        <f t="shared" si="21"/>
        <v>44990</v>
      </c>
      <c r="I281" s="743">
        <f t="shared" si="22"/>
        <v>27</v>
      </c>
      <c r="J281" s="743">
        <f t="shared" si="23"/>
        <v>28498</v>
      </c>
      <c r="K281" s="743">
        <f t="shared" si="24"/>
        <v>0</v>
      </c>
      <c r="L281" s="743">
        <f t="shared" si="25"/>
        <v>0</v>
      </c>
      <c r="M281" s="743">
        <f t="shared" si="26"/>
        <v>0</v>
      </c>
      <c r="N281" s="743">
        <f t="shared" si="27"/>
        <v>0</v>
      </c>
    </row>
    <row r="282" spans="1:14" ht="15.6">
      <c r="A282" s="737"/>
      <c r="B282" s="737"/>
      <c r="C282" s="737"/>
      <c r="D282" s="739">
        <v>2780</v>
      </c>
      <c r="E282" s="740">
        <v>44961</v>
      </c>
      <c r="F282" s="747">
        <v>213661</v>
      </c>
      <c r="G282" s="737">
        <v>30</v>
      </c>
      <c r="H282" s="742">
        <f t="shared" si="21"/>
        <v>44991</v>
      </c>
      <c r="I282" s="743">
        <f t="shared" si="22"/>
        <v>26</v>
      </c>
      <c r="J282" s="743">
        <f t="shared" si="23"/>
        <v>213661</v>
      </c>
      <c r="K282" s="743">
        <f t="shared" si="24"/>
        <v>0</v>
      </c>
      <c r="L282" s="743">
        <f t="shared" si="25"/>
        <v>0</v>
      </c>
      <c r="M282" s="743">
        <f t="shared" si="26"/>
        <v>0</v>
      </c>
      <c r="N282" s="743">
        <f t="shared" si="27"/>
        <v>0</v>
      </c>
    </row>
    <row r="283" spans="1:14" ht="15.6">
      <c r="A283" s="737"/>
      <c r="B283" s="737"/>
      <c r="C283" s="737"/>
      <c r="D283" s="739">
        <v>2782</v>
      </c>
      <c r="E283" s="740">
        <v>44961</v>
      </c>
      <c r="F283" s="747">
        <v>571688</v>
      </c>
      <c r="G283" s="737">
        <v>30</v>
      </c>
      <c r="H283" s="742">
        <f t="shared" si="21"/>
        <v>44991</v>
      </c>
      <c r="I283" s="743">
        <f t="shared" si="22"/>
        <v>26</v>
      </c>
      <c r="J283" s="743">
        <f t="shared" si="23"/>
        <v>571688</v>
      </c>
      <c r="K283" s="743">
        <f t="shared" si="24"/>
        <v>0</v>
      </c>
      <c r="L283" s="743">
        <f t="shared" si="25"/>
        <v>0</v>
      </c>
      <c r="M283" s="743">
        <f t="shared" si="26"/>
        <v>0</v>
      </c>
      <c r="N283" s="743">
        <f t="shared" si="27"/>
        <v>0</v>
      </c>
    </row>
    <row r="284" spans="1:14" ht="15.6">
      <c r="A284" s="737"/>
      <c r="B284" s="737"/>
      <c r="C284" s="737"/>
      <c r="D284" s="739">
        <v>2789</v>
      </c>
      <c r="E284" s="740">
        <v>44961</v>
      </c>
      <c r="F284" s="747">
        <v>213488</v>
      </c>
      <c r="G284" s="737">
        <v>30</v>
      </c>
      <c r="H284" s="742">
        <f t="shared" si="21"/>
        <v>44991</v>
      </c>
      <c r="I284" s="743">
        <f t="shared" si="22"/>
        <v>26</v>
      </c>
      <c r="J284" s="743">
        <f t="shared" si="23"/>
        <v>213488</v>
      </c>
      <c r="K284" s="743">
        <f t="shared" si="24"/>
        <v>0</v>
      </c>
      <c r="L284" s="743">
        <f t="shared" si="25"/>
        <v>0</v>
      </c>
      <c r="M284" s="743">
        <f t="shared" si="26"/>
        <v>0</v>
      </c>
      <c r="N284" s="743">
        <f t="shared" si="27"/>
        <v>0</v>
      </c>
    </row>
    <row r="285" spans="1:14" ht="15.6">
      <c r="A285" s="737"/>
      <c r="B285" s="737"/>
      <c r="C285" s="737"/>
      <c r="D285" s="739">
        <v>2792</v>
      </c>
      <c r="E285" s="740">
        <v>44961</v>
      </c>
      <c r="F285" s="747">
        <v>139185</v>
      </c>
      <c r="G285" s="737">
        <v>30</v>
      </c>
      <c r="H285" s="742">
        <f t="shared" si="21"/>
        <v>44991</v>
      </c>
      <c r="I285" s="743">
        <f t="shared" si="22"/>
        <v>26</v>
      </c>
      <c r="J285" s="743">
        <f t="shared" si="23"/>
        <v>139185</v>
      </c>
      <c r="K285" s="743">
        <f t="shared" si="24"/>
        <v>0</v>
      </c>
      <c r="L285" s="743">
        <f t="shared" si="25"/>
        <v>0</v>
      </c>
      <c r="M285" s="743">
        <f t="shared" si="26"/>
        <v>0</v>
      </c>
      <c r="N285" s="743">
        <f t="shared" si="27"/>
        <v>0</v>
      </c>
    </row>
    <row r="286" spans="1:14" ht="15.6">
      <c r="A286" s="737"/>
      <c r="B286" s="737"/>
      <c r="C286" s="737"/>
      <c r="D286" s="739">
        <v>2796</v>
      </c>
      <c r="E286" s="740">
        <v>44962</v>
      </c>
      <c r="F286" s="747">
        <v>237395</v>
      </c>
      <c r="G286" s="737">
        <v>30</v>
      </c>
      <c r="H286" s="742">
        <f t="shared" si="21"/>
        <v>44992</v>
      </c>
      <c r="I286" s="743">
        <f t="shared" si="22"/>
        <v>25</v>
      </c>
      <c r="J286" s="743">
        <f t="shared" si="23"/>
        <v>237395</v>
      </c>
      <c r="K286" s="743">
        <f t="shared" si="24"/>
        <v>0</v>
      </c>
      <c r="L286" s="743">
        <f t="shared" si="25"/>
        <v>0</v>
      </c>
      <c r="M286" s="743">
        <f t="shared" si="26"/>
        <v>0</v>
      </c>
      <c r="N286" s="743">
        <f t="shared" si="27"/>
        <v>0</v>
      </c>
    </row>
    <row r="287" spans="1:14" ht="15.6">
      <c r="A287" s="737"/>
      <c r="B287" s="737"/>
      <c r="C287" s="737"/>
      <c r="D287" s="739">
        <v>2797</v>
      </c>
      <c r="E287" s="740">
        <v>44962</v>
      </c>
      <c r="F287" s="747">
        <v>561505</v>
      </c>
      <c r="G287" s="737">
        <v>30</v>
      </c>
      <c r="H287" s="742">
        <f t="shared" si="21"/>
        <v>44992</v>
      </c>
      <c r="I287" s="743">
        <f t="shared" si="22"/>
        <v>25</v>
      </c>
      <c r="J287" s="743">
        <f t="shared" si="23"/>
        <v>561505</v>
      </c>
      <c r="K287" s="743">
        <f t="shared" si="24"/>
        <v>0</v>
      </c>
      <c r="L287" s="743">
        <f t="shared" si="25"/>
        <v>0</v>
      </c>
      <c r="M287" s="743">
        <f t="shared" si="26"/>
        <v>0</v>
      </c>
      <c r="N287" s="743">
        <f t="shared" si="27"/>
        <v>0</v>
      </c>
    </row>
    <row r="288" spans="1:14" ht="15.6">
      <c r="A288" s="737"/>
      <c r="B288" s="737"/>
      <c r="C288" s="737"/>
      <c r="D288" s="739">
        <v>2801</v>
      </c>
      <c r="E288" s="740">
        <v>44962</v>
      </c>
      <c r="F288" s="747">
        <v>312195</v>
      </c>
      <c r="G288" s="737">
        <v>30</v>
      </c>
      <c r="H288" s="742">
        <f t="shared" si="21"/>
        <v>44992</v>
      </c>
      <c r="I288" s="743">
        <f t="shared" si="22"/>
        <v>25</v>
      </c>
      <c r="J288" s="743">
        <f t="shared" si="23"/>
        <v>312195</v>
      </c>
      <c r="K288" s="743">
        <f t="shared" si="24"/>
        <v>0</v>
      </c>
      <c r="L288" s="743">
        <f t="shared" si="25"/>
        <v>0</v>
      </c>
      <c r="M288" s="743">
        <f t="shared" si="26"/>
        <v>0</v>
      </c>
      <c r="N288" s="743">
        <f t="shared" si="27"/>
        <v>0</v>
      </c>
    </row>
    <row r="289" spans="1:14" ht="15.6">
      <c r="A289" s="737"/>
      <c r="B289" s="737"/>
      <c r="C289" s="737"/>
      <c r="D289" s="739">
        <v>2815</v>
      </c>
      <c r="E289" s="740">
        <v>44963</v>
      </c>
      <c r="F289" s="747">
        <v>205455</v>
      </c>
      <c r="G289" s="737">
        <v>30</v>
      </c>
      <c r="H289" s="742">
        <f t="shared" si="21"/>
        <v>44993</v>
      </c>
      <c r="I289" s="743">
        <f t="shared" si="22"/>
        <v>24</v>
      </c>
      <c r="J289" s="743">
        <f t="shared" si="23"/>
        <v>205455</v>
      </c>
      <c r="K289" s="743">
        <f t="shared" si="24"/>
        <v>0</v>
      </c>
      <c r="L289" s="743">
        <f t="shared" si="25"/>
        <v>0</v>
      </c>
      <c r="M289" s="743">
        <f t="shared" si="26"/>
        <v>0</v>
      </c>
      <c r="N289" s="743">
        <f t="shared" si="27"/>
        <v>0</v>
      </c>
    </row>
    <row r="290" spans="1:14" ht="15.6">
      <c r="A290" s="737"/>
      <c r="B290" s="737"/>
      <c r="C290" s="737"/>
      <c r="D290" s="739">
        <v>2823</v>
      </c>
      <c r="E290" s="740">
        <v>44964</v>
      </c>
      <c r="F290" s="747">
        <v>255545</v>
      </c>
      <c r="G290" s="737">
        <v>30</v>
      </c>
      <c r="H290" s="742">
        <f t="shared" si="21"/>
        <v>44994</v>
      </c>
      <c r="I290" s="743">
        <f t="shared" si="22"/>
        <v>23</v>
      </c>
      <c r="J290" s="743">
        <f t="shared" si="23"/>
        <v>255545</v>
      </c>
      <c r="K290" s="743">
        <f t="shared" si="24"/>
        <v>0</v>
      </c>
      <c r="L290" s="743">
        <f t="shared" si="25"/>
        <v>0</v>
      </c>
      <c r="M290" s="743">
        <f t="shared" si="26"/>
        <v>0</v>
      </c>
      <c r="N290" s="743">
        <f t="shared" si="27"/>
        <v>0</v>
      </c>
    </row>
    <row r="291" spans="1:14" ht="15.6">
      <c r="A291" s="737"/>
      <c r="B291" s="737"/>
      <c r="C291" s="737"/>
      <c r="D291" s="739">
        <v>2854</v>
      </c>
      <c r="E291" s="740">
        <v>44967</v>
      </c>
      <c r="F291" s="747">
        <v>344477</v>
      </c>
      <c r="G291" s="737">
        <v>30</v>
      </c>
      <c r="H291" s="742">
        <f t="shared" si="21"/>
        <v>44997</v>
      </c>
      <c r="I291" s="743">
        <f t="shared" si="22"/>
        <v>20</v>
      </c>
      <c r="J291" s="743">
        <f t="shared" si="23"/>
        <v>344477</v>
      </c>
      <c r="K291" s="743">
        <f t="shared" si="24"/>
        <v>0</v>
      </c>
      <c r="L291" s="743">
        <f t="shared" si="25"/>
        <v>0</v>
      </c>
      <c r="M291" s="743">
        <f t="shared" si="26"/>
        <v>0</v>
      </c>
      <c r="N291" s="743">
        <f t="shared" si="27"/>
        <v>0</v>
      </c>
    </row>
    <row r="292" spans="1:14" ht="15.6">
      <c r="A292" s="737"/>
      <c r="B292" s="737"/>
      <c r="C292" s="737"/>
      <c r="D292" s="739">
        <v>2855</v>
      </c>
      <c r="E292" s="740">
        <v>44967</v>
      </c>
      <c r="F292" s="747">
        <v>313223</v>
      </c>
      <c r="G292" s="737">
        <v>30</v>
      </c>
      <c r="H292" s="742">
        <f t="shared" si="21"/>
        <v>44997</v>
      </c>
      <c r="I292" s="743">
        <f t="shared" si="22"/>
        <v>20</v>
      </c>
      <c r="J292" s="743">
        <f t="shared" si="23"/>
        <v>313223</v>
      </c>
      <c r="K292" s="743">
        <f t="shared" si="24"/>
        <v>0</v>
      </c>
      <c r="L292" s="743">
        <f t="shared" si="25"/>
        <v>0</v>
      </c>
      <c r="M292" s="743">
        <f t="shared" si="26"/>
        <v>0</v>
      </c>
      <c r="N292" s="743">
        <f t="shared" si="27"/>
        <v>0</v>
      </c>
    </row>
    <row r="293" spans="1:14" ht="15.6">
      <c r="A293" s="737"/>
      <c r="B293" s="737"/>
      <c r="C293" s="737"/>
      <c r="D293" s="739">
        <v>2863</v>
      </c>
      <c r="E293" s="740">
        <v>44967</v>
      </c>
      <c r="F293" s="747">
        <v>232685</v>
      </c>
      <c r="G293" s="737">
        <v>30</v>
      </c>
      <c r="H293" s="742">
        <f t="shared" si="21"/>
        <v>44997</v>
      </c>
      <c r="I293" s="743">
        <f t="shared" si="22"/>
        <v>20</v>
      </c>
      <c r="J293" s="743">
        <f t="shared" si="23"/>
        <v>232685</v>
      </c>
      <c r="K293" s="743">
        <f t="shared" si="24"/>
        <v>0</v>
      </c>
      <c r="L293" s="743">
        <f t="shared" si="25"/>
        <v>0</v>
      </c>
      <c r="M293" s="743">
        <f t="shared" si="26"/>
        <v>0</v>
      </c>
      <c r="N293" s="743">
        <f t="shared" si="27"/>
        <v>0</v>
      </c>
    </row>
    <row r="294" spans="1:14" ht="15.6">
      <c r="A294" s="737"/>
      <c r="B294" s="737"/>
      <c r="C294" s="737"/>
      <c r="D294" s="739">
        <v>2865</v>
      </c>
      <c r="E294" s="740">
        <v>44967</v>
      </c>
      <c r="F294" s="747">
        <v>546521</v>
      </c>
      <c r="G294" s="737">
        <v>30</v>
      </c>
      <c r="H294" s="742">
        <f t="shared" ref="H294:H372" si="28">+E294+G294</f>
        <v>44997</v>
      </c>
      <c r="I294" s="743">
        <f t="shared" ref="I294:I372" si="29">+$Q$1-H294+1</f>
        <v>20</v>
      </c>
      <c r="J294" s="743">
        <f t="shared" ref="J294:J372" si="30">IF(I294&lt;=30,F294,0)</f>
        <v>546521</v>
      </c>
      <c r="K294" s="743">
        <f t="shared" ref="K294:K372" si="31">IF(I294&lt;=30,0,IF(I294&gt;60,0,F294))</f>
        <v>0</v>
      </c>
      <c r="L294" s="743">
        <f t="shared" ref="L294:L372" si="32">IF(I294&lt;=60,0,IF(I294&gt;90,0,F294))</f>
        <v>0</v>
      </c>
      <c r="M294" s="743">
        <f t="shared" ref="M294:M372" si="33">IF(I294&lt;=90,0,IF(I294&gt;120,0,F294))</f>
        <v>0</v>
      </c>
      <c r="N294" s="743">
        <f t="shared" ref="N294:N372" si="34">IF(I294&lt;=120,0,F294)</f>
        <v>0</v>
      </c>
    </row>
    <row r="295" spans="1:14" ht="15.6">
      <c r="A295" s="737"/>
      <c r="B295" s="737"/>
      <c r="C295" s="737"/>
      <c r="D295" s="739">
        <v>2870</v>
      </c>
      <c r="E295" s="740">
        <v>44968</v>
      </c>
      <c r="F295" s="747">
        <v>241764</v>
      </c>
      <c r="G295" s="737">
        <v>30</v>
      </c>
      <c r="H295" s="742">
        <f t="shared" si="28"/>
        <v>44998</v>
      </c>
      <c r="I295" s="743">
        <f t="shared" si="29"/>
        <v>19</v>
      </c>
      <c r="J295" s="743">
        <f t="shared" si="30"/>
        <v>241764</v>
      </c>
      <c r="K295" s="743">
        <f t="shared" si="31"/>
        <v>0</v>
      </c>
      <c r="L295" s="743">
        <f t="shared" si="32"/>
        <v>0</v>
      </c>
      <c r="M295" s="743">
        <f t="shared" si="33"/>
        <v>0</v>
      </c>
      <c r="N295" s="743">
        <f t="shared" si="34"/>
        <v>0</v>
      </c>
    </row>
    <row r="296" spans="1:14" ht="15.6">
      <c r="A296" s="737"/>
      <c r="B296" s="737"/>
      <c r="C296" s="737"/>
      <c r="D296" s="739">
        <v>2874</v>
      </c>
      <c r="E296" s="740">
        <v>44969</v>
      </c>
      <c r="F296" s="747">
        <v>244074</v>
      </c>
      <c r="G296" s="737">
        <v>30</v>
      </c>
      <c r="H296" s="742">
        <f t="shared" si="28"/>
        <v>44999</v>
      </c>
      <c r="I296" s="743">
        <f t="shared" si="29"/>
        <v>18</v>
      </c>
      <c r="J296" s="743">
        <f t="shared" si="30"/>
        <v>244074</v>
      </c>
      <c r="K296" s="743">
        <f t="shared" si="31"/>
        <v>0</v>
      </c>
      <c r="L296" s="743">
        <f t="shared" si="32"/>
        <v>0</v>
      </c>
      <c r="M296" s="743">
        <f t="shared" si="33"/>
        <v>0</v>
      </c>
      <c r="N296" s="743">
        <f t="shared" si="34"/>
        <v>0</v>
      </c>
    </row>
    <row r="297" spans="1:14" ht="15.6">
      <c r="A297" s="737"/>
      <c r="B297" s="737"/>
      <c r="C297" s="737"/>
      <c r="D297" s="739">
        <v>2879</v>
      </c>
      <c r="E297" s="740">
        <v>44969</v>
      </c>
      <c r="F297" s="747">
        <v>210034</v>
      </c>
      <c r="G297" s="737">
        <v>30</v>
      </c>
      <c r="H297" s="742">
        <f t="shared" si="28"/>
        <v>44999</v>
      </c>
      <c r="I297" s="743">
        <f t="shared" si="29"/>
        <v>18</v>
      </c>
      <c r="J297" s="743">
        <f t="shared" si="30"/>
        <v>210034</v>
      </c>
      <c r="K297" s="743">
        <f t="shared" si="31"/>
        <v>0</v>
      </c>
      <c r="L297" s="743">
        <f t="shared" si="32"/>
        <v>0</v>
      </c>
      <c r="M297" s="743">
        <f t="shared" si="33"/>
        <v>0</v>
      </c>
      <c r="N297" s="743">
        <f t="shared" si="34"/>
        <v>0</v>
      </c>
    </row>
    <row r="298" spans="1:14" ht="15.6">
      <c r="A298" s="737"/>
      <c r="B298" s="737"/>
      <c r="C298" s="737"/>
      <c r="D298" s="739">
        <v>2885</v>
      </c>
      <c r="E298" s="740">
        <v>44970</v>
      </c>
      <c r="F298" s="747">
        <v>265269</v>
      </c>
      <c r="G298" s="737">
        <v>30</v>
      </c>
      <c r="H298" s="742">
        <f t="shared" si="28"/>
        <v>45000</v>
      </c>
      <c r="I298" s="743">
        <f t="shared" si="29"/>
        <v>17</v>
      </c>
      <c r="J298" s="743">
        <f t="shared" si="30"/>
        <v>265269</v>
      </c>
      <c r="K298" s="743">
        <f t="shared" si="31"/>
        <v>0</v>
      </c>
      <c r="L298" s="743">
        <f t="shared" si="32"/>
        <v>0</v>
      </c>
      <c r="M298" s="743">
        <f t="shared" si="33"/>
        <v>0</v>
      </c>
      <c r="N298" s="743">
        <f t="shared" si="34"/>
        <v>0</v>
      </c>
    </row>
    <row r="299" spans="1:14" ht="15.6">
      <c r="A299" s="737"/>
      <c r="B299" s="737"/>
      <c r="C299" s="737"/>
      <c r="D299" s="739">
        <v>2887</v>
      </c>
      <c r="E299" s="740">
        <v>44970</v>
      </c>
      <c r="F299" s="747">
        <v>217385</v>
      </c>
      <c r="G299" s="737">
        <v>30</v>
      </c>
      <c r="H299" s="742">
        <f t="shared" si="28"/>
        <v>45000</v>
      </c>
      <c r="I299" s="743">
        <f t="shared" si="29"/>
        <v>17</v>
      </c>
      <c r="J299" s="743">
        <f t="shared" si="30"/>
        <v>217385</v>
      </c>
      <c r="K299" s="743">
        <f t="shared" si="31"/>
        <v>0</v>
      </c>
      <c r="L299" s="743">
        <f t="shared" si="32"/>
        <v>0</v>
      </c>
      <c r="M299" s="743">
        <f t="shared" si="33"/>
        <v>0</v>
      </c>
      <c r="N299" s="743">
        <f t="shared" si="34"/>
        <v>0</v>
      </c>
    </row>
    <row r="300" spans="1:14" ht="15.6">
      <c r="A300" s="737"/>
      <c r="B300" s="737"/>
      <c r="C300" s="737"/>
      <c r="D300" s="739">
        <v>2890</v>
      </c>
      <c r="E300" s="740">
        <v>44971</v>
      </c>
      <c r="F300" s="747">
        <v>289949</v>
      </c>
      <c r="G300" s="737">
        <v>30</v>
      </c>
      <c r="H300" s="742">
        <f t="shared" si="28"/>
        <v>45001</v>
      </c>
      <c r="I300" s="743">
        <f t="shared" si="29"/>
        <v>16</v>
      </c>
      <c r="J300" s="743">
        <f t="shared" si="30"/>
        <v>289949</v>
      </c>
      <c r="K300" s="743">
        <f t="shared" si="31"/>
        <v>0</v>
      </c>
      <c r="L300" s="743">
        <f t="shared" si="32"/>
        <v>0</v>
      </c>
      <c r="M300" s="743">
        <f t="shared" si="33"/>
        <v>0</v>
      </c>
      <c r="N300" s="743">
        <f t="shared" si="34"/>
        <v>0</v>
      </c>
    </row>
    <row r="301" spans="1:14" ht="15.6">
      <c r="A301" s="737"/>
      <c r="B301" s="737"/>
      <c r="C301" s="737"/>
      <c r="D301" s="739">
        <v>2893</v>
      </c>
      <c r="E301" s="740">
        <v>44971</v>
      </c>
      <c r="F301" s="747">
        <v>217841</v>
      </c>
      <c r="G301" s="737">
        <v>30</v>
      </c>
      <c r="H301" s="742">
        <f t="shared" si="28"/>
        <v>45001</v>
      </c>
      <c r="I301" s="743">
        <f t="shared" si="29"/>
        <v>16</v>
      </c>
      <c r="J301" s="743">
        <f t="shared" si="30"/>
        <v>217841</v>
      </c>
      <c r="K301" s="743">
        <f t="shared" si="31"/>
        <v>0</v>
      </c>
      <c r="L301" s="743">
        <f t="shared" si="32"/>
        <v>0</v>
      </c>
      <c r="M301" s="743">
        <f t="shared" si="33"/>
        <v>0</v>
      </c>
      <c r="N301" s="743">
        <f t="shared" si="34"/>
        <v>0</v>
      </c>
    </row>
    <row r="302" spans="1:14" ht="15.6">
      <c r="A302" s="737"/>
      <c r="B302" s="737"/>
      <c r="C302" s="737"/>
      <c r="D302" s="739">
        <v>2897</v>
      </c>
      <c r="E302" s="740">
        <v>44971</v>
      </c>
      <c r="F302" s="747">
        <v>162955</v>
      </c>
      <c r="G302" s="737">
        <v>30</v>
      </c>
      <c r="H302" s="742">
        <f t="shared" si="28"/>
        <v>45001</v>
      </c>
      <c r="I302" s="743">
        <f t="shared" si="29"/>
        <v>16</v>
      </c>
      <c r="J302" s="743">
        <f t="shared" si="30"/>
        <v>162955</v>
      </c>
      <c r="K302" s="743">
        <f t="shared" si="31"/>
        <v>0</v>
      </c>
      <c r="L302" s="743">
        <f t="shared" si="32"/>
        <v>0</v>
      </c>
      <c r="M302" s="743">
        <f t="shared" si="33"/>
        <v>0</v>
      </c>
      <c r="N302" s="743">
        <f t="shared" si="34"/>
        <v>0</v>
      </c>
    </row>
    <row r="303" spans="1:14" ht="15.6">
      <c r="A303" s="737"/>
      <c r="B303" s="737"/>
      <c r="C303" s="737"/>
      <c r="D303" s="739">
        <v>2898</v>
      </c>
      <c r="E303" s="740">
        <v>44971</v>
      </c>
      <c r="F303" s="747">
        <v>87564</v>
      </c>
      <c r="G303" s="737">
        <v>30</v>
      </c>
      <c r="H303" s="742">
        <f t="shared" si="28"/>
        <v>45001</v>
      </c>
      <c r="I303" s="743">
        <f t="shared" si="29"/>
        <v>16</v>
      </c>
      <c r="J303" s="743">
        <f t="shared" si="30"/>
        <v>87564</v>
      </c>
      <c r="K303" s="743">
        <f t="shared" si="31"/>
        <v>0</v>
      </c>
      <c r="L303" s="743">
        <f t="shared" si="32"/>
        <v>0</v>
      </c>
      <c r="M303" s="743">
        <f t="shared" si="33"/>
        <v>0</v>
      </c>
      <c r="N303" s="743">
        <f t="shared" si="34"/>
        <v>0</v>
      </c>
    </row>
    <row r="304" spans="1:14" ht="15.6">
      <c r="A304" s="737"/>
      <c r="B304" s="737"/>
      <c r="C304" s="737"/>
      <c r="D304" s="739">
        <v>2914</v>
      </c>
      <c r="E304" s="740">
        <v>44973</v>
      </c>
      <c r="F304" s="747">
        <v>215986</v>
      </c>
      <c r="G304" s="737">
        <v>30</v>
      </c>
      <c r="H304" s="742">
        <f t="shared" si="28"/>
        <v>45003</v>
      </c>
      <c r="I304" s="743">
        <f t="shared" si="29"/>
        <v>14</v>
      </c>
      <c r="J304" s="743">
        <f t="shared" si="30"/>
        <v>215986</v>
      </c>
      <c r="K304" s="743">
        <f t="shared" si="31"/>
        <v>0</v>
      </c>
      <c r="L304" s="743">
        <f t="shared" si="32"/>
        <v>0</v>
      </c>
      <c r="M304" s="743">
        <f t="shared" si="33"/>
        <v>0</v>
      </c>
      <c r="N304" s="743">
        <f t="shared" si="34"/>
        <v>0</v>
      </c>
    </row>
    <row r="305" spans="1:14" ht="15.6">
      <c r="A305" s="737"/>
      <c r="B305" s="737"/>
      <c r="C305" s="737"/>
      <c r="D305" s="739">
        <v>2920</v>
      </c>
      <c r="E305" s="740">
        <v>44974</v>
      </c>
      <c r="F305" s="747">
        <v>574777</v>
      </c>
      <c r="G305" s="737">
        <v>30</v>
      </c>
      <c r="H305" s="742">
        <f t="shared" si="28"/>
        <v>45004</v>
      </c>
      <c r="I305" s="743">
        <f t="shared" si="29"/>
        <v>13</v>
      </c>
      <c r="J305" s="743">
        <f t="shared" si="30"/>
        <v>574777</v>
      </c>
      <c r="K305" s="743">
        <f t="shared" si="31"/>
        <v>0</v>
      </c>
      <c r="L305" s="743">
        <f t="shared" si="32"/>
        <v>0</v>
      </c>
      <c r="M305" s="743">
        <f t="shared" si="33"/>
        <v>0</v>
      </c>
      <c r="N305" s="743">
        <f t="shared" si="34"/>
        <v>0</v>
      </c>
    </row>
    <row r="306" spans="1:14" ht="15.6">
      <c r="A306" s="737"/>
      <c r="B306" s="737"/>
      <c r="C306" s="737"/>
      <c r="D306" s="739">
        <v>2926</v>
      </c>
      <c r="E306" s="740">
        <v>44974</v>
      </c>
      <c r="F306" s="747">
        <v>300958</v>
      </c>
      <c r="G306" s="737">
        <v>30</v>
      </c>
      <c r="H306" s="742">
        <f t="shared" si="28"/>
        <v>45004</v>
      </c>
      <c r="I306" s="743">
        <f t="shared" si="29"/>
        <v>13</v>
      </c>
      <c r="J306" s="743">
        <f t="shared" si="30"/>
        <v>300958</v>
      </c>
      <c r="K306" s="743">
        <f t="shared" si="31"/>
        <v>0</v>
      </c>
      <c r="L306" s="743">
        <f t="shared" si="32"/>
        <v>0</v>
      </c>
      <c r="M306" s="743">
        <f t="shared" si="33"/>
        <v>0</v>
      </c>
      <c r="N306" s="743">
        <f t="shared" si="34"/>
        <v>0</v>
      </c>
    </row>
    <row r="307" spans="1:14" ht="15.6">
      <c r="A307" s="737"/>
      <c r="B307" s="737"/>
      <c r="C307" s="737"/>
      <c r="D307" s="739">
        <v>2928</v>
      </c>
      <c r="E307" s="740">
        <v>44974</v>
      </c>
      <c r="F307" s="747">
        <v>555468</v>
      </c>
      <c r="G307" s="737">
        <v>30</v>
      </c>
      <c r="H307" s="742">
        <f t="shared" si="28"/>
        <v>45004</v>
      </c>
      <c r="I307" s="743">
        <f t="shared" si="29"/>
        <v>13</v>
      </c>
      <c r="J307" s="743">
        <f t="shared" si="30"/>
        <v>555468</v>
      </c>
      <c r="K307" s="743">
        <f t="shared" si="31"/>
        <v>0</v>
      </c>
      <c r="L307" s="743">
        <f t="shared" si="32"/>
        <v>0</v>
      </c>
      <c r="M307" s="743">
        <f t="shared" si="33"/>
        <v>0</v>
      </c>
      <c r="N307" s="743">
        <f t="shared" si="34"/>
        <v>0</v>
      </c>
    </row>
    <row r="308" spans="1:14" ht="15.6">
      <c r="A308" s="737"/>
      <c r="B308" s="737"/>
      <c r="C308" s="737"/>
      <c r="D308" s="739">
        <v>2949</v>
      </c>
      <c r="E308" s="740">
        <v>44976</v>
      </c>
      <c r="F308" s="747">
        <v>209841</v>
      </c>
      <c r="G308" s="737">
        <v>30</v>
      </c>
      <c r="H308" s="742">
        <f t="shared" si="28"/>
        <v>45006</v>
      </c>
      <c r="I308" s="743">
        <f t="shared" si="29"/>
        <v>11</v>
      </c>
      <c r="J308" s="743">
        <f t="shared" si="30"/>
        <v>209841</v>
      </c>
      <c r="K308" s="743">
        <f t="shared" si="31"/>
        <v>0</v>
      </c>
      <c r="L308" s="743">
        <f t="shared" si="32"/>
        <v>0</v>
      </c>
      <c r="M308" s="743">
        <f t="shared" si="33"/>
        <v>0</v>
      </c>
      <c r="N308" s="743">
        <f t="shared" si="34"/>
        <v>0</v>
      </c>
    </row>
    <row r="309" spans="1:14" ht="15.6">
      <c r="A309" s="737"/>
      <c r="B309" s="737"/>
      <c r="C309" s="737"/>
      <c r="D309" s="739">
        <v>2964</v>
      </c>
      <c r="E309" s="740">
        <v>44978</v>
      </c>
      <c r="F309" s="747">
        <v>60433</v>
      </c>
      <c r="G309" s="737">
        <v>30</v>
      </c>
      <c r="H309" s="742">
        <f t="shared" si="28"/>
        <v>45008</v>
      </c>
      <c r="I309" s="743">
        <f t="shared" si="29"/>
        <v>9</v>
      </c>
      <c r="J309" s="743">
        <f t="shared" si="30"/>
        <v>60433</v>
      </c>
      <c r="K309" s="743">
        <f t="shared" si="31"/>
        <v>0</v>
      </c>
      <c r="L309" s="743">
        <f t="shared" si="32"/>
        <v>0</v>
      </c>
      <c r="M309" s="743">
        <f t="shared" si="33"/>
        <v>0</v>
      </c>
      <c r="N309" s="743">
        <f t="shared" si="34"/>
        <v>0</v>
      </c>
    </row>
    <row r="310" spans="1:14" ht="15.6">
      <c r="A310" s="737"/>
      <c r="B310" s="737"/>
      <c r="C310" s="737"/>
      <c r="D310" s="739">
        <v>2965</v>
      </c>
      <c r="E310" s="740">
        <v>44978</v>
      </c>
      <c r="F310" s="747">
        <v>76508</v>
      </c>
      <c r="G310" s="737">
        <v>30</v>
      </c>
      <c r="H310" s="742">
        <f t="shared" si="28"/>
        <v>45008</v>
      </c>
      <c r="I310" s="743">
        <f t="shared" si="29"/>
        <v>9</v>
      </c>
      <c r="J310" s="743">
        <f t="shared" si="30"/>
        <v>76508</v>
      </c>
      <c r="K310" s="743">
        <f t="shared" si="31"/>
        <v>0</v>
      </c>
      <c r="L310" s="743">
        <f t="shared" si="32"/>
        <v>0</v>
      </c>
      <c r="M310" s="743">
        <f t="shared" si="33"/>
        <v>0</v>
      </c>
      <c r="N310" s="743">
        <f t="shared" si="34"/>
        <v>0</v>
      </c>
    </row>
    <row r="311" spans="1:14" ht="15.6">
      <c r="A311" s="737"/>
      <c r="B311" s="737"/>
      <c r="C311" s="737"/>
      <c r="D311" s="739">
        <v>2966</v>
      </c>
      <c r="E311" s="740">
        <v>44978</v>
      </c>
      <c r="F311" s="747">
        <v>174434</v>
      </c>
      <c r="G311" s="737">
        <v>30</v>
      </c>
      <c r="H311" s="742">
        <f t="shared" si="28"/>
        <v>45008</v>
      </c>
      <c r="I311" s="743">
        <f t="shared" si="29"/>
        <v>9</v>
      </c>
      <c r="J311" s="743">
        <f t="shared" si="30"/>
        <v>174434</v>
      </c>
      <c r="K311" s="743">
        <f t="shared" si="31"/>
        <v>0</v>
      </c>
      <c r="L311" s="743">
        <f t="shared" si="32"/>
        <v>0</v>
      </c>
      <c r="M311" s="743">
        <f t="shared" si="33"/>
        <v>0</v>
      </c>
      <c r="N311" s="743">
        <f t="shared" si="34"/>
        <v>0</v>
      </c>
    </row>
    <row r="312" spans="1:14" ht="15.6">
      <c r="A312" s="737"/>
      <c r="B312" s="737"/>
      <c r="C312" s="737"/>
      <c r="D312" s="739">
        <v>2969</v>
      </c>
      <c r="E312" s="740">
        <v>44978</v>
      </c>
      <c r="F312" s="747">
        <v>231029</v>
      </c>
      <c r="G312" s="737">
        <v>30</v>
      </c>
      <c r="H312" s="742">
        <f t="shared" si="28"/>
        <v>45008</v>
      </c>
      <c r="I312" s="743">
        <f t="shared" si="29"/>
        <v>9</v>
      </c>
      <c r="J312" s="743">
        <f t="shared" si="30"/>
        <v>231029</v>
      </c>
      <c r="K312" s="743">
        <f t="shared" si="31"/>
        <v>0</v>
      </c>
      <c r="L312" s="743">
        <f t="shared" si="32"/>
        <v>0</v>
      </c>
      <c r="M312" s="743">
        <f t="shared" si="33"/>
        <v>0</v>
      </c>
      <c r="N312" s="743">
        <f t="shared" si="34"/>
        <v>0</v>
      </c>
    </row>
    <row r="313" spans="1:14" ht="15.6">
      <c r="A313" s="737"/>
      <c r="B313" s="737"/>
      <c r="C313" s="737"/>
      <c r="D313" s="739">
        <v>2981</v>
      </c>
      <c r="E313" s="740">
        <v>44979</v>
      </c>
      <c r="F313" s="747">
        <v>213296</v>
      </c>
      <c r="G313" s="737">
        <v>30</v>
      </c>
      <c r="H313" s="742">
        <f t="shared" si="28"/>
        <v>45009</v>
      </c>
      <c r="I313" s="743">
        <f t="shared" si="29"/>
        <v>8</v>
      </c>
      <c r="J313" s="743">
        <f t="shared" si="30"/>
        <v>213296</v>
      </c>
      <c r="K313" s="743">
        <f t="shared" si="31"/>
        <v>0</v>
      </c>
      <c r="L313" s="743">
        <f t="shared" si="32"/>
        <v>0</v>
      </c>
      <c r="M313" s="743">
        <f t="shared" si="33"/>
        <v>0</v>
      </c>
      <c r="N313" s="743">
        <f t="shared" si="34"/>
        <v>0</v>
      </c>
    </row>
    <row r="314" spans="1:14" ht="15.6">
      <c r="A314" s="737"/>
      <c r="B314" s="737"/>
      <c r="C314" s="737"/>
      <c r="D314" s="739">
        <v>2985</v>
      </c>
      <c r="E314" s="740">
        <v>44980</v>
      </c>
      <c r="F314" s="747">
        <v>534363</v>
      </c>
      <c r="G314" s="737">
        <v>30</v>
      </c>
      <c r="H314" s="742">
        <f t="shared" si="28"/>
        <v>45010</v>
      </c>
      <c r="I314" s="743">
        <f t="shared" si="29"/>
        <v>7</v>
      </c>
      <c r="J314" s="743">
        <f t="shared" si="30"/>
        <v>534363</v>
      </c>
      <c r="K314" s="743">
        <f t="shared" si="31"/>
        <v>0</v>
      </c>
      <c r="L314" s="743">
        <f t="shared" si="32"/>
        <v>0</v>
      </c>
      <c r="M314" s="743">
        <f t="shared" si="33"/>
        <v>0</v>
      </c>
      <c r="N314" s="743">
        <f t="shared" si="34"/>
        <v>0</v>
      </c>
    </row>
    <row r="315" spans="1:14" ht="15.6">
      <c r="A315" s="737"/>
      <c r="B315" s="737"/>
      <c r="C315" s="737"/>
      <c r="D315" s="739">
        <v>2989</v>
      </c>
      <c r="E315" s="740">
        <v>44980</v>
      </c>
      <c r="F315" s="747">
        <v>257262</v>
      </c>
      <c r="G315" s="737">
        <v>30</v>
      </c>
      <c r="H315" s="742">
        <f t="shared" si="28"/>
        <v>45010</v>
      </c>
      <c r="I315" s="743">
        <f t="shared" si="29"/>
        <v>7</v>
      </c>
      <c r="J315" s="743">
        <f t="shared" si="30"/>
        <v>257262</v>
      </c>
      <c r="K315" s="743">
        <f t="shared" si="31"/>
        <v>0</v>
      </c>
      <c r="L315" s="743">
        <f t="shared" si="32"/>
        <v>0</v>
      </c>
      <c r="M315" s="743">
        <f t="shared" si="33"/>
        <v>0</v>
      </c>
      <c r="N315" s="743">
        <f t="shared" si="34"/>
        <v>0</v>
      </c>
    </row>
    <row r="316" spans="1:14" ht="15.6">
      <c r="A316" s="737"/>
      <c r="B316" s="737"/>
      <c r="C316" s="737"/>
      <c r="D316" s="739">
        <v>2992</v>
      </c>
      <c r="E316" s="740">
        <v>44980</v>
      </c>
      <c r="F316" s="747">
        <v>104181</v>
      </c>
      <c r="G316" s="737">
        <v>30</v>
      </c>
      <c r="H316" s="742">
        <f t="shared" si="28"/>
        <v>45010</v>
      </c>
      <c r="I316" s="743">
        <f t="shared" si="29"/>
        <v>7</v>
      </c>
      <c r="J316" s="743">
        <f t="shared" si="30"/>
        <v>104181</v>
      </c>
      <c r="K316" s="743">
        <f t="shared" si="31"/>
        <v>0</v>
      </c>
      <c r="L316" s="743">
        <f t="shared" si="32"/>
        <v>0</v>
      </c>
      <c r="M316" s="743">
        <f t="shared" si="33"/>
        <v>0</v>
      </c>
      <c r="N316" s="743">
        <f t="shared" si="34"/>
        <v>0</v>
      </c>
    </row>
    <row r="317" spans="1:14" ht="15.6">
      <c r="A317" s="737"/>
      <c r="B317" s="737"/>
      <c r="C317" s="737"/>
      <c r="D317" s="739">
        <v>2994</v>
      </c>
      <c r="E317" s="740">
        <v>44980</v>
      </c>
      <c r="F317" s="747">
        <v>72392</v>
      </c>
      <c r="G317" s="737">
        <v>30</v>
      </c>
      <c r="H317" s="742">
        <f t="shared" si="28"/>
        <v>45010</v>
      </c>
      <c r="I317" s="743">
        <f t="shared" si="29"/>
        <v>7</v>
      </c>
      <c r="J317" s="743">
        <f t="shared" si="30"/>
        <v>72392</v>
      </c>
      <c r="K317" s="743">
        <f t="shared" si="31"/>
        <v>0</v>
      </c>
      <c r="L317" s="743">
        <f t="shared" si="32"/>
        <v>0</v>
      </c>
      <c r="M317" s="743">
        <f t="shared" si="33"/>
        <v>0</v>
      </c>
      <c r="N317" s="743">
        <f t="shared" si="34"/>
        <v>0</v>
      </c>
    </row>
    <row r="318" spans="1:14" ht="15.6">
      <c r="A318" s="737"/>
      <c r="B318" s="737"/>
      <c r="C318" s="737"/>
      <c r="D318" s="739">
        <v>2995</v>
      </c>
      <c r="E318" s="740">
        <v>44980</v>
      </c>
      <c r="F318" s="747">
        <v>231583</v>
      </c>
      <c r="G318" s="737">
        <v>30</v>
      </c>
      <c r="H318" s="742">
        <f t="shared" si="28"/>
        <v>45010</v>
      </c>
      <c r="I318" s="743">
        <f t="shared" si="29"/>
        <v>7</v>
      </c>
      <c r="J318" s="743">
        <f t="shared" si="30"/>
        <v>231583</v>
      </c>
      <c r="K318" s="743">
        <f t="shared" si="31"/>
        <v>0</v>
      </c>
      <c r="L318" s="743">
        <f t="shared" si="32"/>
        <v>0</v>
      </c>
      <c r="M318" s="743">
        <f t="shared" si="33"/>
        <v>0</v>
      </c>
      <c r="N318" s="743">
        <f t="shared" si="34"/>
        <v>0</v>
      </c>
    </row>
    <row r="319" spans="1:14" ht="15.6">
      <c r="A319" s="737"/>
      <c r="B319" s="737"/>
      <c r="C319" s="737"/>
      <c r="D319" s="739">
        <v>3003</v>
      </c>
      <c r="E319" s="740">
        <v>44981</v>
      </c>
      <c r="F319" s="747">
        <v>257453</v>
      </c>
      <c r="G319" s="737">
        <v>30</v>
      </c>
      <c r="H319" s="742">
        <f t="shared" si="28"/>
        <v>45011</v>
      </c>
      <c r="I319" s="743">
        <f t="shared" si="29"/>
        <v>6</v>
      </c>
      <c r="J319" s="743">
        <f t="shared" si="30"/>
        <v>257453</v>
      </c>
      <c r="K319" s="743">
        <f t="shared" si="31"/>
        <v>0</v>
      </c>
      <c r="L319" s="743">
        <f t="shared" si="32"/>
        <v>0</v>
      </c>
      <c r="M319" s="743">
        <f t="shared" si="33"/>
        <v>0</v>
      </c>
      <c r="N319" s="743">
        <f t="shared" si="34"/>
        <v>0</v>
      </c>
    </row>
    <row r="320" spans="1:14" ht="15.6">
      <c r="A320" s="737"/>
      <c r="B320" s="737"/>
      <c r="C320" s="737"/>
      <c r="D320" s="739">
        <v>3007</v>
      </c>
      <c r="E320" s="740">
        <v>44982</v>
      </c>
      <c r="F320" s="747">
        <v>215589</v>
      </c>
      <c r="G320" s="737">
        <v>30</v>
      </c>
      <c r="H320" s="742">
        <f t="shared" si="28"/>
        <v>45012</v>
      </c>
      <c r="I320" s="743">
        <f t="shared" si="29"/>
        <v>5</v>
      </c>
      <c r="J320" s="743">
        <f t="shared" si="30"/>
        <v>215589</v>
      </c>
      <c r="K320" s="743">
        <f t="shared" si="31"/>
        <v>0</v>
      </c>
      <c r="L320" s="743">
        <f t="shared" si="32"/>
        <v>0</v>
      </c>
      <c r="M320" s="743">
        <f t="shared" si="33"/>
        <v>0</v>
      </c>
      <c r="N320" s="743">
        <f t="shared" si="34"/>
        <v>0</v>
      </c>
    </row>
    <row r="321" spans="1:14" ht="15.6">
      <c r="A321" s="737"/>
      <c r="B321" s="737"/>
      <c r="C321" s="737"/>
      <c r="D321" s="749">
        <v>3009</v>
      </c>
      <c r="E321" s="750">
        <v>44982</v>
      </c>
      <c r="F321" s="747">
        <v>184628</v>
      </c>
      <c r="G321" s="737">
        <v>30</v>
      </c>
      <c r="H321" s="742">
        <f t="shared" si="28"/>
        <v>45012</v>
      </c>
      <c r="I321" s="743">
        <f t="shared" si="29"/>
        <v>5</v>
      </c>
      <c r="J321" s="743">
        <f t="shared" si="30"/>
        <v>184628</v>
      </c>
      <c r="K321" s="743">
        <f t="shared" si="31"/>
        <v>0</v>
      </c>
      <c r="L321" s="743">
        <f t="shared" si="32"/>
        <v>0</v>
      </c>
      <c r="M321" s="743">
        <f t="shared" si="33"/>
        <v>0</v>
      </c>
      <c r="N321" s="743">
        <f t="shared" si="34"/>
        <v>0</v>
      </c>
    </row>
    <row r="322" spans="1:14" ht="15.6">
      <c r="A322" s="737"/>
      <c r="B322" s="737"/>
      <c r="C322" s="737"/>
      <c r="D322" s="739">
        <v>3011</v>
      </c>
      <c r="E322" s="740">
        <v>44982</v>
      </c>
      <c r="F322" s="747">
        <v>558178</v>
      </c>
      <c r="G322" s="737">
        <v>30</v>
      </c>
      <c r="H322" s="742">
        <f t="shared" si="28"/>
        <v>45012</v>
      </c>
      <c r="I322" s="743">
        <f t="shared" si="29"/>
        <v>5</v>
      </c>
      <c r="J322" s="743">
        <f t="shared" si="30"/>
        <v>558178</v>
      </c>
      <c r="K322" s="743">
        <f t="shared" si="31"/>
        <v>0</v>
      </c>
      <c r="L322" s="743">
        <f t="shared" si="32"/>
        <v>0</v>
      </c>
      <c r="M322" s="743">
        <f t="shared" si="33"/>
        <v>0</v>
      </c>
      <c r="N322" s="743">
        <f t="shared" si="34"/>
        <v>0</v>
      </c>
    </row>
    <row r="323" spans="1:14" ht="15.6">
      <c r="A323" s="737"/>
      <c r="B323" s="737"/>
      <c r="C323" s="737"/>
      <c r="D323" s="739">
        <v>3017</v>
      </c>
      <c r="E323" s="740">
        <v>44984</v>
      </c>
      <c r="F323" s="747">
        <v>226696</v>
      </c>
      <c r="G323" s="737">
        <v>30</v>
      </c>
      <c r="H323" s="742">
        <f t="shared" si="28"/>
        <v>45014</v>
      </c>
      <c r="I323" s="743">
        <f t="shared" si="29"/>
        <v>3</v>
      </c>
      <c r="J323" s="743">
        <f t="shared" si="30"/>
        <v>226696</v>
      </c>
      <c r="K323" s="743">
        <f t="shared" si="31"/>
        <v>0</v>
      </c>
      <c r="L323" s="743">
        <f t="shared" si="32"/>
        <v>0</v>
      </c>
      <c r="M323" s="743">
        <f t="shared" si="33"/>
        <v>0</v>
      </c>
      <c r="N323" s="743">
        <f t="shared" si="34"/>
        <v>0</v>
      </c>
    </row>
    <row r="324" spans="1:14" ht="15.6">
      <c r="A324" s="737"/>
      <c r="B324" s="737"/>
      <c r="C324" s="737"/>
      <c r="D324" s="739">
        <v>3018</v>
      </c>
      <c r="E324" s="740">
        <v>44984</v>
      </c>
      <c r="F324" s="747">
        <v>492184</v>
      </c>
      <c r="G324" s="737">
        <v>30</v>
      </c>
      <c r="H324" s="742">
        <f t="shared" si="28"/>
        <v>45014</v>
      </c>
      <c r="I324" s="743">
        <f t="shared" si="29"/>
        <v>3</v>
      </c>
      <c r="J324" s="743">
        <f t="shared" si="30"/>
        <v>492184</v>
      </c>
      <c r="K324" s="743">
        <f t="shared" si="31"/>
        <v>0</v>
      </c>
      <c r="L324" s="743">
        <f t="shared" si="32"/>
        <v>0</v>
      </c>
      <c r="M324" s="743">
        <f t="shared" si="33"/>
        <v>0</v>
      </c>
      <c r="N324" s="743">
        <f t="shared" si="34"/>
        <v>0</v>
      </c>
    </row>
    <row r="325" spans="1:14" ht="15.6">
      <c r="A325" s="737"/>
      <c r="B325" s="737"/>
      <c r="C325" s="737"/>
      <c r="D325" s="739">
        <v>3030</v>
      </c>
      <c r="E325" s="740">
        <v>44985</v>
      </c>
      <c r="F325" s="747">
        <v>124570</v>
      </c>
      <c r="G325" s="737">
        <v>30</v>
      </c>
      <c r="H325" s="742">
        <f t="shared" si="28"/>
        <v>45015</v>
      </c>
      <c r="I325" s="743">
        <f t="shared" si="29"/>
        <v>2</v>
      </c>
      <c r="J325" s="743">
        <f t="shared" si="30"/>
        <v>124570</v>
      </c>
      <c r="K325" s="743">
        <f t="shared" si="31"/>
        <v>0</v>
      </c>
      <c r="L325" s="743">
        <f t="shared" si="32"/>
        <v>0</v>
      </c>
      <c r="M325" s="743">
        <f t="shared" si="33"/>
        <v>0</v>
      </c>
      <c r="N325" s="743">
        <f t="shared" si="34"/>
        <v>0</v>
      </c>
    </row>
    <row r="326" spans="1:14" ht="15.6">
      <c r="A326" s="737"/>
      <c r="B326" s="737"/>
      <c r="C326" s="737"/>
      <c r="D326" s="739">
        <v>3033</v>
      </c>
      <c r="E326" s="740">
        <v>44986</v>
      </c>
      <c r="F326" s="745">
        <v>259196</v>
      </c>
      <c r="G326" s="737">
        <v>30</v>
      </c>
      <c r="H326" s="742">
        <f t="shared" si="28"/>
        <v>45016</v>
      </c>
      <c r="I326" s="743">
        <f t="shared" si="29"/>
        <v>1</v>
      </c>
      <c r="J326" s="743">
        <f t="shared" si="30"/>
        <v>259196</v>
      </c>
      <c r="K326" s="743">
        <f t="shared" si="31"/>
        <v>0</v>
      </c>
      <c r="L326" s="743">
        <f t="shared" si="32"/>
        <v>0</v>
      </c>
      <c r="M326" s="743">
        <f t="shared" si="33"/>
        <v>0</v>
      </c>
      <c r="N326" s="743">
        <f t="shared" si="34"/>
        <v>0</v>
      </c>
    </row>
    <row r="327" spans="1:14" ht="15.6">
      <c r="A327" s="737"/>
      <c r="B327" s="737"/>
      <c r="C327" s="737"/>
      <c r="D327" s="739">
        <v>3038</v>
      </c>
      <c r="E327" s="740">
        <v>44986</v>
      </c>
      <c r="F327" s="745">
        <v>202347</v>
      </c>
      <c r="G327" s="737">
        <v>30</v>
      </c>
      <c r="H327" s="742">
        <f t="shared" si="28"/>
        <v>45016</v>
      </c>
      <c r="I327" s="743">
        <f t="shared" si="29"/>
        <v>1</v>
      </c>
      <c r="J327" s="743">
        <f t="shared" si="30"/>
        <v>202347</v>
      </c>
      <c r="K327" s="743">
        <f t="shared" si="31"/>
        <v>0</v>
      </c>
      <c r="L327" s="743">
        <f t="shared" si="32"/>
        <v>0</v>
      </c>
      <c r="M327" s="743">
        <f t="shared" si="33"/>
        <v>0</v>
      </c>
      <c r="N327" s="743">
        <f t="shared" si="34"/>
        <v>0</v>
      </c>
    </row>
    <row r="328" spans="1:14" ht="15.6">
      <c r="A328" s="737"/>
      <c r="B328" s="737"/>
      <c r="C328" s="737"/>
      <c r="D328" s="739">
        <v>3045</v>
      </c>
      <c r="E328" s="740">
        <v>44987</v>
      </c>
      <c r="F328" s="745">
        <v>274072</v>
      </c>
      <c r="G328" s="737">
        <v>30</v>
      </c>
      <c r="H328" s="742">
        <f t="shared" si="28"/>
        <v>45017</v>
      </c>
      <c r="I328" s="743">
        <f t="shared" si="29"/>
        <v>0</v>
      </c>
      <c r="J328" s="743">
        <f t="shared" si="30"/>
        <v>274072</v>
      </c>
      <c r="K328" s="743">
        <f t="shared" si="31"/>
        <v>0</v>
      </c>
      <c r="L328" s="743">
        <f t="shared" si="32"/>
        <v>0</v>
      </c>
      <c r="M328" s="743">
        <f t="shared" si="33"/>
        <v>0</v>
      </c>
      <c r="N328" s="743">
        <f t="shared" si="34"/>
        <v>0</v>
      </c>
    </row>
    <row r="329" spans="1:14" ht="15.6">
      <c r="A329" s="737"/>
      <c r="B329" s="737"/>
      <c r="C329" s="737"/>
      <c r="D329" s="739">
        <v>3046</v>
      </c>
      <c r="E329" s="740">
        <v>44987</v>
      </c>
      <c r="F329" s="745">
        <v>537324</v>
      </c>
      <c r="G329" s="737">
        <v>30</v>
      </c>
      <c r="H329" s="742">
        <f t="shared" si="28"/>
        <v>45017</v>
      </c>
      <c r="I329" s="743">
        <f t="shared" si="29"/>
        <v>0</v>
      </c>
      <c r="J329" s="743">
        <f t="shared" si="30"/>
        <v>537324</v>
      </c>
      <c r="K329" s="743">
        <f t="shared" si="31"/>
        <v>0</v>
      </c>
      <c r="L329" s="743">
        <f t="shared" si="32"/>
        <v>0</v>
      </c>
      <c r="M329" s="743">
        <f t="shared" si="33"/>
        <v>0</v>
      </c>
      <c r="N329" s="743">
        <f t="shared" si="34"/>
        <v>0</v>
      </c>
    </row>
    <row r="330" spans="1:14" ht="15.6">
      <c r="A330" s="737"/>
      <c r="B330" s="737"/>
      <c r="C330" s="737"/>
      <c r="D330" s="739">
        <v>3047</v>
      </c>
      <c r="E330" s="740">
        <v>44987</v>
      </c>
      <c r="F330" s="745">
        <v>264651</v>
      </c>
      <c r="G330" s="737">
        <v>30</v>
      </c>
      <c r="H330" s="742">
        <f t="shared" si="28"/>
        <v>45017</v>
      </c>
      <c r="I330" s="743">
        <f t="shared" si="29"/>
        <v>0</v>
      </c>
      <c r="J330" s="743">
        <f t="shared" si="30"/>
        <v>264651</v>
      </c>
      <c r="K330" s="743">
        <f t="shared" si="31"/>
        <v>0</v>
      </c>
      <c r="L330" s="743">
        <f t="shared" si="32"/>
        <v>0</v>
      </c>
      <c r="M330" s="743">
        <f t="shared" si="33"/>
        <v>0</v>
      </c>
      <c r="N330" s="743">
        <f t="shared" si="34"/>
        <v>0</v>
      </c>
    </row>
    <row r="331" spans="1:14" ht="15.6">
      <c r="A331" s="737"/>
      <c r="B331" s="737"/>
      <c r="C331" s="737"/>
      <c r="D331" s="739">
        <v>3050</v>
      </c>
      <c r="E331" s="740">
        <v>44987</v>
      </c>
      <c r="F331" s="745">
        <v>310670</v>
      </c>
      <c r="G331" s="737">
        <v>30</v>
      </c>
      <c r="H331" s="742">
        <f t="shared" si="28"/>
        <v>45017</v>
      </c>
      <c r="I331" s="743">
        <f t="shared" si="29"/>
        <v>0</v>
      </c>
      <c r="J331" s="743">
        <f t="shared" si="30"/>
        <v>310670</v>
      </c>
      <c r="K331" s="743">
        <f t="shared" si="31"/>
        <v>0</v>
      </c>
      <c r="L331" s="743">
        <f t="shared" si="32"/>
        <v>0</v>
      </c>
      <c r="M331" s="743">
        <f t="shared" si="33"/>
        <v>0</v>
      </c>
      <c r="N331" s="743">
        <f t="shared" si="34"/>
        <v>0</v>
      </c>
    </row>
    <row r="332" spans="1:14" ht="15.6">
      <c r="A332" s="737"/>
      <c r="B332" s="737"/>
      <c r="C332" s="737"/>
      <c r="D332" s="739">
        <v>3057</v>
      </c>
      <c r="E332" s="740">
        <v>44988</v>
      </c>
      <c r="F332" s="745">
        <v>171080</v>
      </c>
      <c r="G332" s="737">
        <v>30</v>
      </c>
      <c r="H332" s="742">
        <f t="shared" si="28"/>
        <v>45018</v>
      </c>
      <c r="I332" s="743">
        <f t="shared" si="29"/>
        <v>-1</v>
      </c>
      <c r="J332" s="743">
        <f t="shared" si="30"/>
        <v>171080</v>
      </c>
      <c r="K332" s="743">
        <f t="shared" si="31"/>
        <v>0</v>
      </c>
      <c r="L332" s="743">
        <f t="shared" si="32"/>
        <v>0</v>
      </c>
      <c r="M332" s="743">
        <f t="shared" si="33"/>
        <v>0</v>
      </c>
      <c r="N332" s="743">
        <f t="shared" si="34"/>
        <v>0</v>
      </c>
    </row>
    <row r="333" spans="1:14" ht="15.6">
      <c r="A333" s="737"/>
      <c r="B333" s="737"/>
      <c r="C333" s="737"/>
      <c r="D333" s="739">
        <v>3065</v>
      </c>
      <c r="E333" s="740">
        <v>44989</v>
      </c>
      <c r="F333" s="745">
        <v>194806</v>
      </c>
      <c r="G333" s="737">
        <v>30</v>
      </c>
      <c r="H333" s="742">
        <f t="shared" si="28"/>
        <v>45019</v>
      </c>
      <c r="I333" s="743">
        <f t="shared" si="29"/>
        <v>-2</v>
      </c>
      <c r="J333" s="743">
        <f t="shared" si="30"/>
        <v>194806</v>
      </c>
      <c r="K333" s="743">
        <f t="shared" si="31"/>
        <v>0</v>
      </c>
      <c r="L333" s="743">
        <f t="shared" si="32"/>
        <v>0</v>
      </c>
      <c r="M333" s="743">
        <f t="shared" si="33"/>
        <v>0</v>
      </c>
      <c r="N333" s="743">
        <f t="shared" si="34"/>
        <v>0</v>
      </c>
    </row>
    <row r="334" spans="1:14" ht="15.6">
      <c r="A334" s="737"/>
      <c r="B334" s="737"/>
      <c r="C334" s="737"/>
      <c r="D334" s="739">
        <v>3075</v>
      </c>
      <c r="E334" s="740">
        <v>44990</v>
      </c>
      <c r="F334" s="745">
        <v>183745</v>
      </c>
      <c r="G334" s="737">
        <v>30</v>
      </c>
      <c r="H334" s="742">
        <f t="shared" si="28"/>
        <v>45020</v>
      </c>
      <c r="I334" s="743">
        <f t="shared" si="29"/>
        <v>-3</v>
      </c>
      <c r="J334" s="743">
        <f t="shared" si="30"/>
        <v>183745</v>
      </c>
      <c r="K334" s="743">
        <f t="shared" si="31"/>
        <v>0</v>
      </c>
      <c r="L334" s="743">
        <f t="shared" si="32"/>
        <v>0</v>
      </c>
      <c r="M334" s="743">
        <f t="shared" si="33"/>
        <v>0</v>
      </c>
      <c r="N334" s="743">
        <f t="shared" si="34"/>
        <v>0</v>
      </c>
    </row>
    <row r="335" spans="1:14" ht="15.6">
      <c r="A335" s="737"/>
      <c r="B335" s="737"/>
      <c r="C335" s="737"/>
      <c r="D335" s="739">
        <v>3086</v>
      </c>
      <c r="E335" s="740">
        <v>44991</v>
      </c>
      <c r="F335" s="745">
        <v>214556</v>
      </c>
      <c r="G335" s="737">
        <v>30</v>
      </c>
      <c r="H335" s="742">
        <f t="shared" si="28"/>
        <v>45021</v>
      </c>
      <c r="I335" s="743">
        <f t="shared" si="29"/>
        <v>-4</v>
      </c>
      <c r="J335" s="743">
        <f t="shared" si="30"/>
        <v>214556</v>
      </c>
      <c r="K335" s="743">
        <f t="shared" si="31"/>
        <v>0</v>
      </c>
      <c r="L335" s="743">
        <f t="shared" si="32"/>
        <v>0</v>
      </c>
      <c r="M335" s="743">
        <f t="shared" si="33"/>
        <v>0</v>
      </c>
      <c r="N335" s="743">
        <f t="shared" si="34"/>
        <v>0</v>
      </c>
    </row>
    <row r="336" spans="1:14" ht="15.6">
      <c r="A336" s="737"/>
      <c r="B336" s="737"/>
      <c r="C336" s="737"/>
      <c r="D336" s="739">
        <v>3088</v>
      </c>
      <c r="E336" s="740">
        <v>44991</v>
      </c>
      <c r="F336" s="745">
        <v>613975</v>
      </c>
      <c r="G336" s="737">
        <v>30</v>
      </c>
      <c r="H336" s="742">
        <f t="shared" si="28"/>
        <v>45021</v>
      </c>
      <c r="I336" s="743">
        <f t="shared" si="29"/>
        <v>-4</v>
      </c>
      <c r="J336" s="743">
        <f t="shared" si="30"/>
        <v>613975</v>
      </c>
      <c r="K336" s="743">
        <f t="shared" si="31"/>
        <v>0</v>
      </c>
      <c r="L336" s="743">
        <f t="shared" si="32"/>
        <v>0</v>
      </c>
      <c r="M336" s="743">
        <f t="shared" si="33"/>
        <v>0</v>
      </c>
      <c r="N336" s="743">
        <f t="shared" si="34"/>
        <v>0</v>
      </c>
    </row>
    <row r="337" spans="1:14" ht="15.6">
      <c r="A337" s="737"/>
      <c r="B337" s="737"/>
      <c r="C337" s="737"/>
      <c r="D337" s="739">
        <v>3091</v>
      </c>
      <c r="E337" s="740">
        <v>44993</v>
      </c>
      <c r="F337" s="745">
        <v>48517</v>
      </c>
      <c r="G337" s="737">
        <v>30</v>
      </c>
      <c r="H337" s="742">
        <f t="shared" si="28"/>
        <v>45023</v>
      </c>
      <c r="I337" s="743">
        <f t="shared" si="29"/>
        <v>-6</v>
      </c>
      <c r="J337" s="743">
        <f t="shared" si="30"/>
        <v>48517</v>
      </c>
      <c r="K337" s="743">
        <f t="shared" si="31"/>
        <v>0</v>
      </c>
      <c r="L337" s="743">
        <f t="shared" si="32"/>
        <v>0</v>
      </c>
      <c r="M337" s="743">
        <f t="shared" si="33"/>
        <v>0</v>
      </c>
      <c r="N337" s="743">
        <f t="shared" si="34"/>
        <v>0</v>
      </c>
    </row>
    <row r="338" spans="1:14" ht="15.6">
      <c r="A338" s="737"/>
      <c r="B338" s="737"/>
      <c r="C338" s="737"/>
      <c r="D338" s="739">
        <v>3092</v>
      </c>
      <c r="E338" s="740">
        <v>44993</v>
      </c>
      <c r="F338" s="745">
        <v>322317</v>
      </c>
      <c r="G338" s="737">
        <v>30</v>
      </c>
      <c r="H338" s="742">
        <f t="shared" si="28"/>
        <v>45023</v>
      </c>
      <c r="I338" s="743">
        <f t="shared" si="29"/>
        <v>-6</v>
      </c>
      <c r="J338" s="743">
        <f t="shared" si="30"/>
        <v>322317</v>
      </c>
      <c r="K338" s="743">
        <f t="shared" si="31"/>
        <v>0</v>
      </c>
      <c r="L338" s="743">
        <f t="shared" si="32"/>
        <v>0</v>
      </c>
      <c r="M338" s="743">
        <f t="shared" si="33"/>
        <v>0</v>
      </c>
      <c r="N338" s="743">
        <f t="shared" si="34"/>
        <v>0</v>
      </c>
    </row>
    <row r="339" spans="1:14" ht="15.6">
      <c r="A339" s="737"/>
      <c r="B339" s="737"/>
      <c r="C339" s="737"/>
      <c r="D339" s="739">
        <v>3096</v>
      </c>
      <c r="E339" s="740">
        <v>44994</v>
      </c>
      <c r="F339" s="745">
        <v>195205</v>
      </c>
      <c r="G339" s="737">
        <v>30</v>
      </c>
      <c r="H339" s="742">
        <f t="shared" si="28"/>
        <v>45024</v>
      </c>
      <c r="I339" s="743">
        <f t="shared" si="29"/>
        <v>-7</v>
      </c>
      <c r="J339" s="743">
        <f t="shared" si="30"/>
        <v>195205</v>
      </c>
      <c r="K339" s="743">
        <f t="shared" si="31"/>
        <v>0</v>
      </c>
      <c r="L339" s="743">
        <f t="shared" si="32"/>
        <v>0</v>
      </c>
      <c r="M339" s="743">
        <f t="shared" si="33"/>
        <v>0</v>
      </c>
      <c r="N339" s="743">
        <f t="shared" si="34"/>
        <v>0</v>
      </c>
    </row>
    <row r="340" spans="1:14" ht="15.6">
      <c r="A340" s="737"/>
      <c r="B340" s="737"/>
      <c r="C340" s="737"/>
      <c r="D340" s="739">
        <v>3098</v>
      </c>
      <c r="E340" s="740">
        <v>44994</v>
      </c>
      <c r="F340" s="745">
        <v>541372</v>
      </c>
      <c r="G340" s="737">
        <v>30</v>
      </c>
      <c r="H340" s="742">
        <f t="shared" si="28"/>
        <v>45024</v>
      </c>
      <c r="I340" s="743">
        <f t="shared" si="29"/>
        <v>-7</v>
      </c>
      <c r="J340" s="743">
        <f t="shared" si="30"/>
        <v>541372</v>
      </c>
      <c r="K340" s="743">
        <f t="shared" si="31"/>
        <v>0</v>
      </c>
      <c r="L340" s="743">
        <f t="shared" si="32"/>
        <v>0</v>
      </c>
      <c r="M340" s="743">
        <f t="shared" si="33"/>
        <v>0</v>
      </c>
      <c r="N340" s="743">
        <f t="shared" si="34"/>
        <v>0</v>
      </c>
    </row>
    <row r="341" spans="1:14" ht="15.6">
      <c r="A341" s="737"/>
      <c r="B341" s="737"/>
      <c r="C341" s="737"/>
      <c r="D341" s="739">
        <v>3101</v>
      </c>
      <c r="E341" s="740">
        <v>44994</v>
      </c>
      <c r="F341" s="745">
        <v>235346</v>
      </c>
      <c r="G341" s="737">
        <v>30</v>
      </c>
      <c r="H341" s="742">
        <f t="shared" si="28"/>
        <v>45024</v>
      </c>
      <c r="I341" s="743">
        <f t="shared" si="29"/>
        <v>-7</v>
      </c>
      <c r="J341" s="743">
        <f t="shared" si="30"/>
        <v>235346</v>
      </c>
      <c r="K341" s="743">
        <f t="shared" si="31"/>
        <v>0</v>
      </c>
      <c r="L341" s="743">
        <f t="shared" si="32"/>
        <v>0</v>
      </c>
      <c r="M341" s="743">
        <f t="shared" si="33"/>
        <v>0</v>
      </c>
      <c r="N341" s="743">
        <f t="shared" si="34"/>
        <v>0</v>
      </c>
    </row>
    <row r="342" spans="1:14" ht="15.6">
      <c r="A342" s="737"/>
      <c r="B342" s="737"/>
      <c r="C342" s="737"/>
      <c r="D342" s="739">
        <v>3104</v>
      </c>
      <c r="E342" s="740">
        <v>44995</v>
      </c>
      <c r="F342" s="745">
        <v>170479</v>
      </c>
      <c r="G342" s="737">
        <v>30</v>
      </c>
      <c r="H342" s="742">
        <f t="shared" si="28"/>
        <v>45025</v>
      </c>
      <c r="I342" s="743">
        <f t="shared" si="29"/>
        <v>-8</v>
      </c>
      <c r="J342" s="743">
        <f t="shared" si="30"/>
        <v>170479</v>
      </c>
      <c r="K342" s="743">
        <f t="shared" si="31"/>
        <v>0</v>
      </c>
      <c r="L342" s="743">
        <f t="shared" si="32"/>
        <v>0</v>
      </c>
      <c r="M342" s="743">
        <f t="shared" si="33"/>
        <v>0</v>
      </c>
      <c r="N342" s="743">
        <f t="shared" si="34"/>
        <v>0</v>
      </c>
    </row>
    <row r="343" spans="1:14" ht="15.6">
      <c r="A343" s="737"/>
      <c r="B343" s="737"/>
      <c r="C343" s="737"/>
      <c r="D343" s="739">
        <v>3110</v>
      </c>
      <c r="E343" s="740">
        <v>44995</v>
      </c>
      <c r="F343" s="745">
        <v>607022</v>
      </c>
      <c r="G343" s="737">
        <v>30</v>
      </c>
      <c r="H343" s="742">
        <f t="shared" si="28"/>
        <v>45025</v>
      </c>
      <c r="I343" s="743">
        <f t="shared" si="29"/>
        <v>-8</v>
      </c>
      <c r="J343" s="743">
        <f t="shared" si="30"/>
        <v>607022</v>
      </c>
      <c r="K343" s="743">
        <f t="shared" si="31"/>
        <v>0</v>
      </c>
      <c r="L343" s="743">
        <f t="shared" si="32"/>
        <v>0</v>
      </c>
      <c r="M343" s="743">
        <f t="shared" si="33"/>
        <v>0</v>
      </c>
      <c r="N343" s="743">
        <f t="shared" si="34"/>
        <v>0</v>
      </c>
    </row>
    <row r="344" spans="1:14" ht="15.6">
      <c r="A344" s="737"/>
      <c r="B344" s="737"/>
      <c r="C344" s="737"/>
      <c r="D344" s="739">
        <v>3112</v>
      </c>
      <c r="E344" s="740">
        <v>44995</v>
      </c>
      <c r="F344" s="745">
        <v>232060</v>
      </c>
      <c r="G344" s="737">
        <v>30</v>
      </c>
      <c r="H344" s="742">
        <f t="shared" si="28"/>
        <v>45025</v>
      </c>
      <c r="I344" s="743">
        <f t="shared" si="29"/>
        <v>-8</v>
      </c>
      <c r="J344" s="743">
        <f t="shared" si="30"/>
        <v>232060</v>
      </c>
      <c r="K344" s="743">
        <f t="shared" si="31"/>
        <v>0</v>
      </c>
      <c r="L344" s="743">
        <f t="shared" si="32"/>
        <v>0</v>
      </c>
      <c r="M344" s="743">
        <f t="shared" si="33"/>
        <v>0</v>
      </c>
      <c r="N344" s="743">
        <f t="shared" si="34"/>
        <v>0</v>
      </c>
    </row>
    <row r="345" spans="1:14" ht="15.6">
      <c r="A345" s="737"/>
      <c r="B345" s="737"/>
      <c r="C345" s="737"/>
      <c r="D345" s="739">
        <v>3119</v>
      </c>
      <c r="E345" s="740">
        <v>44996</v>
      </c>
      <c r="F345" s="745">
        <v>268007</v>
      </c>
      <c r="G345" s="737">
        <v>30</v>
      </c>
      <c r="H345" s="742">
        <f t="shared" si="28"/>
        <v>45026</v>
      </c>
      <c r="I345" s="743">
        <f t="shared" si="29"/>
        <v>-9</v>
      </c>
      <c r="J345" s="743">
        <f t="shared" si="30"/>
        <v>268007</v>
      </c>
      <c r="K345" s="743">
        <f t="shared" si="31"/>
        <v>0</v>
      </c>
      <c r="L345" s="743">
        <f t="shared" si="32"/>
        <v>0</v>
      </c>
      <c r="M345" s="743">
        <f t="shared" si="33"/>
        <v>0</v>
      </c>
      <c r="N345" s="743">
        <f t="shared" si="34"/>
        <v>0</v>
      </c>
    </row>
    <row r="346" spans="1:14" ht="15.6">
      <c r="A346" s="737"/>
      <c r="B346" s="737"/>
      <c r="C346" s="737"/>
      <c r="D346" s="739">
        <v>3123</v>
      </c>
      <c r="E346" s="740">
        <v>44996</v>
      </c>
      <c r="F346" s="745">
        <v>253658</v>
      </c>
      <c r="G346" s="737">
        <v>30</v>
      </c>
      <c r="H346" s="742">
        <f t="shared" si="28"/>
        <v>45026</v>
      </c>
      <c r="I346" s="743">
        <f t="shared" si="29"/>
        <v>-9</v>
      </c>
      <c r="J346" s="743">
        <f t="shared" si="30"/>
        <v>253658</v>
      </c>
      <c r="K346" s="743">
        <f t="shared" si="31"/>
        <v>0</v>
      </c>
      <c r="L346" s="743">
        <f t="shared" si="32"/>
        <v>0</v>
      </c>
      <c r="M346" s="743">
        <f t="shared" si="33"/>
        <v>0</v>
      </c>
      <c r="N346" s="743">
        <f t="shared" si="34"/>
        <v>0</v>
      </c>
    </row>
    <row r="347" spans="1:14" ht="15.6">
      <c r="A347" s="737"/>
      <c r="B347" s="737"/>
      <c r="C347" s="737"/>
      <c r="D347" s="739">
        <v>3124</v>
      </c>
      <c r="E347" s="740">
        <v>44996</v>
      </c>
      <c r="F347" s="745">
        <v>472238</v>
      </c>
      <c r="G347" s="737">
        <v>30</v>
      </c>
      <c r="H347" s="742">
        <f t="shared" si="28"/>
        <v>45026</v>
      </c>
      <c r="I347" s="743">
        <f t="shared" si="29"/>
        <v>-9</v>
      </c>
      <c r="J347" s="743">
        <f t="shared" si="30"/>
        <v>472238</v>
      </c>
      <c r="K347" s="743">
        <f t="shared" si="31"/>
        <v>0</v>
      </c>
      <c r="L347" s="743">
        <f t="shared" si="32"/>
        <v>0</v>
      </c>
      <c r="M347" s="743">
        <f t="shared" si="33"/>
        <v>0</v>
      </c>
      <c r="N347" s="743">
        <f t="shared" si="34"/>
        <v>0</v>
      </c>
    </row>
    <row r="348" spans="1:14" ht="15.6">
      <c r="A348" s="737"/>
      <c r="B348" s="737"/>
      <c r="C348" s="737"/>
      <c r="D348" s="739">
        <v>3129</v>
      </c>
      <c r="E348" s="740">
        <v>44997</v>
      </c>
      <c r="F348" s="745">
        <v>212005</v>
      </c>
      <c r="G348" s="737">
        <v>30</v>
      </c>
      <c r="H348" s="742">
        <f t="shared" si="28"/>
        <v>45027</v>
      </c>
      <c r="I348" s="743">
        <f t="shared" si="29"/>
        <v>-10</v>
      </c>
      <c r="J348" s="743">
        <f t="shared" si="30"/>
        <v>212005</v>
      </c>
      <c r="K348" s="743">
        <f t="shared" si="31"/>
        <v>0</v>
      </c>
      <c r="L348" s="743">
        <f t="shared" si="32"/>
        <v>0</v>
      </c>
      <c r="M348" s="743">
        <f t="shared" si="33"/>
        <v>0</v>
      </c>
      <c r="N348" s="743">
        <f t="shared" si="34"/>
        <v>0</v>
      </c>
    </row>
    <row r="349" spans="1:14" ht="15.6">
      <c r="A349" s="737"/>
      <c r="B349" s="737"/>
      <c r="C349" s="737"/>
      <c r="D349" s="739">
        <v>3147</v>
      </c>
      <c r="E349" s="740">
        <v>44999</v>
      </c>
      <c r="F349" s="745">
        <v>231054</v>
      </c>
      <c r="G349" s="737">
        <v>30</v>
      </c>
      <c r="H349" s="742">
        <f t="shared" si="28"/>
        <v>45029</v>
      </c>
      <c r="I349" s="743">
        <f t="shared" si="29"/>
        <v>-12</v>
      </c>
      <c r="J349" s="743">
        <f t="shared" si="30"/>
        <v>231054</v>
      </c>
      <c r="K349" s="743">
        <f t="shared" si="31"/>
        <v>0</v>
      </c>
      <c r="L349" s="743">
        <f t="shared" si="32"/>
        <v>0</v>
      </c>
      <c r="M349" s="743">
        <f t="shared" si="33"/>
        <v>0</v>
      </c>
      <c r="N349" s="743">
        <f t="shared" si="34"/>
        <v>0</v>
      </c>
    </row>
    <row r="350" spans="1:14" ht="15.6">
      <c r="A350" s="737"/>
      <c r="B350" s="737"/>
      <c r="C350" s="737"/>
      <c r="D350" s="739">
        <v>3152</v>
      </c>
      <c r="E350" s="740">
        <v>44999</v>
      </c>
      <c r="F350" s="745">
        <v>212414</v>
      </c>
      <c r="G350" s="737">
        <v>30</v>
      </c>
      <c r="H350" s="742">
        <f t="shared" si="28"/>
        <v>45029</v>
      </c>
      <c r="I350" s="743">
        <f t="shared" si="29"/>
        <v>-12</v>
      </c>
      <c r="J350" s="743">
        <f t="shared" si="30"/>
        <v>212414</v>
      </c>
      <c r="K350" s="743">
        <f t="shared" si="31"/>
        <v>0</v>
      </c>
      <c r="L350" s="743">
        <f t="shared" si="32"/>
        <v>0</v>
      </c>
      <c r="M350" s="743">
        <f t="shared" si="33"/>
        <v>0</v>
      </c>
      <c r="N350" s="743">
        <f t="shared" si="34"/>
        <v>0</v>
      </c>
    </row>
    <row r="351" spans="1:14" ht="15.6">
      <c r="A351" s="737"/>
      <c r="B351" s="737"/>
      <c r="C351" s="737"/>
      <c r="D351" s="739">
        <v>3156</v>
      </c>
      <c r="E351" s="740">
        <v>45000</v>
      </c>
      <c r="F351" s="745">
        <v>485576</v>
      </c>
      <c r="G351" s="737">
        <v>30</v>
      </c>
      <c r="H351" s="742">
        <f t="shared" si="28"/>
        <v>45030</v>
      </c>
      <c r="I351" s="743">
        <f t="shared" si="29"/>
        <v>-13</v>
      </c>
      <c r="J351" s="743">
        <f t="shared" si="30"/>
        <v>485576</v>
      </c>
      <c r="K351" s="743">
        <f t="shared" si="31"/>
        <v>0</v>
      </c>
      <c r="L351" s="743">
        <f t="shared" si="32"/>
        <v>0</v>
      </c>
      <c r="M351" s="743">
        <f t="shared" si="33"/>
        <v>0</v>
      </c>
      <c r="N351" s="743">
        <f t="shared" si="34"/>
        <v>0</v>
      </c>
    </row>
    <row r="352" spans="1:14" ht="15.6">
      <c r="A352" s="737"/>
      <c r="B352" s="737"/>
      <c r="C352" s="737"/>
      <c r="D352" s="739">
        <v>3157</v>
      </c>
      <c r="E352" s="740">
        <v>45000</v>
      </c>
      <c r="F352" s="745">
        <v>258052</v>
      </c>
      <c r="G352" s="737">
        <v>30</v>
      </c>
      <c r="H352" s="742">
        <f t="shared" si="28"/>
        <v>45030</v>
      </c>
      <c r="I352" s="743">
        <f t="shared" si="29"/>
        <v>-13</v>
      </c>
      <c r="J352" s="743">
        <f t="shared" si="30"/>
        <v>258052</v>
      </c>
      <c r="K352" s="743">
        <f t="shared" si="31"/>
        <v>0</v>
      </c>
      <c r="L352" s="743">
        <f t="shared" si="32"/>
        <v>0</v>
      </c>
      <c r="M352" s="743">
        <f t="shared" si="33"/>
        <v>0</v>
      </c>
      <c r="N352" s="743">
        <f t="shared" si="34"/>
        <v>0</v>
      </c>
    </row>
    <row r="353" spans="1:14" ht="15.6">
      <c r="A353" s="737"/>
      <c r="B353" s="737"/>
      <c r="C353" s="737"/>
      <c r="D353" s="739">
        <v>3163</v>
      </c>
      <c r="E353" s="740">
        <v>45001</v>
      </c>
      <c r="F353" s="745">
        <v>487524</v>
      </c>
      <c r="G353" s="737">
        <v>30</v>
      </c>
      <c r="H353" s="742">
        <f t="shared" si="28"/>
        <v>45031</v>
      </c>
      <c r="I353" s="743">
        <f t="shared" si="29"/>
        <v>-14</v>
      </c>
      <c r="J353" s="743">
        <f t="shared" si="30"/>
        <v>487524</v>
      </c>
      <c r="K353" s="743">
        <f t="shared" si="31"/>
        <v>0</v>
      </c>
      <c r="L353" s="743">
        <f t="shared" si="32"/>
        <v>0</v>
      </c>
      <c r="M353" s="743">
        <f t="shared" si="33"/>
        <v>0</v>
      </c>
      <c r="N353" s="743">
        <f t="shared" si="34"/>
        <v>0</v>
      </c>
    </row>
    <row r="354" spans="1:14" ht="15.6">
      <c r="A354" s="737"/>
      <c r="B354" s="737"/>
      <c r="C354" s="737"/>
      <c r="D354" s="739">
        <v>3167</v>
      </c>
      <c r="E354" s="740">
        <v>45001</v>
      </c>
      <c r="F354" s="745">
        <v>191994</v>
      </c>
      <c r="G354" s="737">
        <v>30</v>
      </c>
      <c r="H354" s="742">
        <f t="shared" si="28"/>
        <v>45031</v>
      </c>
      <c r="I354" s="743">
        <f t="shared" si="29"/>
        <v>-14</v>
      </c>
      <c r="J354" s="743">
        <f t="shared" si="30"/>
        <v>191994</v>
      </c>
      <c r="K354" s="743">
        <f t="shared" si="31"/>
        <v>0</v>
      </c>
      <c r="L354" s="743">
        <f t="shared" si="32"/>
        <v>0</v>
      </c>
      <c r="M354" s="743">
        <f t="shared" si="33"/>
        <v>0</v>
      </c>
      <c r="N354" s="743">
        <f t="shared" si="34"/>
        <v>0</v>
      </c>
    </row>
    <row r="355" spans="1:14" ht="15.6">
      <c r="A355" s="737"/>
      <c r="B355" s="737"/>
      <c r="C355" s="737"/>
      <c r="D355" s="739">
        <v>3178</v>
      </c>
      <c r="E355" s="740">
        <v>45002</v>
      </c>
      <c r="F355" s="745">
        <v>195205</v>
      </c>
      <c r="G355" s="737">
        <v>30</v>
      </c>
      <c r="H355" s="742">
        <f t="shared" si="28"/>
        <v>45032</v>
      </c>
      <c r="I355" s="743">
        <f t="shared" si="29"/>
        <v>-15</v>
      </c>
      <c r="J355" s="743">
        <f t="shared" si="30"/>
        <v>195205</v>
      </c>
      <c r="K355" s="743">
        <f t="shared" si="31"/>
        <v>0</v>
      </c>
      <c r="L355" s="743">
        <f t="shared" si="32"/>
        <v>0</v>
      </c>
      <c r="M355" s="743">
        <f t="shared" si="33"/>
        <v>0</v>
      </c>
      <c r="N355" s="743">
        <f t="shared" si="34"/>
        <v>0</v>
      </c>
    </row>
    <row r="356" spans="1:14" ht="15.6">
      <c r="A356" s="737"/>
      <c r="B356" s="737"/>
      <c r="C356" s="737"/>
      <c r="D356" s="739">
        <v>3184</v>
      </c>
      <c r="E356" s="740">
        <v>45003</v>
      </c>
      <c r="F356" s="745">
        <v>239687</v>
      </c>
      <c r="G356" s="737">
        <v>30</v>
      </c>
      <c r="H356" s="742">
        <f t="shared" si="28"/>
        <v>45033</v>
      </c>
      <c r="I356" s="743">
        <f t="shared" si="29"/>
        <v>-16</v>
      </c>
      <c r="J356" s="743">
        <f t="shared" si="30"/>
        <v>239687</v>
      </c>
      <c r="K356" s="743">
        <f t="shared" si="31"/>
        <v>0</v>
      </c>
      <c r="L356" s="743">
        <f t="shared" si="32"/>
        <v>0</v>
      </c>
      <c r="M356" s="743">
        <f t="shared" si="33"/>
        <v>0</v>
      </c>
      <c r="N356" s="743">
        <f t="shared" si="34"/>
        <v>0</v>
      </c>
    </row>
    <row r="357" spans="1:14" ht="15.6">
      <c r="A357" s="737"/>
      <c r="B357" s="737"/>
      <c r="C357" s="737"/>
      <c r="D357" s="739">
        <v>3185</v>
      </c>
      <c r="E357" s="740">
        <v>45003</v>
      </c>
      <c r="F357" s="745">
        <v>238490</v>
      </c>
      <c r="G357" s="737">
        <v>30</v>
      </c>
      <c r="H357" s="742">
        <f t="shared" si="28"/>
        <v>45033</v>
      </c>
      <c r="I357" s="743">
        <f t="shared" si="29"/>
        <v>-16</v>
      </c>
      <c r="J357" s="743">
        <f t="shared" si="30"/>
        <v>238490</v>
      </c>
      <c r="K357" s="743">
        <f t="shared" si="31"/>
        <v>0</v>
      </c>
      <c r="L357" s="743">
        <f t="shared" si="32"/>
        <v>0</v>
      </c>
      <c r="M357" s="743">
        <f t="shared" si="33"/>
        <v>0</v>
      </c>
      <c r="N357" s="743">
        <f t="shared" si="34"/>
        <v>0</v>
      </c>
    </row>
    <row r="358" spans="1:14" ht="15.6">
      <c r="A358" s="737"/>
      <c r="B358" s="737"/>
      <c r="C358" s="737"/>
      <c r="D358" s="739">
        <v>3190</v>
      </c>
      <c r="E358" s="740">
        <v>45004</v>
      </c>
      <c r="F358" s="745">
        <v>183737</v>
      </c>
      <c r="G358" s="737">
        <v>30</v>
      </c>
      <c r="H358" s="742">
        <f t="shared" si="28"/>
        <v>45034</v>
      </c>
      <c r="I358" s="743">
        <f t="shared" si="29"/>
        <v>-17</v>
      </c>
      <c r="J358" s="743">
        <f t="shared" si="30"/>
        <v>183737</v>
      </c>
      <c r="K358" s="743">
        <f t="shared" si="31"/>
        <v>0</v>
      </c>
      <c r="L358" s="743">
        <f t="shared" si="32"/>
        <v>0</v>
      </c>
      <c r="M358" s="743">
        <f t="shared" si="33"/>
        <v>0</v>
      </c>
      <c r="N358" s="743">
        <f t="shared" si="34"/>
        <v>0</v>
      </c>
    </row>
    <row r="359" spans="1:14" ht="15.6">
      <c r="A359" s="737"/>
      <c r="B359" s="737"/>
      <c r="C359" s="737"/>
      <c r="D359" s="739">
        <v>3196</v>
      </c>
      <c r="E359" s="740">
        <v>45004</v>
      </c>
      <c r="F359" s="745">
        <v>340481</v>
      </c>
      <c r="G359" s="737">
        <v>30</v>
      </c>
      <c r="H359" s="742">
        <f t="shared" si="28"/>
        <v>45034</v>
      </c>
      <c r="I359" s="743">
        <f t="shared" si="29"/>
        <v>-17</v>
      </c>
      <c r="J359" s="743">
        <f t="shared" si="30"/>
        <v>340481</v>
      </c>
      <c r="K359" s="743">
        <f t="shared" si="31"/>
        <v>0</v>
      </c>
      <c r="L359" s="743">
        <f t="shared" si="32"/>
        <v>0</v>
      </c>
      <c r="M359" s="743">
        <f t="shared" si="33"/>
        <v>0</v>
      </c>
      <c r="N359" s="743">
        <f t="shared" si="34"/>
        <v>0</v>
      </c>
    </row>
    <row r="360" spans="1:14" ht="15.6">
      <c r="A360" s="737"/>
      <c r="B360" s="737"/>
      <c r="C360" s="737"/>
      <c r="D360" s="739">
        <v>3204</v>
      </c>
      <c r="E360" s="740">
        <v>45005</v>
      </c>
      <c r="F360" s="745">
        <v>272894</v>
      </c>
      <c r="G360" s="737">
        <v>30</v>
      </c>
      <c r="H360" s="742">
        <f t="shared" si="28"/>
        <v>45035</v>
      </c>
      <c r="I360" s="743">
        <f t="shared" si="29"/>
        <v>-18</v>
      </c>
      <c r="J360" s="743">
        <f t="shared" si="30"/>
        <v>272894</v>
      </c>
      <c r="K360" s="743">
        <f t="shared" si="31"/>
        <v>0</v>
      </c>
      <c r="L360" s="743">
        <f t="shared" si="32"/>
        <v>0</v>
      </c>
      <c r="M360" s="743">
        <f t="shared" si="33"/>
        <v>0</v>
      </c>
      <c r="N360" s="743">
        <f t="shared" si="34"/>
        <v>0</v>
      </c>
    </row>
    <row r="361" spans="1:14" ht="15.6">
      <c r="A361" s="737"/>
      <c r="B361" s="737"/>
      <c r="C361" s="737"/>
      <c r="D361" s="739">
        <v>3205</v>
      </c>
      <c r="E361" s="740">
        <v>45005</v>
      </c>
      <c r="F361" s="745">
        <v>530673</v>
      </c>
      <c r="G361" s="737">
        <v>30</v>
      </c>
      <c r="H361" s="742">
        <f t="shared" si="28"/>
        <v>45035</v>
      </c>
      <c r="I361" s="743">
        <f t="shared" si="29"/>
        <v>-18</v>
      </c>
      <c r="J361" s="743">
        <f t="shared" si="30"/>
        <v>530673</v>
      </c>
      <c r="K361" s="743">
        <f t="shared" si="31"/>
        <v>0</v>
      </c>
      <c r="L361" s="743">
        <f t="shared" si="32"/>
        <v>0</v>
      </c>
      <c r="M361" s="743">
        <f t="shared" si="33"/>
        <v>0</v>
      </c>
      <c r="N361" s="743">
        <f t="shared" si="34"/>
        <v>0</v>
      </c>
    </row>
    <row r="362" spans="1:14" ht="15.6">
      <c r="A362" s="737"/>
      <c r="B362" s="737"/>
      <c r="C362" s="737"/>
      <c r="D362" s="739">
        <v>3212</v>
      </c>
      <c r="E362" s="740">
        <v>45006</v>
      </c>
      <c r="F362" s="745">
        <v>210193</v>
      </c>
      <c r="G362" s="737">
        <v>30</v>
      </c>
      <c r="H362" s="742">
        <f t="shared" si="28"/>
        <v>45036</v>
      </c>
      <c r="I362" s="743">
        <f t="shared" si="29"/>
        <v>-19</v>
      </c>
      <c r="J362" s="743">
        <f t="shared" si="30"/>
        <v>210193</v>
      </c>
      <c r="K362" s="743">
        <f t="shared" si="31"/>
        <v>0</v>
      </c>
      <c r="L362" s="743">
        <f t="shared" si="32"/>
        <v>0</v>
      </c>
      <c r="M362" s="743">
        <f t="shared" si="33"/>
        <v>0</v>
      </c>
      <c r="N362" s="743">
        <f t="shared" si="34"/>
        <v>0</v>
      </c>
    </row>
    <row r="363" spans="1:14" ht="15.6">
      <c r="A363" s="737"/>
      <c r="B363" s="737"/>
      <c r="C363" s="737"/>
      <c r="D363" s="739">
        <v>3213</v>
      </c>
      <c r="E363" s="740">
        <v>45006</v>
      </c>
      <c r="F363" s="745">
        <v>193858</v>
      </c>
      <c r="G363" s="737">
        <v>30</v>
      </c>
      <c r="H363" s="742">
        <f t="shared" si="28"/>
        <v>45036</v>
      </c>
      <c r="I363" s="743">
        <f t="shared" si="29"/>
        <v>-19</v>
      </c>
      <c r="J363" s="743">
        <f t="shared" si="30"/>
        <v>193858</v>
      </c>
      <c r="K363" s="743">
        <f t="shared" si="31"/>
        <v>0</v>
      </c>
      <c r="L363" s="743">
        <f t="shared" si="32"/>
        <v>0</v>
      </c>
      <c r="M363" s="743">
        <f t="shared" si="33"/>
        <v>0</v>
      </c>
      <c r="N363" s="743">
        <f t="shared" si="34"/>
        <v>0</v>
      </c>
    </row>
    <row r="364" spans="1:14" ht="15.6">
      <c r="A364" s="737"/>
      <c r="B364" s="737"/>
      <c r="C364" s="737"/>
      <c r="D364" s="739">
        <v>3217</v>
      </c>
      <c r="E364" s="740">
        <v>45007</v>
      </c>
      <c r="F364" s="745">
        <v>536634</v>
      </c>
      <c r="G364" s="737">
        <v>30</v>
      </c>
      <c r="H364" s="742">
        <f t="shared" si="28"/>
        <v>45037</v>
      </c>
      <c r="I364" s="743">
        <f t="shared" si="29"/>
        <v>-20</v>
      </c>
      <c r="J364" s="743">
        <f t="shared" si="30"/>
        <v>536634</v>
      </c>
      <c r="K364" s="743">
        <f t="shared" si="31"/>
        <v>0</v>
      </c>
      <c r="L364" s="743">
        <f t="shared" si="32"/>
        <v>0</v>
      </c>
      <c r="M364" s="743">
        <f t="shared" si="33"/>
        <v>0</v>
      </c>
      <c r="N364" s="743">
        <f t="shared" si="34"/>
        <v>0</v>
      </c>
    </row>
    <row r="365" spans="1:14" ht="15.6">
      <c r="A365" s="737"/>
      <c r="B365" s="737"/>
      <c r="C365" s="737"/>
      <c r="D365" s="739">
        <v>3224</v>
      </c>
      <c r="E365" s="740">
        <v>45007</v>
      </c>
      <c r="F365" s="745">
        <v>520747</v>
      </c>
      <c r="G365" s="737">
        <v>30</v>
      </c>
      <c r="H365" s="742">
        <f t="shared" si="28"/>
        <v>45037</v>
      </c>
      <c r="I365" s="743">
        <f t="shared" si="29"/>
        <v>-20</v>
      </c>
      <c r="J365" s="743">
        <f t="shared" si="30"/>
        <v>520747</v>
      </c>
      <c r="K365" s="743">
        <f t="shared" si="31"/>
        <v>0</v>
      </c>
      <c r="L365" s="743">
        <f t="shared" si="32"/>
        <v>0</v>
      </c>
      <c r="M365" s="743">
        <f t="shared" si="33"/>
        <v>0</v>
      </c>
      <c r="N365" s="743">
        <f t="shared" si="34"/>
        <v>0</v>
      </c>
    </row>
    <row r="366" spans="1:14" ht="15.6">
      <c r="A366" s="737"/>
      <c r="B366" s="737"/>
      <c r="C366" s="737"/>
      <c r="D366" s="739">
        <v>3231</v>
      </c>
      <c r="E366" s="740">
        <v>45008</v>
      </c>
      <c r="F366" s="745">
        <v>297442</v>
      </c>
      <c r="G366" s="737">
        <v>30</v>
      </c>
      <c r="H366" s="742">
        <f t="shared" si="28"/>
        <v>45038</v>
      </c>
      <c r="I366" s="743">
        <f t="shared" si="29"/>
        <v>-21</v>
      </c>
      <c r="J366" s="743">
        <f t="shared" si="30"/>
        <v>297442</v>
      </c>
      <c r="K366" s="743">
        <f t="shared" si="31"/>
        <v>0</v>
      </c>
      <c r="L366" s="743">
        <f t="shared" si="32"/>
        <v>0</v>
      </c>
      <c r="M366" s="743">
        <f t="shared" si="33"/>
        <v>0</v>
      </c>
      <c r="N366" s="743">
        <f t="shared" si="34"/>
        <v>0</v>
      </c>
    </row>
    <row r="367" spans="1:14" ht="15.6">
      <c r="A367" s="737"/>
      <c r="B367" s="737"/>
      <c r="C367" s="737"/>
      <c r="D367" s="739">
        <v>3242</v>
      </c>
      <c r="E367" s="740">
        <v>45009</v>
      </c>
      <c r="F367" s="745">
        <v>239658</v>
      </c>
      <c r="G367" s="737">
        <v>30</v>
      </c>
      <c r="H367" s="742">
        <f t="shared" si="28"/>
        <v>45039</v>
      </c>
      <c r="I367" s="743">
        <f t="shared" si="29"/>
        <v>-22</v>
      </c>
      <c r="J367" s="743">
        <f t="shared" si="30"/>
        <v>239658</v>
      </c>
      <c r="K367" s="743">
        <f t="shared" si="31"/>
        <v>0</v>
      </c>
      <c r="L367" s="743">
        <f t="shared" si="32"/>
        <v>0</v>
      </c>
      <c r="M367" s="743">
        <f t="shared" si="33"/>
        <v>0</v>
      </c>
      <c r="N367" s="743">
        <f t="shared" si="34"/>
        <v>0</v>
      </c>
    </row>
    <row r="368" spans="1:14" ht="15.6">
      <c r="A368" s="737"/>
      <c r="B368" s="737"/>
      <c r="C368" s="737"/>
      <c r="D368" s="739">
        <v>3244</v>
      </c>
      <c r="E368" s="740">
        <v>45009</v>
      </c>
      <c r="F368" s="745">
        <v>495567</v>
      </c>
      <c r="G368" s="737">
        <v>30</v>
      </c>
      <c r="H368" s="742">
        <f t="shared" si="28"/>
        <v>45039</v>
      </c>
      <c r="I368" s="743">
        <f t="shared" si="29"/>
        <v>-22</v>
      </c>
      <c r="J368" s="743">
        <f t="shared" si="30"/>
        <v>495567</v>
      </c>
      <c r="K368" s="743">
        <f t="shared" si="31"/>
        <v>0</v>
      </c>
      <c r="L368" s="743">
        <f t="shared" si="32"/>
        <v>0</v>
      </c>
      <c r="M368" s="743">
        <f t="shared" si="33"/>
        <v>0</v>
      </c>
      <c r="N368" s="743">
        <f t="shared" si="34"/>
        <v>0</v>
      </c>
    </row>
    <row r="369" spans="1:14" ht="15.6">
      <c r="A369" s="737"/>
      <c r="B369" s="737"/>
      <c r="C369" s="737"/>
      <c r="D369" s="739">
        <v>3245</v>
      </c>
      <c r="E369" s="740">
        <v>45009</v>
      </c>
      <c r="F369" s="745">
        <v>237882</v>
      </c>
      <c r="G369" s="737">
        <v>30</v>
      </c>
      <c r="H369" s="742">
        <f t="shared" si="28"/>
        <v>45039</v>
      </c>
      <c r="I369" s="743">
        <f t="shared" si="29"/>
        <v>-22</v>
      </c>
      <c r="J369" s="743">
        <f t="shared" si="30"/>
        <v>237882</v>
      </c>
      <c r="K369" s="743">
        <f t="shared" si="31"/>
        <v>0</v>
      </c>
      <c r="L369" s="743">
        <f t="shared" si="32"/>
        <v>0</v>
      </c>
      <c r="M369" s="743">
        <f t="shared" si="33"/>
        <v>0</v>
      </c>
      <c r="N369" s="743">
        <f t="shared" si="34"/>
        <v>0</v>
      </c>
    </row>
    <row r="370" spans="1:14" ht="15.6">
      <c r="A370" s="737"/>
      <c r="B370" s="737"/>
      <c r="C370" s="737"/>
      <c r="D370" s="739">
        <v>3256</v>
      </c>
      <c r="E370" s="740">
        <v>45010</v>
      </c>
      <c r="F370" s="745">
        <v>65798</v>
      </c>
      <c r="G370" s="737">
        <v>30</v>
      </c>
      <c r="H370" s="742">
        <f t="shared" si="28"/>
        <v>45040</v>
      </c>
      <c r="I370" s="743">
        <f t="shared" si="29"/>
        <v>-23</v>
      </c>
      <c r="J370" s="743">
        <f t="shared" si="30"/>
        <v>65798</v>
      </c>
      <c r="K370" s="743">
        <f t="shared" si="31"/>
        <v>0</v>
      </c>
      <c r="L370" s="743">
        <f t="shared" si="32"/>
        <v>0</v>
      </c>
      <c r="M370" s="743">
        <f t="shared" si="33"/>
        <v>0</v>
      </c>
      <c r="N370" s="743">
        <f t="shared" si="34"/>
        <v>0</v>
      </c>
    </row>
    <row r="371" spans="1:14" ht="15.6">
      <c r="A371" s="737"/>
      <c r="B371" s="737"/>
      <c r="C371" s="737"/>
      <c r="D371" s="739">
        <v>3261</v>
      </c>
      <c r="E371" s="740">
        <v>45010</v>
      </c>
      <c r="F371" s="745">
        <v>232564</v>
      </c>
      <c r="G371" s="737">
        <v>30</v>
      </c>
      <c r="H371" s="742">
        <f t="shared" si="28"/>
        <v>45040</v>
      </c>
      <c r="I371" s="743">
        <f t="shared" si="29"/>
        <v>-23</v>
      </c>
      <c r="J371" s="743">
        <f t="shared" si="30"/>
        <v>232564</v>
      </c>
      <c r="K371" s="743">
        <f t="shared" si="31"/>
        <v>0</v>
      </c>
      <c r="L371" s="743">
        <f t="shared" si="32"/>
        <v>0</v>
      </c>
      <c r="M371" s="743">
        <f t="shared" si="33"/>
        <v>0</v>
      </c>
      <c r="N371" s="743">
        <f t="shared" si="34"/>
        <v>0</v>
      </c>
    </row>
    <row r="372" spans="1:14" ht="15.6">
      <c r="A372" s="737"/>
      <c r="B372" s="737"/>
      <c r="C372" s="737"/>
      <c r="D372" s="739">
        <v>3268</v>
      </c>
      <c r="E372" s="740">
        <v>45011</v>
      </c>
      <c r="F372" s="745">
        <v>237734</v>
      </c>
      <c r="G372" s="737">
        <v>30</v>
      </c>
      <c r="H372" s="742">
        <f t="shared" si="28"/>
        <v>45041</v>
      </c>
      <c r="I372" s="743">
        <f t="shared" si="29"/>
        <v>-24</v>
      </c>
      <c r="J372" s="743">
        <f t="shared" si="30"/>
        <v>237734</v>
      </c>
      <c r="K372" s="743">
        <f t="shared" si="31"/>
        <v>0</v>
      </c>
      <c r="L372" s="743">
        <f t="shared" si="32"/>
        <v>0</v>
      </c>
      <c r="M372" s="743">
        <f t="shared" si="33"/>
        <v>0</v>
      </c>
      <c r="N372" s="743">
        <f t="shared" si="34"/>
        <v>0</v>
      </c>
    </row>
    <row r="373" spans="1:14" ht="15.6">
      <c r="A373" s="737"/>
      <c r="B373" s="737"/>
      <c r="C373" s="737"/>
      <c r="D373" s="739">
        <v>3269</v>
      </c>
      <c r="E373" s="740">
        <v>45011</v>
      </c>
      <c r="F373" s="745">
        <v>204019</v>
      </c>
      <c r="G373" s="737">
        <v>30</v>
      </c>
      <c r="H373" s="742">
        <f t="shared" ref="H373:H436" si="35">+E373+G373</f>
        <v>45041</v>
      </c>
      <c r="I373" s="743">
        <f t="shared" ref="I373:I436" si="36">+$Q$1-H373+1</f>
        <v>-24</v>
      </c>
      <c r="J373" s="743">
        <f t="shared" ref="J373:J436" si="37">IF(I373&lt;=30,F373,0)</f>
        <v>204019</v>
      </c>
      <c r="K373" s="743">
        <f t="shared" ref="K373:K436" si="38">IF(I373&lt;=30,0,IF(I373&gt;60,0,F373))</f>
        <v>0</v>
      </c>
      <c r="L373" s="743">
        <f t="shared" ref="L373:L436" si="39">IF(I373&lt;=60,0,IF(I373&gt;90,0,F373))</f>
        <v>0</v>
      </c>
      <c r="M373" s="743">
        <f t="shared" ref="M373:M436" si="40">IF(I373&lt;=90,0,IF(I373&gt;120,0,F373))</f>
        <v>0</v>
      </c>
      <c r="N373" s="743">
        <f t="shared" ref="N373:N436" si="41">IF(I373&lt;=120,0,F373)</f>
        <v>0</v>
      </c>
    </row>
    <row r="374" spans="1:14" ht="15.6">
      <c r="A374" s="737"/>
      <c r="B374" s="737"/>
      <c r="C374" s="737"/>
      <c r="D374" s="739">
        <v>3273</v>
      </c>
      <c r="E374" s="740">
        <v>45011</v>
      </c>
      <c r="F374" s="745">
        <v>234081</v>
      </c>
      <c r="G374" s="737">
        <v>30</v>
      </c>
      <c r="H374" s="742">
        <f t="shared" si="35"/>
        <v>45041</v>
      </c>
      <c r="I374" s="743">
        <f t="shared" si="36"/>
        <v>-24</v>
      </c>
      <c r="J374" s="743">
        <f t="shared" si="37"/>
        <v>234081</v>
      </c>
      <c r="K374" s="743">
        <f t="shared" si="38"/>
        <v>0</v>
      </c>
      <c r="L374" s="743">
        <f t="shared" si="39"/>
        <v>0</v>
      </c>
      <c r="M374" s="743">
        <f t="shared" si="40"/>
        <v>0</v>
      </c>
      <c r="N374" s="743">
        <f t="shared" si="41"/>
        <v>0</v>
      </c>
    </row>
    <row r="375" spans="1:14" ht="15.6">
      <c r="A375" s="737"/>
      <c r="B375" s="737"/>
      <c r="C375" s="737"/>
      <c r="D375" s="739">
        <v>3275</v>
      </c>
      <c r="E375" s="740">
        <v>45012</v>
      </c>
      <c r="F375" s="745">
        <v>514176</v>
      </c>
      <c r="G375" s="737">
        <v>30</v>
      </c>
      <c r="H375" s="742">
        <f t="shared" si="35"/>
        <v>45042</v>
      </c>
      <c r="I375" s="743">
        <f t="shared" si="36"/>
        <v>-25</v>
      </c>
      <c r="J375" s="743">
        <f t="shared" si="37"/>
        <v>514176</v>
      </c>
      <c r="K375" s="743">
        <f t="shared" si="38"/>
        <v>0</v>
      </c>
      <c r="L375" s="743">
        <f t="shared" si="39"/>
        <v>0</v>
      </c>
      <c r="M375" s="743">
        <f t="shared" si="40"/>
        <v>0</v>
      </c>
      <c r="N375" s="743">
        <f t="shared" si="41"/>
        <v>0</v>
      </c>
    </row>
    <row r="376" spans="1:14" ht="15.6">
      <c r="A376" s="737"/>
      <c r="B376" s="737"/>
      <c r="C376" s="737"/>
      <c r="D376" s="739">
        <v>3278</v>
      </c>
      <c r="E376" s="740">
        <v>45012</v>
      </c>
      <c r="F376" s="745">
        <v>523906</v>
      </c>
      <c r="G376" s="737">
        <v>30</v>
      </c>
      <c r="H376" s="742">
        <f t="shared" si="35"/>
        <v>45042</v>
      </c>
      <c r="I376" s="743">
        <f t="shared" si="36"/>
        <v>-25</v>
      </c>
      <c r="J376" s="743">
        <f t="shared" si="37"/>
        <v>523906</v>
      </c>
      <c r="K376" s="743">
        <f t="shared" si="38"/>
        <v>0</v>
      </c>
      <c r="L376" s="743">
        <f t="shared" si="39"/>
        <v>0</v>
      </c>
      <c r="M376" s="743">
        <f t="shared" si="40"/>
        <v>0</v>
      </c>
      <c r="N376" s="743">
        <f t="shared" si="41"/>
        <v>0</v>
      </c>
    </row>
    <row r="377" spans="1:14" ht="15.6">
      <c r="A377" s="737"/>
      <c r="B377" s="737"/>
      <c r="C377" s="737"/>
      <c r="D377" s="739">
        <v>3281</v>
      </c>
      <c r="E377" s="740">
        <v>45012</v>
      </c>
      <c r="F377" s="745">
        <v>148469</v>
      </c>
      <c r="G377" s="737">
        <v>30</v>
      </c>
      <c r="H377" s="742">
        <f t="shared" si="35"/>
        <v>45042</v>
      </c>
      <c r="I377" s="743">
        <f t="shared" si="36"/>
        <v>-25</v>
      </c>
      <c r="J377" s="743">
        <f t="shared" si="37"/>
        <v>148469</v>
      </c>
      <c r="K377" s="743">
        <f t="shared" si="38"/>
        <v>0</v>
      </c>
      <c r="L377" s="743">
        <f t="shared" si="39"/>
        <v>0</v>
      </c>
      <c r="M377" s="743">
        <f t="shared" si="40"/>
        <v>0</v>
      </c>
      <c r="N377" s="743">
        <f t="shared" si="41"/>
        <v>0</v>
      </c>
    </row>
    <row r="378" spans="1:14" ht="15.6">
      <c r="A378" s="737"/>
      <c r="B378" s="737"/>
      <c r="C378" s="737"/>
      <c r="D378" s="739">
        <v>3286</v>
      </c>
      <c r="E378" s="740">
        <v>45013</v>
      </c>
      <c r="F378" s="745">
        <v>189239</v>
      </c>
      <c r="G378" s="737">
        <v>30</v>
      </c>
      <c r="H378" s="742">
        <f t="shared" si="35"/>
        <v>45043</v>
      </c>
      <c r="I378" s="743">
        <f t="shared" si="36"/>
        <v>-26</v>
      </c>
      <c r="J378" s="743">
        <f t="shared" si="37"/>
        <v>189239</v>
      </c>
      <c r="K378" s="743">
        <f t="shared" si="38"/>
        <v>0</v>
      </c>
      <c r="L378" s="743">
        <f t="shared" si="39"/>
        <v>0</v>
      </c>
      <c r="M378" s="743">
        <f t="shared" si="40"/>
        <v>0</v>
      </c>
      <c r="N378" s="743">
        <f t="shared" si="41"/>
        <v>0</v>
      </c>
    </row>
    <row r="379" spans="1:14" ht="15.6">
      <c r="A379" s="737"/>
      <c r="B379" s="737"/>
      <c r="C379" s="737"/>
      <c r="D379" s="739">
        <v>3289</v>
      </c>
      <c r="E379" s="740">
        <v>45013</v>
      </c>
      <c r="F379" s="745">
        <v>65944</v>
      </c>
      <c r="G379" s="737">
        <v>30</v>
      </c>
      <c r="H379" s="742">
        <f t="shared" si="35"/>
        <v>45043</v>
      </c>
      <c r="I379" s="743">
        <f t="shared" si="36"/>
        <v>-26</v>
      </c>
      <c r="J379" s="743">
        <f t="shared" si="37"/>
        <v>65944</v>
      </c>
      <c r="K379" s="743">
        <f t="shared" si="38"/>
        <v>0</v>
      </c>
      <c r="L379" s="743">
        <f t="shared" si="39"/>
        <v>0</v>
      </c>
      <c r="M379" s="743">
        <f t="shared" si="40"/>
        <v>0</v>
      </c>
      <c r="N379" s="743">
        <f t="shared" si="41"/>
        <v>0</v>
      </c>
    </row>
    <row r="380" spans="1:14" ht="15.6">
      <c r="A380" s="737"/>
      <c r="B380" s="737"/>
      <c r="C380" s="737"/>
      <c r="D380" s="739">
        <v>3300</v>
      </c>
      <c r="E380" s="740">
        <v>45015</v>
      </c>
      <c r="F380" s="745">
        <v>191831</v>
      </c>
      <c r="G380" s="737">
        <v>30</v>
      </c>
      <c r="H380" s="742">
        <f t="shared" si="35"/>
        <v>45045</v>
      </c>
      <c r="I380" s="743">
        <f t="shared" si="36"/>
        <v>-28</v>
      </c>
      <c r="J380" s="743">
        <f t="shared" si="37"/>
        <v>191831</v>
      </c>
      <c r="K380" s="743">
        <f t="shared" si="38"/>
        <v>0</v>
      </c>
      <c r="L380" s="743">
        <f t="shared" si="39"/>
        <v>0</v>
      </c>
      <c r="M380" s="743">
        <f t="shared" si="40"/>
        <v>0</v>
      </c>
      <c r="N380" s="743">
        <f t="shared" si="41"/>
        <v>0</v>
      </c>
    </row>
    <row r="381" spans="1:14" ht="15.6">
      <c r="A381" s="737"/>
      <c r="B381" s="737"/>
      <c r="C381" s="737"/>
      <c r="D381" s="739">
        <v>3301</v>
      </c>
      <c r="E381" s="740">
        <v>45015</v>
      </c>
      <c r="F381" s="745">
        <v>62317</v>
      </c>
      <c r="G381" s="737">
        <v>30</v>
      </c>
      <c r="H381" s="742">
        <f t="shared" si="35"/>
        <v>45045</v>
      </c>
      <c r="I381" s="743">
        <f t="shared" si="36"/>
        <v>-28</v>
      </c>
      <c r="J381" s="743">
        <f t="shared" si="37"/>
        <v>62317</v>
      </c>
      <c r="K381" s="743">
        <f t="shared" si="38"/>
        <v>0</v>
      </c>
      <c r="L381" s="743">
        <f t="shared" si="39"/>
        <v>0</v>
      </c>
      <c r="M381" s="743">
        <f t="shared" si="40"/>
        <v>0</v>
      </c>
      <c r="N381" s="743">
        <f t="shared" si="41"/>
        <v>0</v>
      </c>
    </row>
    <row r="382" spans="1:14" ht="15.6">
      <c r="A382" s="737"/>
      <c r="B382" s="737"/>
      <c r="C382" s="737"/>
      <c r="D382" s="739">
        <v>3306</v>
      </c>
      <c r="E382" s="740">
        <v>45016</v>
      </c>
      <c r="F382" s="745">
        <v>216312</v>
      </c>
      <c r="G382" s="737">
        <v>30</v>
      </c>
      <c r="H382" s="742">
        <f t="shared" si="35"/>
        <v>45046</v>
      </c>
      <c r="I382" s="743">
        <f t="shared" si="36"/>
        <v>-29</v>
      </c>
      <c r="J382" s="743">
        <f t="shared" si="37"/>
        <v>216312</v>
      </c>
      <c r="K382" s="743">
        <f t="shared" si="38"/>
        <v>0</v>
      </c>
      <c r="L382" s="743">
        <f t="shared" si="39"/>
        <v>0</v>
      </c>
      <c r="M382" s="743">
        <f t="shared" si="40"/>
        <v>0</v>
      </c>
      <c r="N382" s="743">
        <f t="shared" si="41"/>
        <v>0</v>
      </c>
    </row>
    <row r="383" spans="1:14" ht="15.6">
      <c r="A383" s="737"/>
      <c r="B383" s="737"/>
      <c r="C383" s="737"/>
      <c r="D383" s="739">
        <v>3310</v>
      </c>
      <c r="E383" s="740">
        <v>45016</v>
      </c>
      <c r="F383" s="745">
        <v>213129</v>
      </c>
      <c r="G383" s="737">
        <v>30</v>
      </c>
      <c r="H383" s="742">
        <f t="shared" si="35"/>
        <v>45046</v>
      </c>
      <c r="I383" s="743">
        <f t="shared" si="36"/>
        <v>-29</v>
      </c>
      <c r="J383" s="743">
        <f t="shared" si="37"/>
        <v>213129</v>
      </c>
      <c r="K383" s="743">
        <f t="shared" si="38"/>
        <v>0</v>
      </c>
      <c r="L383" s="743">
        <f t="shared" si="39"/>
        <v>0</v>
      </c>
      <c r="M383" s="743">
        <f t="shared" si="40"/>
        <v>0</v>
      </c>
      <c r="N383" s="743">
        <f t="shared" si="41"/>
        <v>0</v>
      </c>
    </row>
    <row r="384" spans="1:14" ht="15.6">
      <c r="A384" s="737"/>
      <c r="B384" s="737"/>
      <c r="C384" s="737"/>
      <c r="D384" s="739" t="s">
        <v>2602</v>
      </c>
      <c r="E384" s="740">
        <v>45016</v>
      </c>
      <c r="F384" s="745">
        <v>-15483</v>
      </c>
      <c r="G384" s="737">
        <v>30</v>
      </c>
      <c r="H384" s="742">
        <f t="shared" si="35"/>
        <v>45046</v>
      </c>
      <c r="I384" s="743">
        <f t="shared" si="36"/>
        <v>-29</v>
      </c>
      <c r="J384" s="743">
        <f t="shared" si="37"/>
        <v>-15483</v>
      </c>
      <c r="K384" s="743">
        <f t="shared" si="38"/>
        <v>0</v>
      </c>
      <c r="L384" s="743">
        <f t="shared" si="39"/>
        <v>0</v>
      </c>
      <c r="M384" s="743">
        <f t="shared" si="40"/>
        <v>0</v>
      </c>
      <c r="N384" s="743">
        <f t="shared" si="41"/>
        <v>0</v>
      </c>
    </row>
    <row r="385" spans="1:14" ht="15.6">
      <c r="A385" s="737"/>
      <c r="B385" s="737"/>
      <c r="C385" s="737"/>
      <c r="D385" s="739"/>
      <c r="E385" s="740">
        <v>45016</v>
      </c>
      <c r="F385" s="745">
        <v>-330</v>
      </c>
      <c r="G385" s="737">
        <v>30</v>
      </c>
      <c r="H385" s="742">
        <f t="shared" si="35"/>
        <v>45046</v>
      </c>
      <c r="I385" s="743">
        <f t="shared" si="36"/>
        <v>-29</v>
      </c>
      <c r="J385" s="743">
        <f t="shared" si="37"/>
        <v>-330</v>
      </c>
      <c r="K385" s="743">
        <f t="shared" si="38"/>
        <v>0</v>
      </c>
      <c r="L385" s="743">
        <f t="shared" si="39"/>
        <v>0</v>
      </c>
      <c r="M385" s="743">
        <f t="shared" si="40"/>
        <v>0</v>
      </c>
      <c r="N385" s="743">
        <f t="shared" si="41"/>
        <v>0</v>
      </c>
    </row>
    <row r="386" spans="1:14" ht="15.6">
      <c r="A386" s="737"/>
      <c r="B386" s="737"/>
      <c r="C386" s="737"/>
      <c r="D386" s="739"/>
      <c r="E386" s="740"/>
      <c r="F386" s="746">
        <f>SUM(F279:F385)</f>
        <v>28916252</v>
      </c>
      <c r="G386" s="737"/>
      <c r="H386" s="742"/>
      <c r="I386" s="743"/>
      <c r="J386" s="743"/>
      <c r="K386" s="743"/>
      <c r="L386" s="743"/>
      <c r="M386" s="743"/>
      <c r="N386" s="743"/>
    </row>
    <row r="387" spans="1:14" ht="15.6">
      <c r="A387" s="737"/>
      <c r="B387" s="737"/>
      <c r="C387" s="737"/>
      <c r="D387" s="739"/>
      <c r="E387" s="740"/>
      <c r="F387" s="745"/>
      <c r="G387" s="737"/>
      <c r="H387" s="742"/>
      <c r="I387" s="743"/>
      <c r="J387" s="743"/>
      <c r="K387" s="743"/>
      <c r="L387" s="743"/>
      <c r="M387" s="743"/>
      <c r="N387" s="743"/>
    </row>
    <row r="388" spans="1:14" ht="15.6">
      <c r="A388" s="737">
        <v>15</v>
      </c>
      <c r="B388" s="738" t="s">
        <v>561</v>
      </c>
      <c r="C388" s="737"/>
      <c r="D388" s="739">
        <v>3215</v>
      </c>
      <c r="E388" s="740">
        <v>45006</v>
      </c>
      <c r="F388" s="745">
        <v>196757</v>
      </c>
      <c r="G388" s="737">
        <v>30</v>
      </c>
      <c r="H388" s="742">
        <f t="shared" si="35"/>
        <v>45036</v>
      </c>
      <c r="I388" s="743">
        <f t="shared" si="36"/>
        <v>-19</v>
      </c>
      <c r="J388" s="743">
        <f t="shared" si="37"/>
        <v>196757</v>
      </c>
      <c r="K388" s="743">
        <f t="shared" si="38"/>
        <v>0</v>
      </c>
      <c r="L388" s="743">
        <f t="shared" si="39"/>
        <v>0</v>
      </c>
      <c r="M388" s="743">
        <f t="shared" si="40"/>
        <v>0</v>
      </c>
      <c r="N388" s="743">
        <f t="shared" si="41"/>
        <v>0</v>
      </c>
    </row>
    <row r="389" spans="1:14" ht="15.6">
      <c r="A389" s="737"/>
      <c r="B389" s="738"/>
      <c r="C389" s="737"/>
      <c r="D389" s="739"/>
      <c r="E389" s="740"/>
      <c r="F389" s="746">
        <f>SUM(F388)</f>
        <v>196757</v>
      </c>
      <c r="G389" s="737"/>
      <c r="H389" s="742"/>
      <c r="I389" s="743"/>
      <c r="J389" s="743"/>
      <c r="K389" s="743"/>
      <c r="L389" s="743"/>
      <c r="M389" s="743"/>
      <c r="N389" s="743"/>
    </row>
    <row r="390" spans="1:14" ht="15.6">
      <c r="A390" s="737"/>
      <c r="B390" s="738"/>
      <c r="C390" s="737"/>
      <c r="D390" s="739"/>
      <c r="E390" s="740"/>
      <c r="F390" s="745"/>
      <c r="G390" s="737"/>
      <c r="H390" s="742"/>
      <c r="I390" s="743"/>
      <c r="J390" s="743"/>
      <c r="K390" s="743"/>
      <c r="L390" s="743"/>
      <c r="M390" s="743"/>
      <c r="N390" s="743"/>
    </row>
    <row r="391" spans="1:14" ht="15.6">
      <c r="A391" s="737">
        <v>16</v>
      </c>
      <c r="B391" s="738" t="s">
        <v>550</v>
      </c>
      <c r="C391" s="737"/>
      <c r="D391" s="739">
        <v>3220</v>
      </c>
      <c r="E391" s="740">
        <v>45007</v>
      </c>
      <c r="F391" s="745">
        <v>202606</v>
      </c>
      <c r="G391" s="737">
        <v>30</v>
      </c>
      <c r="H391" s="742">
        <f t="shared" si="35"/>
        <v>45037</v>
      </c>
      <c r="I391" s="743">
        <f t="shared" si="36"/>
        <v>-20</v>
      </c>
      <c r="J391" s="743">
        <f t="shared" si="37"/>
        <v>202606</v>
      </c>
      <c r="K391" s="743">
        <f t="shared" si="38"/>
        <v>0</v>
      </c>
      <c r="L391" s="743">
        <f t="shared" si="39"/>
        <v>0</v>
      </c>
      <c r="M391" s="743">
        <f t="shared" si="40"/>
        <v>0</v>
      </c>
      <c r="N391" s="743">
        <f t="shared" si="41"/>
        <v>0</v>
      </c>
    </row>
    <row r="392" spans="1:14" ht="15.6">
      <c r="A392" s="737"/>
      <c r="B392" s="737"/>
      <c r="C392" s="737"/>
      <c r="D392" s="739">
        <v>3249</v>
      </c>
      <c r="E392" s="740">
        <v>45010</v>
      </c>
      <c r="F392" s="745">
        <v>107970</v>
      </c>
      <c r="G392" s="737">
        <v>30</v>
      </c>
      <c r="H392" s="742">
        <f t="shared" si="35"/>
        <v>45040</v>
      </c>
      <c r="I392" s="743">
        <f t="shared" si="36"/>
        <v>-23</v>
      </c>
      <c r="J392" s="743">
        <f t="shared" si="37"/>
        <v>107970</v>
      </c>
      <c r="K392" s="743">
        <f t="shared" si="38"/>
        <v>0</v>
      </c>
      <c r="L392" s="743">
        <f t="shared" si="39"/>
        <v>0</v>
      </c>
      <c r="M392" s="743">
        <f t="shared" si="40"/>
        <v>0</v>
      </c>
      <c r="N392" s="743">
        <f t="shared" si="41"/>
        <v>0</v>
      </c>
    </row>
    <row r="393" spans="1:14" ht="15.6">
      <c r="A393" s="737"/>
      <c r="B393" s="737"/>
      <c r="C393" s="737"/>
      <c r="D393" s="739">
        <v>3271</v>
      </c>
      <c r="E393" s="740">
        <v>45011</v>
      </c>
      <c r="F393" s="745">
        <v>204917</v>
      </c>
      <c r="G393" s="737">
        <v>30</v>
      </c>
      <c r="H393" s="742">
        <f t="shared" si="35"/>
        <v>45041</v>
      </c>
      <c r="I393" s="743">
        <f t="shared" si="36"/>
        <v>-24</v>
      </c>
      <c r="J393" s="743">
        <f t="shared" si="37"/>
        <v>204917</v>
      </c>
      <c r="K393" s="743">
        <f t="shared" si="38"/>
        <v>0</v>
      </c>
      <c r="L393" s="743">
        <f t="shared" si="39"/>
        <v>0</v>
      </c>
      <c r="M393" s="743">
        <f t="shared" si="40"/>
        <v>0</v>
      </c>
      <c r="N393" s="743">
        <f t="shared" si="41"/>
        <v>0</v>
      </c>
    </row>
    <row r="394" spans="1:14" ht="15.6">
      <c r="A394" s="737"/>
      <c r="B394" s="737"/>
      <c r="C394" s="737"/>
      <c r="D394" s="739"/>
      <c r="E394" s="740"/>
      <c r="F394" s="748">
        <f>SUM(F391:F393)</f>
        <v>515493</v>
      </c>
      <c r="G394" s="737"/>
      <c r="H394" s="742"/>
      <c r="I394" s="743"/>
      <c r="J394" s="743"/>
      <c r="K394" s="743"/>
      <c r="L394" s="743"/>
      <c r="M394" s="743"/>
      <c r="N394" s="743"/>
    </row>
    <row r="395" spans="1:14" ht="15.6">
      <c r="A395" s="737"/>
      <c r="B395" s="737"/>
      <c r="C395" s="737"/>
      <c r="D395" s="739"/>
      <c r="E395" s="740"/>
      <c r="F395" s="747"/>
      <c r="G395" s="737"/>
      <c r="H395" s="742"/>
      <c r="I395" s="743"/>
      <c r="J395" s="743"/>
      <c r="K395" s="743"/>
      <c r="L395" s="743"/>
      <c r="M395" s="743"/>
      <c r="N395" s="743"/>
    </row>
    <row r="396" spans="1:14" ht="15.6">
      <c r="A396" s="737">
        <v>17</v>
      </c>
      <c r="B396" s="738" t="s">
        <v>42</v>
      </c>
      <c r="C396" s="737"/>
      <c r="D396" s="739">
        <v>2896</v>
      </c>
      <c r="E396" s="740">
        <v>44971</v>
      </c>
      <c r="F396" s="747">
        <v>87784</v>
      </c>
      <c r="G396" s="737">
        <v>30</v>
      </c>
      <c r="H396" s="742">
        <f t="shared" si="35"/>
        <v>45001</v>
      </c>
      <c r="I396" s="743">
        <f t="shared" si="36"/>
        <v>16</v>
      </c>
      <c r="J396" s="743">
        <f t="shared" si="37"/>
        <v>87784</v>
      </c>
      <c r="K396" s="743">
        <f t="shared" si="38"/>
        <v>0</v>
      </c>
      <c r="L396" s="743">
        <f t="shared" si="39"/>
        <v>0</v>
      </c>
      <c r="M396" s="743">
        <f t="shared" si="40"/>
        <v>0</v>
      </c>
      <c r="N396" s="743">
        <f t="shared" si="41"/>
        <v>0</v>
      </c>
    </row>
    <row r="397" spans="1:14" ht="15.6">
      <c r="A397" s="737"/>
      <c r="B397" s="737"/>
      <c r="C397" s="737"/>
      <c r="D397" s="739">
        <v>2903</v>
      </c>
      <c r="E397" s="740">
        <v>44972</v>
      </c>
      <c r="F397" s="747">
        <v>45087</v>
      </c>
      <c r="G397" s="737">
        <v>30</v>
      </c>
      <c r="H397" s="742">
        <f t="shared" si="35"/>
        <v>45002</v>
      </c>
      <c r="I397" s="743">
        <f t="shared" si="36"/>
        <v>15</v>
      </c>
      <c r="J397" s="743">
        <f t="shared" si="37"/>
        <v>45087</v>
      </c>
      <c r="K397" s="743">
        <f t="shared" si="38"/>
        <v>0</v>
      </c>
      <c r="L397" s="743">
        <f t="shared" si="39"/>
        <v>0</v>
      </c>
      <c r="M397" s="743">
        <f t="shared" si="40"/>
        <v>0</v>
      </c>
      <c r="N397" s="743">
        <f t="shared" si="41"/>
        <v>0</v>
      </c>
    </row>
    <row r="398" spans="1:14" ht="15.6">
      <c r="A398" s="737"/>
      <c r="B398" s="737"/>
      <c r="C398" s="737"/>
      <c r="D398" s="739">
        <v>2904</v>
      </c>
      <c r="E398" s="740">
        <v>44972</v>
      </c>
      <c r="F398" s="747">
        <v>99617</v>
      </c>
      <c r="G398" s="737">
        <v>30</v>
      </c>
      <c r="H398" s="742">
        <f t="shared" si="35"/>
        <v>45002</v>
      </c>
      <c r="I398" s="743">
        <f t="shared" si="36"/>
        <v>15</v>
      </c>
      <c r="J398" s="743">
        <f t="shared" si="37"/>
        <v>99617</v>
      </c>
      <c r="K398" s="743">
        <f t="shared" si="38"/>
        <v>0</v>
      </c>
      <c r="L398" s="743">
        <f t="shared" si="39"/>
        <v>0</v>
      </c>
      <c r="M398" s="743">
        <f t="shared" si="40"/>
        <v>0</v>
      </c>
      <c r="N398" s="743">
        <f t="shared" si="41"/>
        <v>0</v>
      </c>
    </row>
    <row r="399" spans="1:14" ht="15.6">
      <c r="A399" s="737"/>
      <c r="B399" s="737"/>
      <c r="C399" s="737"/>
      <c r="D399" s="739">
        <v>2905</v>
      </c>
      <c r="E399" s="740">
        <v>44972</v>
      </c>
      <c r="F399" s="747">
        <v>135708</v>
      </c>
      <c r="G399" s="737">
        <v>30</v>
      </c>
      <c r="H399" s="742">
        <f t="shared" si="35"/>
        <v>45002</v>
      </c>
      <c r="I399" s="743">
        <f t="shared" si="36"/>
        <v>15</v>
      </c>
      <c r="J399" s="743">
        <f t="shared" si="37"/>
        <v>135708</v>
      </c>
      <c r="K399" s="743">
        <f t="shared" si="38"/>
        <v>0</v>
      </c>
      <c r="L399" s="743">
        <f t="shared" si="39"/>
        <v>0</v>
      </c>
      <c r="M399" s="743">
        <f t="shared" si="40"/>
        <v>0</v>
      </c>
      <c r="N399" s="743">
        <f t="shared" si="41"/>
        <v>0</v>
      </c>
    </row>
    <row r="400" spans="1:14" ht="15.6">
      <c r="A400" s="737"/>
      <c r="B400" s="737"/>
      <c r="C400" s="737"/>
      <c r="D400" s="739">
        <v>2929</v>
      </c>
      <c r="E400" s="740">
        <v>44974</v>
      </c>
      <c r="F400" s="747">
        <v>304313</v>
      </c>
      <c r="G400" s="737">
        <v>30</v>
      </c>
      <c r="H400" s="742">
        <f t="shared" si="35"/>
        <v>45004</v>
      </c>
      <c r="I400" s="743">
        <f t="shared" si="36"/>
        <v>13</v>
      </c>
      <c r="J400" s="743">
        <f t="shared" si="37"/>
        <v>304313</v>
      </c>
      <c r="K400" s="743">
        <f t="shared" si="38"/>
        <v>0</v>
      </c>
      <c r="L400" s="743">
        <f t="shared" si="39"/>
        <v>0</v>
      </c>
      <c r="M400" s="743">
        <f t="shared" si="40"/>
        <v>0</v>
      </c>
      <c r="N400" s="743">
        <f t="shared" si="41"/>
        <v>0</v>
      </c>
    </row>
    <row r="401" spans="1:14" ht="15.6">
      <c r="A401" s="737"/>
      <c r="B401" s="737"/>
      <c r="C401" s="737"/>
      <c r="D401" s="739">
        <v>2935</v>
      </c>
      <c r="E401" s="740">
        <v>44975</v>
      </c>
      <c r="F401" s="747">
        <v>309078</v>
      </c>
      <c r="G401" s="737">
        <v>30</v>
      </c>
      <c r="H401" s="742">
        <f t="shared" si="35"/>
        <v>45005</v>
      </c>
      <c r="I401" s="743">
        <f t="shared" si="36"/>
        <v>12</v>
      </c>
      <c r="J401" s="743">
        <f t="shared" si="37"/>
        <v>309078</v>
      </c>
      <c r="K401" s="743">
        <f t="shared" si="38"/>
        <v>0</v>
      </c>
      <c r="L401" s="743">
        <f t="shared" si="39"/>
        <v>0</v>
      </c>
      <c r="M401" s="743">
        <f t="shared" si="40"/>
        <v>0</v>
      </c>
      <c r="N401" s="743">
        <f t="shared" si="41"/>
        <v>0</v>
      </c>
    </row>
    <row r="402" spans="1:14" ht="15.6">
      <c r="A402" s="737"/>
      <c r="B402" s="737"/>
      <c r="C402" s="737"/>
      <c r="D402" s="739">
        <v>2954</v>
      </c>
      <c r="E402" s="740">
        <v>44977</v>
      </c>
      <c r="F402" s="747">
        <v>401426</v>
      </c>
      <c r="G402" s="737">
        <v>30</v>
      </c>
      <c r="H402" s="742">
        <f t="shared" si="35"/>
        <v>45007</v>
      </c>
      <c r="I402" s="743">
        <f t="shared" si="36"/>
        <v>10</v>
      </c>
      <c r="J402" s="743">
        <f t="shared" si="37"/>
        <v>401426</v>
      </c>
      <c r="K402" s="743">
        <f t="shared" si="38"/>
        <v>0</v>
      </c>
      <c r="L402" s="743">
        <f t="shared" si="39"/>
        <v>0</v>
      </c>
      <c r="M402" s="743">
        <f t="shared" si="40"/>
        <v>0</v>
      </c>
      <c r="N402" s="743">
        <f t="shared" si="41"/>
        <v>0</v>
      </c>
    </row>
    <row r="403" spans="1:14" ht="15.6">
      <c r="A403" s="737"/>
      <c r="B403" s="737"/>
      <c r="C403" s="737"/>
      <c r="D403" s="749">
        <v>2959</v>
      </c>
      <c r="E403" s="750">
        <v>44977</v>
      </c>
      <c r="F403" s="747">
        <v>137280</v>
      </c>
      <c r="G403" s="737">
        <v>30</v>
      </c>
      <c r="H403" s="742">
        <f t="shared" si="35"/>
        <v>45007</v>
      </c>
      <c r="I403" s="743">
        <f t="shared" si="36"/>
        <v>10</v>
      </c>
      <c r="J403" s="743">
        <f t="shared" si="37"/>
        <v>137280</v>
      </c>
      <c r="K403" s="743">
        <f t="shared" si="38"/>
        <v>0</v>
      </c>
      <c r="L403" s="743">
        <f t="shared" si="39"/>
        <v>0</v>
      </c>
      <c r="M403" s="743">
        <f t="shared" si="40"/>
        <v>0</v>
      </c>
      <c r="N403" s="743">
        <f t="shared" si="41"/>
        <v>0</v>
      </c>
    </row>
    <row r="404" spans="1:14" ht="15.6">
      <c r="A404" s="737"/>
      <c r="B404" s="737"/>
      <c r="C404" s="737"/>
      <c r="D404" s="739">
        <v>2996</v>
      </c>
      <c r="E404" s="740">
        <v>44980</v>
      </c>
      <c r="F404" s="747">
        <v>409255</v>
      </c>
      <c r="G404" s="737">
        <v>30</v>
      </c>
      <c r="H404" s="742">
        <f t="shared" si="35"/>
        <v>45010</v>
      </c>
      <c r="I404" s="743">
        <f t="shared" si="36"/>
        <v>7</v>
      </c>
      <c r="J404" s="743">
        <f t="shared" si="37"/>
        <v>409255</v>
      </c>
      <c r="K404" s="743">
        <f t="shared" si="38"/>
        <v>0</v>
      </c>
      <c r="L404" s="743">
        <f t="shared" si="39"/>
        <v>0</v>
      </c>
      <c r="M404" s="743">
        <f t="shared" si="40"/>
        <v>0</v>
      </c>
      <c r="N404" s="743">
        <f t="shared" si="41"/>
        <v>0</v>
      </c>
    </row>
    <row r="405" spans="1:14" ht="15.6">
      <c r="A405" s="737"/>
      <c r="B405" s="737"/>
      <c r="C405" s="737"/>
      <c r="D405" s="739">
        <v>3040</v>
      </c>
      <c r="E405" s="740">
        <v>44986</v>
      </c>
      <c r="F405" s="745">
        <v>172974</v>
      </c>
      <c r="G405" s="737">
        <v>30</v>
      </c>
      <c r="H405" s="742">
        <f t="shared" si="35"/>
        <v>45016</v>
      </c>
      <c r="I405" s="743">
        <f t="shared" si="36"/>
        <v>1</v>
      </c>
      <c r="J405" s="743">
        <f t="shared" si="37"/>
        <v>172974</v>
      </c>
      <c r="K405" s="743">
        <f t="shared" si="38"/>
        <v>0</v>
      </c>
      <c r="L405" s="743">
        <f t="shared" si="39"/>
        <v>0</v>
      </c>
      <c r="M405" s="743">
        <f t="shared" si="40"/>
        <v>0</v>
      </c>
      <c r="N405" s="743">
        <f t="shared" si="41"/>
        <v>0</v>
      </c>
    </row>
    <row r="406" spans="1:14" ht="15.6">
      <c r="A406" s="737"/>
      <c r="B406" s="737"/>
      <c r="C406" s="737"/>
      <c r="D406" s="739">
        <v>3089</v>
      </c>
      <c r="E406" s="740">
        <v>44993</v>
      </c>
      <c r="F406" s="745">
        <v>92702</v>
      </c>
      <c r="G406" s="737">
        <v>30</v>
      </c>
      <c r="H406" s="742">
        <f t="shared" si="35"/>
        <v>45023</v>
      </c>
      <c r="I406" s="743">
        <f t="shared" si="36"/>
        <v>-6</v>
      </c>
      <c r="J406" s="743">
        <f t="shared" si="37"/>
        <v>92702</v>
      </c>
      <c r="K406" s="743">
        <f t="shared" si="38"/>
        <v>0</v>
      </c>
      <c r="L406" s="743">
        <f t="shared" si="39"/>
        <v>0</v>
      </c>
      <c r="M406" s="743">
        <f t="shared" si="40"/>
        <v>0</v>
      </c>
      <c r="N406" s="743">
        <f t="shared" si="41"/>
        <v>0</v>
      </c>
    </row>
    <row r="407" spans="1:14" ht="15.6">
      <c r="A407" s="737"/>
      <c r="B407" s="737"/>
      <c r="C407" s="737"/>
      <c r="D407" s="739">
        <v>3100</v>
      </c>
      <c r="E407" s="740">
        <v>44994</v>
      </c>
      <c r="F407" s="745">
        <v>299686</v>
      </c>
      <c r="G407" s="737">
        <v>30</v>
      </c>
      <c r="H407" s="742">
        <f t="shared" si="35"/>
        <v>45024</v>
      </c>
      <c r="I407" s="743">
        <f t="shared" si="36"/>
        <v>-7</v>
      </c>
      <c r="J407" s="743">
        <f t="shared" si="37"/>
        <v>299686</v>
      </c>
      <c r="K407" s="743">
        <f t="shared" si="38"/>
        <v>0</v>
      </c>
      <c r="L407" s="743">
        <f t="shared" si="39"/>
        <v>0</v>
      </c>
      <c r="M407" s="743">
        <f t="shared" si="40"/>
        <v>0</v>
      </c>
      <c r="N407" s="743">
        <f t="shared" si="41"/>
        <v>0</v>
      </c>
    </row>
    <row r="408" spans="1:14" ht="15.6">
      <c r="A408" s="737"/>
      <c r="B408" s="737"/>
      <c r="C408" s="737"/>
      <c r="D408" s="739">
        <v>3107</v>
      </c>
      <c r="E408" s="740">
        <v>44995</v>
      </c>
      <c r="F408" s="745">
        <v>265848</v>
      </c>
      <c r="G408" s="737">
        <v>30</v>
      </c>
      <c r="H408" s="742">
        <f t="shared" si="35"/>
        <v>45025</v>
      </c>
      <c r="I408" s="743">
        <f t="shared" si="36"/>
        <v>-8</v>
      </c>
      <c r="J408" s="743">
        <f t="shared" si="37"/>
        <v>265848</v>
      </c>
      <c r="K408" s="743">
        <f t="shared" si="38"/>
        <v>0</v>
      </c>
      <c r="L408" s="743">
        <f t="shared" si="39"/>
        <v>0</v>
      </c>
      <c r="M408" s="743">
        <f t="shared" si="40"/>
        <v>0</v>
      </c>
      <c r="N408" s="743">
        <f t="shared" si="41"/>
        <v>0</v>
      </c>
    </row>
    <row r="409" spans="1:14" ht="15.6">
      <c r="A409" s="737"/>
      <c r="B409" s="737"/>
      <c r="C409" s="737"/>
      <c r="D409" s="739">
        <v>3113</v>
      </c>
      <c r="E409" s="740">
        <v>44995</v>
      </c>
      <c r="F409" s="745">
        <v>266824</v>
      </c>
      <c r="G409" s="737">
        <v>30</v>
      </c>
      <c r="H409" s="742">
        <f t="shared" si="35"/>
        <v>45025</v>
      </c>
      <c r="I409" s="743">
        <f t="shared" si="36"/>
        <v>-8</v>
      </c>
      <c r="J409" s="743">
        <f t="shared" si="37"/>
        <v>266824</v>
      </c>
      <c r="K409" s="743">
        <f t="shared" si="38"/>
        <v>0</v>
      </c>
      <c r="L409" s="743">
        <f t="shared" si="39"/>
        <v>0</v>
      </c>
      <c r="M409" s="743">
        <f t="shared" si="40"/>
        <v>0</v>
      </c>
      <c r="N409" s="743">
        <f t="shared" si="41"/>
        <v>0</v>
      </c>
    </row>
    <row r="410" spans="1:14" ht="15.6">
      <c r="A410" s="737"/>
      <c r="B410" s="737"/>
      <c r="C410" s="737"/>
      <c r="D410" s="739">
        <v>3127</v>
      </c>
      <c r="E410" s="740">
        <v>44996</v>
      </c>
      <c r="F410" s="745">
        <v>289862</v>
      </c>
      <c r="G410" s="737">
        <v>30</v>
      </c>
      <c r="H410" s="742">
        <f t="shared" si="35"/>
        <v>45026</v>
      </c>
      <c r="I410" s="743">
        <f t="shared" si="36"/>
        <v>-9</v>
      </c>
      <c r="J410" s="743">
        <f t="shared" si="37"/>
        <v>289862</v>
      </c>
      <c r="K410" s="743">
        <f t="shared" si="38"/>
        <v>0</v>
      </c>
      <c r="L410" s="743">
        <f t="shared" si="39"/>
        <v>0</v>
      </c>
      <c r="M410" s="743">
        <f t="shared" si="40"/>
        <v>0</v>
      </c>
      <c r="N410" s="743">
        <f t="shared" si="41"/>
        <v>0</v>
      </c>
    </row>
    <row r="411" spans="1:14" ht="15.6">
      <c r="A411" s="737"/>
      <c r="B411" s="737"/>
      <c r="C411" s="737"/>
      <c r="D411" s="739">
        <v>3135</v>
      </c>
      <c r="E411" s="740">
        <v>44997</v>
      </c>
      <c r="F411" s="745">
        <v>217251</v>
      </c>
      <c r="G411" s="737">
        <v>30</v>
      </c>
      <c r="H411" s="742">
        <f t="shared" si="35"/>
        <v>45027</v>
      </c>
      <c r="I411" s="743">
        <f t="shared" si="36"/>
        <v>-10</v>
      </c>
      <c r="J411" s="743">
        <f t="shared" si="37"/>
        <v>217251</v>
      </c>
      <c r="K411" s="743">
        <f t="shared" si="38"/>
        <v>0</v>
      </c>
      <c r="L411" s="743">
        <f t="shared" si="39"/>
        <v>0</v>
      </c>
      <c r="M411" s="743">
        <f t="shared" si="40"/>
        <v>0</v>
      </c>
      <c r="N411" s="743">
        <f t="shared" si="41"/>
        <v>0</v>
      </c>
    </row>
    <row r="412" spans="1:14" ht="15.6">
      <c r="A412" s="737"/>
      <c r="B412" s="737"/>
      <c r="C412" s="737"/>
      <c r="D412" s="739">
        <v>3145</v>
      </c>
      <c r="E412" s="740">
        <v>44999</v>
      </c>
      <c r="F412" s="745">
        <v>167504</v>
      </c>
      <c r="G412" s="737">
        <v>30</v>
      </c>
      <c r="H412" s="742">
        <f t="shared" si="35"/>
        <v>45029</v>
      </c>
      <c r="I412" s="743">
        <f t="shared" si="36"/>
        <v>-12</v>
      </c>
      <c r="J412" s="743">
        <f t="shared" si="37"/>
        <v>167504</v>
      </c>
      <c r="K412" s="743">
        <f t="shared" si="38"/>
        <v>0</v>
      </c>
      <c r="L412" s="743">
        <f t="shared" si="39"/>
        <v>0</v>
      </c>
      <c r="M412" s="743">
        <f t="shared" si="40"/>
        <v>0</v>
      </c>
      <c r="N412" s="743">
        <f t="shared" si="41"/>
        <v>0</v>
      </c>
    </row>
    <row r="413" spans="1:14" ht="15.6">
      <c r="A413" s="737"/>
      <c r="B413" s="737"/>
      <c r="C413" s="737"/>
      <c r="D413" s="739">
        <v>3155</v>
      </c>
      <c r="E413" s="740">
        <v>45000</v>
      </c>
      <c r="F413" s="745">
        <v>272882</v>
      </c>
      <c r="G413" s="737">
        <v>30</v>
      </c>
      <c r="H413" s="742">
        <f t="shared" si="35"/>
        <v>45030</v>
      </c>
      <c r="I413" s="743">
        <f t="shared" si="36"/>
        <v>-13</v>
      </c>
      <c r="J413" s="743">
        <f t="shared" si="37"/>
        <v>272882</v>
      </c>
      <c r="K413" s="743">
        <f t="shared" si="38"/>
        <v>0</v>
      </c>
      <c r="L413" s="743">
        <f t="shared" si="39"/>
        <v>0</v>
      </c>
      <c r="M413" s="743">
        <f t="shared" si="40"/>
        <v>0</v>
      </c>
      <c r="N413" s="743">
        <f t="shared" si="41"/>
        <v>0</v>
      </c>
    </row>
    <row r="414" spans="1:14" ht="15.6">
      <c r="A414" s="737"/>
      <c r="B414" s="737"/>
      <c r="C414" s="737"/>
      <c r="D414" s="739">
        <v>3159</v>
      </c>
      <c r="E414" s="740">
        <v>45000</v>
      </c>
      <c r="F414" s="745">
        <v>274940</v>
      </c>
      <c r="G414" s="737">
        <v>30</v>
      </c>
      <c r="H414" s="742">
        <f t="shared" si="35"/>
        <v>45030</v>
      </c>
      <c r="I414" s="743">
        <f t="shared" si="36"/>
        <v>-13</v>
      </c>
      <c r="J414" s="743">
        <f t="shared" si="37"/>
        <v>274940</v>
      </c>
      <c r="K414" s="743">
        <f t="shared" si="38"/>
        <v>0</v>
      </c>
      <c r="L414" s="743">
        <f t="shared" si="39"/>
        <v>0</v>
      </c>
      <c r="M414" s="743">
        <f t="shared" si="40"/>
        <v>0</v>
      </c>
      <c r="N414" s="743">
        <f t="shared" si="41"/>
        <v>0</v>
      </c>
    </row>
    <row r="415" spans="1:14" ht="15.6">
      <c r="A415" s="737"/>
      <c r="B415" s="737"/>
      <c r="C415" s="737"/>
      <c r="D415" s="739">
        <v>3183</v>
      </c>
      <c r="E415" s="740">
        <v>45003</v>
      </c>
      <c r="F415" s="745">
        <v>320658</v>
      </c>
      <c r="G415" s="737">
        <v>30</v>
      </c>
      <c r="H415" s="742">
        <f t="shared" si="35"/>
        <v>45033</v>
      </c>
      <c r="I415" s="743">
        <f t="shared" si="36"/>
        <v>-16</v>
      </c>
      <c r="J415" s="743">
        <f t="shared" si="37"/>
        <v>320658</v>
      </c>
      <c r="K415" s="743">
        <f t="shared" si="38"/>
        <v>0</v>
      </c>
      <c r="L415" s="743">
        <f t="shared" si="39"/>
        <v>0</v>
      </c>
      <c r="M415" s="743">
        <f t="shared" si="40"/>
        <v>0</v>
      </c>
      <c r="N415" s="743">
        <f t="shared" si="41"/>
        <v>0</v>
      </c>
    </row>
    <row r="416" spans="1:14" ht="15.6">
      <c r="A416" s="737"/>
      <c r="B416" s="737"/>
      <c r="C416" s="737"/>
      <c r="D416" s="739">
        <v>3197</v>
      </c>
      <c r="E416" s="740">
        <v>45004</v>
      </c>
      <c r="F416" s="745">
        <v>81399</v>
      </c>
      <c r="G416" s="737">
        <v>30</v>
      </c>
      <c r="H416" s="742">
        <f t="shared" si="35"/>
        <v>45034</v>
      </c>
      <c r="I416" s="743">
        <f t="shared" si="36"/>
        <v>-17</v>
      </c>
      <c r="J416" s="743">
        <f t="shared" si="37"/>
        <v>81399</v>
      </c>
      <c r="K416" s="743">
        <f t="shared" si="38"/>
        <v>0</v>
      </c>
      <c r="L416" s="743">
        <f t="shared" si="39"/>
        <v>0</v>
      </c>
      <c r="M416" s="743">
        <f t="shared" si="40"/>
        <v>0</v>
      </c>
      <c r="N416" s="743">
        <f t="shared" si="41"/>
        <v>0</v>
      </c>
    </row>
    <row r="417" spans="1:14" ht="15.6">
      <c r="A417" s="737"/>
      <c r="B417" s="737"/>
      <c r="C417" s="737"/>
      <c r="D417" s="739">
        <v>3198</v>
      </c>
      <c r="E417" s="740">
        <v>45004</v>
      </c>
      <c r="F417" s="745">
        <v>95831</v>
      </c>
      <c r="G417" s="737">
        <v>30</v>
      </c>
      <c r="H417" s="742">
        <f t="shared" si="35"/>
        <v>45034</v>
      </c>
      <c r="I417" s="743">
        <f t="shared" si="36"/>
        <v>-17</v>
      </c>
      <c r="J417" s="743">
        <f t="shared" si="37"/>
        <v>95831</v>
      </c>
      <c r="K417" s="743">
        <f t="shared" si="38"/>
        <v>0</v>
      </c>
      <c r="L417" s="743">
        <f t="shared" si="39"/>
        <v>0</v>
      </c>
      <c r="M417" s="743">
        <f t="shared" si="40"/>
        <v>0</v>
      </c>
      <c r="N417" s="743">
        <f t="shared" si="41"/>
        <v>0</v>
      </c>
    </row>
    <row r="418" spans="1:14" ht="15.6">
      <c r="A418" s="737"/>
      <c r="B418" s="737"/>
      <c r="C418" s="737"/>
      <c r="D418" s="739">
        <v>3209</v>
      </c>
      <c r="E418" s="740">
        <v>45006</v>
      </c>
      <c r="F418" s="745">
        <v>274105</v>
      </c>
      <c r="G418" s="737">
        <v>30</v>
      </c>
      <c r="H418" s="742">
        <f t="shared" si="35"/>
        <v>45036</v>
      </c>
      <c r="I418" s="743">
        <f t="shared" si="36"/>
        <v>-19</v>
      </c>
      <c r="J418" s="743">
        <f t="shared" si="37"/>
        <v>274105</v>
      </c>
      <c r="K418" s="743">
        <f t="shared" si="38"/>
        <v>0</v>
      </c>
      <c r="L418" s="743">
        <f t="shared" si="39"/>
        <v>0</v>
      </c>
      <c r="M418" s="743">
        <f t="shared" si="40"/>
        <v>0</v>
      </c>
      <c r="N418" s="743">
        <f t="shared" si="41"/>
        <v>0</v>
      </c>
    </row>
    <row r="419" spans="1:14" ht="15.6">
      <c r="A419" s="737"/>
      <c r="B419" s="737"/>
      <c r="C419" s="737"/>
      <c r="D419" s="739">
        <v>3236</v>
      </c>
      <c r="E419" s="740">
        <v>45008</v>
      </c>
      <c r="F419" s="745">
        <v>246734</v>
      </c>
      <c r="G419" s="737">
        <v>30</v>
      </c>
      <c r="H419" s="742">
        <f t="shared" si="35"/>
        <v>45038</v>
      </c>
      <c r="I419" s="743">
        <f t="shared" si="36"/>
        <v>-21</v>
      </c>
      <c r="J419" s="743">
        <f t="shared" si="37"/>
        <v>246734</v>
      </c>
      <c r="K419" s="743">
        <f t="shared" si="38"/>
        <v>0</v>
      </c>
      <c r="L419" s="743">
        <f t="shared" si="39"/>
        <v>0</v>
      </c>
      <c r="M419" s="743">
        <f t="shared" si="40"/>
        <v>0</v>
      </c>
      <c r="N419" s="743">
        <f t="shared" si="41"/>
        <v>0</v>
      </c>
    </row>
    <row r="420" spans="1:14" ht="15.6">
      <c r="A420" s="737"/>
      <c r="B420" s="737"/>
      <c r="C420" s="737"/>
      <c r="D420" s="739">
        <v>3270</v>
      </c>
      <c r="E420" s="740">
        <v>45011</v>
      </c>
      <c r="F420" s="745">
        <v>34924</v>
      </c>
      <c r="G420" s="737">
        <v>30</v>
      </c>
      <c r="H420" s="742">
        <f t="shared" si="35"/>
        <v>45041</v>
      </c>
      <c r="I420" s="743">
        <f t="shared" si="36"/>
        <v>-24</v>
      </c>
      <c r="J420" s="743">
        <f t="shared" si="37"/>
        <v>34924</v>
      </c>
      <c r="K420" s="743">
        <f t="shared" si="38"/>
        <v>0</v>
      </c>
      <c r="L420" s="743">
        <f t="shared" si="39"/>
        <v>0</v>
      </c>
      <c r="M420" s="743">
        <f t="shared" si="40"/>
        <v>0</v>
      </c>
      <c r="N420" s="743">
        <f t="shared" si="41"/>
        <v>0</v>
      </c>
    </row>
    <row r="421" spans="1:14" ht="15.6">
      <c r="A421" s="737"/>
      <c r="B421" s="737"/>
      <c r="C421" s="737"/>
      <c r="D421" s="739">
        <v>3302</v>
      </c>
      <c r="E421" s="740">
        <v>45015</v>
      </c>
      <c r="F421" s="745">
        <v>310062</v>
      </c>
      <c r="G421" s="737">
        <v>30</v>
      </c>
      <c r="H421" s="742">
        <f t="shared" si="35"/>
        <v>45045</v>
      </c>
      <c r="I421" s="743">
        <f t="shared" si="36"/>
        <v>-28</v>
      </c>
      <c r="J421" s="743">
        <f t="shared" si="37"/>
        <v>310062</v>
      </c>
      <c r="K421" s="743">
        <f t="shared" si="38"/>
        <v>0</v>
      </c>
      <c r="L421" s="743">
        <f t="shared" si="39"/>
        <v>0</v>
      </c>
      <c r="M421" s="743">
        <f t="shared" si="40"/>
        <v>0</v>
      </c>
      <c r="N421" s="743">
        <f t="shared" si="41"/>
        <v>0</v>
      </c>
    </row>
    <row r="422" spans="1:14" ht="15.6">
      <c r="A422" s="737"/>
      <c r="B422" s="737"/>
      <c r="C422" s="737"/>
      <c r="D422" s="739" t="s">
        <v>2002</v>
      </c>
      <c r="E422" s="740"/>
      <c r="F422" s="747">
        <v>221</v>
      </c>
      <c r="G422" s="737">
        <v>30</v>
      </c>
      <c r="H422" s="742"/>
      <c r="I422" s="743"/>
      <c r="J422" s="743">
        <v>221</v>
      </c>
      <c r="K422" s="743"/>
      <c r="L422" s="743"/>
      <c r="M422" s="743"/>
      <c r="N422" s="743"/>
    </row>
    <row r="423" spans="1:14" ht="15.6">
      <c r="A423" s="737"/>
      <c r="B423" s="737"/>
      <c r="C423" s="737"/>
      <c r="D423" s="739"/>
      <c r="E423" s="740"/>
      <c r="F423" s="748">
        <f>SUM(F396:F422)</f>
        <v>5613955</v>
      </c>
      <c r="G423" s="737"/>
      <c r="H423" s="742"/>
      <c r="I423" s="743"/>
      <c r="J423" s="743"/>
      <c r="K423" s="743"/>
      <c r="L423" s="743"/>
      <c r="M423" s="743"/>
      <c r="N423" s="743"/>
    </row>
    <row r="424" spans="1:14" ht="15.6">
      <c r="A424" s="737"/>
      <c r="B424" s="737"/>
      <c r="C424" s="737"/>
      <c r="D424" s="739"/>
      <c r="E424" s="740"/>
      <c r="F424" s="747"/>
      <c r="G424" s="737"/>
      <c r="H424" s="742"/>
      <c r="I424" s="743"/>
      <c r="J424" s="743"/>
      <c r="K424" s="743"/>
      <c r="L424" s="743"/>
      <c r="M424" s="743"/>
      <c r="N424" s="743"/>
    </row>
    <row r="425" spans="1:14" ht="15.6">
      <c r="A425" s="737">
        <v>18</v>
      </c>
      <c r="B425" s="738" t="s">
        <v>332</v>
      </c>
      <c r="C425" s="737"/>
      <c r="D425" s="739">
        <v>2977</v>
      </c>
      <c r="E425" s="740">
        <v>44979</v>
      </c>
      <c r="F425" s="747">
        <v>198705</v>
      </c>
      <c r="G425" s="737">
        <v>30</v>
      </c>
      <c r="H425" s="742">
        <f t="shared" si="35"/>
        <v>45009</v>
      </c>
      <c r="I425" s="743">
        <f t="shared" si="36"/>
        <v>8</v>
      </c>
      <c r="J425" s="743">
        <f t="shared" si="37"/>
        <v>198705</v>
      </c>
      <c r="K425" s="743">
        <f t="shared" si="38"/>
        <v>0</v>
      </c>
      <c r="L425" s="743">
        <f t="shared" si="39"/>
        <v>0</v>
      </c>
      <c r="M425" s="743">
        <f t="shared" si="40"/>
        <v>0</v>
      </c>
      <c r="N425" s="743">
        <f t="shared" si="41"/>
        <v>0</v>
      </c>
    </row>
    <row r="426" spans="1:14" ht="15.6">
      <c r="A426" s="737"/>
      <c r="B426" s="737"/>
      <c r="C426" s="737"/>
      <c r="D426" s="739">
        <v>3081</v>
      </c>
      <c r="E426" s="740">
        <v>44991</v>
      </c>
      <c r="F426" s="745">
        <v>321868</v>
      </c>
      <c r="G426" s="737">
        <v>30</v>
      </c>
      <c r="H426" s="742">
        <f t="shared" si="35"/>
        <v>45021</v>
      </c>
      <c r="I426" s="743">
        <f t="shared" si="36"/>
        <v>-4</v>
      </c>
      <c r="J426" s="743">
        <f t="shared" si="37"/>
        <v>321868</v>
      </c>
      <c r="K426" s="743">
        <f t="shared" si="38"/>
        <v>0</v>
      </c>
      <c r="L426" s="743">
        <f t="shared" si="39"/>
        <v>0</v>
      </c>
      <c r="M426" s="743">
        <f t="shared" si="40"/>
        <v>0</v>
      </c>
      <c r="N426" s="743">
        <f t="shared" si="41"/>
        <v>0</v>
      </c>
    </row>
    <row r="427" spans="1:14" ht="15.6">
      <c r="A427" s="737"/>
      <c r="B427" s="737"/>
      <c r="C427" s="737"/>
      <c r="D427" s="739">
        <v>3083</v>
      </c>
      <c r="E427" s="740">
        <v>44991</v>
      </c>
      <c r="F427" s="745">
        <v>55198</v>
      </c>
      <c r="G427" s="737">
        <v>30</v>
      </c>
      <c r="H427" s="742">
        <f t="shared" si="35"/>
        <v>45021</v>
      </c>
      <c r="I427" s="743">
        <f t="shared" si="36"/>
        <v>-4</v>
      </c>
      <c r="J427" s="743">
        <f t="shared" si="37"/>
        <v>55198</v>
      </c>
      <c r="K427" s="743">
        <f t="shared" si="38"/>
        <v>0</v>
      </c>
      <c r="L427" s="743">
        <f t="shared" si="39"/>
        <v>0</v>
      </c>
      <c r="M427" s="743">
        <f t="shared" si="40"/>
        <v>0</v>
      </c>
      <c r="N427" s="743">
        <f t="shared" si="41"/>
        <v>0</v>
      </c>
    </row>
    <row r="428" spans="1:14" ht="15.6">
      <c r="A428" s="737"/>
      <c r="B428" s="737"/>
      <c r="C428" s="737"/>
      <c r="D428" s="739">
        <v>3239</v>
      </c>
      <c r="E428" s="740">
        <v>45008</v>
      </c>
      <c r="F428" s="745">
        <v>310573</v>
      </c>
      <c r="G428" s="737">
        <v>30</v>
      </c>
      <c r="H428" s="742">
        <f t="shared" si="35"/>
        <v>45038</v>
      </c>
      <c r="I428" s="743">
        <f t="shared" si="36"/>
        <v>-21</v>
      </c>
      <c r="J428" s="743">
        <f t="shared" si="37"/>
        <v>310573</v>
      </c>
      <c r="K428" s="743">
        <f t="shared" si="38"/>
        <v>0</v>
      </c>
      <c r="L428" s="743">
        <f t="shared" si="39"/>
        <v>0</v>
      </c>
      <c r="M428" s="743">
        <f t="shared" si="40"/>
        <v>0</v>
      </c>
      <c r="N428" s="743">
        <f t="shared" si="41"/>
        <v>0</v>
      </c>
    </row>
    <row r="429" spans="1:14" ht="15.6">
      <c r="A429" s="737"/>
      <c r="B429" s="737"/>
      <c r="C429" s="737"/>
      <c r="D429" s="739"/>
      <c r="E429" s="740"/>
      <c r="F429" s="748">
        <f>SUM(F425:F428)</f>
        <v>886344</v>
      </c>
      <c r="G429" s="737"/>
      <c r="H429" s="742"/>
      <c r="I429" s="743"/>
      <c r="J429" s="743"/>
      <c r="K429" s="743"/>
      <c r="L429" s="743"/>
      <c r="M429" s="743"/>
      <c r="N429" s="743"/>
    </row>
    <row r="430" spans="1:14" ht="15.6">
      <c r="A430" s="737"/>
      <c r="B430" s="737"/>
      <c r="C430" s="737"/>
      <c r="D430" s="739"/>
      <c r="E430" s="740"/>
      <c r="F430" s="747"/>
      <c r="G430" s="737"/>
      <c r="H430" s="742"/>
      <c r="I430" s="743"/>
      <c r="J430" s="743"/>
      <c r="K430" s="743"/>
      <c r="L430" s="743"/>
      <c r="M430" s="743"/>
      <c r="N430" s="743"/>
    </row>
    <row r="431" spans="1:14" ht="15.6">
      <c r="A431" s="737">
        <v>19</v>
      </c>
      <c r="B431" s="738" t="s">
        <v>12</v>
      </c>
      <c r="C431" s="737"/>
      <c r="D431" s="739">
        <v>2973</v>
      </c>
      <c r="E431" s="740">
        <v>44979</v>
      </c>
      <c r="F431" s="747">
        <v>91141</v>
      </c>
      <c r="G431" s="737">
        <v>30</v>
      </c>
      <c r="H431" s="742">
        <f t="shared" si="35"/>
        <v>45009</v>
      </c>
      <c r="I431" s="743">
        <f t="shared" si="36"/>
        <v>8</v>
      </c>
      <c r="J431" s="743">
        <f t="shared" si="37"/>
        <v>91141</v>
      </c>
      <c r="K431" s="743">
        <f t="shared" si="38"/>
        <v>0</v>
      </c>
      <c r="L431" s="743">
        <f t="shared" si="39"/>
        <v>0</v>
      </c>
      <c r="M431" s="743">
        <f t="shared" si="40"/>
        <v>0</v>
      </c>
      <c r="N431" s="743">
        <f t="shared" si="41"/>
        <v>0</v>
      </c>
    </row>
    <row r="432" spans="1:14" ht="15.6">
      <c r="A432" s="737"/>
      <c r="B432" s="737"/>
      <c r="C432" s="737"/>
      <c r="D432" s="739">
        <v>3243</v>
      </c>
      <c r="E432" s="740">
        <v>45009</v>
      </c>
      <c r="F432" s="745">
        <v>86382</v>
      </c>
      <c r="G432" s="737">
        <v>30</v>
      </c>
      <c r="H432" s="742">
        <f t="shared" si="35"/>
        <v>45039</v>
      </c>
      <c r="I432" s="743">
        <f t="shared" si="36"/>
        <v>-22</v>
      </c>
      <c r="J432" s="743">
        <f t="shared" si="37"/>
        <v>86382</v>
      </c>
      <c r="K432" s="743">
        <f t="shared" si="38"/>
        <v>0</v>
      </c>
      <c r="L432" s="743">
        <f t="shared" si="39"/>
        <v>0</v>
      </c>
      <c r="M432" s="743">
        <f t="shared" si="40"/>
        <v>0</v>
      </c>
      <c r="N432" s="743">
        <f t="shared" si="41"/>
        <v>0</v>
      </c>
    </row>
    <row r="433" spans="1:14" ht="15.6">
      <c r="A433" s="737"/>
      <c r="B433" s="737"/>
      <c r="C433" s="737"/>
      <c r="D433" s="739" t="s">
        <v>2603</v>
      </c>
      <c r="E433" s="740">
        <v>44785</v>
      </c>
      <c r="F433" s="747">
        <v>-24572</v>
      </c>
      <c r="G433" s="737">
        <v>30</v>
      </c>
      <c r="H433" s="742">
        <f t="shared" si="35"/>
        <v>44815</v>
      </c>
      <c r="I433" s="743">
        <f t="shared" si="36"/>
        <v>202</v>
      </c>
      <c r="J433" s="743">
        <f t="shared" si="37"/>
        <v>0</v>
      </c>
      <c r="K433" s="743">
        <f t="shared" si="38"/>
        <v>0</v>
      </c>
      <c r="L433" s="743">
        <f t="shared" si="39"/>
        <v>0</v>
      </c>
      <c r="M433" s="743">
        <f t="shared" si="40"/>
        <v>0</v>
      </c>
      <c r="N433" s="743">
        <f t="shared" si="41"/>
        <v>-24572</v>
      </c>
    </row>
    <row r="434" spans="1:14" ht="15.6">
      <c r="A434" s="737"/>
      <c r="B434" s="737"/>
      <c r="C434" s="737"/>
      <c r="D434" s="739"/>
      <c r="E434" s="740"/>
      <c r="F434" s="748">
        <f>SUM(F431:F433)</f>
        <v>152951</v>
      </c>
      <c r="G434" s="737"/>
      <c r="H434" s="742"/>
      <c r="I434" s="743"/>
      <c r="J434" s="743"/>
      <c r="K434" s="743"/>
      <c r="L434" s="743"/>
      <c r="M434" s="743"/>
      <c r="N434" s="743"/>
    </row>
    <row r="435" spans="1:14" ht="15.6">
      <c r="A435" s="737"/>
      <c r="B435" s="737"/>
      <c r="C435" s="737"/>
      <c r="D435" s="739"/>
      <c r="E435" s="740"/>
      <c r="F435" s="747"/>
      <c r="G435" s="737"/>
      <c r="H435" s="742"/>
      <c r="I435" s="743"/>
      <c r="J435" s="743"/>
      <c r="K435" s="743"/>
      <c r="L435" s="743"/>
      <c r="M435" s="743"/>
      <c r="N435" s="743"/>
    </row>
    <row r="436" spans="1:14" ht="15.6">
      <c r="A436" s="737">
        <v>20</v>
      </c>
      <c r="B436" s="738" t="s">
        <v>451</v>
      </c>
      <c r="C436" s="737"/>
      <c r="D436" s="739">
        <v>2668</v>
      </c>
      <c r="E436" s="740">
        <v>44950</v>
      </c>
      <c r="F436" s="747">
        <v>479767</v>
      </c>
      <c r="G436" s="737">
        <v>30</v>
      </c>
      <c r="H436" s="742">
        <f t="shared" si="35"/>
        <v>44980</v>
      </c>
      <c r="I436" s="743">
        <f t="shared" si="36"/>
        <v>37</v>
      </c>
      <c r="J436" s="743">
        <f t="shared" si="37"/>
        <v>0</v>
      </c>
      <c r="K436" s="743">
        <f t="shared" si="38"/>
        <v>479767</v>
      </c>
      <c r="L436" s="743">
        <f t="shared" si="39"/>
        <v>0</v>
      </c>
      <c r="M436" s="743">
        <f t="shared" si="40"/>
        <v>0</v>
      </c>
      <c r="N436" s="743">
        <f t="shared" si="41"/>
        <v>0</v>
      </c>
    </row>
    <row r="437" spans="1:14" ht="15.6">
      <c r="A437" s="737"/>
      <c r="B437" s="737"/>
      <c r="C437" s="737"/>
      <c r="D437" s="739">
        <v>2672</v>
      </c>
      <c r="E437" s="740">
        <v>44950</v>
      </c>
      <c r="F437" s="747">
        <v>349007</v>
      </c>
      <c r="G437" s="737">
        <v>30</v>
      </c>
      <c r="H437" s="742">
        <f t="shared" ref="H437:H501" si="42">+E437+G437</f>
        <v>44980</v>
      </c>
      <c r="I437" s="743">
        <f t="shared" ref="I437:I501" si="43">+$Q$1-H437+1</f>
        <v>37</v>
      </c>
      <c r="J437" s="743">
        <f t="shared" ref="J437:J501" si="44">IF(I437&lt;=30,F437,0)</f>
        <v>0</v>
      </c>
      <c r="K437" s="743">
        <f t="shared" ref="K437:K501" si="45">IF(I437&lt;=30,0,IF(I437&gt;60,0,F437))</f>
        <v>349007</v>
      </c>
      <c r="L437" s="743">
        <f t="shared" ref="L437:L501" si="46">IF(I437&lt;=60,0,IF(I437&gt;90,0,F437))</f>
        <v>0</v>
      </c>
      <c r="M437" s="743">
        <f t="shared" ref="M437:M501" si="47">IF(I437&lt;=90,0,IF(I437&gt;120,0,F437))</f>
        <v>0</v>
      </c>
      <c r="N437" s="743">
        <f t="shared" ref="N437:N501" si="48">IF(I437&lt;=120,0,F437)</f>
        <v>0</v>
      </c>
    </row>
    <row r="438" spans="1:14" ht="15.6">
      <c r="A438" s="737"/>
      <c r="B438" s="737"/>
      <c r="C438" s="737"/>
      <c r="D438" s="739">
        <v>2682</v>
      </c>
      <c r="E438" s="740">
        <v>44951</v>
      </c>
      <c r="F438" s="747">
        <v>57948</v>
      </c>
      <c r="G438" s="737">
        <v>30</v>
      </c>
      <c r="H438" s="742">
        <f t="shared" si="42"/>
        <v>44981</v>
      </c>
      <c r="I438" s="743">
        <f t="shared" si="43"/>
        <v>36</v>
      </c>
      <c r="J438" s="743">
        <f t="shared" si="44"/>
        <v>0</v>
      </c>
      <c r="K438" s="743">
        <f t="shared" si="45"/>
        <v>57948</v>
      </c>
      <c r="L438" s="743">
        <f t="shared" si="46"/>
        <v>0</v>
      </c>
      <c r="M438" s="743">
        <f t="shared" si="47"/>
        <v>0</v>
      </c>
      <c r="N438" s="743">
        <f t="shared" si="48"/>
        <v>0</v>
      </c>
    </row>
    <row r="439" spans="1:14" ht="15.6">
      <c r="A439" s="737"/>
      <c r="B439" s="737"/>
      <c r="C439" s="737"/>
      <c r="D439" s="739">
        <v>2687</v>
      </c>
      <c r="E439" s="740">
        <v>44951</v>
      </c>
      <c r="F439" s="747">
        <v>260445</v>
      </c>
      <c r="G439" s="737">
        <v>30</v>
      </c>
      <c r="H439" s="742">
        <f t="shared" si="42"/>
        <v>44981</v>
      </c>
      <c r="I439" s="743">
        <f t="shared" si="43"/>
        <v>36</v>
      </c>
      <c r="J439" s="743">
        <f t="shared" si="44"/>
        <v>0</v>
      </c>
      <c r="K439" s="743">
        <f t="shared" si="45"/>
        <v>260445</v>
      </c>
      <c r="L439" s="743">
        <f t="shared" si="46"/>
        <v>0</v>
      </c>
      <c r="M439" s="743">
        <f t="shared" si="47"/>
        <v>0</v>
      </c>
      <c r="N439" s="743">
        <f t="shared" si="48"/>
        <v>0</v>
      </c>
    </row>
    <row r="440" spans="1:14" ht="15.6">
      <c r="A440" s="737"/>
      <c r="B440" s="737"/>
      <c r="C440" s="737"/>
      <c r="D440" s="754">
        <v>2688</v>
      </c>
      <c r="E440" s="755">
        <v>44951</v>
      </c>
      <c r="F440" s="756">
        <v>286054</v>
      </c>
      <c r="G440" s="737">
        <v>30</v>
      </c>
      <c r="H440" s="742">
        <f t="shared" si="42"/>
        <v>44981</v>
      </c>
      <c r="I440" s="743">
        <f t="shared" si="43"/>
        <v>36</v>
      </c>
      <c r="J440" s="743">
        <f t="shared" si="44"/>
        <v>0</v>
      </c>
      <c r="K440" s="743">
        <f t="shared" si="45"/>
        <v>286054</v>
      </c>
      <c r="L440" s="743">
        <f t="shared" si="46"/>
        <v>0</v>
      </c>
      <c r="M440" s="743">
        <f t="shared" si="47"/>
        <v>0</v>
      </c>
      <c r="N440" s="743">
        <f t="shared" si="48"/>
        <v>0</v>
      </c>
    </row>
    <row r="441" spans="1:14" ht="15.6">
      <c r="A441" s="737"/>
      <c r="B441" s="737"/>
      <c r="C441" s="737"/>
      <c r="D441" s="754">
        <v>2718</v>
      </c>
      <c r="E441" s="755">
        <v>44955</v>
      </c>
      <c r="F441" s="756">
        <v>795706</v>
      </c>
      <c r="G441" s="737">
        <v>30</v>
      </c>
      <c r="H441" s="742">
        <f t="shared" si="42"/>
        <v>44985</v>
      </c>
      <c r="I441" s="743">
        <f t="shared" si="43"/>
        <v>32</v>
      </c>
      <c r="J441" s="743">
        <f t="shared" si="44"/>
        <v>0</v>
      </c>
      <c r="K441" s="743">
        <f t="shared" si="45"/>
        <v>795706</v>
      </c>
      <c r="L441" s="743">
        <f t="shared" si="46"/>
        <v>0</v>
      </c>
      <c r="M441" s="743">
        <f t="shared" si="47"/>
        <v>0</v>
      </c>
      <c r="N441" s="743">
        <f t="shared" si="48"/>
        <v>0</v>
      </c>
    </row>
    <row r="442" spans="1:14" ht="15.6">
      <c r="A442" s="737"/>
      <c r="B442" s="737"/>
      <c r="C442" s="737"/>
      <c r="D442" s="739">
        <v>2721</v>
      </c>
      <c r="E442" s="740">
        <v>44955</v>
      </c>
      <c r="F442" s="747">
        <v>518852</v>
      </c>
      <c r="G442" s="737">
        <v>30</v>
      </c>
      <c r="H442" s="742">
        <f t="shared" si="42"/>
        <v>44985</v>
      </c>
      <c r="I442" s="743">
        <f t="shared" si="43"/>
        <v>32</v>
      </c>
      <c r="J442" s="743">
        <f t="shared" si="44"/>
        <v>0</v>
      </c>
      <c r="K442" s="743">
        <f t="shared" si="45"/>
        <v>518852</v>
      </c>
      <c r="L442" s="743">
        <f t="shared" si="46"/>
        <v>0</v>
      </c>
      <c r="M442" s="743">
        <f t="shared" si="47"/>
        <v>0</v>
      </c>
      <c r="N442" s="743">
        <f t="shared" si="48"/>
        <v>0</v>
      </c>
    </row>
    <row r="443" spans="1:14" ht="15.6">
      <c r="A443" s="737"/>
      <c r="B443" s="737"/>
      <c r="C443" s="737"/>
      <c r="D443" s="739">
        <v>2735</v>
      </c>
      <c r="E443" s="740">
        <v>44957</v>
      </c>
      <c r="F443" s="747">
        <v>557394</v>
      </c>
      <c r="G443" s="737">
        <v>30</v>
      </c>
      <c r="H443" s="742">
        <f t="shared" si="42"/>
        <v>44987</v>
      </c>
      <c r="I443" s="743">
        <f t="shared" si="43"/>
        <v>30</v>
      </c>
      <c r="J443" s="743">
        <f t="shared" si="44"/>
        <v>557394</v>
      </c>
      <c r="K443" s="743">
        <f t="shared" si="45"/>
        <v>0</v>
      </c>
      <c r="L443" s="743">
        <f t="shared" si="46"/>
        <v>0</v>
      </c>
      <c r="M443" s="743">
        <f t="shared" si="47"/>
        <v>0</v>
      </c>
      <c r="N443" s="743">
        <f t="shared" si="48"/>
        <v>0</v>
      </c>
    </row>
    <row r="444" spans="1:14" ht="15.6">
      <c r="A444" s="737"/>
      <c r="B444" s="737"/>
      <c r="C444" s="737"/>
      <c r="D444" s="739">
        <v>2739</v>
      </c>
      <c r="E444" s="740">
        <v>44957</v>
      </c>
      <c r="F444" s="747">
        <v>583601</v>
      </c>
      <c r="G444" s="737">
        <v>30</v>
      </c>
      <c r="H444" s="742">
        <f t="shared" si="42"/>
        <v>44987</v>
      </c>
      <c r="I444" s="743">
        <f t="shared" si="43"/>
        <v>30</v>
      </c>
      <c r="J444" s="743">
        <f t="shared" si="44"/>
        <v>583601</v>
      </c>
      <c r="K444" s="743">
        <f t="shared" si="45"/>
        <v>0</v>
      </c>
      <c r="L444" s="743">
        <f t="shared" si="46"/>
        <v>0</v>
      </c>
      <c r="M444" s="743">
        <f t="shared" si="47"/>
        <v>0</v>
      </c>
      <c r="N444" s="743">
        <f t="shared" si="48"/>
        <v>0</v>
      </c>
    </row>
    <row r="445" spans="1:14" ht="15.6">
      <c r="A445" s="737"/>
      <c r="B445" s="737"/>
      <c r="C445" s="737"/>
      <c r="D445" s="749">
        <v>2741</v>
      </c>
      <c r="E445" s="750">
        <v>44957</v>
      </c>
      <c r="F445" s="747">
        <v>283383</v>
      </c>
      <c r="G445" s="737">
        <v>30</v>
      </c>
      <c r="H445" s="742">
        <f t="shared" si="42"/>
        <v>44987</v>
      </c>
      <c r="I445" s="743">
        <f t="shared" si="43"/>
        <v>30</v>
      </c>
      <c r="J445" s="743">
        <f t="shared" si="44"/>
        <v>283383</v>
      </c>
      <c r="K445" s="743">
        <f t="shared" si="45"/>
        <v>0</v>
      </c>
      <c r="L445" s="743">
        <f t="shared" si="46"/>
        <v>0</v>
      </c>
      <c r="M445" s="743">
        <f t="shared" si="47"/>
        <v>0</v>
      </c>
      <c r="N445" s="743">
        <f t="shared" si="48"/>
        <v>0</v>
      </c>
    </row>
    <row r="446" spans="1:14" ht="15.6">
      <c r="A446" s="737"/>
      <c r="B446" s="737"/>
      <c r="C446" s="737"/>
      <c r="D446" s="739">
        <v>2751</v>
      </c>
      <c r="E446" s="740">
        <v>44958</v>
      </c>
      <c r="F446" s="747">
        <v>503146</v>
      </c>
      <c r="G446" s="737">
        <v>30</v>
      </c>
      <c r="H446" s="742">
        <f t="shared" si="42"/>
        <v>44988</v>
      </c>
      <c r="I446" s="743">
        <f t="shared" si="43"/>
        <v>29</v>
      </c>
      <c r="J446" s="743">
        <f t="shared" si="44"/>
        <v>503146</v>
      </c>
      <c r="K446" s="743">
        <f t="shared" si="45"/>
        <v>0</v>
      </c>
      <c r="L446" s="743">
        <f t="shared" si="46"/>
        <v>0</v>
      </c>
      <c r="M446" s="743">
        <f t="shared" si="47"/>
        <v>0</v>
      </c>
      <c r="N446" s="743">
        <f t="shared" si="48"/>
        <v>0</v>
      </c>
    </row>
    <row r="447" spans="1:14" ht="15.6">
      <c r="A447" s="737"/>
      <c r="B447" s="737"/>
      <c r="C447" s="737"/>
      <c r="D447" s="739">
        <v>2754</v>
      </c>
      <c r="E447" s="740">
        <v>44958</v>
      </c>
      <c r="F447" s="747">
        <v>467127</v>
      </c>
      <c r="G447" s="737">
        <v>30</v>
      </c>
      <c r="H447" s="742">
        <f t="shared" si="42"/>
        <v>44988</v>
      </c>
      <c r="I447" s="743">
        <f t="shared" si="43"/>
        <v>29</v>
      </c>
      <c r="J447" s="743">
        <f t="shared" si="44"/>
        <v>467127</v>
      </c>
      <c r="K447" s="743">
        <f t="shared" si="45"/>
        <v>0</v>
      </c>
      <c r="L447" s="743">
        <f t="shared" si="46"/>
        <v>0</v>
      </c>
      <c r="M447" s="743">
        <f t="shared" si="47"/>
        <v>0</v>
      </c>
      <c r="N447" s="743">
        <f t="shared" si="48"/>
        <v>0</v>
      </c>
    </row>
    <row r="448" spans="1:14" ht="15.6">
      <c r="A448" s="737"/>
      <c r="B448" s="737"/>
      <c r="C448" s="737"/>
      <c r="D448" s="739">
        <v>2763</v>
      </c>
      <c r="E448" s="740">
        <v>44959</v>
      </c>
      <c r="F448" s="747">
        <v>140545</v>
      </c>
      <c r="G448" s="737">
        <v>30</v>
      </c>
      <c r="H448" s="742">
        <f t="shared" si="42"/>
        <v>44989</v>
      </c>
      <c r="I448" s="743">
        <f t="shared" si="43"/>
        <v>28</v>
      </c>
      <c r="J448" s="743">
        <f t="shared" si="44"/>
        <v>140545</v>
      </c>
      <c r="K448" s="743">
        <f t="shared" si="45"/>
        <v>0</v>
      </c>
      <c r="L448" s="743">
        <f t="shared" si="46"/>
        <v>0</v>
      </c>
      <c r="M448" s="743">
        <f t="shared" si="47"/>
        <v>0</v>
      </c>
      <c r="N448" s="743">
        <f t="shared" si="48"/>
        <v>0</v>
      </c>
    </row>
    <row r="449" spans="1:14" ht="15.6">
      <c r="A449" s="737"/>
      <c r="B449" s="737"/>
      <c r="C449" s="737"/>
      <c r="D449" s="739">
        <v>2777</v>
      </c>
      <c r="E449" s="740">
        <v>44960</v>
      </c>
      <c r="F449" s="747">
        <v>563423</v>
      </c>
      <c r="G449" s="737">
        <v>30</v>
      </c>
      <c r="H449" s="742">
        <f t="shared" si="42"/>
        <v>44990</v>
      </c>
      <c r="I449" s="743">
        <f t="shared" si="43"/>
        <v>27</v>
      </c>
      <c r="J449" s="743">
        <f t="shared" si="44"/>
        <v>563423</v>
      </c>
      <c r="K449" s="743">
        <f t="shared" si="45"/>
        <v>0</v>
      </c>
      <c r="L449" s="743">
        <f t="shared" si="46"/>
        <v>0</v>
      </c>
      <c r="M449" s="743">
        <f t="shared" si="47"/>
        <v>0</v>
      </c>
      <c r="N449" s="743">
        <f t="shared" si="48"/>
        <v>0</v>
      </c>
    </row>
    <row r="450" spans="1:14" ht="15.6">
      <c r="A450" s="737"/>
      <c r="B450" s="737"/>
      <c r="C450" s="737"/>
      <c r="D450" s="739">
        <v>2778</v>
      </c>
      <c r="E450" s="740">
        <v>44960</v>
      </c>
      <c r="F450" s="747">
        <v>772185</v>
      </c>
      <c r="G450" s="737">
        <v>30</v>
      </c>
      <c r="H450" s="742">
        <f t="shared" si="42"/>
        <v>44990</v>
      </c>
      <c r="I450" s="743">
        <f t="shared" si="43"/>
        <v>27</v>
      </c>
      <c r="J450" s="743">
        <f t="shared" si="44"/>
        <v>772185</v>
      </c>
      <c r="K450" s="743">
        <f t="shared" si="45"/>
        <v>0</v>
      </c>
      <c r="L450" s="743">
        <f t="shared" si="46"/>
        <v>0</v>
      </c>
      <c r="M450" s="743">
        <f t="shared" si="47"/>
        <v>0</v>
      </c>
      <c r="N450" s="743">
        <f t="shared" si="48"/>
        <v>0</v>
      </c>
    </row>
    <row r="451" spans="1:14" ht="15.6">
      <c r="A451" s="737"/>
      <c r="B451" s="737"/>
      <c r="C451" s="737"/>
      <c r="D451" s="739">
        <v>2785</v>
      </c>
      <c r="E451" s="740">
        <v>44961</v>
      </c>
      <c r="F451" s="747">
        <v>216227</v>
      </c>
      <c r="G451" s="737">
        <v>30</v>
      </c>
      <c r="H451" s="742">
        <f t="shared" si="42"/>
        <v>44991</v>
      </c>
      <c r="I451" s="743">
        <f t="shared" si="43"/>
        <v>26</v>
      </c>
      <c r="J451" s="743">
        <f t="shared" si="44"/>
        <v>216227</v>
      </c>
      <c r="K451" s="743">
        <f t="shared" si="45"/>
        <v>0</v>
      </c>
      <c r="L451" s="743">
        <f t="shared" si="46"/>
        <v>0</v>
      </c>
      <c r="M451" s="743">
        <f t="shared" si="47"/>
        <v>0</v>
      </c>
      <c r="N451" s="743">
        <f t="shared" si="48"/>
        <v>0</v>
      </c>
    </row>
    <row r="452" spans="1:14" ht="15.6">
      <c r="A452" s="737"/>
      <c r="B452" s="737"/>
      <c r="C452" s="737"/>
      <c r="D452" s="739">
        <v>2786</v>
      </c>
      <c r="E452" s="740">
        <v>44961</v>
      </c>
      <c r="F452" s="747">
        <v>254069</v>
      </c>
      <c r="G452" s="737">
        <v>30</v>
      </c>
      <c r="H452" s="742">
        <f t="shared" si="42"/>
        <v>44991</v>
      </c>
      <c r="I452" s="743">
        <f t="shared" si="43"/>
        <v>26</v>
      </c>
      <c r="J452" s="743">
        <f t="shared" si="44"/>
        <v>254069</v>
      </c>
      <c r="K452" s="743">
        <f t="shared" si="45"/>
        <v>0</v>
      </c>
      <c r="L452" s="743">
        <f t="shared" si="46"/>
        <v>0</v>
      </c>
      <c r="M452" s="743">
        <f t="shared" si="47"/>
        <v>0</v>
      </c>
      <c r="N452" s="743">
        <f t="shared" si="48"/>
        <v>0</v>
      </c>
    </row>
    <row r="453" spans="1:14" ht="15.6">
      <c r="A453" s="737"/>
      <c r="B453" s="737"/>
      <c r="C453" s="737"/>
      <c r="D453" s="739">
        <v>2795</v>
      </c>
      <c r="E453" s="740">
        <v>44962</v>
      </c>
      <c r="F453" s="747">
        <v>159686</v>
      </c>
      <c r="G453" s="737">
        <v>30</v>
      </c>
      <c r="H453" s="742">
        <f t="shared" si="42"/>
        <v>44992</v>
      </c>
      <c r="I453" s="743">
        <f t="shared" si="43"/>
        <v>25</v>
      </c>
      <c r="J453" s="743">
        <f t="shared" si="44"/>
        <v>159686</v>
      </c>
      <c r="K453" s="743">
        <f t="shared" si="45"/>
        <v>0</v>
      </c>
      <c r="L453" s="743">
        <f t="shared" si="46"/>
        <v>0</v>
      </c>
      <c r="M453" s="743">
        <f t="shared" si="47"/>
        <v>0</v>
      </c>
      <c r="N453" s="743">
        <f t="shared" si="48"/>
        <v>0</v>
      </c>
    </row>
    <row r="454" spans="1:14" ht="15.6">
      <c r="A454" s="737"/>
      <c r="B454" s="737"/>
      <c r="C454" s="737"/>
      <c r="D454" s="739">
        <v>2809</v>
      </c>
      <c r="E454" s="740">
        <v>44963</v>
      </c>
      <c r="F454" s="747">
        <v>160351</v>
      </c>
      <c r="G454" s="737">
        <v>30</v>
      </c>
      <c r="H454" s="742">
        <f t="shared" si="42"/>
        <v>44993</v>
      </c>
      <c r="I454" s="743">
        <f t="shared" si="43"/>
        <v>24</v>
      </c>
      <c r="J454" s="743">
        <f t="shared" si="44"/>
        <v>160351</v>
      </c>
      <c r="K454" s="743">
        <f t="shared" si="45"/>
        <v>0</v>
      </c>
      <c r="L454" s="743">
        <f t="shared" si="46"/>
        <v>0</v>
      </c>
      <c r="M454" s="743">
        <f t="shared" si="47"/>
        <v>0</v>
      </c>
      <c r="N454" s="743">
        <f t="shared" si="48"/>
        <v>0</v>
      </c>
    </row>
    <row r="455" spans="1:14" ht="15.6">
      <c r="A455" s="737"/>
      <c r="B455" s="737"/>
      <c r="C455" s="737"/>
      <c r="D455" s="739">
        <v>2817</v>
      </c>
      <c r="E455" s="740">
        <v>44963</v>
      </c>
      <c r="F455" s="747">
        <v>504766</v>
      </c>
      <c r="G455" s="737">
        <v>30</v>
      </c>
      <c r="H455" s="742">
        <f t="shared" si="42"/>
        <v>44993</v>
      </c>
      <c r="I455" s="743">
        <f t="shared" si="43"/>
        <v>24</v>
      </c>
      <c r="J455" s="743">
        <f t="shared" si="44"/>
        <v>504766</v>
      </c>
      <c r="K455" s="743">
        <f t="shared" si="45"/>
        <v>0</v>
      </c>
      <c r="L455" s="743">
        <f t="shared" si="46"/>
        <v>0</v>
      </c>
      <c r="M455" s="743">
        <f t="shared" si="47"/>
        <v>0</v>
      </c>
      <c r="N455" s="743">
        <f t="shared" si="48"/>
        <v>0</v>
      </c>
    </row>
    <row r="456" spans="1:14" ht="15.6">
      <c r="A456" s="737"/>
      <c r="B456" s="737"/>
      <c r="C456" s="737"/>
      <c r="D456" s="739">
        <v>2829</v>
      </c>
      <c r="E456" s="740">
        <v>44964</v>
      </c>
      <c r="F456" s="747">
        <v>488980</v>
      </c>
      <c r="G456" s="737">
        <v>30</v>
      </c>
      <c r="H456" s="742">
        <f t="shared" si="42"/>
        <v>44994</v>
      </c>
      <c r="I456" s="743">
        <f t="shared" si="43"/>
        <v>23</v>
      </c>
      <c r="J456" s="743">
        <f t="shared" si="44"/>
        <v>488980</v>
      </c>
      <c r="K456" s="743">
        <f t="shared" si="45"/>
        <v>0</v>
      </c>
      <c r="L456" s="743">
        <f t="shared" si="46"/>
        <v>0</v>
      </c>
      <c r="M456" s="743">
        <f t="shared" si="47"/>
        <v>0</v>
      </c>
      <c r="N456" s="743">
        <f t="shared" si="48"/>
        <v>0</v>
      </c>
    </row>
    <row r="457" spans="1:14" ht="15.6">
      <c r="A457" s="737"/>
      <c r="B457" s="737"/>
      <c r="C457" s="737"/>
      <c r="D457" s="739">
        <v>2850</v>
      </c>
      <c r="E457" s="740">
        <v>44966</v>
      </c>
      <c r="F457" s="747">
        <v>59340</v>
      </c>
      <c r="G457" s="737">
        <v>30</v>
      </c>
      <c r="H457" s="742">
        <f t="shared" si="42"/>
        <v>44996</v>
      </c>
      <c r="I457" s="743">
        <f t="shared" si="43"/>
        <v>21</v>
      </c>
      <c r="J457" s="743">
        <f t="shared" si="44"/>
        <v>59340</v>
      </c>
      <c r="K457" s="743">
        <f t="shared" si="45"/>
        <v>0</v>
      </c>
      <c r="L457" s="743">
        <f t="shared" si="46"/>
        <v>0</v>
      </c>
      <c r="M457" s="743">
        <f t="shared" si="47"/>
        <v>0</v>
      </c>
      <c r="N457" s="743">
        <f t="shared" si="48"/>
        <v>0</v>
      </c>
    </row>
    <row r="458" spans="1:14" ht="15.6">
      <c r="A458" s="737"/>
      <c r="B458" s="737"/>
      <c r="C458" s="737"/>
      <c r="D458" s="739">
        <v>2851</v>
      </c>
      <c r="E458" s="740">
        <v>44966</v>
      </c>
      <c r="F458" s="747">
        <v>87554</v>
      </c>
      <c r="G458" s="737">
        <v>30</v>
      </c>
      <c r="H458" s="742">
        <f t="shared" si="42"/>
        <v>44996</v>
      </c>
      <c r="I458" s="743">
        <f t="shared" si="43"/>
        <v>21</v>
      </c>
      <c r="J458" s="743">
        <f t="shared" si="44"/>
        <v>87554</v>
      </c>
      <c r="K458" s="743">
        <f t="shared" si="45"/>
        <v>0</v>
      </c>
      <c r="L458" s="743">
        <f t="shared" si="46"/>
        <v>0</v>
      </c>
      <c r="M458" s="743">
        <f t="shared" si="47"/>
        <v>0</v>
      </c>
      <c r="N458" s="743">
        <f t="shared" si="48"/>
        <v>0</v>
      </c>
    </row>
    <row r="459" spans="1:14" ht="15.6">
      <c r="A459" s="737"/>
      <c r="B459" s="737"/>
      <c r="C459" s="737"/>
      <c r="D459" s="739">
        <v>2853</v>
      </c>
      <c r="E459" s="740">
        <v>44967</v>
      </c>
      <c r="F459" s="747">
        <v>19611</v>
      </c>
      <c r="G459" s="737">
        <v>30</v>
      </c>
      <c r="H459" s="742">
        <f t="shared" si="42"/>
        <v>44997</v>
      </c>
      <c r="I459" s="743">
        <f t="shared" si="43"/>
        <v>20</v>
      </c>
      <c r="J459" s="743">
        <f t="shared" si="44"/>
        <v>19611</v>
      </c>
      <c r="K459" s="743">
        <f t="shared" si="45"/>
        <v>0</v>
      </c>
      <c r="L459" s="743">
        <f t="shared" si="46"/>
        <v>0</v>
      </c>
      <c r="M459" s="743">
        <f t="shared" si="47"/>
        <v>0</v>
      </c>
      <c r="N459" s="743">
        <f t="shared" si="48"/>
        <v>0</v>
      </c>
    </row>
    <row r="460" spans="1:14" ht="15.6">
      <c r="A460" s="737"/>
      <c r="B460" s="737"/>
      <c r="C460" s="737"/>
      <c r="D460" s="739">
        <v>2871</v>
      </c>
      <c r="E460" s="740">
        <v>44969</v>
      </c>
      <c r="F460" s="747">
        <v>558473</v>
      </c>
      <c r="G460" s="737">
        <v>30</v>
      </c>
      <c r="H460" s="742">
        <f t="shared" si="42"/>
        <v>44999</v>
      </c>
      <c r="I460" s="743">
        <f t="shared" si="43"/>
        <v>18</v>
      </c>
      <c r="J460" s="743">
        <f t="shared" si="44"/>
        <v>558473</v>
      </c>
      <c r="K460" s="743">
        <f t="shared" si="45"/>
        <v>0</v>
      </c>
      <c r="L460" s="743">
        <f t="shared" si="46"/>
        <v>0</v>
      </c>
      <c r="M460" s="743">
        <f t="shared" si="47"/>
        <v>0</v>
      </c>
      <c r="N460" s="743">
        <f t="shared" si="48"/>
        <v>0</v>
      </c>
    </row>
    <row r="461" spans="1:14" ht="15.6">
      <c r="A461" s="737"/>
      <c r="B461" s="737"/>
      <c r="C461" s="737"/>
      <c r="D461" s="739">
        <v>2873</v>
      </c>
      <c r="E461" s="740">
        <v>44969</v>
      </c>
      <c r="F461" s="747">
        <v>311961</v>
      </c>
      <c r="G461" s="737">
        <v>30</v>
      </c>
      <c r="H461" s="742">
        <f t="shared" si="42"/>
        <v>44999</v>
      </c>
      <c r="I461" s="743">
        <f t="shared" si="43"/>
        <v>18</v>
      </c>
      <c r="J461" s="743">
        <f t="shared" si="44"/>
        <v>311961</v>
      </c>
      <c r="K461" s="743">
        <f t="shared" si="45"/>
        <v>0</v>
      </c>
      <c r="L461" s="743">
        <f t="shared" si="46"/>
        <v>0</v>
      </c>
      <c r="M461" s="743">
        <f t="shared" si="47"/>
        <v>0</v>
      </c>
      <c r="N461" s="743">
        <f t="shared" si="48"/>
        <v>0</v>
      </c>
    </row>
    <row r="462" spans="1:14" ht="15.6">
      <c r="A462" s="737"/>
      <c r="B462" s="737"/>
      <c r="C462" s="737"/>
      <c r="D462" s="739">
        <v>2889</v>
      </c>
      <c r="E462" s="740">
        <v>44971</v>
      </c>
      <c r="F462" s="747">
        <v>524476</v>
      </c>
      <c r="G462" s="737">
        <v>30</v>
      </c>
      <c r="H462" s="742">
        <f t="shared" si="42"/>
        <v>45001</v>
      </c>
      <c r="I462" s="743">
        <f t="shared" si="43"/>
        <v>16</v>
      </c>
      <c r="J462" s="743">
        <f t="shared" si="44"/>
        <v>524476</v>
      </c>
      <c r="K462" s="743">
        <f t="shared" si="45"/>
        <v>0</v>
      </c>
      <c r="L462" s="743">
        <f t="shared" si="46"/>
        <v>0</v>
      </c>
      <c r="M462" s="743">
        <f t="shared" si="47"/>
        <v>0</v>
      </c>
      <c r="N462" s="743">
        <f t="shared" si="48"/>
        <v>0</v>
      </c>
    </row>
    <row r="463" spans="1:14" ht="15.6">
      <c r="A463" s="737"/>
      <c r="B463" s="737"/>
      <c r="C463" s="737"/>
      <c r="D463" s="739">
        <v>2911</v>
      </c>
      <c r="E463" s="740">
        <v>44973</v>
      </c>
      <c r="F463" s="747">
        <v>521322</v>
      </c>
      <c r="G463" s="737">
        <v>30</v>
      </c>
      <c r="H463" s="742">
        <f t="shared" si="42"/>
        <v>45003</v>
      </c>
      <c r="I463" s="743">
        <f t="shared" si="43"/>
        <v>14</v>
      </c>
      <c r="J463" s="743">
        <f t="shared" si="44"/>
        <v>521322</v>
      </c>
      <c r="K463" s="743">
        <f t="shared" si="45"/>
        <v>0</v>
      </c>
      <c r="L463" s="743">
        <f t="shared" si="46"/>
        <v>0</v>
      </c>
      <c r="M463" s="743">
        <f t="shared" si="47"/>
        <v>0</v>
      </c>
      <c r="N463" s="743">
        <f t="shared" si="48"/>
        <v>0</v>
      </c>
    </row>
    <row r="464" spans="1:14" ht="15.6">
      <c r="A464" s="737"/>
      <c r="B464" s="737"/>
      <c r="C464" s="737"/>
      <c r="D464" s="739">
        <v>2923</v>
      </c>
      <c r="E464" s="740">
        <v>44974</v>
      </c>
      <c r="F464" s="747">
        <v>130767</v>
      </c>
      <c r="G464" s="737">
        <v>30</v>
      </c>
      <c r="H464" s="742">
        <f t="shared" si="42"/>
        <v>45004</v>
      </c>
      <c r="I464" s="743">
        <f t="shared" si="43"/>
        <v>13</v>
      </c>
      <c r="J464" s="743">
        <f t="shared" si="44"/>
        <v>130767</v>
      </c>
      <c r="K464" s="743">
        <f t="shared" si="45"/>
        <v>0</v>
      </c>
      <c r="L464" s="743">
        <f t="shared" si="46"/>
        <v>0</v>
      </c>
      <c r="M464" s="743">
        <f t="shared" si="47"/>
        <v>0</v>
      </c>
      <c r="N464" s="743">
        <f t="shared" si="48"/>
        <v>0</v>
      </c>
    </row>
    <row r="465" spans="1:14" ht="15.6">
      <c r="A465" s="737"/>
      <c r="B465" s="737"/>
      <c r="C465" s="737"/>
      <c r="D465" s="739">
        <v>2930</v>
      </c>
      <c r="E465" s="740">
        <v>44974</v>
      </c>
      <c r="F465" s="747">
        <v>543744</v>
      </c>
      <c r="G465" s="737">
        <v>30</v>
      </c>
      <c r="H465" s="742">
        <f t="shared" si="42"/>
        <v>45004</v>
      </c>
      <c r="I465" s="743">
        <f t="shared" si="43"/>
        <v>13</v>
      </c>
      <c r="J465" s="743">
        <f t="shared" si="44"/>
        <v>543744</v>
      </c>
      <c r="K465" s="743">
        <f t="shared" si="45"/>
        <v>0</v>
      </c>
      <c r="L465" s="743">
        <f t="shared" si="46"/>
        <v>0</v>
      </c>
      <c r="M465" s="743">
        <f t="shared" si="47"/>
        <v>0</v>
      </c>
      <c r="N465" s="743">
        <f t="shared" si="48"/>
        <v>0</v>
      </c>
    </row>
    <row r="466" spans="1:14" ht="15.6">
      <c r="A466" s="737"/>
      <c r="B466" s="737"/>
      <c r="C466" s="737"/>
      <c r="D466" s="739">
        <v>2942</v>
      </c>
      <c r="E466" s="740">
        <v>44976</v>
      </c>
      <c r="F466" s="747">
        <v>525179</v>
      </c>
      <c r="G466" s="737">
        <v>30</v>
      </c>
      <c r="H466" s="742">
        <f t="shared" si="42"/>
        <v>45006</v>
      </c>
      <c r="I466" s="743">
        <f t="shared" si="43"/>
        <v>11</v>
      </c>
      <c r="J466" s="743">
        <f t="shared" si="44"/>
        <v>525179</v>
      </c>
      <c r="K466" s="743">
        <f t="shared" si="45"/>
        <v>0</v>
      </c>
      <c r="L466" s="743">
        <f t="shared" si="46"/>
        <v>0</v>
      </c>
      <c r="M466" s="743">
        <f t="shared" si="47"/>
        <v>0</v>
      </c>
      <c r="N466" s="743">
        <f t="shared" si="48"/>
        <v>0</v>
      </c>
    </row>
    <row r="467" spans="1:14" ht="15.6">
      <c r="A467" s="737"/>
      <c r="B467" s="737"/>
      <c r="C467" s="737"/>
      <c r="D467" s="739">
        <v>2943</v>
      </c>
      <c r="E467" s="740">
        <v>44976</v>
      </c>
      <c r="F467" s="747">
        <v>339601</v>
      </c>
      <c r="G467" s="737">
        <v>30</v>
      </c>
      <c r="H467" s="742">
        <f t="shared" si="42"/>
        <v>45006</v>
      </c>
      <c r="I467" s="743">
        <f t="shared" si="43"/>
        <v>11</v>
      </c>
      <c r="J467" s="743">
        <f t="shared" si="44"/>
        <v>339601</v>
      </c>
      <c r="K467" s="743">
        <f t="shared" si="45"/>
        <v>0</v>
      </c>
      <c r="L467" s="743">
        <f t="shared" si="46"/>
        <v>0</v>
      </c>
      <c r="M467" s="743">
        <f t="shared" si="47"/>
        <v>0</v>
      </c>
      <c r="N467" s="743">
        <f t="shared" si="48"/>
        <v>0</v>
      </c>
    </row>
    <row r="468" spans="1:14" ht="15.6">
      <c r="A468" s="737"/>
      <c r="B468" s="737"/>
      <c r="C468" s="737"/>
      <c r="D468" s="754">
        <v>2944</v>
      </c>
      <c r="E468" s="755">
        <v>44976</v>
      </c>
      <c r="F468" s="756">
        <v>172757</v>
      </c>
      <c r="G468" s="737">
        <v>30</v>
      </c>
      <c r="H468" s="742">
        <f t="shared" si="42"/>
        <v>45006</v>
      </c>
      <c r="I468" s="743">
        <f t="shared" si="43"/>
        <v>11</v>
      </c>
      <c r="J468" s="743">
        <f t="shared" si="44"/>
        <v>172757</v>
      </c>
      <c r="K468" s="743">
        <f t="shared" si="45"/>
        <v>0</v>
      </c>
      <c r="L468" s="743">
        <f t="shared" si="46"/>
        <v>0</v>
      </c>
      <c r="M468" s="743">
        <f t="shared" si="47"/>
        <v>0</v>
      </c>
      <c r="N468" s="743">
        <f t="shared" si="48"/>
        <v>0</v>
      </c>
    </row>
    <row r="469" spans="1:14" ht="15.6">
      <c r="A469" s="737"/>
      <c r="B469" s="737"/>
      <c r="C469" s="737"/>
      <c r="D469" s="739">
        <v>2956</v>
      </c>
      <c r="E469" s="740">
        <v>44977</v>
      </c>
      <c r="F469" s="747">
        <v>323411</v>
      </c>
      <c r="G469" s="737">
        <v>30</v>
      </c>
      <c r="H469" s="742">
        <f t="shared" si="42"/>
        <v>45007</v>
      </c>
      <c r="I469" s="743">
        <f t="shared" si="43"/>
        <v>10</v>
      </c>
      <c r="J469" s="743">
        <f t="shared" si="44"/>
        <v>323411</v>
      </c>
      <c r="K469" s="743">
        <f t="shared" si="45"/>
        <v>0</v>
      </c>
      <c r="L469" s="743">
        <f t="shared" si="46"/>
        <v>0</v>
      </c>
      <c r="M469" s="743">
        <f t="shared" si="47"/>
        <v>0</v>
      </c>
      <c r="N469" s="743">
        <f t="shared" si="48"/>
        <v>0</v>
      </c>
    </row>
    <row r="470" spans="1:14" ht="15.6">
      <c r="A470" s="737"/>
      <c r="B470" s="737"/>
      <c r="C470" s="737"/>
      <c r="D470" s="739">
        <v>2957</v>
      </c>
      <c r="E470" s="740">
        <v>44977</v>
      </c>
      <c r="F470" s="747">
        <v>140779</v>
      </c>
      <c r="G470" s="737">
        <v>30</v>
      </c>
      <c r="H470" s="742">
        <f t="shared" si="42"/>
        <v>45007</v>
      </c>
      <c r="I470" s="743">
        <f t="shared" si="43"/>
        <v>10</v>
      </c>
      <c r="J470" s="743">
        <f t="shared" si="44"/>
        <v>140779</v>
      </c>
      <c r="K470" s="743">
        <f t="shared" si="45"/>
        <v>0</v>
      </c>
      <c r="L470" s="743">
        <f t="shared" si="46"/>
        <v>0</v>
      </c>
      <c r="M470" s="743">
        <f t="shared" si="47"/>
        <v>0</v>
      </c>
      <c r="N470" s="743">
        <f t="shared" si="48"/>
        <v>0</v>
      </c>
    </row>
    <row r="471" spans="1:14" ht="15.6">
      <c r="A471" s="737"/>
      <c r="B471" s="737"/>
      <c r="C471" s="737"/>
      <c r="D471" s="739">
        <v>2993</v>
      </c>
      <c r="E471" s="740">
        <v>44980</v>
      </c>
      <c r="F471" s="747">
        <v>540119</v>
      </c>
      <c r="G471" s="737">
        <v>30</v>
      </c>
      <c r="H471" s="742">
        <f t="shared" si="42"/>
        <v>45010</v>
      </c>
      <c r="I471" s="743">
        <f t="shared" si="43"/>
        <v>7</v>
      </c>
      <c r="J471" s="743">
        <f t="shared" si="44"/>
        <v>540119</v>
      </c>
      <c r="K471" s="743">
        <f t="shared" si="45"/>
        <v>0</v>
      </c>
      <c r="L471" s="743">
        <f t="shared" si="46"/>
        <v>0</v>
      </c>
      <c r="M471" s="743">
        <f t="shared" si="47"/>
        <v>0</v>
      </c>
      <c r="N471" s="743">
        <f t="shared" si="48"/>
        <v>0</v>
      </c>
    </row>
    <row r="472" spans="1:14" ht="15.6">
      <c r="A472" s="737"/>
      <c r="B472" s="737"/>
      <c r="C472" s="737"/>
      <c r="D472" s="739">
        <v>2999</v>
      </c>
      <c r="E472" s="740">
        <v>44981</v>
      </c>
      <c r="F472" s="747">
        <v>156415</v>
      </c>
      <c r="G472" s="737">
        <v>30</v>
      </c>
      <c r="H472" s="742">
        <f t="shared" si="42"/>
        <v>45011</v>
      </c>
      <c r="I472" s="743">
        <f t="shared" si="43"/>
        <v>6</v>
      </c>
      <c r="J472" s="743">
        <f t="shared" si="44"/>
        <v>156415</v>
      </c>
      <c r="K472" s="743">
        <f t="shared" si="45"/>
        <v>0</v>
      </c>
      <c r="L472" s="743">
        <f t="shared" si="46"/>
        <v>0</v>
      </c>
      <c r="M472" s="743">
        <f t="shared" si="47"/>
        <v>0</v>
      </c>
      <c r="N472" s="743">
        <f t="shared" si="48"/>
        <v>0</v>
      </c>
    </row>
    <row r="473" spans="1:14" ht="15.6">
      <c r="A473" s="737"/>
      <c r="B473" s="737"/>
      <c r="C473" s="737"/>
      <c r="D473" s="739">
        <v>3021</v>
      </c>
      <c r="E473" s="740">
        <v>44984</v>
      </c>
      <c r="F473" s="747">
        <v>170083</v>
      </c>
      <c r="G473" s="737">
        <v>30</v>
      </c>
      <c r="H473" s="742">
        <f t="shared" si="42"/>
        <v>45014</v>
      </c>
      <c r="I473" s="743">
        <f t="shared" si="43"/>
        <v>3</v>
      </c>
      <c r="J473" s="743">
        <f t="shared" si="44"/>
        <v>170083</v>
      </c>
      <c r="K473" s="743">
        <f t="shared" si="45"/>
        <v>0</v>
      </c>
      <c r="L473" s="743">
        <f t="shared" si="46"/>
        <v>0</v>
      </c>
      <c r="M473" s="743">
        <f t="shared" si="47"/>
        <v>0</v>
      </c>
      <c r="N473" s="743">
        <f t="shared" si="48"/>
        <v>0</v>
      </c>
    </row>
    <row r="474" spans="1:14" ht="15.6">
      <c r="A474" s="737"/>
      <c r="B474" s="737"/>
      <c r="C474" s="737"/>
      <c r="D474" s="739">
        <v>3028</v>
      </c>
      <c r="E474" s="740">
        <v>44985</v>
      </c>
      <c r="F474" s="747">
        <v>500066</v>
      </c>
      <c r="G474" s="737">
        <v>30</v>
      </c>
      <c r="H474" s="742">
        <f t="shared" si="42"/>
        <v>45015</v>
      </c>
      <c r="I474" s="743">
        <f t="shared" si="43"/>
        <v>2</v>
      </c>
      <c r="J474" s="743">
        <f t="shared" si="44"/>
        <v>500066</v>
      </c>
      <c r="K474" s="743">
        <f t="shared" si="45"/>
        <v>0</v>
      </c>
      <c r="L474" s="743">
        <f t="shared" si="46"/>
        <v>0</v>
      </c>
      <c r="M474" s="743">
        <f t="shared" si="47"/>
        <v>0</v>
      </c>
      <c r="N474" s="743">
        <f t="shared" si="48"/>
        <v>0</v>
      </c>
    </row>
    <row r="475" spans="1:14" ht="15.6">
      <c r="A475" s="737"/>
      <c r="B475" s="737"/>
      <c r="C475" s="737"/>
      <c r="D475" s="739">
        <v>3029</v>
      </c>
      <c r="E475" s="740">
        <v>44985</v>
      </c>
      <c r="F475" s="747">
        <v>774208</v>
      </c>
      <c r="G475" s="737">
        <v>30</v>
      </c>
      <c r="H475" s="742">
        <f t="shared" si="42"/>
        <v>45015</v>
      </c>
      <c r="I475" s="743">
        <f t="shared" si="43"/>
        <v>2</v>
      </c>
      <c r="J475" s="743">
        <f t="shared" si="44"/>
        <v>774208</v>
      </c>
      <c r="K475" s="743">
        <f t="shared" si="45"/>
        <v>0</v>
      </c>
      <c r="L475" s="743">
        <f t="shared" si="46"/>
        <v>0</v>
      </c>
      <c r="M475" s="743">
        <f t="shared" si="47"/>
        <v>0</v>
      </c>
      <c r="N475" s="743">
        <f t="shared" si="48"/>
        <v>0</v>
      </c>
    </row>
    <row r="476" spans="1:14" ht="15.6">
      <c r="A476" s="737"/>
      <c r="B476" s="737"/>
      <c r="C476" s="737"/>
      <c r="D476" s="739">
        <v>3034</v>
      </c>
      <c r="E476" s="740">
        <v>44986</v>
      </c>
      <c r="F476" s="745">
        <v>481517</v>
      </c>
      <c r="G476" s="737">
        <v>30</v>
      </c>
      <c r="H476" s="742">
        <f t="shared" si="42"/>
        <v>45016</v>
      </c>
      <c r="I476" s="743">
        <f t="shared" si="43"/>
        <v>1</v>
      </c>
      <c r="J476" s="743">
        <f t="shared" si="44"/>
        <v>481517</v>
      </c>
      <c r="K476" s="743">
        <f t="shared" si="45"/>
        <v>0</v>
      </c>
      <c r="L476" s="743">
        <f t="shared" si="46"/>
        <v>0</v>
      </c>
      <c r="M476" s="743">
        <f t="shared" si="47"/>
        <v>0</v>
      </c>
      <c r="N476" s="743">
        <f t="shared" si="48"/>
        <v>0</v>
      </c>
    </row>
    <row r="477" spans="1:14" ht="15.6">
      <c r="A477" s="737"/>
      <c r="B477" s="737"/>
      <c r="C477" s="737"/>
      <c r="D477" s="739">
        <v>3049</v>
      </c>
      <c r="E477" s="740">
        <v>44987</v>
      </c>
      <c r="F477" s="745">
        <v>727675</v>
      </c>
      <c r="G477" s="737">
        <v>30</v>
      </c>
      <c r="H477" s="742">
        <f t="shared" si="42"/>
        <v>45017</v>
      </c>
      <c r="I477" s="743">
        <f t="shared" si="43"/>
        <v>0</v>
      </c>
      <c r="J477" s="743">
        <f t="shared" si="44"/>
        <v>727675</v>
      </c>
      <c r="K477" s="743">
        <f t="shared" si="45"/>
        <v>0</v>
      </c>
      <c r="L477" s="743">
        <f t="shared" si="46"/>
        <v>0</v>
      </c>
      <c r="M477" s="743">
        <f t="shared" si="47"/>
        <v>0</v>
      </c>
      <c r="N477" s="743">
        <f t="shared" si="48"/>
        <v>0</v>
      </c>
    </row>
    <row r="478" spans="1:14" ht="15.6">
      <c r="A478" s="737"/>
      <c r="B478" s="737"/>
      <c r="C478" s="737"/>
      <c r="D478" s="739">
        <v>3073</v>
      </c>
      <c r="E478" s="740">
        <v>44990</v>
      </c>
      <c r="F478" s="745">
        <v>254869</v>
      </c>
      <c r="G478" s="737">
        <v>30</v>
      </c>
      <c r="H478" s="742">
        <f t="shared" si="42"/>
        <v>45020</v>
      </c>
      <c r="I478" s="743">
        <f t="shared" si="43"/>
        <v>-3</v>
      </c>
      <c r="J478" s="743">
        <f t="shared" si="44"/>
        <v>254869</v>
      </c>
      <c r="K478" s="743">
        <f t="shared" si="45"/>
        <v>0</v>
      </c>
      <c r="L478" s="743">
        <f t="shared" si="46"/>
        <v>0</v>
      </c>
      <c r="M478" s="743">
        <f t="shared" si="47"/>
        <v>0</v>
      </c>
      <c r="N478" s="743">
        <f t="shared" si="48"/>
        <v>0</v>
      </c>
    </row>
    <row r="479" spans="1:14" ht="15.6">
      <c r="A479" s="737"/>
      <c r="B479" s="737"/>
      <c r="C479" s="737"/>
      <c r="D479" s="739">
        <v>3074</v>
      </c>
      <c r="E479" s="740">
        <v>44990</v>
      </c>
      <c r="F479" s="745">
        <v>497555</v>
      </c>
      <c r="G479" s="737">
        <v>30</v>
      </c>
      <c r="H479" s="742">
        <f t="shared" si="42"/>
        <v>45020</v>
      </c>
      <c r="I479" s="743">
        <f t="shared" si="43"/>
        <v>-3</v>
      </c>
      <c r="J479" s="743">
        <f t="shared" si="44"/>
        <v>497555</v>
      </c>
      <c r="K479" s="743">
        <f t="shared" si="45"/>
        <v>0</v>
      </c>
      <c r="L479" s="743">
        <f t="shared" si="46"/>
        <v>0</v>
      </c>
      <c r="M479" s="743">
        <f t="shared" si="47"/>
        <v>0</v>
      </c>
      <c r="N479" s="743">
        <f t="shared" si="48"/>
        <v>0</v>
      </c>
    </row>
    <row r="480" spans="1:14" ht="15.6">
      <c r="A480" s="737"/>
      <c r="B480" s="737"/>
      <c r="C480" s="737"/>
      <c r="D480" s="739">
        <v>3102</v>
      </c>
      <c r="E480" s="740">
        <v>44994</v>
      </c>
      <c r="F480" s="745">
        <v>195657</v>
      </c>
      <c r="G480" s="737">
        <v>30</v>
      </c>
      <c r="H480" s="742">
        <f t="shared" si="42"/>
        <v>45024</v>
      </c>
      <c r="I480" s="743">
        <f t="shared" si="43"/>
        <v>-7</v>
      </c>
      <c r="J480" s="743">
        <f t="shared" si="44"/>
        <v>195657</v>
      </c>
      <c r="K480" s="743">
        <f t="shared" si="45"/>
        <v>0</v>
      </c>
      <c r="L480" s="743">
        <f t="shared" si="46"/>
        <v>0</v>
      </c>
      <c r="M480" s="743">
        <f t="shared" si="47"/>
        <v>0</v>
      </c>
      <c r="N480" s="743">
        <f t="shared" si="48"/>
        <v>0</v>
      </c>
    </row>
    <row r="481" spans="1:14" ht="15.6">
      <c r="A481" s="737"/>
      <c r="B481" s="737"/>
      <c r="C481" s="737"/>
      <c r="D481" s="739">
        <v>3111</v>
      </c>
      <c r="E481" s="740">
        <v>44995</v>
      </c>
      <c r="F481" s="745">
        <v>781723</v>
      </c>
      <c r="G481" s="737">
        <v>30</v>
      </c>
      <c r="H481" s="742">
        <f t="shared" si="42"/>
        <v>45025</v>
      </c>
      <c r="I481" s="743">
        <f t="shared" si="43"/>
        <v>-8</v>
      </c>
      <c r="J481" s="743">
        <f t="shared" si="44"/>
        <v>781723</v>
      </c>
      <c r="K481" s="743">
        <f t="shared" si="45"/>
        <v>0</v>
      </c>
      <c r="L481" s="743">
        <f t="shared" si="46"/>
        <v>0</v>
      </c>
      <c r="M481" s="743">
        <f t="shared" si="47"/>
        <v>0</v>
      </c>
      <c r="N481" s="743">
        <f t="shared" si="48"/>
        <v>0</v>
      </c>
    </row>
    <row r="482" spans="1:14" ht="15.6">
      <c r="A482" s="737"/>
      <c r="B482" s="737"/>
      <c r="C482" s="737"/>
      <c r="D482" s="739">
        <v>3118</v>
      </c>
      <c r="E482" s="740">
        <v>44996</v>
      </c>
      <c r="F482" s="745">
        <v>59035</v>
      </c>
      <c r="G482" s="737">
        <v>30</v>
      </c>
      <c r="H482" s="742">
        <f t="shared" si="42"/>
        <v>45026</v>
      </c>
      <c r="I482" s="743">
        <f t="shared" si="43"/>
        <v>-9</v>
      </c>
      <c r="J482" s="743">
        <f t="shared" si="44"/>
        <v>59035</v>
      </c>
      <c r="K482" s="743">
        <f t="shared" si="45"/>
        <v>0</v>
      </c>
      <c r="L482" s="743">
        <f t="shared" si="46"/>
        <v>0</v>
      </c>
      <c r="M482" s="743">
        <f t="shared" si="47"/>
        <v>0</v>
      </c>
      <c r="N482" s="743">
        <f t="shared" si="48"/>
        <v>0</v>
      </c>
    </row>
    <row r="483" spans="1:14" ht="15.6">
      <c r="A483" s="737"/>
      <c r="B483" s="737"/>
      <c r="C483" s="737"/>
      <c r="D483" s="739">
        <v>3143</v>
      </c>
      <c r="E483" s="740">
        <v>44998</v>
      </c>
      <c r="F483" s="745">
        <v>287555</v>
      </c>
      <c r="G483" s="737">
        <v>30</v>
      </c>
      <c r="H483" s="742">
        <f t="shared" si="42"/>
        <v>45028</v>
      </c>
      <c r="I483" s="743">
        <f t="shared" si="43"/>
        <v>-11</v>
      </c>
      <c r="J483" s="743">
        <f t="shared" si="44"/>
        <v>287555</v>
      </c>
      <c r="K483" s="743">
        <f t="shared" si="45"/>
        <v>0</v>
      </c>
      <c r="L483" s="743">
        <f t="shared" si="46"/>
        <v>0</v>
      </c>
      <c r="M483" s="743">
        <f t="shared" si="47"/>
        <v>0</v>
      </c>
      <c r="N483" s="743">
        <f t="shared" si="48"/>
        <v>0</v>
      </c>
    </row>
    <row r="484" spans="1:14" ht="15.6">
      <c r="A484" s="737"/>
      <c r="B484" s="737"/>
      <c r="C484" s="737"/>
      <c r="D484" s="739">
        <v>3144</v>
      </c>
      <c r="E484" s="740">
        <v>44998</v>
      </c>
      <c r="F484" s="745">
        <v>172960</v>
      </c>
      <c r="G484" s="737">
        <v>30</v>
      </c>
      <c r="H484" s="742">
        <f t="shared" si="42"/>
        <v>45028</v>
      </c>
      <c r="I484" s="743">
        <f t="shared" si="43"/>
        <v>-11</v>
      </c>
      <c r="J484" s="743">
        <f t="shared" si="44"/>
        <v>172960</v>
      </c>
      <c r="K484" s="743">
        <f t="shared" si="45"/>
        <v>0</v>
      </c>
      <c r="L484" s="743">
        <f t="shared" si="46"/>
        <v>0</v>
      </c>
      <c r="M484" s="743">
        <f t="shared" si="47"/>
        <v>0</v>
      </c>
      <c r="N484" s="743">
        <f t="shared" si="48"/>
        <v>0</v>
      </c>
    </row>
    <row r="485" spans="1:14" ht="15.6">
      <c r="A485" s="737"/>
      <c r="B485" s="737"/>
      <c r="C485" s="737"/>
      <c r="D485" s="739">
        <v>3171</v>
      </c>
      <c r="E485" s="740">
        <v>45001</v>
      </c>
      <c r="F485" s="745">
        <v>525988</v>
      </c>
      <c r="G485" s="737">
        <v>30</v>
      </c>
      <c r="H485" s="742">
        <f t="shared" si="42"/>
        <v>45031</v>
      </c>
      <c r="I485" s="743">
        <f t="shared" si="43"/>
        <v>-14</v>
      </c>
      <c r="J485" s="743">
        <f t="shared" si="44"/>
        <v>525988</v>
      </c>
      <c r="K485" s="743">
        <f t="shared" si="45"/>
        <v>0</v>
      </c>
      <c r="L485" s="743">
        <f t="shared" si="46"/>
        <v>0</v>
      </c>
      <c r="M485" s="743">
        <f t="shared" si="47"/>
        <v>0</v>
      </c>
      <c r="N485" s="743">
        <f t="shared" si="48"/>
        <v>0</v>
      </c>
    </row>
    <row r="486" spans="1:14" ht="15.6">
      <c r="A486" s="737"/>
      <c r="B486" s="737"/>
      <c r="C486" s="737"/>
      <c r="D486" s="739">
        <v>3172</v>
      </c>
      <c r="E486" s="740">
        <v>45001</v>
      </c>
      <c r="F486" s="745">
        <v>122746</v>
      </c>
      <c r="G486" s="737">
        <v>30</v>
      </c>
      <c r="H486" s="742">
        <f t="shared" si="42"/>
        <v>45031</v>
      </c>
      <c r="I486" s="743">
        <f t="shared" si="43"/>
        <v>-14</v>
      </c>
      <c r="J486" s="743">
        <f t="shared" si="44"/>
        <v>122746</v>
      </c>
      <c r="K486" s="743">
        <f t="shared" si="45"/>
        <v>0</v>
      </c>
      <c r="L486" s="743">
        <f t="shared" si="46"/>
        <v>0</v>
      </c>
      <c r="M486" s="743">
        <f t="shared" si="47"/>
        <v>0</v>
      </c>
      <c r="N486" s="743">
        <f t="shared" si="48"/>
        <v>0</v>
      </c>
    </row>
    <row r="487" spans="1:14" ht="15.6">
      <c r="A487" s="737"/>
      <c r="B487" s="737"/>
      <c r="C487" s="737"/>
      <c r="D487" s="739">
        <v>3189</v>
      </c>
      <c r="E487" s="740">
        <v>45004</v>
      </c>
      <c r="F487" s="745">
        <v>477624</v>
      </c>
      <c r="G487" s="737">
        <v>30</v>
      </c>
      <c r="H487" s="742">
        <f t="shared" si="42"/>
        <v>45034</v>
      </c>
      <c r="I487" s="743">
        <f t="shared" si="43"/>
        <v>-17</v>
      </c>
      <c r="J487" s="743">
        <f t="shared" si="44"/>
        <v>477624</v>
      </c>
      <c r="K487" s="743">
        <f t="shared" si="45"/>
        <v>0</v>
      </c>
      <c r="L487" s="743">
        <f t="shared" si="46"/>
        <v>0</v>
      </c>
      <c r="M487" s="743">
        <f t="shared" si="47"/>
        <v>0</v>
      </c>
      <c r="N487" s="743">
        <f t="shared" si="48"/>
        <v>0</v>
      </c>
    </row>
    <row r="488" spans="1:14" ht="15.6">
      <c r="A488" s="737"/>
      <c r="B488" s="737"/>
      <c r="C488" s="737"/>
      <c r="D488" s="739">
        <v>3201</v>
      </c>
      <c r="E488" s="740">
        <v>45005</v>
      </c>
      <c r="F488" s="745">
        <v>564832</v>
      </c>
      <c r="G488" s="737">
        <v>30</v>
      </c>
      <c r="H488" s="742">
        <f t="shared" si="42"/>
        <v>45035</v>
      </c>
      <c r="I488" s="743">
        <f t="shared" si="43"/>
        <v>-18</v>
      </c>
      <c r="J488" s="743">
        <f t="shared" si="44"/>
        <v>564832</v>
      </c>
      <c r="K488" s="743">
        <f t="shared" si="45"/>
        <v>0</v>
      </c>
      <c r="L488" s="743">
        <f t="shared" si="46"/>
        <v>0</v>
      </c>
      <c r="M488" s="743">
        <f t="shared" si="47"/>
        <v>0</v>
      </c>
      <c r="N488" s="743">
        <f t="shared" si="48"/>
        <v>0</v>
      </c>
    </row>
    <row r="489" spans="1:14" ht="15.6">
      <c r="A489" s="737"/>
      <c r="B489" s="737"/>
      <c r="C489" s="737"/>
      <c r="D489" s="739">
        <v>3206</v>
      </c>
      <c r="E489" s="740">
        <v>45005</v>
      </c>
      <c r="F489" s="745">
        <v>269969</v>
      </c>
      <c r="G489" s="737">
        <v>30</v>
      </c>
      <c r="H489" s="742">
        <f t="shared" si="42"/>
        <v>45035</v>
      </c>
      <c r="I489" s="743">
        <f t="shared" si="43"/>
        <v>-18</v>
      </c>
      <c r="J489" s="743">
        <f t="shared" si="44"/>
        <v>269969</v>
      </c>
      <c r="K489" s="743">
        <f t="shared" si="45"/>
        <v>0</v>
      </c>
      <c r="L489" s="743">
        <f t="shared" si="46"/>
        <v>0</v>
      </c>
      <c r="M489" s="743">
        <f t="shared" si="47"/>
        <v>0</v>
      </c>
      <c r="N489" s="743">
        <f t="shared" si="48"/>
        <v>0</v>
      </c>
    </row>
    <row r="490" spans="1:14" ht="15.6">
      <c r="A490" s="737"/>
      <c r="B490" s="737"/>
      <c r="C490" s="737"/>
      <c r="D490" s="739">
        <v>3207</v>
      </c>
      <c r="E490" s="740">
        <v>45006</v>
      </c>
      <c r="F490" s="745">
        <v>505360</v>
      </c>
      <c r="G490" s="737">
        <v>30</v>
      </c>
      <c r="H490" s="742">
        <f t="shared" si="42"/>
        <v>45036</v>
      </c>
      <c r="I490" s="743">
        <f t="shared" si="43"/>
        <v>-19</v>
      </c>
      <c r="J490" s="743">
        <f t="shared" si="44"/>
        <v>505360</v>
      </c>
      <c r="K490" s="743">
        <f t="shared" si="45"/>
        <v>0</v>
      </c>
      <c r="L490" s="743">
        <f t="shared" si="46"/>
        <v>0</v>
      </c>
      <c r="M490" s="743">
        <f t="shared" si="47"/>
        <v>0</v>
      </c>
      <c r="N490" s="743">
        <f t="shared" si="48"/>
        <v>0</v>
      </c>
    </row>
    <row r="491" spans="1:14" ht="15.6">
      <c r="A491" s="737"/>
      <c r="B491" s="737"/>
      <c r="C491" s="737"/>
      <c r="D491" s="739">
        <v>3232</v>
      </c>
      <c r="E491" s="740">
        <v>45008</v>
      </c>
      <c r="F491" s="745">
        <v>117658</v>
      </c>
      <c r="G491" s="737">
        <v>30</v>
      </c>
      <c r="H491" s="742">
        <f t="shared" si="42"/>
        <v>45038</v>
      </c>
      <c r="I491" s="743">
        <f t="shared" si="43"/>
        <v>-21</v>
      </c>
      <c r="J491" s="743">
        <f t="shared" si="44"/>
        <v>117658</v>
      </c>
      <c r="K491" s="743">
        <f t="shared" si="45"/>
        <v>0</v>
      </c>
      <c r="L491" s="743">
        <f t="shared" si="46"/>
        <v>0</v>
      </c>
      <c r="M491" s="743">
        <f t="shared" si="47"/>
        <v>0</v>
      </c>
      <c r="N491" s="743">
        <f t="shared" si="48"/>
        <v>0</v>
      </c>
    </row>
    <row r="492" spans="1:14" ht="15.6">
      <c r="A492" s="737"/>
      <c r="B492" s="737"/>
      <c r="C492" s="737"/>
      <c r="D492" s="739">
        <v>3235</v>
      </c>
      <c r="E492" s="740">
        <v>45008</v>
      </c>
      <c r="F492" s="745">
        <v>483309</v>
      </c>
      <c r="G492" s="737">
        <v>30</v>
      </c>
      <c r="H492" s="742">
        <f t="shared" si="42"/>
        <v>45038</v>
      </c>
      <c r="I492" s="743">
        <f t="shared" si="43"/>
        <v>-21</v>
      </c>
      <c r="J492" s="743">
        <f t="shared" si="44"/>
        <v>483309</v>
      </c>
      <c r="K492" s="743">
        <f t="shared" si="45"/>
        <v>0</v>
      </c>
      <c r="L492" s="743">
        <f t="shared" si="46"/>
        <v>0</v>
      </c>
      <c r="M492" s="743">
        <f t="shared" si="47"/>
        <v>0</v>
      </c>
      <c r="N492" s="743">
        <f t="shared" si="48"/>
        <v>0</v>
      </c>
    </row>
    <row r="493" spans="1:14" ht="15.6">
      <c r="A493" s="737"/>
      <c r="B493" s="737"/>
      <c r="C493" s="737"/>
      <c r="D493" s="739">
        <v>3237</v>
      </c>
      <c r="E493" s="740">
        <v>45008</v>
      </c>
      <c r="F493" s="745">
        <v>470470</v>
      </c>
      <c r="G493" s="737">
        <v>30</v>
      </c>
      <c r="H493" s="742">
        <f t="shared" si="42"/>
        <v>45038</v>
      </c>
      <c r="I493" s="743">
        <f t="shared" si="43"/>
        <v>-21</v>
      </c>
      <c r="J493" s="743">
        <f t="shared" si="44"/>
        <v>470470</v>
      </c>
      <c r="K493" s="743">
        <f t="shared" si="45"/>
        <v>0</v>
      </c>
      <c r="L493" s="743">
        <f t="shared" si="46"/>
        <v>0</v>
      </c>
      <c r="M493" s="743">
        <f t="shared" si="47"/>
        <v>0</v>
      </c>
      <c r="N493" s="743">
        <f t="shared" si="48"/>
        <v>0</v>
      </c>
    </row>
    <row r="494" spans="1:14" ht="15.6">
      <c r="A494" s="737"/>
      <c r="B494" s="737"/>
      <c r="C494" s="737"/>
      <c r="D494" s="739">
        <v>3267</v>
      </c>
      <c r="E494" s="740">
        <v>45011</v>
      </c>
      <c r="F494" s="745">
        <v>129726</v>
      </c>
      <c r="G494" s="737">
        <v>30</v>
      </c>
      <c r="H494" s="742">
        <f t="shared" si="42"/>
        <v>45041</v>
      </c>
      <c r="I494" s="743">
        <f t="shared" si="43"/>
        <v>-24</v>
      </c>
      <c r="J494" s="743">
        <f t="shared" si="44"/>
        <v>129726</v>
      </c>
      <c r="K494" s="743">
        <f t="shared" si="45"/>
        <v>0</v>
      </c>
      <c r="L494" s="743">
        <f t="shared" si="46"/>
        <v>0</v>
      </c>
      <c r="M494" s="743">
        <f t="shared" si="47"/>
        <v>0</v>
      </c>
      <c r="N494" s="743">
        <f t="shared" si="48"/>
        <v>0</v>
      </c>
    </row>
    <row r="495" spans="1:14" ht="15.6">
      <c r="A495" s="737"/>
      <c r="B495" s="737"/>
      <c r="C495" s="737"/>
      <c r="D495" s="739">
        <v>3303</v>
      </c>
      <c r="E495" s="740">
        <v>45015</v>
      </c>
      <c r="F495" s="745">
        <v>473611</v>
      </c>
      <c r="G495" s="737">
        <v>30</v>
      </c>
      <c r="H495" s="742">
        <f t="shared" si="42"/>
        <v>45045</v>
      </c>
      <c r="I495" s="743">
        <f t="shared" si="43"/>
        <v>-28</v>
      </c>
      <c r="J495" s="743">
        <f t="shared" si="44"/>
        <v>473611</v>
      </c>
      <c r="K495" s="743">
        <f t="shared" si="45"/>
        <v>0</v>
      </c>
      <c r="L495" s="743">
        <f t="shared" si="46"/>
        <v>0</v>
      </c>
      <c r="M495" s="743">
        <f t="shared" si="47"/>
        <v>0</v>
      </c>
      <c r="N495" s="743">
        <f t="shared" si="48"/>
        <v>0</v>
      </c>
    </row>
    <row r="496" spans="1:14" ht="15.6">
      <c r="A496" s="737"/>
      <c r="B496" s="737"/>
      <c r="C496" s="737"/>
      <c r="D496" s="739">
        <v>3312</v>
      </c>
      <c r="E496" s="740">
        <v>45016</v>
      </c>
      <c r="F496" s="745">
        <v>47791</v>
      </c>
      <c r="G496" s="737">
        <v>30</v>
      </c>
      <c r="H496" s="742">
        <f t="shared" si="42"/>
        <v>45046</v>
      </c>
      <c r="I496" s="743">
        <f t="shared" si="43"/>
        <v>-29</v>
      </c>
      <c r="J496" s="743">
        <f t="shared" si="44"/>
        <v>47791</v>
      </c>
      <c r="K496" s="743">
        <f t="shared" si="45"/>
        <v>0</v>
      </c>
      <c r="L496" s="743">
        <f t="shared" si="46"/>
        <v>0</v>
      </c>
      <c r="M496" s="743">
        <f t="shared" si="47"/>
        <v>0</v>
      </c>
      <c r="N496" s="743">
        <f t="shared" si="48"/>
        <v>0</v>
      </c>
    </row>
    <row r="497" spans="1:14" ht="15.6">
      <c r="A497" s="737"/>
      <c r="B497" s="737"/>
      <c r="C497" s="737"/>
      <c r="D497" s="739" t="s">
        <v>1094</v>
      </c>
      <c r="E497" s="740">
        <v>45016</v>
      </c>
      <c r="F497" s="745">
        <v>-190549</v>
      </c>
      <c r="G497" s="737">
        <v>30</v>
      </c>
      <c r="H497" s="742">
        <f t="shared" si="42"/>
        <v>45046</v>
      </c>
      <c r="I497" s="743">
        <f t="shared" si="43"/>
        <v>-29</v>
      </c>
      <c r="J497" s="743">
        <f t="shared" si="44"/>
        <v>-190549</v>
      </c>
      <c r="K497" s="743">
        <f t="shared" si="45"/>
        <v>0</v>
      </c>
      <c r="L497" s="743">
        <f t="shared" si="46"/>
        <v>0</v>
      </c>
      <c r="M497" s="743">
        <f t="shared" si="47"/>
        <v>0</v>
      </c>
      <c r="N497" s="743">
        <f t="shared" si="48"/>
        <v>0</v>
      </c>
    </row>
    <row r="498" spans="1:14" ht="15.6">
      <c r="A498" s="737"/>
      <c r="B498" s="737"/>
      <c r="C498" s="737"/>
      <c r="D498" s="739" t="s">
        <v>2604</v>
      </c>
      <c r="E498" s="740">
        <v>45016</v>
      </c>
      <c r="F498" s="745">
        <v>-16275</v>
      </c>
      <c r="G498" s="737">
        <v>30</v>
      </c>
      <c r="H498" s="742">
        <f t="shared" si="42"/>
        <v>45046</v>
      </c>
      <c r="I498" s="743">
        <f t="shared" si="43"/>
        <v>-29</v>
      </c>
      <c r="J498" s="743">
        <f t="shared" si="44"/>
        <v>-16275</v>
      </c>
      <c r="K498" s="743">
        <f t="shared" si="45"/>
        <v>0</v>
      </c>
      <c r="L498" s="743">
        <f t="shared" si="46"/>
        <v>0</v>
      </c>
      <c r="M498" s="743">
        <f t="shared" si="47"/>
        <v>0</v>
      </c>
      <c r="N498" s="743">
        <f t="shared" si="48"/>
        <v>0</v>
      </c>
    </row>
    <row r="499" spans="1:14" ht="15.6">
      <c r="A499" s="737"/>
      <c r="B499" s="737"/>
      <c r="C499" s="737"/>
      <c r="D499" s="739" t="s">
        <v>2604</v>
      </c>
      <c r="E499" s="740">
        <v>45016</v>
      </c>
      <c r="F499" s="745">
        <v>-17027</v>
      </c>
      <c r="G499" s="737">
        <v>30</v>
      </c>
      <c r="H499" s="742">
        <f t="shared" si="42"/>
        <v>45046</v>
      </c>
      <c r="I499" s="743">
        <f t="shared" si="43"/>
        <v>-29</v>
      </c>
      <c r="J499" s="743">
        <f t="shared" si="44"/>
        <v>-17027</v>
      </c>
      <c r="K499" s="743">
        <f t="shared" si="45"/>
        <v>0</v>
      </c>
      <c r="L499" s="743">
        <f t="shared" si="46"/>
        <v>0</v>
      </c>
      <c r="M499" s="743">
        <f t="shared" si="47"/>
        <v>0</v>
      </c>
      <c r="N499" s="743">
        <f t="shared" si="48"/>
        <v>0</v>
      </c>
    </row>
    <row r="500" spans="1:14" ht="15.6">
      <c r="A500" s="737"/>
      <c r="B500" s="737"/>
      <c r="C500" s="737"/>
      <c r="D500" s="739" t="s">
        <v>2604</v>
      </c>
      <c r="E500" s="740">
        <v>45016</v>
      </c>
      <c r="F500" s="745">
        <f>-16384-0.5</f>
        <v>-16384.5</v>
      </c>
      <c r="G500" s="737">
        <v>30</v>
      </c>
      <c r="H500" s="742">
        <f t="shared" si="42"/>
        <v>45046</v>
      </c>
      <c r="I500" s="743">
        <f t="shared" si="43"/>
        <v>-29</v>
      </c>
      <c r="J500" s="743">
        <f t="shared" si="44"/>
        <v>-16384.5</v>
      </c>
      <c r="K500" s="743">
        <f t="shared" si="45"/>
        <v>0</v>
      </c>
      <c r="L500" s="743">
        <f t="shared" si="46"/>
        <v>0</v>
      </c>
      <c r="M500" s="743">
        <f t="shared" si="47"/>
        <v>0</v>
      </c>
      <c r="N500" s="743">
        <f t="shared" si="48"/>
        <v>0</v>
      </c>
    </row>
    <row r="501" spans="1:14" ht="15.6">
      <c r="A501" s="737"/>
      <c r="B501" s="737"/>
      <c r="C501" s="737"/>
      <c r="D501" s="739"/>
      <c r="E501" s="740">
        <v>45016</v>
      </c>
      <c r="F501" s="745">
        <v>-185350</v>
      </c>
      <c r="G501" s="737">
        <v>30</v>
      </c>
      <c r="H501" s="742">
        <f t="shared" si="42"/>
        <v>45046</v>
      </c>
      <c r="I501" s="743">
        <f t="shared" si="43"/>
        <v>-29</v>
      </c>
      <c r="J501" s="743">
        <f t="shared" si="44"/>
        <v>-185350</v>
      </c>
      <c r="K501" s="743">
        <f t="shared" si="45"/>
        <v>0</v>
      </c>
      <c r="L501" s="743">
        <f t="shared" si="46"/>
        <v>0</v>
      </c>
      <c r="M501" s="743">
        <f t="shared" si="47"/>
        <v>0</v>
      </c>
      <c r="N501" s="743">
        <f t="shared" si="48"/>
        <v>0</v>
      </c>
    </row>
    <row r="502" spans="1:14" ht="15.6">
      <c r="A502" s="737"/>
      <c r="B502" s="737"/>
      <c r="C502" s="737"/>
      <c r="D502" s="739"/>
      <c r="E502" s="740"/>
      <c r="F502" s="746">
        <f>SUM(F436:F501)</f>
        <v>22024572.5</v>
      </c>
      <c r="G502" s="737"/>
      <c r="H502" s="742"/>
      <c r="I502" s="743"/>
      <c r="J502" s="743"/>
      <c r="K502" s="743"/>
      <c r="L502" s="743"/>
      <c r="M502" s="743"/>
      <c r="N502" s="743"/>
    </row>
    <row r="503" spans="1:14" ht="15.6">
      <c r="A503" s="838"/>
      <c r="B503" s="838"/>
      <c r="C503" s="838"/>
      <c r="D503" s="839"/>
      <c r="E503" s="840"/>
      <c r="F503" s="841"/>
      <c r="G503" s="838"/>
      <c r="H503" s="842"/>
      <c r="I503" s="843"/>
      <c r="J503" s="843"/>
      <c r="K503" s="843"/>
      <c r="L503" s="843"/>
      <c r="M503" s="843"/>
      <c r="N503" s="843"/>
    </row>
    <row r="504" spans="1:14" ht="15.6">
      <c r="A504" s="838">
        <v>21</v>
      </c>
      <c r="B504" s="838" t="s">
        <v>2619</v>
      </c>
      <c r="C504" s="838"/>
      <c r="D504" s="839"/>
      <c r="E504" s="840"/>
      <c r="F504" s="843">
        <v>-33034</v>
      </c>
      <c r="G504" s="838"/>
      <c r="H504" s="842"/>
      <c r="I504" s="843"/>
      <c r="J504" s="743">
        <f t="shared" ref="J504:J505" si="49">IF(I504&lt;=30,F504,0)</f>
        <v>-33034</v>
      </c>
      <c r="K504" s="843"/>
      <c r="L504" s="843"/>
      <c r="M504" s="843"/>
      <c r="N504" s="843"/>
    </row>
    <row r="505" spans="1:14" ht="15.6">
      <c r="A505" s="838">
        <v>22</v>
      </c>
      <c r="B505" s="838" t="s">
        <v>2620</v>
      </c>
      <c r="C505" s="838"/>
      <c r="D505" s="839"/>
      <c r="E505" s="840"/>
      <c r="F505" s="843">
        <v>-7528</v>
      </c>
      <c r="G505" s="838"/>
      <c r="H505" s="842"/>
      <c r="I505" s="843"/>
      <c r="J505" s="743">
        <f t="shared" si="49"/>
        <v>-7528</v>
      </c>
      <c r="K505" s="843"/>
      <c r="L505" s="843"/>
      <c r="M505" s="843"/>
      <c r="N505" s="843"/>
    </row>
    <row r="506" spans="1:14">
      <c r="A506" s="737"/>
      <c r="B506" s="737"/>
      <c r="C506" s="737"/>
      <c r="D506" s="737"/>
      <c r="E506" s="742"/>
      <c r="F506" s="743"/>
      <c r="G506" s="737"/>
      <c r="H506" s="742">
        <f>+E506+G506</f>
        <v>0</v>
      </c>
      <c r="I506" s="743">
        <f>+$Q$1-H506+1</f>
        <v>45017</v>
      </c>
      <c r="J506" s="743">
        <f>IF(I506&lt;=30,F506,0)</f>
        <v>0</v>
      </c>
      <c r="K506" s="743">
        <f>IF(I506&lt;=30,0,IF(I506&gt;60,0,F506))</f>
        <v>0</v>
      </c>
      <c r="L506" s="743">
        <f>IF(I506&lt;=60,0,IF(I506&gt;90,0,F506))</f>
        <v>0</v>
      </c>
      <c r="M506" s="743">
        <f>IF(I506&lt;=90,0,IF(I506&gt;120,0,F506))</f>
        <v>0</v>
      </c>
      <c r="N506" s="743">
        <f>IF(I506&lt;=120,0,F506)</f>
        <v>0</v>
      </c>
    </row>
    <row r="507" spans="1:14">
      <c r="A507" s="737"/>
      <c r="B507" s="737"/>
      <c r="C507" s="737"/>
      <c r="D507" s="737"/>
      <c r="E507" s="742"/>
      <c r="F507" s="743"/>
      <c r="G507" s="737"/>
      <c r="H507" s="742">
        <f>+E507+G507</f>
        <v>0</v>
      </c>
      <c r="I507" s="743">
        <f>+$Q$1-H507+1</f>
        <v>45017</v>
      </c>
      <c r="J507" s="743">
        <f>IF(I507&lt;=30,F507,0)</f>
        <v>0</v>
      </c>
      <c r="K507" s="743">
        <f>IF(I507&lt;=30,0,IF(I507&gt;60,0,F507))</f>
        <v>0</v>
      </c>
      <c r="L507" s="743">
        <f>IF(I507&lt;=60,0,IF(I507&gt;90,0,F507))</f>
        <v>0</v>
      </c>
      <c r="M507" s="743">
        <f>IF(I507&lt;=90,0,IF(I507&gt;120,0,F507))</f>
        <v>0</v>
      </c>
      <c r="N507" s="743">
        <f>IF(I507&lt;=120,0,F507)</f>
        <v>0</v>
      </c>
    </row>
    <row r="508" spans="1:14" s="761" customFormat="1" ht="21.75" customHeight="1">
      <c r="A508" s="757"/>
      <c r="B508" s="758" t="s">
        <v>824</v>
      </c>
      <c r="C508" s="757"/>
      <c r="D508" s="758"/>
      <c r="E508" s="759"/>
      <c r="F508" s="760">
        <f>+F10+F72+F76+F85+F137+F146+F152+F156+F160+F255+F262+F269+F277+F386+F389+F394+F423+F429+F434+F502+F504+F505</f>
        <v>115802242</v>
      </c>
      <c r="G508" s="760"/>
      <c r="H508" s="759"/>
      <c r="I508" s="760"/>
      <c r="J508" s="760">
        <f>SUM(J7:J507)</f>
        <v>113018888</v>
      </c>
      <c r="K508" s="760">
        <f>SUM(K7:K507)</f>
        <v>2747779</v>
      </c>
      <c r="L508" s="760">
        <f>SUM(L7:L507)</f>
        <v>0</v>
      </c>
      <c r="M508" s="760">
        <f>SUM(M7:M507)</f>
        <v>0</v>
      </c>
      <c r="N508" s="760">
        <f>SUM(N7:N507)</f>
        <v>35575</v>
      </c>
    </row>
    <row r="509" spans="1:14">
      <c r="B509" s="762"/>
      <c r="C509" s="763"/>
      <c r="D509" s="728"/>
      <c r="E509" s="764"/>
      <c r="F509" s="765"/>
      <c r="G509" s="766"/>
      <c r="H509" s="764"/>
      <c r="I509" s="728"/>
      <c r="J509" s="728"/>
    </row>
    <row r="510" spans="1:14">
      <c r="B510" s="762"/>
      <c r="C510" s="763"/>
      <c r="D510" s="728"/>
      <c r="E510" s="767"/>
      <c r="F510" s="765"/>
      <c r="G510" s="766"/>
      <c r="H510" s="764"/>
      <c r="I510" s="728"/>
      <c r="J510" s="728"/>
    </row>
    <row r="511" spans="1:14">
      <c r="B511" s="762"/>
      <c r="C511" s="763"/>
      <c r="D511" s="728"/>
      <c r="E511" s="767"/>
      <c r="F511" s="768"/>
      <c r="G511" s="766"/>
      <c r="H511" s="764"/>
      <c r="I511" s="728"/>
      <c r="J511" s="728"/>
    </row>
    <row r="512" spans="1:14">
      <c r="B512" s="762"/>
      <c r="C512" s="763"/>
      <c r="D512" s="728"/>
      <c r="E512" s="769"/>
      <c r="F512" s="765"/>
      <c r="G512" s="766"/>
      <c r="H512" s="764"/>
      <c r="I512" s="728"/>
      <c r="J512" s="728"/>
    </row>
    <row r="513" spans="2:14">
      <c r="B513" s="762"/>
      <c r="C513" s="763"/>
      <c r="D513" s="728"/>
      <c r="E513" s="767"/>
      <c r="F513" s="765"/>
      <c r="G513" s="766"/>
      <c r="H513" s="764"/>
      <c r="I513" s="728"/>
      <c r="J513" s="728"/>
    </row>
    <row r="514" spans="2:14">
      <c r="B514" s="762"/>
      <c r="C514" s="763"/>
      <c r="D514" s="728"/>
      <c r="E514" s="767"/>
      <c r="F514" s="768"/>
      <c r="G514" s="766"/>
      <c r="H514" s="764"/>
      <c r="I514" s="728"/>
      <c r="J514" s="770"/>
    </row>
    <row r="515" spans="2:14">
      <c r="B515" s="762"/>
      <c r="C515" s="763"/>
      <c r="D515" s="728"/>
      <c r="E515" s="764"/>
      <c r="F515" s="765"/>
      <c r="G515" s="766"/>
      <c r="H515" s="764"/>
      <c r="I515" s="728"/>
      <c r="J515" s="728"/>
    </row>
    <row r="516" spans="2:14">
      <c r="B516" s="762"/>
      <c r="C516" s="763"/>
      <c r="D516" s="728"/>
      <c r="E516" s="764"/>
      <c r="F516" s="765"/>
      <c r="G516" s="766"/>
      <c r="H516" s="764"/>
      <c r="I516" s="728"/>
      <c r="J516" s="728"/>
    </row>
    <row r="517" spans="2:14">
      <c r="B517" s="762"/>
      <c r="C517" s="763"/>
      <c r="D517" s="728"/>
      <c r="E517" s="764"/>
      <c r="F517" s="765"/>
      <c r="G517" s="766"/>
      <c r="H517" s="764"/>
      <c r="I517" s="728"/>
      <c r="J517" s="728"/>
    </row>
    <row r="518" spans="2:14">
      <c r="B518" s="762"/>
      <c r="C518" s="2549" t="s">
        <v>2605</v>
      </c>
      <c r="D518" s="2549"/>
      <c r="E518" s="2549"/>
      <c r="F518" s="771"/>
      <c r="G518" s="772"/>
      <c r="H518" s="773"/>
      <c r="I518" s="774"/>
      <c r="J518" s="773"/>
      <c r="K518" s="773"/>
      <c r="L518" s="773"/>
      <c r="M518" s="773"/>
      <c r="N518" s="773"/>
    </row>
    <row r="519" spans="2:14">
      <c r="B519" s="762"/>
      <c r="C519" s="2550" t="s">
        <v>2606</v>
      </c>
      <c r="D519" s="2550"/>
      <c r="E519" s="2550"/>
      <c r="F519" s="775">
        <f>SUMIF($E$7:$E$507,C519,$H$7:$H$507)</f>
        <v>0</v>
      </c>
      <c r="G519" s="776" t="e">
        <f t="shared" ref="G519:G525" si="50">F519/$H$528%</f>
        <v>#DIV/0!</v>
      </c>
      <c r="H519" s="777"/>
      <c r="I519" s="778"/>
      <c r="J519" s="776">
        <f t="shared" ref="J519:J524" si="51">SUMIF($E$7:$E$507,C519,$L$7:$L$507)</f>
        <v>0</v>
      </c>
      <c r="K519" s="776">
        <f t="shared" ref="K519:K524" si="52">SUMIF($E$7:$E$507,C519,$M$7:$M$507)</f>
        <v>0</v>
      </c>
      <c r="L519" s="776">
        <f t="shared" ref="L519:L524" si="53">SUMIF($E$7:$E$507,$E519,$N$7:$N$507)</f>
        <v>0</v>
      </c>
      <c r="M519" s="776">
        <f t="shared" ref="M519:M524" si="54">SUMIF($E$7:$E$507,$E519,$O$7:$O$507)</f>
        <v>0</v>
      </c>
      <c r="N519" s="776">
        <f t="shared" ref="N519:N524" si="55">SUMIF($E$7:$E$507,$E519,$P$7:$P$507)</f>
        <v>0</v>
      </c>
    </row>
    <row r="520" spans="2:14">
      <c r="B520" s="762"/>
      <c r="C520" s="2550" t="s">
        <v>2607</v>
      </c>
      <c r="D520" s="2550"/>
      <c r="E520" s="2550"/>
      <c r="F520" s="775">
        <f>SUMIF($E$7:$E$507,C520,$H$7:$H$507)</f>
        <v>0</v>
      </c>
      <c r="G520" s="779" t="e">
        <f t="shared" si="50"/>
        <v>#DIV/0!</v>
      </c>
      <c r="H520" s="777"/>
      <c r="I520" s="778"/>
      <c r="J520" s="776">
        <f t="shared" si="51"/>
        <v>0</v>
      </c>
      <c r="K520" s="776">
        <f t="shared" si="52"/>
        <v>0</v>
      </c>
      <c r="L520" s="776">
        <f t="shared" si="53"/>
        <v>0</v>
      </c>
      <c r="M520" s="776">
        <f t="shared" si="54"/>
        <v>0</v>
      </c>
      <c r="N520" s="776">
        <f t="shared" si="55"/>
        <v>0</v>
      </c>
    </row>
    <row r="521" spans="2:14">
      <c r="B521" s="762"/>
      <c r="C521" s="2550"/>
      <c r="D521" s="2550"/>
      <c r="E521" s="2550"/>
      <c r="F521" s="775">
        <f>SUMIF($E$7:$E$507,C521,$G$7:$G$507)</f>
        <v>0</v>
      </c>
      <c r="G521" s="779" t="e">
        <f t="shared" si="50"/>
        <v>#DIV/0!</v>
      </c>
      <c r="H521" s="777"/>
      <c r="I521" s="778"/>
      <c r="J521" s="776">
        <f t="shared" si="51"/>
        <v>0</v>
      </c>
      <c r="K521" s="776">
        <f t="shared" si="52"/>
        <v>0</v>
      </c>
      <c r="L521" s="776">
        <f t="shared" si="53"/>
        <v>0</v>
      </c>
      <c r="M521" s="776">
        <f t="shared" si="54"/>
        <v>0</v>
      </c>
      <c r="N521" s="776">
        <f t="shared" si="55"/>
        <v>0</v>
      </c>
    </row>
    <row r="522" spans="2:14">
      <c r="B522" s="762"/>
      <c r="C522" s="2550"/>
      <c r="D522" s="2550"/>
      <c r="E522" s="2550"/>
      <c r="F522" s="775">
        <f>SUMIF($E$7:$E$507,C522,$G$7:$G$507)</f>
        <v>0</v>
      </c>
      <c r="G522" s="779" t="e">
        <f t="shared" si="50"/>
        <v>#DIV/0!</v>
      </c>
      <c r="H522" s="777"/>
      <c r="I522" s="778"/>
      <c r="J522" s="776">
        <f t="shared" si="51"/>
        <v>0</v>
      </c>
      <c r="K522" s="776">
        <f t="shared" si="52"/>
        <v>0</v>
      </c>
      <c r="L522" s="776">
        <f t="shared" si="53"/>
        <v>0</v>
      </c>
      <c r="M522" s="776">
        <f t="shared" si="54"/>
        <v>0</v>
      </c>
      <c r="N522" s="776">
        <f t="shared" si="55"/>
        <v>0</v>
      </c>
    </row>
    <row r="523" spans="2:14">
      <c r="B523" s="762"/>
      <c r="C523" s="2550"/>
      <c r="D523" s="2550"/>
      <c r="E523" s="2550"/>
      <c r="F523" s="775">
        <f>SUMIF($E$7:$E$507,C523,$G$7:$G$507)</f>
        <v>0</v>
      </c>
      <c r="G523" s="779" t="e">
        <f t="shared" si="50"/>
        <v>#DIV/0!</v>
      </c>
      <c r="H523" s="777"/>
      <c r="I523" s="778"/>
      <c r="J523" s="776">
        <f t="shared" si="51"/>
        <v>0</v>
      </c>
      <c r="K523" s="776">
        <f t="shared" si="52"/>
        <v>0</v>
      </c>
      <c r="L523" s="776">
        <f t="shared" si="53"/>
        <v>0</v>
      </c>
      <c r="M523" s="776">
        <f t="shared" si="54"/>
        <v>0</v>
      </c>
      <c r="N523" s="776">
        <f t="shared" si="55"/>
        <v>0</v>
      </c>
    </row>
    <row r="524" spans="2:14">
      <c r="B524" s="762"/>
      <c r="C524" s="2550"/>
      <c r="D524" s="2550"/>
      <c r="E524" s="2550"/>
      <c r="F524" s="775">
        <f>SUMIF($E$7:$E$507,C524,$G$7:$G$507)</f>
        <v>0</v>
      </c>
      <c r="G524" s="779" t="e">
        <f t="shared" si="50"/>
        <v>#DIV/0!</v>
      </c>
      <c r="H524" s="777"/>
      <c r="I524" s="778"/>
      <c r="J524" s="776">
        <f t="shared" si="51"/>
        <v>0</v>
      </c>
      <c r="K524" s="776">
        <f t="shared" si="52"/>
        <v>0</v>
      </c>
      <c r="L524" s="776">
        <f t="shared" si="53"/>
        <v>0</v>
      </c>
      <c r="M524" s="776">
        <f t="shared" si="54"/>
        <v>0</v>
      </c>
      <c r="N524" s="776">
        <f t="shared" si="55"/>
        <v>0</v>
      </c>
    </row>
    <row r="525" spans="2:14">
      <c r="B525" s="762"/>
      <c r="C525" s="2550"/>
      <c r="D525" s="2550"/>
      <c r="E525" s="2550"/>
      <c r="F525" s="775">
        <f>SUMIF($E$7:$E$507,C525,$G$7:$G$507)</f>
        <v>0</v>
      </c>
      <c r="G525" s="779" t="e">
        <f t="shared" si="50"/>
        <v>#DIV/0!</v>
      </c>
      <c r="H525" s="777"/>
      <c r="I525" s="778"/>
      <c r="J525" s="777"/>
      <c r="K525" s="777"/>
      <c r="L525" s="777"/>
      <c r="M525" s="777"/>
      <c r="N525" s="777"/>
    </row>
    <row r="526" spans="2:14">
      <c r="B526" s="762"/>
      <c r="D526" s="780"/>
      <c r="E526" s="728"/>
      <c r="F526" s="781"/>
      <c r="G526" s="766"/>
      <c r="H526" s="781"/>
      <c r="I526" s="774"/>
      <c r="J526" s="781"/>
      <c r="K526" s="781"/>
      <c r="L526" s="781"/>
      <c r="M526" s="781"/>
      <c r="N526" s="781"/>
    </row>
    <row r="527" spans="2:14">
      <c r="B527" s="762"/>
      <c r="D527" s="780"/>
      <c r="E527" s="728"/>
      <c r="F527" s="781"/>
      <c r="G527" s="766"/>
      <c r="H527" s="781"/>
      <c r="I527" s="774"/>
      <c r="J527" s="781"/>
      <c r="K527" s="781"/>
      <c r="L527" s="781"/>
      <c r="M527" s="781"/>
      <c r="N527" s="781"/>
    </row>
    <row r="528" spans="2:14">
      <c r="B528" s="762"/>
      <c r="C528" s="2551" t="s">
        <v>2608</v>
      </c>
      <c r="D528" s="2551"/>
      <c r="E528" s="2551"/>
      <c r="F528" s="782">
        <f>SUM(F7:F507)</f>
        <v>231645046</v>
      </c>
      <c r="G528" s="783"/>
      <c r="H528" s="784"/>
      <c r="I528" s="785"/>
      <c r="J528" s="782">
        <f>SUM(J7:J507)</f>
        <v>113018888</v>
      </c>
      <c r="K528" s="782">
        <f>SUM(K7:K507)</f>
        <v>2747779</v>
      </c>
      <c r="L528" s="782">
        <f>SUM(L7:L507)</f>
        <v>0</v>
      </c>
      <c r="M528" s="782">
        <f>SUM(M7:M507)</f>
        <v>0</v>
      </c>
      <c r="N528" s="782">
        <f>SUM(N7:N507)</f>
        <v>35575</v>
      </c>
    </row>
    <row r="529" spans="2:14">
      <c r="B529" s="762"/>
      <c r="C529" s="786"/>
      <c r="D529" s="787"/>
      <c r="E529" s="788"/>
      <c r="F529" s="777"/>
      <c r="G529" s="776"/>
      <c r="H529" s="777"/>
      <c r="I529" s="778"/>
      <c r="J529" s="777"/>
      <c r="K529" s="777"/>
      <c r="L529" s="777"/>
      <c r="M529" s="777"/>
      <c r="N529" s="777"/>
    </row>
    <row r="530" spans="2:14">
      <c r="B530" s="762"/>
      <c r="C530" s="2547" t="s">
        <v>2609</v>
      </c>
      <c r="D530" s="2547"/>
      <c r="E530" s="2547"/>
      <c r="F530" s="789">
        <f>SUM(F7:F507)-SUM(F519:F525)</f>
        <v>231645046</v>
      </c>
      <c r="G530" s="790"/>
      <c r="H530" s="791"/>
      <c r="I530" s="792"/>
      <c r="J530" s="789">
        <f>SUM(J7:J507)-SUM(J519:J525)</f>
        <v>113018888</v>
      </c>
      <c r="K530" s="789">
        <f>SUM(K7:K507)-SUM(K519:K525)</f>
        <v>2747779</v>
      </c>
      <c r="L530" s="789">
        <f>SUM(L7:L507)-SUM(L519:L525)</f>
        <v>0</v>
      </c>
      <c r="M530" s="789">
        <f>SUM(M7:M507)-SUM(M519:M525)</f>
        <v>0</v>
      </c>
      <c r="N530" s="789">
        <f>SUM(N7:N507)-SUM(N519:N525)</f>
        <v>35575</v>
      </c>
    </row>
  </sheetData>
  <autoFilter ref="J6:N508" xr:uid="{00000000-0009-0000-0000-000013000000}"/>
  <customSheetViews>
    <customSheetView guid="{ADEA4918-0326-423A-8D00-FB47A486004B}" scale="85" showAutoFilter="1" state="hidden" topLeftCell="A483">
      <selection activeCell="H46" sqref="H46"/>
      <pageMargins left="0.7" right="0.7" top="0.75" bottom="0.75" header="0.3" footer="0.3"/>
      <pageSetup scale="42" orientation="portrait" r:id="rId1"/>
      <autoFilter ref="J6:N508" xr:uid="{60C4F32A-9FD6-499C-9D14-2A0D1F39BDD0}"/>
    </customSheetView>
    <customSheetView guid="{2A78E287-3113-4387-BB62-BE98FA5C13C2}" scale="85" showAutoFilter="1" topLeftCell="A483">
      <selection activeCell="H46" sqref="H46"/>
      <pageMargins left="0.7" right="0.7" top="0.75" bottom="0.75" header="0.3" footer="0.3"/>
      <pageSetup scale="42" orientation="portrait" r:id="rId2"/>
      <autoFilter ref="J6:N508" xr:uid="{3C88841A-6C26-4EAD-B910-F444D4C503D6}"/>
    </customSheetView>
    <customSheetView guid="{DC5DA12B-0FA6-4F41-A983-6E433AD4604D}" scale="85" showAutoFilter="1" topLeftCell="A483">
      <selection activeCell="H46" sqref="H46"/>
      <pageMargins left="0.7" right="0.7" top="0.75" bottom="0.75" header="0.3" footer="0.3"/>
      <pageSetup scale="42" orientation="portrait" r:id="rId3"/>
      <autoFilter ref="J6:N508" xr:uid="{EA600257-3BEA-4553-ADD0-9EAD8F3F846E}"/>
    </customSheetView>
  </customSheetViews>
  <mergeCells count="22">
    <mergeCell ref="A1:N1"/>
    <mergeCell ref="A3:N3"/>
    <mergeCell ref="A5:A6"/>
    <mergeCell ref="B5:B6"/>
    <mergeCell ref="C5:C6"/>
    <mergeCell ref="D5:D6"/>
    <mergeCell ref="E5:E6"/>
    <mergeCell ref="F5:F6"/>
    <mergeCell ref="G5:G6"/>
    <mergeCell ref="H5:H6"/>
    <mergeCell ref="C530:E530"/>
    <mergeCell ref="I5:I6"/>
    <mergeCell ref="J5:N5"/>
    <mergeCell ref="C518:E518"/>
    <mergeCell ref="C519:E519"/>
    <mergeCell ref="C520:E520"/>
    <mergeCell ref="C521:E521"/>
    <mergeCell ref="C522:E522"/>
    <mergeCell ref="C523:E523"/>
    <mergeCell ref="C524:E524"/>
    <mergeCell ref="C525:E525"/>
    <mergeCell ref="C528:E528"/>
  </mergeCells>
  <pageMargins left="0.7" right="0.7" top="0.75" bottom="0.75" header="0.3" footer="0.3"/>
  <pageSetup scale="42"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23"/>
  <sheetViews>
    <sheetView workbookViewId="0">
      <selection activeCell="H46" sqref="H46"/>
    </sheetView>
  </sheetViews>
  <sheetFormatPr defaultRowHeight="14.4"/>
  <cols>
    <col min="2" max="2" width="41" customWidth="1"/>
    <col min="3" max="3" width="14.88671875" bestFit="1" customWidth="1"/>
  </cols>
  <sheetData>
    <row r="2" spans="2:3">
      <c r="B2" s="134" t="s">
        <v>2496</v>
      </c>
    </row>
    <row r="4" spans="2:3">
      <c r="B4" s="377" t="s">
        <v>463</v>
      </c>
      <c r="C4" s="377" t="s">
        <v>2036</v>
      </c>
    </row>
    <row r="5" spans="2:3">
      <c r="B5" s="140" t="s">
        <v>2497</v>
      </c>
      <c r="C5" s="692">
        <f>+BSPL!G30</f>
        <v>26922650</v>
      </c>
    </row>
    <row r="6" spans="2:3">
      <c r="B6" s="140" t="s">
        <v>2498</v>
      </c>
      <c r="C6" s="692">
        <f>+BSPL!G162</f>
        <v>8664946</v>
      </c>
    </row>
    <row r="7" spans="2:3" ht="28.8">
      <c r="B7" s="538" t="s">
        <v>2499</v>
      </c>
      <c r="C7" s="692">
        <f>+BSPL!G155+BSPL!G169+BSPL!G192</f>
        <v>99795078.627194807</v>
      </c>
    </row>
    <row r="8" spans="2:3" ht="28.8">
      <c r="B8" s="538" t="s">
        <v>2500</v>
      </c>
      <c r="C8" s="692">
        <f>+BSPL!G391-BSPL!G384</f>
        <v>108373228</v>
      </c>
    </row>
    <row r="9" spans="2:3">
      <c r="B9" s="135" t="s">
        <v>2501</v>
      </c>
      <c r="C9" s="693">
        <f>SUM(C5:C8)</f>
        <v>243755902.62719482</v>
      </c>
    </row>
    <row r="10" spans="2:3">
      <c r="B10" s="140" t="s">
        <v>2482</v>
      </c>
      <c r="C10" s="692">
        <v>0</v>
      </c>
    </row>
    <row r="11" spans="2:3">
      <c r="B11" s="140" t="s">
        <v>2502</v>
      </c>
      <c r="C11" s="692">
        <v>0</v>
      </c>
    </row>
    <row r="12" spans="2:3">
      <c r="B12" s="140" t="s">
        <v>2503</v>
      </c>
      <c r="C12" s="692">
        <v>0</v>
      </c>
    </row>
    <row r="13" spans="2:3">
      <c r="B13" s="135" t="s">
        <v>2504</v>
      </c>
      <c r="C13" s="693">
        <f>SUM(C10:C12)</f>
        <v>0</v>
      </c>
    </row>
    <row r="14" spans="2:3">
      <c r="B14" s="135" t="s">
        <v>2505</v>
      </c>
      <c r="C14" s="693">
        <f>+C9-C13</f>
        <v>243755902.62719482</v>
      </c>
    </row>
    <row r="16" spans="2:3">
      <c r="B16" s="134" t="s">
        <v>2508</v>
      </c>
    </row>
    <row r="18" spans="2:3">
      <c r="B18" t="s">
        <v>2509</v>
      </c>
      <c r="C18" s="410">
        <v>8400000</v>
      </c>
    </row>
    <row r="19" spans="2:3">
      <c r="B19" t="s">
        <v>2510</v>
      </c>
      <c r="C19" s="694">
        <f>+SUM('Dir Rem'!C17:F17)</f>
        <v>4800000</v>
      </c>
    </row>
    <row r="20" spans="2:3">
      <c r="B20" s="689" t="s">
        <v>2512</v>
      </c>
      <c r="C20" s="691">
        <f>+IF(C19&gt;C18,C19-C18,0)</f>
        <v>0</v>
      </c>
    </row>
    <row r="21" spans="2:3">
      <c r="B21" t="s">
        <v>2511</v>
      </c>
      <c r="C21" s="410">
        <v>0</v>
      </c>
    </row>
    <row r="22" spans="2:3">
      <c r="B22" t="s">
        <v>2510</v>
      </c>
      <c r="C22" s="694">
        <v>0</v>
      </c>
    </row>
    <row r="23" spans="2:3">
      <c r="B23" s="689" t="s">
        <v>2512</v>
      </c>
      <c r="C23" s="793">
        <f>+IF(C22&gt;C21,C22-C21,0)</f>
        <v>0</v>
      </c>
    </row>
  </sheetData>
  <customSheetViews>
    <customSheetView guid="{ADEA4918-0326-423A-8D00-FB47A486004B}" state="hidden">
      <selection activeCell="H46" sqref="H46"/>
      <pageMargins left="0.7" right="0.7" top="0.75" bottom="0.75" header="0.3" footer="0.3"/>
    </customSheetView>
    <customSheetView guid="{2A78E287-3113-4387-BB62-BE98FA5C13C2}">
      <selection activeCell="H46" sqref="H46"/>
      <pageMargins left="0.7" right="0.7" top="0.75" bottom="0.75" header="0.3" footer="0.3"/>
    </customSheetView>
    <customSheetView guid="{DC5DA12B-0FA6-4F41-A983-6E433AD4604D}">
      <selection activeCell="H46" sqref="H46"/>
      <pageMargins left="0.7" right="0.7" top="0.75" bottom="0.75" header="0.3" footer="0.3"/>
    </customSheetView>
  </customSheetView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B2:M17"/>
  <sheetViews>
    <sheetView workbookViewId="0">
      <selection activeCell="H46" sqref="H46"/>
    </sheetView>
  </sheetViews>
  <sheetFormatPr defaultRowHeight="14.4"/>
  <cols>
    <col min="2" max="2" width="7.5546875" bestFit="1" customWidth="1"/>
    <col min="3" max="3" width="10.109375" style="1" bestFit="1" customWidth="1"/>
    <col min="4" max="4" width="14.33203125" style="1" bestFit="1" customWidth="1"/>
    <col min="5" max="5" width="13.33203125" style="1" customWidth="1"/>
    <col min="6" max="6" width="11.6640625" style="1" bestFit="1" customWidth="1"/>
    <col min="7" max="7" width="10" style="1" bestFit="1" customWidth="1"/>
    <col min="8" max="8" width="10.109375" bestFit="1" customWidth="1"/>
    <col min="9" max="9" width="14.6640625" customWidth="1"/>
    <col min="10" max="10" width="14.33203125" customWidth="1"/>
    <col min="11" max="11" width="11.33203125" bestFit="1" customWidth="1"/>
    <col min="12" max="12" width="9.6640625" bestFit="1" customWidth="1"/>
    <col min="13" max="13" width="14.33203125" customWidth="1"/>
  </cols>
  <sheetData>
    <row r="2" spans="2:13">
      <c r="B2" s="2557" t="s">
        <v>2571</v>
      </c>
      <c r="C2" s="2560" t="s">
        <v>2494</v>
      </c>
      <c r="D2" s="2560"/>
      <c r="E2" s="2560"/>
      <c r="F2" s="2560"/>
      <c r="G2" s="2560"/>
      <c r="H2" s="2228" t="s">
        <v>2495</v>
      </c>
      <c r="I2" s="2228"/>
      <c r="J2" s="2228"/>
      <c r="K2" s="2228"/>
      <c r="L2" s="2228"/>
      <c r="M2" s="2561" t="s">
        <v>2570</v>
      </c>
    </row>
    <row r="3" spans="2:13" s="150" customFormat="1" ht="43.2">
      <c r="B3" s="2558"/>
      <c r="C3" s="690" t="s">
        <v>2491</v>
      </c>
      <c r="D3" s="690" t="s">
        <v>2492</v>
      </c>
      <c r="E3" s="690" t="s">
        <v>872</v>
      </c>
      <c r="F3" s="690" t="s">
        <v>2493</v>
      </c>
      <c r="G3" s="2562" t="s">
        <v>824</v>
      </c>
      <c r="H3" s="690" t="s">
        <v>2491</v>
      </c>
      <c r="I3" s="690" t="s">
        <v>2492</v>
      </c>
      <c r="J3" s="690" t="s">
        <v>872</v>
      </c>
      <c r="K3" s="690" t="s">
        <v>2493</v>
      </c>
      <c r="L3" s="2562" t="s">
        <v>824</v>
      </c>
      <c r="M3" s="2561"/>
    </row>
    <row r="4" spans="2:13" s="150" customFormat="1" ht="43.2">
      <c r="B4" s="2559"/>
      <c r="C4" s="690" t="s">
        <v>2506</v>
      </c>
      <c r="D4" s="690" t="s">
        <v>2507</v>
      </c>
      <c r="E4" s="690" t="s">
        <v>2507</v>
      </c>
      <c r="F4" s="690" t="s">
        <v>2507</v>
      </c>
      <c r="G4" s="2563"/>
      <c r="H4" s="690" t="s">
        <v>2506</v>
      </c>
      <c r="I4" s="690" t="s">
        <v>2507</v>
      </c>
      <c r="J4" s="690" t="s">
        <v>2507</v>
      </c>
      <c r="K4" s="690" t="s">
        <v>2507</v>
      </c>
      <c r="L4" s="2563"/>
      <c r="M4" s="2561"/>
    </row>
    <row r="5" spans="2:13">
      <c r="B5" s="528">
        <v>44652</v>
      </c>
      <c r="C5" s="378">
        <v>160000</v>
      </c>
      <c r="D5" s="378">
        <v>80000</v>
      </c>
      <c r="E5" s="378">
        <v>80000</v>
      </c>
      <c r="F5" s="378">
        <v>80000</v>
      </c>
      <c r="G5" s="378">
        <f>+SUM(C5:F5)</f>
        <v>400000</v>
      </c>
      <c r="H5" s="503">
        <v>160000</v>
      </c>
      <c r="I5" s="378">
        <v>80000</v>
      </c>
      <c r="J5" s="378">
        <v>80000</v>
      </c>
      <c r="K5" s="378">
        <v>80000</v>
      </c>
      <c r="L5" s="503">
        <f>SUM(H5:K5)</f>
        <v>400000</v>
      </c>
      <c r="M5" s="503">
        <f>+G5-L5</f>
        <v>0</v>
      </c>
    </row>
    <row r="6" spans="2:13">
      <c r="B6" s="528">
        <v>44682</v>
      </c>
      <c r="C6" s="378">
        <v>160000</v>
      </c>
      <c r="D6" s="378">
        <v>80000</v>
      </c>
      <c r="E6" s="378">
        <v>80000</v>
      </c>
      <c r="F6" s="378">
        <v>80000</v>
      </c>
      <c r="G6" s="378">
        <f t="shared" ref="G6:G16" si="0">+SUM(C6:F6)</f>
        <v>400000</v>
      </c>
      <c r="H6" s="503">
        <f>+C6-50000</f>
        <v>110000</v>
      </c>
      <c r="I6" s="503">
        <f t="shared" ref="I6:K6" si="1">+D6-50000</f>
        <v>30000</v>
      </c>
      <c r="J6" s="503">
        <f t="shared" si="1"/>
        <v>30000</v>
      </c>
      <c r="K6" s="503">
        <f t="shared" si="1"/>
        <v>30000</v>
      </c>
      <c r="L6" s="503">
        <f t="shared" ref="L6:L16" si="2">SUM(H6:K6)</f>
        <v>200000</v>
      </c>
      <c r="M6" s="503">
        <f t="shared" ref="M6:M16" si="3">+G6-L6</f>
        <v>200000</v>
      </c>
    </row>
    <row r="7" spans="2:13">
      <c r="B7" s="528">
        <v>44713</v>
      </c>
      <c r="C7" s="378">
        <v>160000</v>
      </c>
      <c r="D7" s="378">
        <v>80000</v>
      </c>
      <c r="E7" s="378">
        <v>80000</v>
      </c>
      <c r="F7" s="378">
        <v>80000</v>
      </c>
      <c r="G7" s="378">
        <f t="shared" si="0"/>
        <v>400000</v>
      </c>
      <c r="H7" s="503">
        <f t="shared" ref="H7:H16" si="4">+C7-50000</f>
        <v>110000</v>
      </c>
      <c r="I7" s="503">
        <f t="shared" ref="I7:I16" si="5">+D7-50000</f>
        <v>30000</v>
      </c>
      <c r="J7" s="503">
        <f t="shared" ref="J7:J16" si="6">+E7-50000</f>
        <v>30000</v>
      </c>
      <c r="K7" s="503">
        <f t="shared" ref="K7:K16" si="7">+F7-50000</f>
        <v>30000</v>
      </c>
      <c r="L7" s="503">
        <f t="shared" si="2"/>
        <v>200000</v>
      </c>
      <c r="M7" s="503">
        <f t="shared" si="3"/>
        <v>200000</v>
      </c>
    </row>
    <row r="8" spans="2:13">
      <c r="B8" s="528">
        <v>44743</v>
      </c>
      <c r="C8" s="378">
        <v>160000</v>
      </c>
      <c r="D8" s="378">
        <v>80000</v>
      </c>
      <c r="E8" s="378">
        <v>80000</v>
      </c>
      <c r="F8" s="378">
        <v>80000</v>
      </c>
      <c r="G8" s="378">
        <f>+SUM(C8:F8)</f>
        <v>400000</v>
      </c>
      <c r="H8" s="503">
        <f t="shared" si="4"/>
        <v>110000</v>
      </c>
      <c r="I8" s="503">
        <f t="shared" si="5"/>
        <v>30000</v>
      </c>
      <c r="J8" s="503">
        <f t="shared" si="6"/>
        <v>30000</v>
      </c>
      <c r="K8" s="503">
        <f t="shared" si="7"/>
        <v>30000</v>
      </c>
      <c r="L8" s="503">
        <f t="shared" si="2"/>
        <v>200000</v>
      </c>
      <c r="M8" s="503">
        <f t="shared" si="3"/>
        <v>200000</v>
      </c>
    </row>
    <row r="9" spans="2:13">
      <c r="B9" s="528">
        <v>44774</v>
      </c>
      <c r="C9" s="378">
        <v>160000</v>
      </c>
      <c r="D9" s="378">
        <v>80000</v>
      </c>
      <c r="E9" s="378">
        <v>80000</v>
      </c>
      <c r="F9" s="378">
        <v>80000</v>
      </c>
      <c r="G9" s="378">
        <f>+SUM(C9:F9)</f>
        <v>400000</v>
      </c>
      <c r="H9" s="503">
        <f t="shared" si="4"/>
        <v>110000</v>
      </c>
      <c r="I9" s="503">
        <f t="shared" si="5"/>
        <v>30000</v>
      </c>
      <c r="J9" s="503">
        <f t="shared" si="6"/>
        <v>30000</v>
      </c>
      <c r="K9" s="503">
        <f t="shared" si="7"/>
        <v>30000</v>
      </c>
      <c r="L9" s="503">
        <f t="shared" si="2"/>
        <v>200000</v>
      </c>
      <c r="M9" s="503">
        <f t="shared" si="3"/>
        <v>200000</v>
      </c>
    </row>
    <row r="10" spans="2:13">
      <c r="B10" s="528">
        <v>44805</v>
      </c>
      <c r="C10" s="378">
        <v>160000</v>
      </c>
      <c r="D10" s="378">
        <v>80000</v>
      </c>
      <c r="E10" s="378">
        <v>80000</v>
      </c>
      <c r="F10" s="378">
        <v>80000</v>
      </c>
      <c r="G10" s="378">
        <f t="shared" si="0"/>
        <v>400000</v>
      </c>
      <c r="H10" s="503">
        <f t="shared" si="4"/>
        <v>110000</v>
      </c>
      <c r="I10" s="503">
        <f t="shared" si="5"/>
        <v>30000</v>
      </c>
      <c r="J10" s="503">
        <f t="shared" si="6"/>
        <v>30000</v>
      </c>
      <c r="K10" s="503">
        <f t="shared" si="7"/>
        <v>30000</v>
      </c>
      <c r="L10" s="503">
        <f t="shared" si="2"/>
        <v>200000</v>
      </c>
      <c r="M10" s="503">
        <f t="shared" si="3"/>
        <v>200000</v>
      </c>
    </row>
    <row r="11" spans="2:13">
      <c r="B11" s="528">
        <v>44835</v>
      </c>
      <c r="C11" s="378">
        <v>160000</v>
      </c>
      <c r="D11" s="378">
        <v>80000</v>
      </c>
      <c r="E11" s="378">
        <v>80000</v>
      </c>
      <c r="F11" s="378">
        <v>80000</v>
      </c>
      <c r="G11" s="378">
        <f t="shared" si="0"/>
        <v>400000</v>
      </c>
      <c r="H11" s="503">
        <f t="shared" si="4"/>
        <v>110000</v>
      </c>
      <c r="I11" s="503">
        <f t="shared" si="5"/>
        <v>30000</v>
      </c>
      <c r="J11" s="503">
        <f t="shared" si="6"/>
        <v>30000</v>
      </c>
      <c r="K11" s="503">
        <f t="shared" si="7"/>
        <v>30000</v>
      </c>
      <c r="L11" s="503">
        <f t="shared" si="2"/>
        <v>200000</v>
      </c>
      <c r="M11" s="503">
        <f t="shared" si="3"/>
        <v>200000</v>
      </c>
    </row>
    <row r="12" spans="2:13">
      <c r="B12" s="528">
        <v>44866</v>
      </c>
      <c r="C12" s="378">
        <v>160000</v>
      </c>
      <c r="D12" s="378">
        <v>80000</v>
      </c>
      <c r="E12" s="378">
        <v>80000</v>
      </c>
      <c r="F12" s="378">
        <v>80000</v>
      </c>
      <c r="G12" s="378">
        <f t="shared" si="0"/>
        <v>400000</v>
      </c>
      <c r="H12" s="503">
        <f t="shared" si="4"/>
        <v>110000</v>
      </c>
      <c r="I12" s="503">
        <f t="shared" si="5"/>
        <v>30000</v>
      </c>
      <c r="J12" s="503">
        <f t="shared" si="6"/>
        <v>30000</v>
      </c>
      <c r="K12" s="503">
        <f t="shared" si="7"/>
        <v>30000</v>
      </c>
      <c r="L12" s="503">
        <f t="shared" si="2"/>
        <v>200000</v>
      </c>
      <c r="M12" s="503">
        <f t="shared" si="3"/>
        <v>200000</v>
      </c>
    </row>
    <row r="13" spans="2:13">
      <c r="B13" s="528">
        <v>44896</v>
      </c>
      <c r="C13" s="378">
        <v>160000</v>
      </c>
      <c r="D13" s="378">
        <v>80000</v>
      </c>
      <c r="E13" s="378">
        <v>80000</v>
      </c>
      <c r="F13" s="378">
        <v>80000</v>
      </c>
      <c r="G13" s="378">
        <f t="shared" si="0"/>
        <v>400000</v>
      </c>
      <c r="H13" s="503">
        <f t="shared" si="4"/>
        <v>110000</v>
      </c>
      <c r="I13" s="503">
        <f t="shared" si="5"/>
        <v>30000</v>
      </c>
      <c r="J13" s="503">
        <f t="shared" si="6"/>
        <v>30000</v>
      </c>
      <c r="K13" s="503">
        <f t="shared" si="7"/>
        <v>30000</v>
      </c>
      <c r="L13" s="503">
        <f t="shared" si="2"/>
        <v>200000</v>
      </c>
      <c r="M13" s="503">
        <f t="shared" si="3"/>
        <v>200000</v>
      </c>
    </row>
    <row r="14" spans="2:13">
      <c r="B14" s="528">
        <v>44927</v>
      </c>
      <c r="C14" s="378">
        <v>160000</v>
      </c>
      <c r="D14" s="378">
        <v>80000</v>
      </c>
      <c r="E14" s="378">
        <v>80000</v>
      </c>
      <c r="F14" s="378">
        <v>80000</v>
      </c>
      <c r="G14" s="378">
        <f t="shared" si="0"/>
        <v>400000</v>
      </c>
      <c r="H14" s="503">
        <f t="shared" si="4"/>
        <v>110000</v>
      </c>
      <c r="I14" s="503">
        <f t="shared" si="5"/>
        <v>30000</v>
      </c>
      <c r="J14" s="503">
        <f t="shared" si="6"/>
        <v>30000</v>
      </c>
      <c r="K14" s="503">
        <f t="shared" si="7"/>
        <v>30000</v>
      </c>
      <c r="L14" s="503">
        <f t="shared" si="2"/>
        <v>200000</v>
      </c>
      <c r="M14" s="503">
        <f t="shared" si="3"/>
        <v>200000</v>
      </c>
    </row>
    <row r="15" spans="2:13">
      <c r="B15" s="528">
        <v>44958</v>
      </c>
      <c r="C15" s="378">
        <v>160000</v>
      </c>
      <c r="D15" s="378">
        <v>80000</v>
      </c>
      <c r="E15" s="378">
        <v>80000</v>
      </c>
      <c r="F15" s="378">
        <v>80000</v>
      </c>
      <c r="G15" s="378">
        <f t="shared" si="0"/>
        <v>400000</v>
      </c>
      <c r="H15" s="503">
        <f t="shared" si="4"/>
        <v>110000</v>
      </c>
      <c r="I15" s="503">
        <f t="shared" si="5"/>
        <v>30000</v>
      </c>
      <c r="J15" s="503">
        <f t="shared" si="6"/>
        <v>30000</v>
      </c>
      <c r="K15" s="503">
        <f t="shared" si="7"/>
        <v>30000</v>
      </c>
      <c r="L15" s="503">
        <f t="shared" si="2"/>
        <v>200000</v>
      </c>
      <c r="M15" s="503">
        <f t="shared" si="3"/>
        <v>200000</v>
      </c>
    </row>
    <row r="16" spans="2:13">
      <c r="B16" s="528">
        <v>44986</v>
      </c>
      <c r="C16" s="378">
        <v>160000</v>
      </c>
      <c r="D16" s="378">
        <v>80000</v>
      </c>
      <c r="E16" s="378">
        <v>80000</v>
      </c>
      <c r="F16" s="378">
        <v>80000</v>
      </c>
      <c r="G16" s="378">
        <f t="shared" si="0"/>
        <v>400000</v>
      </c>
      <c r="H16" s="503">
        <f t="shared" si="4"/>
        <v>110000</v>
      </c>
      <c r="I16" s="503">
        <f t="shared" si="5"/>
        <v>30000</v>
      </c>
      <c r="J16" s="503">
        <f t="shared" si="6"/>
        <v>30000</v>
      </c>
      <c r="K16" s="503">
        <f t="shared" si="7"/>
        <v>30000</v>
      </c>
      <c r="L16" s="503">
        <f t="shared" si="2"/>
        <v>200000</v>
      </c>
      <c r="M16" s="503">
        <f t="shared" si="3"/>
        <v>200000</v>
      </c>
    </row>
    <row r="17" spans="2:13" s="139" customFormat="1">
      <c r="B17" s="135" t="s">
        <v>824</v>
      </c>
      <c r="C17" s="138">
        <f>+SUM(C5:C16)</f>
        <v>1920000</v>
      </c>
      <c r="D17" s="138">
        <f>+SUM(D5:D16)</f>
        <v>960000</v>
      </c>
      <c r="E17" s="138">
        <f>+SUM(E5:E16)</f>
        <v>960000</v>
      </c>
      <c r="F17" s="138">
        <f>+SUM(F5:F16)</f>
        <v>960000</v>
      </c>
      <c r="G17" s="138">
        <f>+SUM(G5:G16)</f>
        <v>4800000</v>
      </c>
      <c r="H17" s="725">
        <f>SUM(H5:H16)</f>
        <v>1370000</v>
      </c>
      <c r="I17" s="725">
        <f t="shared" ref="I17:K17" si="8">SUM(I5:I16)</f>
        <v>410000</v>
      </c>
      <c r="J17" s="725">
        <f t="shared" si="8"/>
        <v>410000</v>
      </c>
      <c r="K17" s="725">
        <f t="shared" si="8"/>
        <v>410000</v>
      </c>
      <c r="L17" s="725">
        <f>SUM(L5:L16)</f>
        <v>2600000</v>
      </c>
      <c r="M17" s="725">
        <f>SUM(M5:M16)</f>
        <v>2200000</v>
      </c>
    </row>
  </sheetData>
  <customSheetViews>
    <customSheetView guid="{ADEA4918-0326-423A-8D00-FB47A486004B}" state="hidden">
      <selection activeCell="H46" sqref="H46"/>
      <pageMargins left="0.7" right="0.7" top="0.75" bottom="0.75" header="0.3" footer="0.3"/>
    </customSheetView>
    <customSheetView guid="{2A78E287-3113-4387-BB62-BE98FA5C13C2}">
      <selection activeCell="H46" sqref="H46"/>
      <pageMargins left="0.7" right="0.7" top="0.75" bottom="0.75" header="0.3" footer="0.3"/>
    </customSheetView>
    <customSheetView guid="{DC5DA12B-0FA6-4F41-A983-6E433AD4604D}">
      <selection activeCell="H46" sqref="H46"/>
      <pageMargins left="0.7" right="0.7" top="0.75" bottom="0.75" header="0.3" footer="0.3"/>
    </customSheetView>
  </customSheetViews>
  <mergeCells count="6">
    <mergeCell ref="B2:B4"/>
    <mergeCell ref="C2:G2"/>
    <mergeCell ref="H2:L2"/>
    <mergeCell ref="M2:M4"/>
    <mergeCell ref="G3:G4"/>
    <mergeCell ref="L3:L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91"/>
  <sheetViews>
    <sheetView topLeftCell="A61" workbookViewId="0">
      <selection activeCell="H46" sqref="H46"/>
    </sheetView>
  </sheetViews>
  <sheetFormatPr defaultColWidth="8.88671875" defaultRowHeight="14.4"/>
  <cols>
    <col min="1" max="1" width="24.5546875" customWidth="1"/>
    <col min="2" max="2" width="15" style="376" bestFit="1" customWidth="1"/>
    <col min="3" max="3" width="13.88671875" style="376" bestFit="1" customWidth="1"/>
    <col min="4" max="4" width="12.5546875" style="376" bestFit="1" customWidth="1"/>
    <col min="5" max="5" width="21.44140625" style="376" bestFit="1" customWidth="1"/>
    <col min="6" max="6" width="13.33203125" style="328" customWidth="1"/>
    <col min="7" max="7" width="13.88671875" bestFit="1" customWidth="1"/>
    <col min="8" max="8" width="14.33203125" customWidth="1"/>
    <col min="9" max="9" width="15" customWidth="1"/>
    <col min="10" max="10" width="27.5546875" style="376" customWidth="1"/>
    <col min="11" max="11" width="20.88671875" style="376" bestFit="1" customWidth="1"/>
    <col min="12" max="12" width="19.6640625" style="376" bestFit="1" customWidth="1"/>
    <col min="13" max="13" width="14.33203125" style="376" bestFit="1" customWidth="1"/>
    <col min="14" max="14" width="14.88671875" style="376" bestFit="1" customWidth="1"/>
    <col min="15" max="15" width="12.33203125" bestFit="1" customWidth="1"/>
  </cols>
  <sheetData>
    <row r="1" spans="1:15" ht="19.8">
      <c r="A1" s="506" t="s">
        <v>702</v>
      </c>
      <c r="B1" s="507"/>
      <c r="C1" s="507"/>
      <c r="D1" s="507"/>
      <c r="E1" s="507"/>
      <c r="F1" s="508"/>
      <c r="G1" s="509"/>
      <c r="H1" s="509"/>
      <c r="I1" s="509"/>
      <c r="J1" s="507"/>
    </row>
    <row r="2" spans="1:15">
      <c r="A2" s="510" t="s">
        <v>2213</v>
      </c>
      <c r="B2" s="507"/>
      <c r="C2" s="507"/>
      <c r="D2" s="507"/>
      <c r="E2" s="507"/>
      <c r="F2" s="508"/>
      <c r="G2" s="509"/>
      <c r="H2" s="509"/>
      <c r="I2" s="509"/>
      <c r="J2" s="507"/>
    </row>
    <row r="3" spans="1:15">
      <c r="A3" s="509"/>
      <c r="B3" s="507"/>
      <c r="C3" s="507"/>
      <c r="D3" s="507"/>
      <c r="E3" s="507"/>
      <c r="F3" s="508"/>
      <c r="G3" s="509"/>
      <c r="H3" s="509"/>
      <c r="I3" s="509"/>
      <c r="J3" s="507"/>
    </row>
    <row r="4" spans="1:15" s="328" customFormat="1" ht="43.2">
      <c r="A4" s="511" t="s">
        <v>463</v>
      </c>
      <c r="B4" s="512" t="s">
        <v>2214</v>
      </c>
      <c r="C4" s="512" t="s">
        <v>2215</v>
      </c>
      <c r="D4" s="512" t="s">
        <v>2216</v>
      </c>
      <c r="E4" s="512" t="s">
        <v>2217</v>
      </c>
      <c r="F4" s="511" t="s">
        <v>2218</v>
      </c>
      <c r="G4" s="511" t="s">
        <v>2219</v>
      </c>
      <c r="H4" s="511" t="s">
        <v>2220</v>
      </c>
      <c r="I4" s="511" t="s">
        <v>2221</v>
      </c>
      <c r="J4" s="512" t="s">
        <v>2192</v>
      </c>
      <c r="K4" s="513"/>
      <c r="L4" s="513"/>
      <c r="M4" s="513"/>
      <c r="N4" s="513"/>
      <c r="O4" s="513"/>
    </row>
    <row r="5" spans="1:15" s="509" customFormat="1" ht="57.6">
      <c r="A5" s="514" t="s">
        <v>409</v>
      </c>
      <c r="B5" s="515">
        <v>7300000</v>
      </c>
      <c r="C5" s="515">
        <v>7221052.2300000004</v>
      </c>
      <c r="D5" s="515">
        <f>+D38</f>
        <v>624703</v>
      </c>
      <c r="E5" s="515">
        <f>+D37</f>
        <v>56749</v>
      </c>
      <c r="F5" s="516">
        <f>+B5-C5</f>
        <v>78947.769999999553</v>
      </c>
      <c r="G5" s="516"/>
      <c r="H5" s="515">
        <v>0</v>
      </c>
      <c r="I5" s="515">
        <f>+C5-H5</f>
        <v>7221052.2300000004</v>
      </c>
      <c r="J5" s="514" t="s">
        <v>2240</v>
      </c>
    </row>
    <row r="6" spans="1:15" ht="28.8">
      <c r="A6" s="514" t="s">
        <v>437</v>
      </c>
      <c r="B6" s="515">
        <f>+B42</f>
        <v>14600000</v>
      </c>
      <c r="C6" s="515">
        <v>9722635</v>
      </c>
      <c r="D6" s="515">
        <f>+D68</f>
        <v>653794</v>
      </c>
      <c r="E6" s="515">
        <f>+D67</f>
        <v>40522</v>
      </c>
      <c r="F6" s="516">
        <f>+B6-C6</f>
        <v>4877365</v>
      </c>
      <c r="G6" s="516"/>
      <c r="H6" s="515">
        <f>+C82</f>
        <v>4700016</v>
      </c>
      <c r="I6" s="515">
        <f>+C6-H6</f>
        <v>5022619</v>
      </c>
      <c r="J6" s="514" t="s">
        <v>2222</v>
      </c>
      <c r="O6" s="376"/>
    </row>
    <row r="7" spans="1:15">
      <c r="A7" s="517" t="s">
        <v>824</v>
      </c>
      <c r="B7" s="515"/>
      <c r="C7" s="518">
        <f>+SUM(C5:C6)</f>
        <v>16943687.23</v>
      </c>
      <c r="D7" s="518">
        <f t="shared" ref="D7:I7" si="0">+SUM(D5:D6)</f>
        <v>1278497</v>
      </c>
      <c r="E7" s="518">
        <f t="shared" si="0"/>
        <v>97271</v>
      </c>
      <c r="F7" s="518">
        <f t="shared" si="0"/>
        <v>4956312.7699999996</v>
      </c>
      <c r="G7" s="518">
        <f t="shared" si="0"/>
        <v>0</v>
      </c>
      <c r="H7" s="518">
        <f t="shared" si="0"/>
        <v>4700016</v>
      </c>
      <c r="I7" s="518">
        <f t="shared" si="0"/>
        <v>12243671.23</v>
      </c>
      <c r="J7" s="514"/>
      <c r="O7" s="376"/>
    </row>
    <row r="8" spans="1:15">
      <c r="A8" s="514"/>
      <c r="B8" s="515"/>
      <c r="C8" s="515"/>
      <c r="D8" s="515"/>
      <c r="E8" s="515"/>
      <c r="F8" s="516"/>
      <c r="G8" s="516"/>
      <c r="H8" s="515"/>
      <c r="I8" s="515"/>
      <c r="J8" s="514"/>
      <c r="O8" s="376"/>
    </row>
    <row r="9" spans="1:15" ht="28.8">
      <c r="A9" s="514" t="s">
        <v>410</v>
      </c>
      <c r="B9" s="515">
        <v>77500000</v>
      </c>
      <c r="C9" s="515">
        <v>21743710</v>
      </c>
      <c r="D9" s="515">
        <f>+K20</f>
        <v>390312</v>
      </c>
      <c r="E9" s="515">
        <v>147945</v>
      </c>
      <c r="F9" s="519">
        <v>233269</v>
      </c>
      <c r="G9" s="516">
        <f>+L20</f>
        <v>148846</v>
      </c>
      <c r="H9" s="515"/>
      <c r="I9" s="520"/>
      <c r="J9" s="515"/>
    </row>
    <row r="10" spans="1:15" ht="28.8">
      <c r="A10" s="508" t="s">
        <v>2239</v>
      </c>
      <c r="B10" s="521">
        <v>14000000</v>
      </c>
      <c r="C10" s="521">
        <v>5000000</v>
      </c>
      <c r="D10" s="521"/>
      <c r="E10" s="521"/>
      <c r="F10" s="522"/>
      <c r="G10" s="523"/>
      <c r="H10" s="521"/>
      <c r="I10" s="509"/>
      <c r="J10" s="521"/>
    </row>
    <row r="11" spans="1:15">
      <c r="A11" s="139"/>
    </row>
    <row r="14" spans="1:15" ht="16.2">
      <c r="A14" s="524" t="s">
        <v>2223</v>
      </c>
      <c r="F14"/>
      <c r="H14" s="525" t="s">
        <v>2224</v>
      </c>
      <c r="I14" s="526"/>
      <c r="J14" s="526"/>
      <c r="K14" s="526"/>
      <c r="L14" s="526"/>
      <c r="M14" s="526"/>
      <c r="N14" s="140"/>
    </row>
    <row r="15" spans="1:15">
      <c r="A15" s="520" t="s">
        <v>463</v>
      </c>
      <c r="B15" s="515" t="s">
        <v>2225</v>
      </c>
      <c r="C15" s="515" t="s">
        <v>2012</v>
      </c>
      <c r="D15" s="515" t="s">
        <v>903</v>
      </c>
      <c r="E15" s="515" t="s">
        <v>2226</v>
      </c>
      <c r="F15" s="520" t="s">
        <v>2227</v>
      </c>
      <c r="G15" s="140"/>
      <c r="H15" s="527" t="s">
        <v>463</v>
      </c>
      <c r="I15" s="515" t="s">
        <v>2225</v>
      </c>
      <c r="J15" s="515" t="s">
        <v>2228</v>
      </c>
      <c r="K15" s="515" t="s">
        <v>903</v>
      </c>
      <c r="L15" s="515" t="s">
        <v>2226</v>
      </c>
      <c r="M15" s="515" t="s">
        <v>2229</v>
      </c>
      <c r="N15" s="520" t="s">
        <v>2227</v>
      </c>
    </row>
    <row r="16" spans="1:15">
      <c r="A16" s="528">
        <v>44501</v>
      </c>
      <c r="B16" s="526">
        <v>7234839</v>
      </c>
      <c r="C16" s="526"/>
      <c r="D16" s="526">
        <v>16135</v>
      </c>
      <c r="E16" s="526">
        <v>0</v>
      </c>
      <c r="F16" s="529">
        <f>+B16-C16</f>
        <v>7234839</v>
      </c>
      <c r="G16" s="140"/>
      <c r="H16" s="530">
        <v>44531</v>
      </c>
      <c r="I16" s="526">
        <v>0</v>
      </c>
      <c r="J16" s="526">
        <f>1960000+1437594+4809186+2985012</f>
        <v>11191792</v>
      </c>
      <c r="K16" s="526">
        <v>7577</v>
      </c>
      <c r="L16" s="526">
        <v>0</v>
      </c>
      <c r="M16" s="526"/>
      <c r="N16" s="529">
        <f>+I16+J16+K16+L16-M16</f>
        <v>11199369</v>
      </c>
    </row>
    <row r="17" spans="1:14">
      <c r="A17" s="528">
        <v>44531</v>
      </c>
      <c r="B17" s="526">
        <f>+F16</f>
        <v>7234839</v>
      </c>
      <c r="C17" s="526"/>
      <c r="D17" s="526">
        <v>45487</v>
      </c>
      <c r="E17" s="526">
        <v>29</v>
      </c>
      <c r="F17" s="529">
        <f t="shared" ref="F17:F20" si="1">+B17-C17</f>
        <v>7234839</v>
      </c>
      <c r="G17" s="531"/>
      <c r="H17" s="530">
        <v>44562</v>
      </c>
      <c r="I17" s="526">
        <f>+N16</f>
        <v>11199369</v>
      </c>
      <c r="J17" s="526">
        <f>2322000+1420962+3135000+1989302</f>
        <v>8867264</v>
      </c>
      <c r="K17" s="526">
        <f>103383</f>
        <v>103383</v>
      </c>
      <c r="L17" s="526">
        <v>12435</v>
      </c>
      <c r="M17" s="526"/>
      <c r="N17" s="529">
        <f t="shared" ref="N17:N19" si="2">+I17+J17+K17+L17-M17</f>
        <v>20182451</v>
      </c>
    </row>
    <row r="18" spans="1:14">
      <c r="A18" s="528">
        <v>44562</v>
      </c>
      <c r="B18" s="526">
        <f t="shared" ref="B18" si="3">+F17+C18</f>
        <v>7234839</v>
      </c>
      <c r="C18" s="526"/>
      <c r="D18" s="526">
        <v>45487</v>
      </c>
      <c r="E18" s="526">
        <v>82</v>
      </c>
      <c r="F18" s="529">
        <f t="shared" si="1"/>
        <v>7234839</v>
      </c>
      <c r="G18" s="140"/>
      <c r="H18" s="530">
        <v>44593</v>
      </c>
      <c r="I18" s="526">
        <f t="shared" ref="I18" si="4">+N17+J18</f>
        <v>20182451</v>
      </c>
      <c r="J18" s="526"/>
      <c r="K18" s="526">
        <v>131407</v>
      </c>
      <c r="L18" s="526">
        <v>64995</v>
      </c>
      <c r="M18" s="526">
        <f>12435+298618</f>
        <v>311053</v>
      </c>
      <c r="N18" s="529">
        <f t="shared" si="2"/>
        <v>20067800</v>
      </c>
    </row>
    <row r="19" spans="1:14">
      <c r="A19" s="528">
        <v>44593</v>
      </c>
      <c r="B19" s="526">
        <f>+F18</f>
        <v>7234839</v>
      </c>
      <c r="C19" s="526">
        <v>87855</v>
      </c>
      <c r="D19" s="526">
        <v>41053</v>
      </c>
      <c r="E19" s="526">
        <v>74</v>
      </c>
      <c r="F19" s="529">
        <f t="shared" si="1"/>
        <v>7146984</v>
      </c>
      <c r="G19" s="140"/>
      <c r="H19" s="530">
        <v>44621</v>
      </c>
      <c r="I19" s="526">
        <f>+N18</f>
        <v>20067800</v>
      </c>
      <c r="J19" s="526">
        <f>252071+700000+737393+118+118+118</f>
        <v>1689818</v>
      </c>
      <c r="K19" s="526">
        <v>147945</v>
      </c>
      <c r="L19" s="526">
        <v>71416</v>
      </c>
      <c r="M19" s="526">
        <v>233269</v>
      </c>
      <c r="N19" s="532">
        <f t="shared" si="2"/>
        <v>21743710</v>
      </c>
    </row>
    <row r="20" spans="1:14">
      <c r="A20" s="528">
        <v>44621</v>
      </c>
      <c r="B20" s="526">
        <f>+F19+C20</f>
        <v>7146984</v>
      </c>
      <c r="C20" s="526">
        <v>0</v>
      </c>
      <c r="D20" s="526">
        <v>45167</v>
      </c>
      <c r="E20" s="526">
        <v>82</v>
      </c>
      <c r="F20" s="532">
        <f t="shared" si="1"/>
        <v>7146984</v>
      </c>
      <c r="G20" s="140"/>
      <c r="H20" s="530"/>
      <c r="I20" s="526"/>
      <c r="J20" s="526"/>
      <c r="K20" s="533">
        <f>+SUM(K16:K19)</f>
        <v>390312</v>
      </c>
      <c r="L20" s="533">
        <f>+SUM(L16:L19)</f>
        <v>148846</v>
      </c>
      <c r="M20" s="526"/>
      <c r="N20" s="529"/>
    </row>
    <row r="21" spans="1:14">
      <c r="A21" s="528"/>
      <c r="B21" s="526"/>
      <c r="C21" s="526"/>
      <c r="D21" s="533">
        <f>+SUM(D16:D20)</f>
        <v>193329</v>
      </c>
      <c r="E21" s="533">
        <f>+SUM(E16:E20)</f>
        <v>267</v>
      </c>
      <c r="F21" s="529"/>
      <c r="G21" s="140"/>
      <c r="H21" s="534">
        <v>44673</v>
      </c>
      <c r="I21" s="376">
        <f>+N19</f>
        <v>21743710</v>
      </c>
      <c r="K21" s="535"/>
      <c r="N21" s="3"/>
    </row>
    <row r="22" spans="1:14">
      <c r="A22" s="140"/>
      <c r="B22" s="526"/>
      <c r="C22" s="526"/>
      <c r="D22" s="526"/>
      <c r="E22" s="526"/>
      <c r="F22" s="140"/>
      <c r="G22" s="140"/>
      <c r="H22" s="534">
        <v>44743</v>
      </c>
      <c r="I22" s="376">
        <f>+N22</f>
        <v>17868710</v>
      </c>
      <c r="M22" s="376">
        <v>3875000</v>
      </c>
      <c r="N22" s="536">
        <f>+I21+J22-M22</f>
        <v>17868710</v>
      </c>
    </row>
    <row r="23" spans="1:14">
      <c r="A23" s="528">
        <v>44986</v>
      </c>
      <c r="B23" s="526">
        <f>+F20</f>
        <v>7146984</v>
      </c>
      <c r="C23" s="526">
        <v>0</v>
      </c>
      <c r="D23" s="526">
        <f>+B23*7.4%</f>
        <v>528876.81600000011</v>
      </c>
      <c r="E23" s="526">
        <v>0</v>
      </c>
      <c r="F23" s="529">
        <f>+B23</f>
        <v>7146984</v>
      </c>
      <c r="G23" s="140"/>
      <c r="H23" s="534">
        <v>44856</v>
      </c>
      <c r="I23" s="376">
        <f>+N23</f>
        <v>13993710</v>
      </c>
      <c r="M23" s="376">
        <v>3875000</v>
      </c>
      <c r="N23" s="536">
        <f>+I22+J23-M23</f>
        <v>13993710</v>
      </c>
    </row>
    <row r="24" spans="1:14">
      <c r="A24" s="528">
        <v>45261</v>
      </c>
      <c r="B24" s="526">
        <f>+F23</f>
        <v>7146984</v>
      </c>
      <c r="C24" s="526"/>
      <c r="D24" s="526"/>
      <c r="E24" s="526"/>
      <c r="F24" s="140"/>
      <c r="G24" s="140"/>
      <c r="H24" s="498">
        <v>44583</v>
      </c>
      <c r="I24" s="376">
        <f>+N24</f>
        <v>10118710</v>
      </c>
      <c r="M24" s="376">
        <v>3875000</v>
      </c>
      <c r="N24" s="536">
        <f>+I23+J24-M24</f>
        <v>10118710</v>
      </c>
    </row>
    <row r="25" spans="1:14">
      <c r="A25" s="534"/>
      <c r="B25" s="270"/>
      <c r="C25" s="270"/>
      <c r="D25" s="270"/>
      <c r="E25" s="270"/>
      <c r="F25"/>
      <c r="H25" s="498"/>
      <c r="I25" s="376"/>
      <c r="N25" s="536"/>
    </row>
    <row r="26" spans="1:14">
      <c r="A26" s="528">
        <v>44652</v>
      </c>
      <c r="B26" s="526">
        <f>+F20</f>
        <v>7146984</v>
      </c>
      <c r="C26" s="526">
        <f>+D26</f>
        <v>43772</v>
      </c>
      <c r="D26" s="526">
        <f>43693+79</f>
        <v>43772</v>
      </c>
      <c r="E26" s="526"/>
      <c r="F26" s="529">
        <f>+B26-C26+D26</f>
        <v>7146984</v>
      </c>
      <c r="G26" s="140"/>
      <c r="H26" s="534">
        <v>45017</v>
      </c>
      <c r="I26" s="376"/>
      <c r="M26" s="376">
        <v>3875000</v>
      </c>
      <c r="N26" s="536"/>
    </row>
    <row r="27" spans="1:14">
      <c r="A27" s="528">
        <v>44682</v>
      </c>
      <c r="B27" s="526">
        <f>+F26</f>
        <v>7146984</v>
      </c>
      <c r="C27" s="526">
        <f t="shared" ref="C27:C37" si="5">+D27</f>
        <v>45198</v>
      </c>
      <c r="D27" s="526">
        <f>45116+82</f>
        <v>45198</v>
      </c>
      <c r="E27" s="526"/>
      <c r="F27" s="529">
        <f t="shared" ref="F27:F37" si="6">+B27-C27+D27</f>
        <v>7146984</v>
      </c>
      <c r="G27" s="140"/>
      <c r="H27" s="534">
        <v>45108</v>
      </c>
      <c r="I27" s="376"/>
      <c r="M27" s="376">
        <v>3875000</v>
      </c>
      <c r="N27" s="536"/>
    </row>
    <row r="28" spans="1:14">
      <c r="A28" s="528">
        <v>44713</v>
      </c>
      <c r="B28" s="526">
        <f t="shared" ref="B28:B37" si="7">+F27</f>
        <v>7146984</v>
      </c>
      <c r="C28" s="526">
        <f t="shared" si="5"/>
        <v>47678</v>
      </c>
      <c r="D28" s="526">
        <f>47599+79</f>
        <v>47678</v>
      </c>
      <c r="E28" s="526"/>
      <c r="F28" s="529">
        <f t="shared" si="6"/>
        <v>7146984</v>
      </c>
      <c r="G28" s="140"/>
      <c r="H28" s="534">
        <v>45200</v>
      </c>
      <c r="I28" s="376"/>
      <c r="M28" s="376">
        <v>3875000</v>
      </c>
      <c r="N28" s="536"/>
    </row>
    <row r="29" spans="1:14">
      <c r="A29" s="528">
        <v>44743</v>
      </c>
      <c r="B29" s="526">
        <f t="shared" si="7"/>
        <v>7146984</v>
      </c>
      <c r="C29" s="526">
        <f t="shared" si="5"/>
        <v>50704</v>
      </c>
      <c r="D29" s="526">
        <f>50622+82</f>
        <v>50704</v>
      </c>
      <c r="E29" s="526"/>
      <c r="F29" s="529">
        <f t="shared" si="6"/>
        <v>7146984</v>
      </c>
      <c r="G29" s="140"/>
      <c r="H29" s="534">
        <v>45292</v>
      </c>
      <c r="I29" s="376"/>
      <c r="M29" s="376">
        <v>3875000</v>
      </c>
      <c r="N29" s="536"/>
    </row>
    <row r="30" spans="1:14">
      <c r="A30" s="528">
        <v>44774</v>
      </c>
      <c r="B30" s="526">
        <f t="shared" si="7"/>
        <v>7146984</v>
      </c>
      <c r="C30" s="526">
        <f t="shared" si="5"/>
        <v>52408</v>
      </c>
      <c r="D30" s="526">
        <f>52326+82</f>
        <v>52408</v>
      </c>
      <c r="E30" s="526"/>
      <c r="F30" s="529">
        <f t="shared" si="6"/>
        <v>7146984</v>
      </c>
      <c r="G30" s="140"/>
      <c r="H30" s="498"/>
      <c r="I30" s="376"/>
      <c r="N30" s="536"/>
    </row>
    <row r="31" spans="1:14">
      <c r="A31" s="528">
        <v>44805</v>
      </c>
      <c r="B31" s="526">
        <f t="shared" si="7"/>
        <v>7146984</v>
      </c>
      <c r="C31" s="526">
        <f t="shared" si="5"/>
        <v>52033</v>
      </c>
      <c r="D31" s="526">
        <f>51954+79</f>
        <v>52033</v>
      </c>
      <c r="E31" s="526"/>
      <c r="F31" s="529">
        <f t="shared" si="6"/>
        <v>7146984</v>
      </c>
      <c r="G31" s="140"/>
      <c r="H31" s="498"/>
      <c r="I31" s="376"/>
      <c r="N31" s="536"/>
    </row>
    <row r="32" spans="1:14">
      <c r="A32" s="528">
        <v>44835</v>
      </c>
      <c r="B32" s="526">
        <f t="shared" si="7"/>
        <v>7146984</v>
      </c>
      <c r="C32" s="526">
        <f t="shared" si="5"/>
        <v>56352</v>
      </c>
      <c r="D32" s="526">
        <f>56270+82</f>
        <v>56352</v>
      </c>
      <c r="E32" s="526"/>
      <c r="F32" s="529">
        <f t="shared" si="6"/>
        <v>7146984</v>
      </c>
      <c r="G32" s="140"/>
      <c r="H32" s="498"/>
      <c r="I32" s="376"/>
      <c r="N32" s="536"/>
    </row>
    <row r="33" spans="1:15">
      <c r="A33" s="528">
        <v>44866</v>
      </c>
      <c r="B33" s="526">
        <f t="shared" si="7"/>
        <v>7146984</v>
      </c>
      <c r="C33" s="526">
        <f t="shared" si="5"/>
        <v>54750</v>
      </c>
      <c r="D33" s="526">
        <f>54671+79</f>
        <v>54750</v>
      </c>
      <c r="E33" s="526"/>
      <c r="F33" s="529">
        <f t="shared" si="6"/>
        <v>7146984</v>
      </c>
      <c r="G33" s="140"/>
      <c r="H33" s="498"/>
      <c r="I33" s="376"/>
      <c r="N33" s="536"/>
    </row>
    <row r="34" spans="1:15">
      <c r="A34" s="528">
        <v>44896</v>
      </c>
      <c r="B34" s="526">
        <f t="shared" si="7"/>
        <v>7146984</v>
      </c>
      <c r="C34" s="526">
        <f t="shared" si="5"/>
        <v>57104</v>
      </c>
      <c r="D34" s="526">
        <f>57022+82</f>
        <v>57104</v>
      </c>
      <c r="E34" s="526"/>
      <c r="F34" s="529">
        <f t="shared" si="6"/>
        <v>7146984</v>
      </c>
      <c r="G34" s="140"/>
      <c r="H34" s="498"/>
      <c r="I34" s="376"/>
      <c r="N34" s="536"/>
    </row>
    <row r="35" spans="1:15">
      <c r="A35" s="528">
        <v>44927</v>
      </c>
      <c r="B35" s="526">
        <f t="shared" si="7"/>
        <v>7146984</v>
      </c>
      <c r="C35" s="526">
        <f t="shared" si="5"/>
        <v>56685</v>
      </c>
      <c r="D35" s="526">
        <f>56603+82</f>
        <v>56685</v>
      </c>
      <c r="E35" s="526"/>
      <c r="F35" s="529">
        <f t="shared" si="6"/>
        <v>7146984</v>
      </c>
      <c r="G35" s="140"/>
      <c r="H35" s="498"/>
      <c r="I35" s="376"/>
      <c r="N35" s="536"/>
    </row>
    <row r="36" spans="1:15">
      <c r="A36" s="528">
        <v>44958</v>
      </c>
      <c r="B36" s="526">
        <f t="shared" si="7"/>
        <v>7146984</v>
      </c>
      <c r="C36" s="526">
        <f t="shared" si="5"/>
        <v>51270</v>
      </c>
      <c r="D36" s="526">
        <f>51196+74</f>
        <v>51270</v>
      </c>
      <c r="E36" s="526"/>
      <c r="F36" s="529">
        <f t="shared" si="6"/>
        <v>7146984</v>
      </c>
      <c r="G36" s="140"/>
      <c r="M36" s="376">
        <v>3875000</v>
      </c>
      <c r="N36" s="536">
        <f>+I24+J36-M36</f>
        <v>6243710</v>
      </c>
    </row>
    <row r="37" spans="1:15">
      <c r="A37" s="528">
        <v>44986</v>
      </c>
      <c r="B37" s="526">
        <f t="shared" si="7"/>
        <v>7146984</v>
      </c>
      <c r="C37" s="526">
        <f t="shared" si="5"/>
        <v>56749</v>
      </c>
      <c r="D37" s="526">
        <f>56667+82</f>
        <v>56749</v>
      </c>
      <c r="E37" s="526"/>
      <c r="F37" s="529">
        <f t="shared" si="6"/>
        <v>7146984</v>
      </c>
      <c r="G37" s="140"/>
      <c r="N37" s="536"/>
    </row>
    <row r="38" spans="1:15">
      <c r="A38" s="528"/>
      <c r="B38" s="526"/>
      <c r="C38" s="526"/>
      <c r="D38" s="533">
        <f>SUM(D26:D37)</f>
        <v>624703</v>
      </c>
      <c r="E38" s="526"/>
      <c r="F38" s="529"/>
      <c r="G38" s="140"/>
      <c r="N38" s="536"/>
    </row>
    <row r="39" spans="1:15">
      <c r="M39" s="535">
        <f>+SUM(M22:M36)</f>
        <v>31000000</v>
      </c>
    </row>
    <row r="40" spans="1:15" ht="16.2">
      <c r="A40" s="525" t="s">
        <v>2230</v>
      </c>
      <c r="B40" s="526"/>
      <c r="C40" s="526"/>
      <c r="D40" s="537">
        <v>7.3999999999999996E-2</v>
      </c>
      <c r="E40" s="526">
        <v>12</v>
      </c>
      <c r="F40" s="140"/>
      <c r="G40" s="140"/>
    </row>
    <row r="41" spans="1:15">
      <c r="A41" s="520" t="s">
        <v>463</v>
      </c>
      <c r="B41" s="515" t="s">
        <v>2225</v>
      </c>
      <c r="C41" s="515" t="s">
        <v>2012</v>
      </c>
      <c r="D41" s="515" t="s">
        <v>903</v>
      </c>
      <c r="E41" s="515" t="s">
        <v>2231</v>
      </c>
      <c r="F41" s="515" t="s">
        <v>2232</v>
      </c>
      <c r="G41" s="520" t="s">
        <v>2227</v>
      </c>
      <c r="H41" s="509"/>
      <c r="J41"/>
      <c r="O41" s="376"/>
    </row>
    <row r="42" spans="1:15">
      <c r="A42" s="528">
        <v>44287</v>
      </c>
      <c r="B42" s="526">
        <v>14600000</v>
      </c>
      <c r="C42" s="526"/>
      <c r="D42" s="526">
        <v>88874</v>
      </c>
      <c r="E42" s="526">
        <v>88874</v>
      </c>
      <c r="F42" s="526">
        <v>0</v>
      </c>
      <c r="G42" s="529">
        <f>+B42+D42-E42</f>
        <v>14600000</v>
      </c>
      <c r="H42" s="3"/>
      <c r="J42"/>
      <c r="O42" s="376"/>
    </row>
    <row r="43" spans="1:15">
      <c r="A43" s="528">
        <v>44317</v>
      </c>
      <c r="B43" s="526">
        <f>+G42+C43</f>
        <v>14600000</v>
      </c>
      <c r="C43" s="526"/>
      <c r="D43" s="526">
        <v>91796</v>
      </c>
      <c r="E43" s="526">
        <v>91796</v>
      </c>
      <c r="F43" s="526">
        <v>0</v>
      </c>
      <c r="G43" s="529">
        <f>+B43+D43-E43</f>
        <v>14600000</v>
      </c>
      <c r="H43" s="3"/>
      <c r="J43"/>
      <c r="O43" s="376"/>
    </row>
    <row r="44" spans="1:15">
      <c r="A44" s="528">
        <v>44348</v>
      </c>
      <c r="B44" s="526">
        <f>+G43+C44</f>
        <v>14600000</v>
      </c>
      <c r="C44" s="526"/>
      <c r="D44" s="526">
        <v>88800</v>
      </c>
      <c r="E44" s="526">
        <v>88800</v>
      </c>
      <c r="F44" s="526">
        <v>0</v>
      </c>
      <c r="G44" s="529">
        <f>+B44+D44-E44</f>
        <v>14600000</v>
      </c>
      <c r="H44" s="3"/>
      <c r="I44" s="376">
        <f>405556*10</f>
        <v>4055560</v>
      </c>
      <c r="J44"/>
      <c r="O44" s="376"/>
    </row>
    <row r="45" spans="1:15">
      <c r="A45" s="528">
        <v>44378</v>
      </c>
      <c r="B45" s="526">
        <f>+G44</f>
        <v>14600000</v>
      </c>
      <c r="C45" s="526">
        <v>811112</v>
      </c>
      <c r="D45" s="526">
        <v>89622</v>
      </c>
      <c r="E45" s="526"/>
      <c r="F45" s="526">
        <f>+C45+D45</f>
        <v>900734</v>
      </c>
      <c r="G45" s="529">
        <f>+B45-C45+D45-E45</f>
        <v>13878510</v>
      </c>
      <c r="H45" s="3"/>
      <c r="J45"/>
      <c r="O45" s="376"/>
    </row>
    <row r="46" spans="1:15">
      <c r="A46" s="528">
        <v>44409</v>
      </c>
      <c r="B46" s="526">
        <f t="shared" ref="B46:B53" si="8">+G45</f>
        <v>13878510</v>
      </c>
      <c r="C46" s="526">
        <v>495179</v>
      </c>
      <c r="D46" s="526">
        <v>84214</v>
      </c>
      <c r="E46" s="526"/>
      <c r="F46" s="526">
        <f t="shared" ref="F46:F53" si="9">+C46+D46</f>
        <v>579393</v>
      </c>
      <c r="G46" s="529">
        <f t="shared" ref="G46:G53" si="10">+B46-C46+D46-E46</f>
        <v>13467545</v>
      </c>
      <c r="H46" s="3"/>
      <c r="J46"/>
      <c r="O46" s="376"/>
    </row>
    <row r="47" spans="1:15">
      <c r="A47" s="528">
        <v>44440</v>
      </c>
      <c r="B47" s="526">
        <f t="shared" si="8"/>
        <v>13467545</v>
      </c>
      <c r="C47" s="526">
        <v>492136</v>
      </c>
      <c r="D47" s="526">
        <v>78919</v>
      </c>
      <c r="E47" s="533"/>
      <c r="F47" s="526">
        <f t="shared" si="9"/>
        <v>571055</v>
      </c>
      <c r="G47" s="529">
        <f t="shared" si="10"/>
        <v>13054328</v>
      </c>
      <c r="H47" s="3"/>
      <c r="J47"/>
      <c r="O47" s="376"/>
    </row>
    <row r="48" spans="1:15">
      <c r="A48" s="528">
        <v>44470</v>
      </c>
      <c r="B48" s="526">
        <f t="shared" si="8"/>
        <v>13054328</v>
      </c>
      <c r="C48" s="526">
        <v>487383</v>
      </c>
      <c r="D48" s="526">
        <v>78982</v>
      </c>
      <c r="E48" s="526"/>
      <c r="F48" s="526">
        <f t="shared" si="9"/>
        <v>566365</v>
      </c>
      <c r="G48" s="529">
        <f t="shared" si="10"/>
        <v>12645927</v>
      </c>
      <c r="H48" s="3"/>
      <c r="J48"/>
      <c r="O48" s="376"/>
    </row>
    <row r="49" spans="1:15">
      <c r="A49" s="528">
        <v>44501</v>
      </c>
      <c r="B49" s="526">
        <f t="shared" si="8"/>
        <v>12645927</v>
      </c>
      <c r="C49" s="526">
        <v>487536</v>
      </c>
      <c r="D49" s="526">
        <v>74049</v>
      </c>
      <c r="E49" s="526"/>
      <c r="F49" s="526">
        <f t="shared" si="9"/>
        <v>561585</v>
      </c>
      <c r="G49" s="529">
        <f t="shared" si="10"/>
        <v>12232440</v>
      </c>
      <c r="H49" s="3"/>
      <c r="J49"/>
      <c r="O49" s="376"/>
    </row>
    <row r="50" spans="1:15">
      <c r="A50" s="528">
        <v>44531</v>
      </c>
      <c r="B50" s="526">
        <f t="shared" si="8"/>
        <v>12232440</v>
      </c>
      <c r="C50" s="526">
        <v>482423</v>
      </c>
      <c r="D50" s="526">
        <v>73946</v>
      </c>
      <c r="E50" s="526"/>
      <c r="F50" s="526">
        <f t="shared" si="9"/>
        <v>556369</v>
      </c>
      <c r="G50" s="529">
        <f t="shared" si="10"/>
        <v>11823963</v>
      </c>
      <c r="H50" s="3"/>
      <c r="J50"/>
      <c r="O50" s="376"/>
    </row>
    <row r="51" spans="1:15">
      <c r="A51" s="528">
        <v>44562</v>
      </c>
      <c r="B51" s="526">
        <f t="shared" si="8"/>
        <v>11823963</v>
      </c>
      <c r="C51" s="526">
        <v>465614</v>
      </c>
      <c r="D51" s="526">
        <v>71575</v>
      </c>
      <c r="E51" s="526"/>
      <c r="F51" s="526">
        <f t="shared" si="9"/>
        <v>537189</v>
      </c>
      <c r="G51" s="529">
        <f t="shared" si="10"/>
        <v>11429924</v>
      </c>
      <c r="H51" s="3"/>
      <c r="J51"/>
      <c r="O51" s="376"/>
    </row>
    <row r="52" spans="1:15">
      <c r="A52" s="528">
        <v>44593</v>
      </c>
      <c r="B52" s="526">
        <f t="shared" si="8"/>
        <v>11429924</v>
      </c>
      <c r="C52" s="526">
        <v>996885</v>
      </c>
      <c r="D52" s="526">
        <v>62226</v>
      </c>
      <c r="E52" s="526"/>
      <c r="F52" s="526">
        <f t="shared" si="9"/>
        <v>1059111</v>
      </c>
      <c r="G52" s="529">
        <f t="shared" si="10"/>
        <v>10495265</v>
      </c>
      <c r="H52" s="3"/>
    </row>
    <row r="53" spans="1:15">
      <c r="A53" s="528">
        <v>44621</v>
      </c>
      <c r="B53" s="526">
        <f t="shared" si="8"/>
        <v>10495265</v>
      </c>
      <c r="C53" s="526">
        <v>79748</v>
      </c>
      <c r="D53" s="526">
        <v>65946</v>
      </c>
      <c r="E53" s="526"/>
      <c r="F53" s="526">
        <f t="shared" si="9"/>
        <v>145694</v>
      </c>
      <c r="G53" s="529">
        <f t="shared" si="10"/>
        <v>10481463</v>
      </c>
      <c r="H53" s="3"/>
    </row>
    <row r="54" spans="1:15">
      <c r="A54" s="140"/>
      <c r="B54" s="526"/>
      <c r="C54" s="533">
        <f>+SUM(C45:C53)</f>
        <v>4798016</v>
      </c>
      <c r="D54" s="533">
        <f>+SUM(D42:D53)</f>
        <v>948949</v>
      </c>
      <c r="E54" s="533">
        <f>+SUM(E42:E53)</f>
        <v>269470</v>
      </c>
      <c r="F54" s="538"/>
      <c r="G54" s="140"/>
      <c r="I54" s="3">
        <f>+C54-D54+E54</f>
        <v>4118537</v>
      </c>
    </row>
    <row r="55" spans="1:15">
      <c r="A55" s="528"/>
      <c r="B55" s="526"/>
      <c r="C55" s="526"/>
      <c r="D55" s="526"/>
      <c r="E55" s="526"/>
      <c r="F55" s="538"/>
      <c r="G55" s="140"/>
    </row>
    <row r="56" spans="1:15">
      <c r="A56" s="528">
        <v>44652</v>
      </c>
      <c r="B56" s="526">
        <f>+G53</f>
        <v>10481463</v>
      </c>
      <c r="C56" s="526">
        <v>460710</v>
      </c>
      <c r="D56" s="526">
        <v>62752</v>
      </c>
      <c r="E56" s="526">
        <f>+D56</f>
        <v>62752</v>
      </c>
      <c r="F56" s="538"/>
      <c r="G56" s="529">
        <f>+B56-C56+D56-E56</f>
        <v>10020753</v>
      </c>
      <c r="H56" s="3"/>
    </row>
    <row r="57" spans="1:15">
      <c r="A57" s="528">
        <v>44682</v>
      </c>
      <c r="B57" s="526">
        <f>+G56</f>
        <v>10020753</v>
      </c>
      <c r="C57" s="526">
        <v>454440</v>
      </c>
      <c r="D57" s="526">
        <v>60584</v>
      </c>
      <c r="E57" s="526">
        <f t="shared" ref="E57:E67" si="11">+D57</f>
        <v>60584</v>
      </c>
      <c r="F57" s="538"/>
      <c r="G57" s="529">
        <f t="shared" ref="G57:G67" si="12">+B57-C57+D57-E57</f>
        <v>9566313</v>
      </c>
      <c r="H57" s="3"/>
    </row>
    <row r="58" spans="1:15">
      <c r="A58" s="528">
        <v>44713</v>
      </c>
      <c r="B58" s="526">
        <f t="shared" ref="B58:B67" si="13">+G57</f>
        <v>9566313</v>
      </c>
      <c r="C58" s="526">
        <v>455968</v>
      </c>
      <c r="D58" s="526">
        <v>61097</v>
      </c>
      <c r="E58" s="526">
        <f t="shared" si="11"/>
        <v>61097</v>
      </c>
      <c r="F58" s="538"/>
      <c r="G58" s="529">
        <f t="shared" si="12"/>
        <v>9110345</v>
      </c>
      <c r="H58" s="3"/>
    </row>
    <row r="59" spans="1:15">
      <c r="A59" s="528">
        <v>44743</v>
      </c>
      <c r="B59" s="526">
        <f t="shared" si="13"/>
        <v>9110345</v>
      </c>
      <c r="C59" s="526">
        <v>455296</v>
      </c>
      <c r="D59" s="526">
        <v>61768</v>
      </c>
      <c r="E59" s="526">
        <f t="shared" si="11"/>
        <v>61768</v>
      </c>
      <c r="F59" s="538"/>
      <c r="G59" s="529">
        <f t="shared" si="12"/>
        <v>8655049</v>
      </c>
      <c r="H59" s="3"/>
    </row>
    <row r="60" spans="1:15">
      <c r="A60" s="528">
        <v>44774</v>
      </c>
      <c r="B60" s="526">
        <f t="shared" si="13"/>
        <v>8655049</v>
      </c>
      <c r="C60" s="526">
        <v>456582</v>
      </c>
      <c r="D60" s="526">
        <v>60483</v>
      </c>
      <c r="E60" s="526">
        <f t="shared" si="11"/>
        <v>60483</v>
      </c>
      <c r="F60" s="538"/>
      <c r="G60" s="529">
        <f t="shared" si="12"/>
        <v>8198467</v>
      </c>
      <c r="H60" s="3"/>
    </row>
    <row r="61" spans="1:15">
      <c r="A61" s="528">
        <v>44805</v>
      </c>
      <c r="B61" s="526">
        <f t="shared" si="13"/>
        <v>8198467</v>
      </c>
      <c r="C61" s="526">
        <v>460171</v>
      </c>
      <c r="D61" s="526">
        <v>56893</v>
      </c>
      <c r="E61" s="526">
        <f t="shared" si="11"/>
        <v>56893</v>
      </c>
      <c r="F61" s="538"/>
      <c r="G61" s="529">
        <f t="shared" si="12"/>
        <v>7738296</v>
      </c>
      <c r="H61" s="3"/>
    </row>
    <row r="62" spans="1:15">
      <c r="A62" s="528">
        <v>44835</v>
      </c>
      <c r="B62" s="526">
        <f t="shared" si="13"/>
        <v>7738296</v>
      </c>
      <c r="C62" s="526">
        <v>390593</v>
      </c>
      <c r="D62" s="526">
        <v>57968</v>
      </c>
      <c r="E62" s="526">
        <f t="shared" si="11"/>
        <v>57968</v>
      </c>
      <c r="F62" s="538"/>
      <c r="G62" s="529">
        <f t="shared" si="12"/>
        <v>7347703</v>
      </c>
      <c r="H62" s="3"/>
    </row>
    <row r="63" spans="1:15">
      <c r="A63" s="528">
        <v>44866</v>
      </c>
      <c r="B63" s="526">
        <f t="shared" si="13"/>
        <v>7347703</v>
      </c>
      <c r="C63" s="526">
        <v>463862</v>
      </c>
      <c r="D63" s="526">
        <v>53203</v>
      </c>
      <c r="E63" s="526">
        <f t="shared" si="11"/>
        <v>53203</v>
      </c>
      <c r="F63" s="538"/>
      <c r="G63" s="529">
        <f t="shared" si="12"/>
        <v>6883841</v>
      </c>
      <c r="H63" s="3"/>
    </row>
    <row r="64" spans="1:15">
      <c r="A64" s="528">
        <v>44896</v>
      </c>
      <c r="B64" s="526">
        <f t="shared" si="13"/>
        <v>6883841</v>
      </c>
      <c r="C64" s="526">
        <v>465409</v>
      </c>
      <c r="D64" s="526">
        <v>51656</v>
      </c>
      <c r="E64" s="526">
        <f t="shared" si="11"/>
        <v>51656</v>
      </c>
      <c r="F64" s="538"/>
      <c r="G64" s="529">
        <f t="shared" si="12"/>
        <v>6418432</v>
      </c>
      <c r="H64" s="3"/>
    </row>
    <row r="65" spans="1:8">
      <c r="A65" s="528">
        <v>44927</v>
      </c>
      <c r="B65" s="526">
        <f t="shared" si="13"/>
        <v>6418432</v>
      </c>
      <c r="C65" s="526">
        <v>469638</v>
      </c>
      <c r="D65" s="526">
        <v>47427</v>
      </c>
      <c r="E65" s="526">
        <f t="shared" si="11"/>
        <v>47427</v>
      </c>
      <c r="F65" s="538"/>
      <c r="G65" s="529">
        <f t="shared" si="12"/>
        <v>5948794</v>
      </c>
      <c r="H65" s="3"/>
    </row>
    <row r="66" spans="1:8">
      <c r="A66" s="528">
        <v>44958</v>
      </c>
      <c r="B66" s="526">
        <f t="shared" si="13"/>
        <v>5948794</v>
      </c>
      <c r="C66" s="526">
        <v>477624</v>
      </c>
      <c r="D66" s="526">
        <v>39441</v>
      </c>
      <c r="E66" s="526">
        <f t="shared" si="11"/>
        <v>39441</v>
      </c>
      <c r="F66" s="538"/>
      <c r="G66" s="529">
        <f t="shared" si="12"/>
        <v>5471170</v>
      </c>
      <c r="H66" s="3"/>
    </row>
    <row r="67" spans="1:8">
      <c r="A67" s="528">
        <v>44986</v>
      </c>
      <c r="B67" s="526">
        <f t="shared" si="13"/>
        <v>5471170</v>
      </c>
      <c r="C67" s="526">
        <v>427511</v>
      </c>
      <c r="D67" s="526">
        <v>40522</v>
      </c>
      <c r="E67" s="526">
        <f t="shared" si="11"/>
        <v>40522</v>
      </c>
      <c r="F67" s="538"/>
      <c r="G67" s="532">
        <f t="shared" si="12"/>
        <v>5043659</v>
      </c>
      <c r="H67" s="539"/>
    </row>
    <row r="68" spans="1:8">
      <c r="A68" s="140"/>
      <c r="B68" s="526"/>
      <c r="C68" s="533">
        <f>+SUM(C56:C67)</f>
        <v>5437804</v>
      </c>
      <c r="D68" s="533">
        <f>SUM(D56:D67)</f>
        <v>653794</v>
      </c>
      <c r="E68" s="526"/>
      <c r="F68" s="538"/>
      <c r="G68" s="140"/>
    </row>
    <row r="70" spans="1:8">
      <c r="A70" s="528">
        <v>45017</v>
      </c>
      <c r="B70" s="526">
        <f>+G67</f>
        <v>5043659</v>
      </c>
      <c r="C70" s="526">
        <v>391668</v>
      </c>
      <c r="D70" s="526">
        <f>+B70*$D$40*1/$E$40</f>
        <v>31102.563833333334</v>
      </c>
      <c r="E70" s="526">
        <f>+D70</f>
        <v>31102.563833333334</v>
      </c>
      <c r="F70" s="538"/>
      <c r="G70" s="529">
        <f>+B70-C70+D70-E70</f>
        <v>4651991</v>
      </c>
    </row>
    <row r="71" spans="1:8">
      <c r="A71" s="528">
        <v>45047</v>
      </c>
      <c r="B71" s="526">
        <f>+G70</f>
        <v>4651991</v>
      </c>
      <c r="C71" s="526">
        <v>391668</v>
      </c>
      <c r="D71" s="526">
        <f t="shared" ref="D71:D81" si="14">+B71*$D$40*1/$E$40</f>
        <v>28687.27783333333</v>
      </c>
      <c r="E71" s="526">
        <f t="shared" ref="E71:E81" si="15">+D71</f>
        <v>28687.27783333333</v>
      </c>
      <c r="F71" s="538"/>
      <c r="G71" s="529">
        <f t="shared" ref="G71:G81" si="16">+B71-C71+D71-E71</f>
        <v>4260323</v>
      </c>
    </row>
    <row r="72" spans="1:8">
      <c r="A72" s="528">
        <v>45078</v>
      </c>
      <c r="B72" s="526">
        <f t="shared" ref="B72:B81" si="17">+G71</f>
        <v>4260323</v>
      </c>
      <c r="C72" s="526">
        <v>391668</v>
      </c>
      <c r="D72" s="526">
        <f t="shared" si="14"/>
        <v>26271.991833333333</v>
      </c>
      <c r="E72" s="526">
        <f t="shared" si="15"/>
        <v>26271.991833333333</v>
      </c>
      <c r="F72" s="538"/>
      <c r="G72" s="529">
        <f t="shared" si="16"/>
        <v>3868655</v>
      </c>
    </row>
    <row r="73" spans="1:8">
      <c r="A73" s="528">
        <v>45108</v>
      </c>
      <c r="B73" s="526">
        <f t="shared" si="17"/>
        <v>3868655</v>
      </c>
      <c r="C73" s="526">
        <v>391668</v>
      </c>
      <c r="D73" s="526">
        <f t="shared" si="14"/>
        <v>23856.70583333333</v>
      </c>
      <c r="E73" s="526">
        <f t="shared" si="15"/>
        <v>23856.70583333333</v>
      </c>
      <c r="F73" s="538"/>
      <c r="G73" s="529">
        <f t="shared" si="16"/>
        <v>3476987</v>
      </c>
    </row>
    <row r="74" spans="1:8">
      <c r="A74" s="528">
        <v>45139</v>
      </c>
      <c r="B74" s="526">
        <f t="shared" si="17"/>
        <v>3476987</v>
      </c>
      <c r="C74" s="526">
        <v>391668</v>
      </c>
      <c r="D74" s="526">
        <f t="shared" si="14"/>
        <v>21441.419833333333</v>
      </c>
      <c r="E74" s="526">
        <f t="shared" si="15"/>
        <v>21441.419833333333</v>
      </c>
      <c r="F74" s="538"/>
      <c r="G74" s="529">
        <f t="shared" si="16"/>
        <v>3085319</v>
      </c>
    </row>
    <row r="75" spans="1:8">
      <c r="A75" s="528">
        <v>45170</v>
      </c>
      <c r="B75" s="526">
        <f t="shared" si="17"/>
        <v>3085319</v>
      </c>
      <c r="C75" s="526">
        <v>391668</v>
      </c>
      <c r="D75" s="526">
        <f t="shared" si="14"/>
        <v>19026.133833333333</v>
      </c>
      <c r="E75" s="526">
        <f t="shared" si="15"/>
        <v>19026.133833333333</v>
      </c>
      <c r="F75" s="538"/>
      <c r="G75" s="529">
        <f t="shared" si="16"/>
        <v>2693651</v>
      </c>
    </row>
    <row r="76" spans="1:8">
      <c r="A76" s="528">
        <v>45200</v>
      </c>
      <c r="B76" s="526">
        <f t="shared" si="17"/>
        <v>2693651</v>
      </c>
      <c r="C76" s="526">
        <v>391668</v>
      </c>
      <c r="D76" s="526">
        <f t="shared" si="14"/>
        <v>16610.847833333333</v>
      </c>
      <c r="E76" s="526">
        <f t="shared" si="15"/>
        <v>16610.847833333333</v>
      </c>
      <c r="F76" s="538"/>
      <c r="G76" s="529">
        <f t="shared" si="16"/>
        <v>2301983</v>
      </c>
    </row>
    <row r="77" spans="1:8">
      <c r="A77" s="528">
        <v>45231</v>
      </c>
      <c r="B77" s="526">
        <f t="shared" si="17"/>
        <v>2301983</v>
      </c>
      <c r="C77" s="526">
        <v>391668</v>
      </c>
      <c r="D77" s="526">
        <f t="shared" si="14"/>
        <v>14195.561833333333</v>
      </c>
      <c r="E77" s="526">
        <f t="shared" si="15"/>
        <v>14195.561833333333</v>
      </c>
      <c r="F77" s="538"/>
      <c r="G77" s="529">
        <f t="shared" si="16"/>
        <v>1910315</v>
      </c>
    </row>
    <row r="78" spans="1:8">
      <c r="A78" s="528">
        <v>45261</v>
      </c>
      <c r="B78" s="526">
        <f t="shared" si="17"/>
        <v>1910315</v>
      </c>
      <c r="C78" s="526">
        <v>391668</v>
      </c>
      <c r="D78" s="526">
        <f t="shared" si="14"/>
        <v>11780.275833333333</v>
      </c>
      <c r="E78" s="526">
        <f t="shared" si="15"/>
        <v>11780.275833333333</v>
      </c>
      <c r="F78" s="538"/>
      <c r="G78" s="529">
        <f t="shared" si="16"/>
        <v>1518647</v>
      </c>
    </row>
    <row r="79" spans="1:8">
      <c r="A79" s="528">
        <v>45292</v>
      </c>
      <c r="B79" s="526">
        <f t="shared" si="17"/>
        <v>1518647</v>
      </c>
      <c r="C79" s="526">
        <v>391668</v>
      </c>
      <c r="D79" s="526">
        <f t="shared" si="14"/>
        <v>9364.9898333333331</v>
      </c>
      <c r="E79" s="526">
        <f t="shared" si="15"/>
        <v>9364.9898333333331</v>
      </c>
      <c r="F79" s="538"/>
      <c r="G79" s="529">
        <f t="shared" si="16"/>
        <v>1126979</v>
      </c>
    </row>
    <row r="80" spans="1:8">
      <c r="A80" s="528">
        <v>45323</v>
      </c>
      <c r="B80" s="526">
        <f t="shared" si="17"/>
        <v>1126979</v>
      </c>
      <c r="C80" s="526">
        <v>391668</v>
      </c>
      <c r="D80" s="526">
        <f t="shared" si="14"/>
        <v>6949.703833333333</v>
      </c>
      <c r="E80" s="526">
        <f t="shared" si="15"/>
        <v>6949.703833333333</v>
      </c>
      <c r="F80" s="538"/>
      <c r="G80" s="529">
        <f t="shared" si="16"/>
        <v>735311</v>
      </c>
    </row>
    <row r="81" spans="1:7">
      <c r="A81" s="528">
        <v>45352</v>
      </c>
      <c r="B81" s="526">
        <f t="shared" si="17"/>
        <v>735311</v>
      </c>
      <c r="C81" s="526">
        <v>391668</v>
      </c>
      <c r="D81" s="526">
        <f t="shared" si="14"/>
        <v>4534.417833333333</v>
      </c>
      <c r="E81" s="526">
        <f t="shared" si="15"/>
        <v>4534.417833333333</v>
      </c>
      <c r="F81" s="538"/>
      <c r="G81" s="532">
        <f t="shared" si="16"/>
        <v>343643</v>
      </c>
    </row>
    <row r="82" spans="1:7">
      <c r="A82" s="140"/>
      <c r="B82" s="526"/>
      <c r="C82" s="533">
        <f>SUM(C70:C81)</f>
        <v>4700016</v>
      </c>
      <c r="D82" s="526"/>
      <c r="E82" s="526"/>
      <c r="F82" s="538"/>
      <c r="G82" s="140"/>
    </row>
    <row r="84" spans="1:7" ht="16.2">
      <c r="A84" s="525" t="s">
        <v>2241</v>
      </c>
      <c r="B84" s="526"/>
      <c r="C84" s="526"/>
      <c r="D84" s="537"/>
      <c r="E84" s="526"/>
      <c r="F84" s="140"/>
      <c r="G84" s="140"/>
    </row>
    <row r="85" spans="1:7">
      <c r="A85" s="520" t="s">
        <v>463</v>
      </c>
      <c r="B85" s="515" t="s">
        <v>2225</v>
      </c>
      <c r="C85" s="515" t="s">
        <v>2012</v>
      </c>
      <c r="D85" s="515" t="s">
        <v>903</v>
      </c>
      <c r="E85" s="515" t="s">
        <v>2231</v>
      </c>
      <c r="F85" s="515" t="s">
        <v>2232</v>
      </c>
      <c r="G85" s="520" t="s">
        <v>2227</v>
      </c>
    </row>
    <row r="86" spans="1:7">
      <c r="A86" s="534">
        <v>45017</v>
      </c>
      <c r="B86" s="376">
        <v>700000</v>
      </c>
    </row>
    <row r="87" spans="1:7">
      <c r="A87" s="534">
        <v>45108</v>
      </c>
      <c r="B87" s="376">
        <v>700000</v>
      </c>
    </row>
    <row r="88" spans="1:7">
      <c r="A88" s="534">
        <v>45200</v>
      </c>
      <c r="B88" s="376">
        <v>700000</v>
      </c>
    </row>
    <row r="89" spans="1:7">
      <c r="A89" s="534">
        <v>45292</v>
      </c>
      <c r="B89" s="376">
        <v>700000</v>
      </c>
    </row>
    <row r="90" spans="1:7">
      <c r="A90" s="534"/>
      <c r="B90" s="376">
        <f>SUM(B86:B89)</f>
        <v>2800000</v>
      </c>
    </row>
    <row r="91" spans="1:7">
      <c r="A91" s="534"/>
    </row>
  </sheetData>
  <customSheetViews>
    <customSheetView guid="{ADEA4918-0326-423A-8D00-FB47A486004B}" state="hidden" topLeftCell="A61">
      <selection activeCell="H46" sqref="H46"/>
      <pageMargins left="0.7" right="0.7" top="0.75" bottom="0.75" header="0.3" footer="0.3"/>
    </customSheetView>
    <customSheetView guid="{2A78E287-3113-4387-BB62-BE98FA5C13C2}" topLeftCell="A61">
      <selection activeCell="H46" sqref="H46"/>
      <pageMargins left="0.7" right="0.7" top="0.75" bottom="0.75" header="0.3" footer="0.3"/>
    </customSheetView>
    <customSheetView guid="{DC5DA12B-0FA6-4F41-A983-6E433AD4604D}" topLeftCell="A61">
      <selection activeCell="H46" sqref="H4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Z1023"/>
  <sheetViews>
    <sheetView view="pageBreakPreview" topLeftCell="B73" zoomScale="80" zoomScaleNormal="100" zoomScaleSheetLayoutView="100" workbookViewId="0">
      <selection activeCell="H815" sqref="H815"/>
    </sheetView>
  </sheetViews>
  <sheetFormatPr defaultColWidth="36.109375" defaultRowHeight="14.4"/>
  <cols>
    <col min="1" max="1" width="9.109375" style="2592" customWidth="1"/>
    <col min="2" max="2" width="39.6640625" style="2592" customWidth="1"/>
    <col min="3" max="3" width="15.44140625" style="2592" customWidth="1"/>
    <col min="4" max="4" width="15.6640625" style="2592" bestFit="1" customWidth="1"/>
    <col min="5" max="5" width="17.5546875" style="2592" customWidth="1"/>
    <col min="6" max="6" width="14.88671875" style="2592" customWidth="1"/>
    <col min="7" max="7" width="23.5546875" style="2592" bestFit="1" customWidth="1"/>
    <col min="8" max="8" width="22.33203125" style="2592" customWidth="1"/>
    <col min="9" max="9" width="28.88671875" style="2592" customWidth="1"/>
    <col min="10" max="10" width="36.6640625" style="2592" bestFit="1" customWidth="1"/>
    <col min="11" max="17" width="28.88671875" style="2592" customWidth="1"/>
    <col min="18" max="18" width="20.6640625" style="2594" customWidth="1"/>
    <col min="19" max="19" width="34.109375" style="2592" customWidth="1"/>
    <col min="20" max="20" width="16.44140625" style="376" customWidth="1"/>
    <col min="21" max="21" width="16.33203125" style="376" bestFit="1" customWidth="1"/>
    <col min="22" max="22" width="14.109375" style="376" bestFit="1" customWidth="1"/>
    <col min="23" max="23" width="26.33203125" style="376" bestFit="1" customWidth="1"/>
    <col min="24" max="24" width="22.44140625" style="2592" customWidth="1"/>
    <col min="25" max="25" width="14.6640625" style="2592" bestFit="1" customWidth="1"/>
    <col min="26" max="26" width="18.6640625" style="2592" bestFit="1" customWidth="1"/>
    <col min="27" max="16384" width="36.109375" style="2592"/>
  </cols>
  <sheetData>
    <row r="2" spans="2:20" ht="15" thickBot="1">
      <c r="G2" s="376">
        <f>+G47-G27</f>
        <v>4.7840476036071777E-3</v>
      </c>
      <c r="H2" s="2593">
        <f>+H47-H27</f>
        <v>0.33493530750274658</v>
      </c>
      <c r="I2" s="2593"/>
      <c r="J2" s="2593"/>
      <c r="K2" s="2593"/>
      <c r="L2" s="2593"/>
      <c r="M2" s="2593"/>
      <c r="N2" s="2593"/>
      <c r="O2" s="2593"/>
      <c r="P2" s="2593"/>
      <c r="Q2" s="2593"/>
    </row>
    <row r="3" spans="2:20" ht="18">
      <c r="B3" s="2345" t="s">
        <v>702</v>
      </c>
      <c r="C3" s="2346"/>
      <c r="D3" s="2346"/>
      <c r="E3" s="2346"/>
      <c r="F3" s="2346"/>
      <c r="G3" s="2346"/>
      <c r="H3" s="2347"/>
      <c r="I3" s="1880"/>
      <c r="J3" s="1880"/>
      <c r="K3" s="1880"/>
      <c r="L3" s="1880"/>
      <c r="M3" s="1880"/>
      <c r="N3" s="1880"/>
      <c r="O3" s="1880"/>
      <c r="P3" s="1880"/>
      <c r="Q3" s="1880"/>
      <c r="S3" s="2592">
        <f>+Depreciation!D11</f>
        <v>11551373</v>
      </c>
    </row>
    <row r="4" spans="2:20" ht="18">
      <c r="B4" s="2348" t="s">
        <v>3053</v>
      </c>
      <c r="C4" s="2349"/>
      <c r="D4" s="2349"/>
      <c r="E4" s="2349"/>
      <c r="F4" s="2349"/>
      <c r="G4" s="2349"/>
      <c r="H4" s="2350"/>
      <c r="I4" s="1880"/>
      <c r="J4" s="1880"/>
      <c r="K4" s="1880"/>
      <c r="L4" s="1880"/>
      <c r="M4" s="1880"/>
      <c r="N4" s="1880"/>
      <c r="O4" s="1880"/>
      <c r="P4" s="1880"/>
      <c r="Q4" s="1880"/>
    </row>
    <row r="5" spans="2:20" ht="18">
      <c r="B5" s="2595" t="s">
        <v>463</v>
      </c>
      <c r="C5" s="2596"/>
      <c r="D5" s="2596"/>
      <c r="E5" s="2596"/>
      <c r="F5" s="2597" t="s">
        <v>703</v>
      </c>
      <c r="G5" s="1004" t="s">
        <v>704</v>
      </c>
      <c r="H5" s="1005" t="s">
        <v>704</v>
      </c>
      <c r="I5" s="1996"/>
      <c r="J5" s="1996"/>
      <c r="K5" s="1996"/>
      <c r="L5" s="1996"/>
      <c r="M5" s="1996"/>
      <c r="N5" s="1996"/>
      <c r="O5" s="1996"/>
      <c r="P5" s="1996"/>
      <c r="Q5" s="1996"/>
    </row>
    <row r="6" spans="2:20" ht="18">
      <c r="B6" s="2598"/>
      <c r="C6" s="2599"/>
      <c r="D6" s="2599"/>
      <c r="E6" s="2599"/>
      <c r="F6" s="2600"/>
      <c r="G6" s="6" t="s">
        <v>3052</v>
      </c>
      <c r="H6" s="1007" t="s">
        <v>705</v>
      </c>
      <c r="I6" s="103"/>
      <c r="J6" s="103"/>
      <c r="K6" s="103"/>
      <c r="L6" s="103"/>
      <c r="M6" s="103"/>
      <c r="N6" s="103"/>
      <c r="O6" s="103"/>
      <c r="P6" s="103"/>
      <c r="Q6" s="103"/>
    </row>
    <row r="7" spans="2:20" ht="18">
      <c r="B7" s="2601" t="s">
        <v>707</v>
      </c>
      <c r="C7" s="2602"/>
      <c r="D7" s="2602"/>
      <c r="E7" s="2602"/>
      <c r="F7" s="2603"/>
      <c r="G7" s="7"/>
      <c r="H7" s="1009"/>
      <c r="I7" s="20"/>
      <c r="J7" s="20"/>
      <c r="K7" s="20"/>
      <c r="L7" s="20"/>
      <c r="M7" s="20"/>
      <c r="N7" s="20"/>
      <c r="O7" s="20"/>
      <c r="P7" s="20"/>
      <c r="Q7" s="20"/>
    </row>
    <row r="8" spans="2:20" ht="18">
      <c r="B8" s="2601" t="s">
        <v>708</v>
      </c>
      <c r="C8" s="2602"/>
      <c r="D8" s="2602"/>
      <c r="E8" s="2602"/>
      <c r="F8" s="2603"/>
      <c r="G8" s="7"/>
      <c r="H8" s="1009"/>
      <c r="I8" s="20"/>
      <c r="J8" s="20"/>
      <c r="K8" s="20"/>
      <c r="L8" s="20"/>
      <c r="M8" s="20"/>
      <c r="N8" s="20"/>
      <c r="O8" s="20"/>
      <c r="P8" s="20"/>
      <c r="Q8" s="20"/>
    </row>
    <row r="9" spans="2:20" ht="18">
      <c r="B9" s="2604" t="s">
        <v>77</v>
      </c>
      <c r="C9" s="2602"/>
      <c r="D9" s="2602"/>
      <c r="E9" s="2602"/>
      <c r="F9" s="2605">
        <v>2</v>
      </c>
      <c r="G9" s="8">
        <f>+SUM(Depreciation!B25:I25)</f>
        <v>370179117.91074157</v>
      </c>
      <c r="H9" s="1011">
        <f>+SUM(Depreciation!B24:I24)</f>
        <v>193428260.50074148</v>
      </c>
      <c r="I9" s="1997"/>
      <c r="J9" s="1997"/>
      <c r="K9" s="1997"/>
      <c r="L9" s="1997"/>
      <c r="M9" s="1997"/>
      <c r="N9" s="1997"/>
      <c r="O9" s="1997"/>
      <c r="P9" s="1997"/>
      <c r="Q9" s="1997"/>
      <c r="R9" s="2606">
        <f>+G9/$G$27</f>
        <v>0.69816301217672183</v>
      </c>
      <c r="S9" s="807">
        <v>339748500.99000001</v>
      </c>
      <c r="T9" s="376">
        <f>+G9+G10-S9</f>
        <v>30430616.920741558</v>
      </c>
    </row>
    <row r="10" spans="2:20" ht="18">
      <c r="B10" s="2604" t="s">
        <v>709</v>
      </c>
      <c r="C10" s="2602"/>
      <c r="D10" s="2602"/>
      <c r="E10" s="2602"/>
      <c r="F10" s="2605"/>
      <c r="G10" s="8">
        <f>+GETPIVOTDATA("Sum of Dr. Final 23-24",Pivot!$A$1,"Note",2,"BS Main Head","Property, Plant and Equipment","BS Sub Head","Capital WIP")</f>
        <v>0</v>
      </c>
      <c r="H10" s="1011">
        <f>+Depreciation!J24</f>
        <v>146447231.75</v>
      </c>
      <c r="I10" s="1997"/>
      <c r="J10" s="1997"/>
      <c r="K10" s="1997"/>
      <c r="L10" s="1997"/>
      <c r="M10" s="1997"/>
      <c r="N10" s="1997"/>
      <c r="O10" s="1997"/>
      <c r="P10" s="1997"/>
      <c r="Q10" s="1997"/>
      <c r="R10" s="2606">
        <f>+G10/$G$27</f>
        <v>0</v>
      </c>
      <c r="S10" s="2593">
        <f>+S9-G9-G10</f>
        <v>-30430616.920741558</v>
      </c>
    </row>
    <row r="11" spans="2:20" ht="18">
      <c r="B11" s="2607" t="s">
        <v>13</v>
      </c>
      <c r="C11" s="2602"/>
      <c r="D11" s="2602"/>
      <c r="E11" s="2602"/>
      <c r="F11" s="2608"/>
      <c r="G11" s="10"/>
      <c r="H11" s="1013"/>
      <c r="I11" s="103"/>
      <c r="J11" s="103"/>
      <c r="K11" s="103"/>
      <c r="L11" s="103"/>
      <c r="M11" s="103"/>
      <c r="N11" s="103"/>
      <c r="O11" s="103"/>
      <c r="P11" s="103"/>
      <c r="Q11" s="103"/>
      <c r="R11" s="2609"/>
    </row>
    <row r="12" spans="2:20" ht="18">
      <c r="B12" s="2610" t="s">
        <v>710</v>
      </c>
      <c r="C12" s="2602"/>
      <c r="D12" s="2602"/>
      <c r="E12" s="2602"/>
      <c r="F12" s="2608">
        <v>3</v>
      </c>
      <c r="G12" s="11">
        <f>+G229</f>
        <v>3457331</v>
      </c>
      <c r="H12" s="11">
        <f>+H229</f>
        <v>3469626</v>
      </c>
      <c r="I12" s="1874"/>
      <c r="J12" s="1874"/>
      <c r="K12" s="1874"/>
      <c r="L12" s="1874"/>
      <c r="M12" s="1874"/>
      <c r="N12" s="1874"/>
      <c r="O12" s="1874"/>
      <c r="P12" s="1874"/>
      <c r="Q12" s="1874"/>
      <c r="R12" s="2606">
        <f>+G12/$G$27</f>
        <v>6.5205747927520154E-3</v>
      </c>
    </row>
    <row r="13" spans="2:20" ht="18">
      <c r="B13" s="2611" t="s">
        <v>711</v>
      </c>
      <c r="C13" s="2602"/>
      <c r="D13" s="2602"/>
      <c r="E13" s="2602"/>
      <c r="F13" s="2608">
        <v>4</v>
      </c>
      <c r="G13" s="11">
        <f>+G236</f>
        <v>19206052</v>
      </c>
      <c r="H13" s="11">
        <f>+H236</f>
        <v>16009672</v>
      </c>
      <c r="I13" s="1874"/>
      <c r="J13" s="1874"/>
      <c r="K13" s="1874"/>
      <c r="L13" s="1874"/>
      <c r="M13" s="1874"/>
      <c r="N13" s="1874"/>
      <c r="O13" s="1874"/>
      <c r="P13" s="1874"/>
      <c r="Q13" s="1874"/>
      <c r="R13" s="2606">
        <f>+G13/$G$27</f>
        <v>3.6222883646224335E-2</v>
      </c>
      <c r="S13" s="2612">
        <f>+G13-16007912</f>
        <v>3198140</v>
      </c>
    </row>
    <row r="14" spans="2:20" ht="18">
      <c r="B14" s="2611" t="s">
        <v>4747</v>
      </c>
      <c r="C14" s="2602"/>
      <c r="D14" s="2602"/>
      <c r="E14" s="2602"/>
      <c r="F14" s="2608">
        <v>14</v>
      </c>
      <c r="G14" s="11">
        <f>-G414</f>
        <v>13503113.548402404</v>
      </c>
      <c r="H14" s="37">
        <v>0</v>
      </c>
      <c r="I14" s="1874"/>
      <c r="J14" s="1874"/>
      <c r="K14" s="1874"/>
      <c r="L14" s="1874"/>
      <c r="M14" s="1874"/>
      <c r="N14" s="1874"/>
      <c r="O14" s="1874"/>
      <c r="P14" s="1874"/>
      <c r="Q14" s="1874"/>
      <c r="R14" s="2606"/>
      <c r="S14" s="2612"/>
    </row>
    <row r="15" spans="2:20" ht="18">
      <c r="B15" s="2613" t="s">
        <v>712</v>
      </c>
      <c r="C15" s="2602"/>
      <c r="D15" s="2602"/>
      <c r="E15" s="2602"/>
      <c r="F15" s="2608"/>
      <c r="G15" s="1268">
        <f>+SUM(G9:G14)</f>
        <v>406345614.459144</v>
      </c>
      <c r="H15" s="1455">
        <f>+SUM(H9:H13)</f>
        <v>359354790.25074148</v>
      </c>
      <c r="I15" s="1998"/>
      <c r="J15" s="1998"/>
      <c r="K15" s="1998"/>
      <c r="L15" s="1998"/>
      <c r="M15" s="1998"/>
      <c r="N15" s="1998"/>
      <c r="O15" s="1998"/>
      <c r="P15" s="1998"/>
      <c r="Q15" s="1998"/>
      <c r="R15" s="2609"/>
    </row>
    <row r="16" spans="2:20" ht="18">
      <c r="B16" s="2613" t="s">
        <v>713</v>
      </c>
      <c r="C16" s="2602"/>
      <c r="D16" s="2602"/>
      <c r="E16" s="2602"/>
      <c r="F16" s="2608"/>
      <c r="G16" s="10"/>
      <c r="H16" s="1013"/>
      <c r="I16" s="103"/>
      <c r="J16" s="103"/>
      <c r="K16" s="103"/>
      <c r="L16" s="103"/>
      <c r="M16" s="103"/>
      <c r="N16" s="103"/>
      <c r="O16" s="103"/>
      <c r="P16" s="103"/>
      <c r="Q16" s="103"/>
      <c r="R16" s="2609"/>
    </row>
    <row r="17" spans="2:19" ht="18">
      <c r="B17" s="2611" t="s">
        <v>714</v>
      </c>
      <c r="C17" s="2602"/>
      <c r="D17" s="2602"/>
      <c r="E17" s="2602"/>
      <c r="F17" s="2608">
        <v>5</v>
      </c>
      <c r="G17" s="11">
        <f>+G243</f>
        <v>26923530.733266789</v>
      </c>
      <c r="H17" s="11">
        <f>+H243</f>
        <v>62662681</v>
      </c>
      <c r="I17" s="1874">
        <v>26934026</v>
      </c>
      <c r="J17" s="1874">
        <f>+G17-I17</f>
        <v>-10495.266733210534</v>
      </c>
      <c r="K17" s="1874"/>
      <c r="L17" s="1874"/>
      <c r="M17" s="1874"/>
      <c r="N17" s="1874"/>
      <c r="O17" s="1874"/>
      <c r="P17" s="1874"/>
      <c r="Q17" s="1874"/>
      <c r="R17" s="2606">
        <f>+G17/$G$27</f>
        <v>5.0778156858924881E-2</v>
      </c>
    </row>
    <row r="18" spans="2:19" ht="18">
      <c r="B18" s="2611" t="s">
        <v>13</v>
      </c>
      <c r="C18" s="2602"/>
      <c r="D18" s="2602"/>
      <c r="E18" s="2602"/>
      <c r="F18" s="2608"/>
      <c r="G18" s="1754"/>
      <c r="H18" s="1018"/>
      <c r="I18" s="1998"/>
      <c r="J18" s="1998"/>
      <c r="K18" s="1998"/>
      <c r="L18" s="1998"/>
      <c r="M18" s="1998"/>
      <c r="N18" s="1998"/>
      <c r="O18" s="1998"/>
      <c r="P18" s="1998"/>
      <c r="Q18" s="1998"/>
      <c r="R18" s="2609"/>
    </row>
    <row r="19" spans="2:19" ht="18">
      <c r="B19" s="2614" t="s">
        <v>715</v>
      </c>
      <c r="C19" s="2602"/>
      <c r="D19" s="2602"/>
      <c r="E19" s="2602"/>
      <c r="F19" s="2608">
        <v>6</v>
      </c>
      <c r="G19" s="11">
        <f>+G251</f>
        <v>81160771.019999996</v>
      </c>
      <c r="H19" s="11">
        <f>+H251</f>
        <v>115802242.14</v>
      </c>
      <c r="I19" s="1874"/>
      <c r="J19" s="1874"/>
      <c r="K19" s="1874"/>
      <c r="L19" s="1874"/>
      <c r="M19" s="1874"/>
      <c r="N19" s="1874"/>
      <c r="O19" s="1874"/>
      <c r="P19" s="1874"/>
      <c r="Q19" s="1874"/>
      <c r="R19" s="2606">
        <f>+G19/$G$27</f>
        <v>0.15307035330818203</v>
      </c>
    </row>
    <row r="20" spans="2:19" ht="18">
      <c r="B20" s="2614" t="s">
        <v>716</v>
      </c>
      <c r="C20" s="2602"/>
      <c r="D20" s="2602"/>
      <c r="E20" s="2602"/>
      <c r="F20" s="2608">
        <v>7</v>
      </c>
      <c r="G20" s="11">
        <f>+G282</f>
        <v>279466.64</v>
      </c>
      <c r="H20" s="1015">
        <f>+H282</f>
        <v>239775.64</v>
      </c>
      <c r="I20" s="1874"/>
      <c r="J20" s="1874"/>
      <c r="K20" s="1874"/>
      <c r="L20" s="1874"/>
      <c r="M20" s="1874"/>
      <c r="N20" s="1874"/>
      <c r="O20" s="1874"/>
      <c r="P20" s="1874"/>
      <c r="Q20" s="1874"/>
      <c r="R20" s="2606">
        <f>+G20/$G$27</f>
        <v>5.2707800560579886E-4</v>
      </c>
    </row>
    <row r="21" spans="2:19" ht="18">
      <c r="B21" s="2614" t="s">
        <v>2256</v>
      </c>
      <c r="C21" s="2602"/>
      <c r="D21" s="2602"/>
      <c r="E21" s="2602"/>
      <c r="F21" s="2608">
        <v>8</v>
      </c>
      <c r="G21" s="11">
        <f>+G293</f>
        <v>7407950.3599999994</v>
      </c>
      <c r="H21" s="1015">
        <f>+H293</f>
        <v>10949791.359999999</v>
      </c>
      <c r="I21" s="1874"/>
      <c r="J21" s="1874"/>
      <c r="K21" s="1874"/>
      <c r="L21" s="1874"/>
      <c r="M21" s="1874"/>
      <c r="N21" s="1874"/>
      <c r="O21" s="1874"/>
      <c r="P21" s="1874"/>
      <c r="Q21" s="1874"/>
      <c r="R21" s="2606">
        <f>+G21/$G$27</f>
        <v>1.3971498356210098E-2</v>
      </c>
      <c r="S21" s="2593"/>
    </row>
    <row r="22" spans="2:19" ht="18">
      <c r="B22" s="2611" t="s">
        <v>717</v>
      </c>
      <c r="C22" s="2602"/>
      <c r="D22" s="2602"/>
      <c r="E22" s="2602"/>
      <c r="F22" s="2608">
        <v>9</v>
      </c>
      <c r="G22" s="11">
        <f>+G299</f>
        <v>7612676.4299999997</v>
      </c>
      <c r="H22" s="1015">
        <f>+H299</f>
        <v>10037184</v>
      </c>
      <c r="I22" s="1874"/>
      <c r="J22" s="1874"/>
      <c r="K22" s="1874"/>
      <c r="L22" s="1874"/>
      <c r="M22" s="1874"/>
      <c r="N22" s="1874"/>
      <c r="O22" s="1874"/>
      <c r="P22" s="1874"/>
      <c r="Q22" s="1874"/>
      <c r="R22" s="2606">
        <f>+G22/$G$27</f>
        <v>1.4357614597744735E-2</v>
      </c>
      <c r="S22" s="2612">
        <f>+G22-10038944</f>
        <v>-2426267.5700000003</v>
      </c>
    </row>
    <row r="23" spans="2:19" ht="18">
      <c r="B23" s="2611" t="s">
        <v>718</v>
      </c>
      <c r="C23" s="2602"/>
      <c r="D23" s="2602"/>
      <c r="E23" s="2602"/>
      <c r="F23" s="2608">
        <v>10</v>
      </c>
      <c r="G23" s="11">
        <f>+G302</f>
        <v>488737.92</v>
      </c>
      <c r="H23" s="1015">
        <f>+H302</f>
        <v>27609</v>
      </c>
      <c r="I23" s="1874"/>
      <c r="J23" s="1874"/>
      <c r="K23" s="1874"/>
      <c r="L23" s="1874"/>
      <c r="M23" s="1874"/>
      <c r="N23" s="1874"/>
      <c r="O23" s="1874"/>
      <c r="P23" s="1874"/>
      <c r="Q23" s="1874"/>
      <c r="R23" s="2606">
        <f>+G23/$G$27</f>
        <v>9.2176657699654762E-4</v>
      </c>
    </row>
    <row r="24" spans="2:19" ht="18">
      <c r="B24" s="2610"/>
      <c r="C24" s="2602"/>
      <c r="D24" s="2602"/>
      <c r="E24" s="2615"/>
      <c r="F24" s="2616"/>
      <c r="G24" s="1268">
        <f>+SUM(G17:G23)</f>
        <v>123873133.10326679</v>
      </c>
      <c r="H24" s="1455">
        <f>+SUM(H17:H23)</f>
        <v>199719283.13999999</v>
      </c>
      <c r="I24" s="1998"/>
      <c r="J24" s="1998"/>
      <c r="K24" s="1998"/>
      <c r="L24" s="1998"/>
      <c r="M24" s="1998"/>
      <c r="N24" s="1998"/>
      <c r="O24" s="1998"/>
      <c r="P24" s="1998"/>
      <c r="Q24" s="1998"/>
    </row>
    <row r="25" spans="2:19" ht="18">
      <c r="B25" s="2610"/>
      <c r="C25" s="2602"/>
      <c r="D25" s="2602"/>
      <c r="E25" s="2602"/>
      <c r="F25" s="2608"/>
      <c r="G25" s="15"/>
      <c r="H25" s="1020"/>
      <c r="I25" s="103"/>
      <c r="J25" s="103"/>
      <c r="K25" s="103"/>
      <c r="L25" s="103"/>
      <c r="M25" s="103"/>
      <c r="N25" s="103"/>
      <c r="O25" s="103"/>
      <c r="P25" s="103"/>
      <c r="Q25" s="103"/>
    </row>
    <row r="26" spans="2:19" ht="18">
      <c r="B26" s="2617"/>
      <c r="C26" s="2602"/>
      <c r="D26" s="2602"/>
      <c r="E26" s="2602"/>
      <c r="F26" s="2603"/>
      <c r="G26" s="7"/>
      <c r="H26" s="1009"/>
      <c r="I26" s="20"/>
      <c r="J26" s="20"/>
      <c r="K26" s="20"/>
      <c r="L26" s="20"/>
      <c r="M26" s="20"/>
      <c r="N26" s="20"/>
      <c r="O26" s="20"/>
      <c r="P26" s="20"/>
      <c r="Q26" s="20"/>
    </row>
    <row r="27" spans="2:19" ht="18.600000000000001" thickBot="1">
      <c r="B27" s="2617" t="s">
        <v>719</v>
      </c>
      <c r="C27" s="2602"/>
      <c r="D27" s="2602"/>
      <c r="E27" s="2602"/>
      <c r="F27" s="2603"/>
      <c r="G27" s="16">
        <f>+G24+G15</f>
        <v>530218747.56241077</v>
      </c>
      <c r="H27" s="1022">
        <f>+H24+H15</f>
        <v>559074073.39074147</v>
      </c>
      <c r="I27" s="1999"/>
      <c r="J27" s="1999"/>
      <c r="K27" s="1999"/>
      <c r="L27" s="1999"/>
      <c r="M27" s="1999"/>
      <c r="N27" s="1999"/>
      <c r="O27" s="1999"/>
      <c r="P27" s="1999"/>
      <c r="Q27" s="1999"/>
      <c r="R27" s="2618"/>
      <c r="S27" s="2619"/>
    </row>
    <row r="28" spans="2:19" ht="18.600000000000001" thickTop="1">
      <c r="B28" s="2620" t="s">
        <v>720</v>
      </c>
      <c r="C28" s="2602"/>
      <c r="D28" s="2602"/>
      <c r="E28" s="2602"/>
      <c r="F28" s="2608"/>
      <c r="G28" s="10"/>
      <c r="H28" s="1013"/>
      <c r="I28" s="103"/>
      <c r="J28" s="103"/>
      <c r="K28" s="103"/>
      <c r="L28" s="103"/>
      <c r="M28" s="103"/>
      <c r="N28" s="103"/>
      <c r="O28" s="103"/>
      <c r="P28" s="103"/>
      <c r="Q28" s="103"/>
    </row>
    <row r="29" spans="2:19" ht="18">
      <c r="B29" s="2617" t="s">
        <v>721</v>
      </c>
      <c r="C29" s="2602"/>
      <c r="D29" s="2602"/>
      <c r="E29" s="2602"/>
      <c r="F29" s="2608"/>
      <c r="G29" s="10"/>
      <c r="H29" s="1013"/>
      <c r="I29" s="103"/>
      <c r="J29" s="103"/>
      <c r="K29" s="103"/>
      <c r="L29" s="103"/>
      <c r="M29" s="103"/>
      <c r="N29" s="103"/>
      <c r="O29" s="103"/>
      <c r="P29" s="103"/>
      <c r="Q29" s="103"/>
    </row>
    <row r="30" spans="2:19" ht="18">
      <c r="B30" s="2610" t="s">
        <v>722</v>
      </c>
      <c r="C30" s="2602"/>
      <c r="D30" s="2602"/>
      <c r="E30" s="2602"/>
      <c r="F30" s="2608">
        <v>11</v>
      </c>
      <c r="G30" s="11">
        <f>+G147</f>
        <v>26922650</v>
      </c>
      <c r="H30" s="1015">
        <f>+H316</f>
        <v>26922650</v>
      </c>
      <c r="I30" s="1874"/>
      <c r="J30" s="1874"/>
      <c r="K30" s="1874"/>
      <c r="L30" s="1874"/>
      <c r="M30" s="1874"/>
      <c r="N30" s="1874"/>
      <c r="O30" s="1874"/>
      <c r="P30" s="1874"/>
      <c r="Q30" s="1874"/>
      <c r="R30" s="2618">
        <f>+G30-H30</f>
        <v>0</v>
      </c>
    </row>
    <row r="31" spans="2:19" ht="18">
      <c r="B31" s="2610" t="s">
        <v>723</v>
      </c>
      <c r="C31" s="2602"/>
      <c r="D31" s="2602"/>
      <c r="E31" s="2602"/>
      <c r="F31" s="2608"/>
      <c r="G31" s="11">
        <f>+G193</f>
        <v>159365028.62719482</v>
      </c>
      <c r="H31" s="1015">
        <f>+H193</f>
        <v>209025241.8868773</v>
      </c>
      <c r="I31" s="1874"/>
      <c r="J31" s="1874"/>
      <c r="K31" s="1874"/>
      <c r="L31" s="1874"/>
      <c r="M31" s="1874"/>
      <c r="N31" s="1874"/>
      <c r="O31" s="1874"/>
      <c r="P31" s="1874"/>
      <c r="Q31" s="1874"/>
      <c r="R31" s="2621">
        <f>+G31-H31</f>
        <v>-49660213.259682477</v>
      </c>
      <c r="S31" s="2593">
        <f>+G31-208433086</f>
        <v>-49068057.372805178</v>
      </c>
    </row>
    <row r="32" spans="2:19" ht="18">
      <c r="B32" s="2617" t="s">
        <v>724</v>
      </c>
      <c r="C32" s="2602"/>
      <c r="D32" s="2602"/>
      <c r="E32" s="2602"/>
      <c r="F32" s="2608"/>
      <c r="G32" s="1288">
        <f>+SUM(G30:G31)</f>
        <v>186287678.62719482</v>
      </c>
      <c r="H32" s="1469">
        <f>+SUM(H30:H31)</f>
        <v>235947891.8868773</v>
      </c>
      <c r="I32" s="1999"/>
      <c r="J32" s="1999"/>
      <c r="K32" s="1999"/>
      <c r="L32" s="1999"/>
      <c r="M32" s="1999"/>
      <c r="N32" s="1999"/>
      <c r="O32" s="1999"/>
      <c r="P32" s="1999"/>
      <c r="Q32" s="1999"/>
      <c r="R32" s="2618"/>
    </row>
    <row r="33" spans="2:19" ht="18">
      <c r="B33" s="2617" t="s">
        <v>725</v>
      </c>
      <c r="C33" s="2602"/>
      <c r="D33" s="2602"/>
      <c r="E33" s="2602"/>
      <c r="F33" s="2608"/>
      <c r="G33" s="10"/>
      <c r="H33" s="1013"/>
      <c r="I33" s="103"/>
      <c r="J33" s="103"/>
      <c r="K33" s="103"/>
      <c r="L33" s="103"/>
      <c r="M33" s="103"/>
      <c r="N33" s="103"/>
      <c r="O33" s="103"/>
      <c r="P33" s="103"/>
      <c r="Q33" s="103"/>
    </row>
    <row r="34" spans="2:19" ht="18">
      <c r="B34" s="2610" t="s">
        <v>726</v>
      </c>
      <c r="C34" s="2602"/>
      <c r="D34" s="2602"/>
      <c r="E34" s="2602"/>
      <c r="F34" s="2608"/>
      <c r="G34" s="10"/>
      <c r="H34" s="1013"/>
      <c r="I34" s="103"/>
      <c r="J34" s="103"/>
      <c r="K34" s="103"/>
      <c r="L34" s="103"/>
      <c r="M34" s="103"/>
      <c r="N34" s="103"/>
      <c r="O34" s="103"/>
      <c r="P34" s="103"/>
      <c r="Q34" s="103"/>
    </row>
    <row r="35" spans="2:19" ht="18">
      <c r="B35" s="2610" t="s">
        <v>727</v>
      </c>
      <c r="C35" s="2602"/>
      <c r="D35" s="2602"/>
      <c r="E35" s="2602"/>
      <c r="F35" s="2608">
        <v>12</v>
      </c>
      <c r="G35" s="11">
        <f>+G391</f>
        <v>112203029</v>
      </c>
      <c r="H35" s="1015">
        <f>+H391</f>
        <v>114589105.09</v>
      </c>
      <c r="I35" s="1874"/>
      <c r="J35" s="1874"/>
      <c r="K35" s="1874"/>
      <c r="L35" s="1874"/>
      <c r="M35" s="1874"/>
      <c r="N35" s="1874"/>
      <c r="O35" s="1874"/>
      <c r="P35" s="1874"/>
      <c r="Q35" s="1874"/>
      <c r="R35" s="2621">
        <f>+G35-H35</f>
        <v>-2386076.0900000036</v>
      </c>
      <c r="S35" s="2593">
        <f>+G35-114584771</f>
        <v>-2381742</v>
      </c>
    </row>
    <row r="36" spans="2:19" ht="18">
      <c r="B36" s="2610" t="s">
        <v>728</v>
      </c>
      <c r="C36" s="2602"/>
      <c r="D36" s="2602"/>
      <c r="E36" s="2602"/>
      <c r="F36" s="2608">
        <v>13</v>
      </c>
      <c r="G36" s="11">
        <f>+G399</f>
        <v>495765.69999999925</v>
      </c>
      <c r="H36" s="1015">
        <f>+H399</f>
        <v>838989.70000000019</v>
      </c>
      <c r="I36" s="1874"/>
      <c r="J36" s="1874"/>
      <c r="K36" s="1874"/>
      <c r="L36" s="1874"/>
      <c r="M36" s="1874"/>
      <c r="N36" s="1874"/>
      <c r="O36" s="1874"/>
      <c r="P36" s="1874"/>
      <c r="Q36" s="1874"/>
      <c r="R36" s="2621">
        <f>+G36-H36</f>
        <v>-343224.00000000093</v>
      </c>
    </row>
    <row r="37" spans="2:19" ht="18">
      <c r="B37" s="2610" t="s">
        <v>729</v>
      </c>
      <c r="C37" s="2602"/>
      <c r="D37" s="2602"/>
      <c r="E37" s="2602"/>
      <c r="F37" s="2608">
        <v>14</v>
      </c>
      <c r="G37" s="11">
        <v>0</v>
      </c>
      <c r="H37" s="1015">
        <f>+H414</f>
        <v>4105756.9186484311</v>
      </c>
      <c r="I37" s="1874"/>
      <c r="J37" s="1874"/>
      <c r="K37" s="1874"/>
      <c r="L37" s="1874"/>
      <c r="M37" s="1874"/>
      <c r="N37" s="1874"/>
      <c r="O37" s="1874"/>
      <c r="P37" s="1874"/>
      <c r="Q37" s="1874"/>
      <c r="R37" s="2618">
        <f>+G37-H37</f>
        <v>-4105756.9186484311</v>
      </c>
      <c r="S37" s="2612">
        <f>+G37-4278171</f>
        <v>-4278171</v>
      </c>
    </row>
    <row r="38" spans="2:19" ht="18">
      <c r="B38" s="2622"/>
      <c r="C38" s="2602"/>
      <c r="D38" s="2602"/>
      <c r="E38" s="2602"/>
      <c r="F38" s="2608"/>
      <c r="G38" s="1288">
        <f>+SUM(G35:G37)</f>
        <v>112698794.7</v>
      </c>
      <c r="H38" s="1469">
        <f>+SUM(H35:H37)</f>
        <v>119533851.70864844</v>
      </c>
      <c r="I38" s="1999"/>
      <c r="J38" s="1999"/>
      <c r="K38" s="1999"/>
      <c r="L38" s="1999"/>
      <c r="M38" s="1999"/>
      <c r="N38" s="1999"/>
      <c r="O38" s="1999"/>
      <c r="P38" s="1999"/>
      <c r="Q38" s="1999"/>
    </row>
    <row r="39" spans="2:19" ht="18">
      <c r="B39" s="2617" t="s">
        <v>730</v>
      </c>
      <c r="C39" s="2602"/>
      <c r="D39" s="2602"/>
      <c r="E39" s="2602"/>
      <c r="F39" s="2608"/>
      <c r="G39" s="10"/>
      <c r="H39" s="1013"/>
      <c r="I39" s="103"/>
      <c r="J39" s="103"/>
      <c r="K39" s="103"/>
      <c r="L39" s="103"/>
      <c r="M39" s="103"/>
      <c r="N39" s="103"/>
      <c r="O39" s="103"/>
      <c r="P39" s="103"/>
      <c r="Q39" s="103"/>
    </row>
    <row r="40" spans="2:19" ht="18">
      <c r="B40" s="2610" t="s">
        <v>726</v>
      </c>
      <c r="C40" s="2602"/>
      <c r="D40" s="2602"/>
      <c r="E40" s="2602"/>
      <c r="F40" s="2608"/>
      <c r="G40" s="10"/>
      <c r="H40" s="1013"/>
      <c r="I40" s="103"/>
      <c r="J40" s="103"/>
      <c r="K40" s="103"/>
      <c r="L40" s="103"/>
      <c r="M40" s="103"/>
      <c r="N40" s="103"/>
      <c r="O40" s="103"/>
      <c r="P40" s="103"/>
      <c r="Q40" s="103"/>
    </row>
    <row r="41" spans="2:19" ht="18">
      <c r="B41" s="2610" t="s">
        <v>727</v>
      </c>
      <c r="C41" s="2602"/>
      <c r="D41" s="2602"/>
      <c r="E41" s="2602"/>
      <c r="F41" s="2608">
        <v>15</v>
      </c>
      <c r="G41" s="11">
        <f>+G427</f>
        <v>114945991.02</v>
      </c>
      <c r="H41" s="1015">
        <f>+H427</f>
        <v>101274693.28</v>
      </c>
      <c r="I41" s="1874"/>
      <c r="J41" s="1874"/>
      <c r="K41" s="1874"/>
      <c r="L41" s="1874"/>
      <c r="M41" s="1874"/>
      <c r="N41" s="1874"/>
      <c r="O41" s="1874"/>
      <c r="P41" s="1874"/>
      <c r="Q41" s="1874"/>
      <c r="R41" s="2621">
        <f>+G41-H41</f>
        <v>13671297.739999995</v>
      </c>
    </row>
    <row r="42" spans="2:19" ht="18">
      <c r="B42" s="2610" t="s">
        <v>731</v>
      </c>
      <c r="C42" s="2602"/>
      <c r="D42" s="2602"/>
      <c r="E42" s="2602"/>
      <c r="F42" s="2608">
        <v>16</v>
      </c>
      <c r="G42" s="11">
        <f>+G432</f>
        <v>109494915.47000001</v>
      </c>
      <c r="H42" s="1015">
        <f>+H432</f>
        <v>91597921.990151003</v>
      </c>
      <c r="I42" s="1874"/>
      <c r="J42" s="1874"/>
      <c r="K42" s="1874"/>
      <c r="L42" s="1874"/>
      <c r="M42" s="1874"/>
      <c r="N42" s="1874"/>
      <c r="O42" s="1874"/>
      <c r="P42" s="1874"/>
      <c r="Q42" s="1874"/>
      <c r="R42" s="2621">
        <f>+G42-H42</f>
        <v>17896993.479849011</v>
      </c>
    </row>
    <row r="43" spans="2:19" ht="18">
      <c r="B43" s="2610" t="s">
        <v>732</v>
      </c>
      <c r="C43" s="2602"/>
      <c r="D43" s="2602"/>
      <c r="E43" s="2602"/>
      <c r="F43" s="2608">
        <v>17</v>
      </c>
      <c r="G43" s="11">
        <f>+G471</f>
        <v>2576739</v>
      </c>
      <c r="H43" s="1015">
        <f>+H471</f>
        <v>6397608</v>
      </c>
      <c r="I43" s="1874"/>
      <c r="J43" s="1874"/>
      <c r="K43" s="1874"/>
      <c r="L43" s="1874"/>
      <c r="M43" s="1874"/>
      <c r="N43" s="1874"/>
      <c r="O43" s="1874"/>
      <c r="P43" s="1874"/>
      <c r="Q43" s="1874"/>
      <c r="R43" s="2621">
        <f>+G43-H43</f>
        <v>-3820869</v>
      </c>
    </row>
    <row r="44" spans="2:19" ht="18">
      <c r="B44" s="2610" t="s">
        <v>733</v>
      </c>
      <c r="C44" s="2602"/>
      <c r="D44" s="2602"/>
      <c r="E44" s="2602"/>
      <c r="F44" s="2608">
        <v>18</v>
      </c>
      <c r="G44" s="11">
        <f>+G475</f>
        <v>2542771.75</v>
      </c>
      <c r="H44" s="1015">
        <f>+H475</f>
        <v>2312531.8599999989</v>
      </c>
      <c r="I44" s="1874"/>
      <c r="J44" s="1874"/>
      <c r="K44" s="1874"/>
      <c r="L44" s="1874"/>
      <c r="M44" s="1874"/>
      <c r="N44" s="1874"/>
      <c r="O44" s="1874"/>
      <c r="P44" s="1874"/>
      <c r="Q44" s="1874"/>
      <c r="R44" s="2621">
        <f>+G44-H44</f>
        <v>230239.89000000106</v>
      </c>
      <c r="S44" s="2593">
        <f>+G44-2609615</f>
        <v>-66843.25</v>
      </c>
    </row>
    <row r="45" spans="2:19" ht="18">
      <c r="B45" s="2610" t="s">
        <v>734</v>
      </c>
      <c r="C45" s="2602"/>
      <c r="D45" s="2602"/>
      <c r="E45" s="2602"/>
      <c r="F45" s="2608">
        <v>19</v>
      </c>
      <c r="G45" s="11">
        <f>+G480</f>
        <v>1671857</v>
      </c>
      <c r="H45" s="1015">
        <f>+H480</f>
        <v>2009575</v>
      </c>
      <c r="I45" s="1874"/>
      <c r="J45" s="1874"/>
      <c r="K45" s="1874"/>
      <c r="L45" s="1874"/>
      <c r="M45" s="1874"/>
      <c r="N45" s="1874"/>
      <c r="O45" s="1874"/>
      <c r="P45" s="1874"/>
      <c r="Q45" s="1874"/>
      <c r="R45" s="2621">
        <f>+G45-H45</f>
        <v>-337718</v>
      </c>
    </row>
    <row r="46" spans="2:19" ht="18">
      <c r="B46" s="2617" t="s">
        <v>735</v>
      </c>
      <c r="C46" s="2602"/>
      <c r="D46" s="2602"/>
      <c r="E46" s="2602"/>
      <c r="F46" s="2608"/>
      <c r="G46" s="1025">
        <f>+SUM(G41:G45)</f>
        <v>231232274.24000001</v>
      </c>
      <c r="H46" s="1026">
        <f>+SUM(H41:H45)</f>
        <v>203592330.130151</v>
      </c>
      <c r="I46" s="1999"/>
      <c r="J46" s="1999"/>
      <c r="K46" s="1999"/>
      <c r="L46" s="1999"/>
      <c r="M46" s="1999"/>
      <c r="N46" s="1999"/>
      <c r="O46" s="1999"/>
      <c r="P46" s="1999"/>
      <c r="Q46" s="1999"/>
      <c r="R46" s="2623"/>
    </row>
    <row r="47" spans="2:19" ht="18.600000000000001" thickBot="1">
      <c r="B47" s="2620" t="s">
        <v>736</v>
      </c>
      <c r="C47" s="2602"/>
      <c r="D47" s="2602"/>
      <c r="E47" s="2602"/>
      <c r="F47" s="2624"/>
      <c r="G47" s="17">
        <f>+G46+G38+G32</f>
        <v>530218747.56719482</v>
      </c>
      <c r="H47" s="1027">
        <f>+H46+H38+H32</f>
        <v>559074073.72567677</v>
      </c>
      <c r="I47" s="1999"/>
      <c r="J47" s="1999"/>
      <c r="K47" s="1999"/>
      <c r="L47" s="1999"/>
      <c r="M47" s="1999"/>
      <c r="N47" s="1999"/>
      <c r="O47" s="1999"/>
      <c r="P47" s="1999"/>
      <c r="Q47" s="1999"/>
      <c r="R47" s="2618"/>
      <c r="S47" s="2593">
        <f>SUM(S31:S44)</f>
        <v>-55794813.622805178</v>
      </c>
    </row>
    <row r="48" spans="2:19" ht="18.600000000000001" thickTop="1">
      <c r="B48" s="2625" t="s">
        <v>737</v>
      </c>
      <c r="C48" s="2599"/>
      <c r="D48" s="2599"/>
      <c r="E48" s="2599"/>
      <c r="F48" s="2626" t="s">
        <v>2890</v>
      </c>
      <c r="G48" s="18"/>
      <c r="H48" s="1029"/>
      <c r="I48" s="19"/>
      <c r="J48" s="19"/>
      <c r="K48" s="19"/>
      <c r="L48" s="19"/>
      <c r="M48" s="19"/>
      <c r="N48" s="19"/>
      <c r="O48" s="19"/>
      <c r="P48" s="19"/>
      <c r="Q48" s="19"/>
    </row>
    <row r="49" spans="2:17" ht="18">
      <c r="B49" s="2620"/>
      <c r="C49" s="2602"/>
      <c r="D49" s="2602"/>
      <c r="E49" s="2602"/>
      <c r="F49" s="2627"/>
      <c r="G49" s="19"/>
      <c r="H49" s="1030"/>
      <c r="I49" s="19"/>
      <c r="J49" s="19"/>
      <c r="K49" s="19"/>
      <c r="L49" s="19"/>
      <c r="M49" s="19"/>
      <c r="N49" s="19"/>
      <c r="O49" s="19"/>
      <c r="P49" s="19"/>
      <c r="Q49" s="19"/>
    </row>
    <row r="50" spans="2:17" ht="18">
      <c r="B50" s="2620" t="s">
        <v>738</v>
      </c>
      <c r="C50" s="2602"/>
      <c r="D50" s="2602"/>
      <c r="E50" s="2602"/>
      <c r="F50" s="2628"/>
      <c r="G50" s="20"/>
      <c r="H50" s="1031"/>
      <c r="I50" s="20"/>
      <c r="J50" s="20"/>
      <c r="K50" s="20"/>
      <c r="L50" s="20"/>
      <c r="M50" s="20"/>
      <c r="N50" s="20"/>
      <c r="O50" s="20"/>
      <c r="P50" s="20"/>
      <c r="Q50" s="20"/>
    </row>
    <row r="51" spans="2:17" ht="18">
      <c r="B51" s="2629" t="s">
        <v>739</v>
      </c>
      <c r="C51" s="2630"/>
      <c r="D51" s="2630"/>
      <c r="E51" s="2630"/>
      <c r="F51" s="2631" t="s">
        <v>740</v>
      </c>
      <c r="G51" s="21"/>
      <c r="H51" s="1032"/>
      <c r="I51" s="21"/>
      <c r="J51" s="21"/>
      <c r="K51" s="21"/>
      <c r="L51" s="21"/>
      <c r="M51" s="21"/>
      <c r="N51" s="21"/>
      <c r="O51" s="21"/>
      <c r="P51" s="21"/>
      <c r="Q51" s="21"/>
    </row>
    <row r="52" spans="2:17" ht="18">
      <c r="B52" s="2632"/>
      <c r="C52" s="2602"/>
      <c r="D52" s="2602"/>
      <c r="E52" s="2602"/>
      <c r="F52" s="2631"/>
      <c r="G52" s="21"/>
      <c r="H52" s="1032"/>
      <c r="I52" s="21"/>
      <c r="J52" s="21"/>
      <c r="K52" s="21"/>
      <c r="L52" s="21"/>
      <c r="M52" s="21"/>
      <c r="N52" s="21"/>
      <c r="O52" s="21"/>
      <c r="P52" s="21"/>
      <c r="Q52" s="21"/>
    </row>
    <row r="53" spans="2:17" ht="18">
      <c r="B53" s="2632" t="s">
        <v>741</v>
      </c>
      <c r="C53" s="2633"/>
      <c r="D53" s="2633"/>
      <c r="E53" s="2633"/>
      <c r="F53" s="2634" t="s">
        <v>742</v>
      </c>
      <c r="G53" s="23"/>
      <c r="H53" s="1033"/>
      <c r="I53" s="23"/>
      <c r="J53" s="23"/>
      <c r="K53" s="23"/>
      <c r="L53" s="23"/>
      <c r="M53" s="23"/>
      <c r="N53" s="23"/>
      <c r="O53" s="23"/>
      <c r="P53" s="23"/>
      <c r="Q53" s="23"/>
    </row>
    <row r="54" spans="2:17" ht="18">
      <c r="B54" s="2632" t="s">
        <v>743</v>
      </c>
      <c r="C54" s="2633"/>
      <c r="D54" s="2633"/>
      <c r="E54" s="2633"/>
      <c r="F54" s="2602" t="s">
        <v>744</v>
      </c>
      <c r="G54" s="21"/>
      <c r="H54" s="1032"/>
      <c r="I54" s="21"/>
      <c r="J54" s="21"/>
      <c r="K54" s="21"/>
      <c r="L54" s="21"/>
      <c r="M54" s="21"/>
      <c r="N54" s="21"/>
      <c r="O54" s="21"/>
      <c r="P54" s="21"/>
      <c r="Q54" s="21"/>
    </row>
    <row r="55" spans="2:17" ht="18">
      <c r="B55" s="2632" t="s">
        <v>745</v>
      </c>
      <c r="C55" s="2602"/>
      <c r="D55" s="2602"/>
      <c r="E55" s="2602"/>
      <c r="F55" s="2602"/>
      <c r="G55" s="21"/>
      <c r="H55" s="1032"/>
      <c r="I55" s="21"/>
      <c r="J55" s="21"/>
      <c r="K55" s="21"/>
      <c r="L55" s="21"/>
      <c r="M55" s="21"/>
      <c r="N55" s="21"/>
      <c r="O55" s="21"/>
      <c r="P55" s="21"/>
      <c r="Q55" s="21"/>
    </row>
    <row r="56" spans="2:17" ht="18">
      <c r="B56" s="2632"/>
      <c r="C56" s="2633"/>
      <c r="D56" s="2633"/>
      <c r="E56" s="2633"/>
      <c r="F56" s="2602"/>
      <c r="G56" s="21"/>
      <c r="H56" s="1032"/>
      <c r="I56" s="21"/>
      <c r="J56" s="21"/>
      <c r="K56" s="21"/>
      <c r="L56" s="21"/>
      <c r="M56" s="21"/>
      <c r="N56" s="21"/>
      <c r="O56" s="21"/>
      <c r="P56" s="21"/>
      <c r="Q56" s="21"/>
    </row>
    <row r="57" spans="2:17" ht="18">
      <c r="B57" s="2632"/>
      <c r="C57" s="2633"/>
      <c r="D57" s="2633"/>
      <c r="E57" s="2633"/>
      <c r="F57" s="2602"/>
      <c r="G57" s="21"/>
      <c r="H57" s="1032"/>
      <c r="I57" s="21"/>
      <c r="J57" s="21"/>
      <c r="K57" s="21"/>
      <c r="L57" s="21"/>
      <c r="M57" s="21"/>
      <c r="N57" s="21"/>
      <c r="O57" s="21"/>
      <c r="P57" s="21"/>
      <c r="Q57" s="21"/>
    </row>
    <row r="58" spans="2:17" ht="18">
      <c r="B58" s="2632"/>
      <c r="C58" s="2633"/>
      <c r="D58" s="2633"/>
      <c r="E58" s="2633"/>
      <c r="F58" s="2634" t="s">
        <v>746</v>
      </c>
      <c r="G58" s="23"/>
      <c r="H58" s="1033"/>
      <c r="I58" s="23"/>
      <c r="J58" s="23"/>
      <c r="K58" s="23"/>
      <c r="L58" s="23"/>
      <c r="M58" s="23"/>
      <c r="N58" s="23"/>
      <c r="O58" s="23"/>
      <c r="P58" s="23"/>
      <c r="Q58" s="23"/>
    </row>
    <row r="59" spans="2:17" ht="18">
      <c r="B59" s="2632" t="s">
        <v>2628</v>
      </c>
      <c r="C59" s="2633"/>
      <c r="D59" s="2633"/>
      <c r="E59" s="2633"/>
      <c r="F59" s="2602" t="s">
        <v>747</v>
      </c>
      <c r="G59" s="21"/>
      <c r="H59" s="1032"/>
      <c r="I59" s="21"/>
      <c r="J59" s="21"/>
      <c r="K59" s="21"/>
      <c r="L59" s="21"/>
      <c r="M59" s="21"/>
      <c r="N59" s="21"/>
      <c r="O59" s="21"/>
      <c r="P59" s="21"/>
      <c r="Q59" s="21"/>
    </row>
    <row r="60" spans="2:17" ht="18">
      <c r="B60" s="2632" t="s">
        <v>748</v>
      </c>
      <c r="C60" s="24"/>
      <c r="D60" s="24"/>
      <c r="E60" s="24"/>
      <c r="F60" s="2631"/>
      <c r="G60" s="21"/>
      <c r="H60" s="1032"/>
      <c r="I60" s="21"/>
      <c r="J60" s="21"/>
      <c r="K60" s="21"/>
      <c r="L60" s="21"/>
      <c r="M60" s="21"/>
      <c r="N60" s="21"/>
      <c r="O60" s="21"/>
      <c r="P60" s="21"/>
      <c r="Q60" s="21"/>
    </row>
    <row r="61" spans="2:17" ht="18">
      <c r="B61" s="2632" t="s">
        <v>2630</v>
      </c>
      <c r="C61" s="25"/>
      <c r="D61" s="25"/>
      <c r="E61" s="25"/>
      <c r="F61" s="2631"/>
      <c r="G61" s="21"/>
      <c r="H61" s="1032"/>
      <c r="I61" s="21"/>
      <c r="J61" s="21"/>
      <c r="K61" s="21"/>
      <c r="L61" s="21"/>
      <c r="M61" s="21"/>
      <c r="N61" s="21"/>
      <c r="O61" s="21"/>
      <c r="P61" s="21"/>
      <c r="Q61" s="21"/>
    </row>
    <row r="62" spans="2:17" ht="18">
      <c r="B62" s="2635"/>
      <c r="C62" s="25"/>
      <c r="D62" s="25"/>
      <c r="E62" s="25"/>
      <c r="F62" s="2636" t="s">
        <v>749</v>
      </c>
      <c r="G62" s="2636"/>
      <c r="H62" s="2637"/>
      <c r="I62" s="2638"/>
      <c r="J62" s="2638"/>
      <c r="K62" s="2638"/>
      <c r="L62" s="2638"/>
      <c r="M62" s="2638"/>
      <c r="N62" s="2638"/>
      <c r="O62" s="2638"/>
      <c r="P62" s="2638"/>
      <c r="Q62" s="2638"/>
    </row>
    <row r="63" spans="2:17" ht="18">
      <c r="B63" s="2639" t="s">
        <v>750</v>
      </c>
      <c r="C63" s="25"/>
      <c r="D63" s="25"/>
      <c r="E63" s="25"/>
      <c r="F63" s="2602" t="s">
        <v>751</v>
      </c>
      <c r="G63" s="21"/>
      <c r="H63" s="1032"/>
      <c r="I63" s="21"/>
      <c r="J63" s="21"/>
      <c r="K63" s="21"/>
      <c r="L63" s="21"/>
      <c r="M63" s="21"/>
      <c r="N63" s="21"/>
      <c r="O63" s="21"/>
      <c r="P63" s="21"/>
      <c r="Q63" s="21"/>
    </row>
    <row r="64" spans="2:17" ht="18">
      <c r="B64" s="2639" t="s">
        <v>4724</v>
      </c>
      <c r="C64" s="25"/>
      <c r="D64" s="25"/>
      <c r="E64" s="25"/>
      <c r="F64" s="2602"/>
      <c r="G64" s="21"/>
      <c r="H64" s="1032"/>
      <c r="I64" s="21"/>
      <c r="J64" s="21"/>
      <c r="K64" s="21"/>
      <c r="L64" s="21"/>
      <c r="M64" s="21"/>
      <c r="N64" s="21"/>
      <c r="O64" s="21"/>
      <c r="P64" s="21"/>
      <c r="Q64" s="21"/>
    </row>
    <row r="65" spans="2:20" ht="18">
      <c r="B65" s="2639" t="s">
        <v>4725</v>
      </c>
      <c r="C65" s="25"/>
      <c r="D65" s="25"/>
      <c r="E65" s="25"/>
      <c r="F65" s="2602"/>
      <c r="G65" s="21"/>
      <c r="H65" s="1032"/>
      <c r="I65" s="21"/>
      <c r="J65" s="21"/>
      <c r="K65" s="21"/>
      <c r="L65" s="21"/>
      <c r="M65" s="21"/>
      <c r="N65" s="21"/>
      <c r="O65" s="21"/>
      <c r="P65" s="21"/>
      <c r="Q65" s="21"/>
    </row>
    <row r="66" spans="2:20" ht="18">
      <c r="B66" s="2632"/>
      <c r="C66" s="25"/>
      <c r="D66" s="25"/>
      <c r="E66" s="25"/>
      <c r="F66" s="2602"/>
      <c r="G66" s="21"/>
      <c r="H66" s="1032"/>
      <c r="I66" s="21"/>
      <c r="J66" s="21"/>
      <c r="K66" s="21"/>
      <c r="L66" s="21"/>
      <c r="M66" s="21"/>
      <c r="N66" s="21"/>
      <c r="O66" s="21"/>
      <c r="P66" s="21"/>
      <c r="Q66" s="21"/>
    </row>
    <row r="67" spans="2:20" ht="18">
      <c r="B67" s="2632"/>
      <c r="C67" s="25"/>
      <c r="D67" s="25"/>
      <c r="E67" s="25"/>
      <c r="F67" s="2634" t="s">
        <v>752</v>
      </c>
      <c r="G67" s="23"/>
      <c r="H67" s="1033"/>
      <c r="I67" s="23"/>
      <c r="J67" s="23"/>
      <c r="K67" s="23"/>
      <c r="L67" s="23"/>
      <c r="M67" s="23"/>
      <c r="N67" s="23"/>
      <c r="O67" s="23"/>
      <c r="P67" s="23"/>
      <c r="Q67" s="23"/>
    </row>
    <row r="68" spans="2:20" ht="18">
      <c r="B68" s="2632"/>
      <c r="C68" s="25"/>
      <c r="D68" s="25"/>
      <c r="E68" s="25"/>
      <c r="F68" s="2602" t="s">
        <v>753</v>
      </c>
      <c r="G68" s="21"/>
      <c r="H68" s="1032"/>
      <c r="I68" s="21"/>
      <c r="J68" s="21"/>
      <c r="K68" s="21"/>
      <c r="L68" s="21"/>
      <c r="M68" s="21"/>
      <c r="N68" s="21"/>
      <c r="O68" s="21"/>
      <c r="P68" s="21"/>
      <c r="Q68" s="21"/>
    </row>
    <row r="69" spans="2:20" ht="18">
      <c r="B69" s="2632"/>
      <c r="C69" s="25"/>
      <c r="D69" s="25"/>
      <c r="E69" s="25"/>
      <c r="F69" s="2602"/>
      <c r="G69" s="21"/>
      <c r="H69" s="1032"/>
      <c r="I69" s="21"/>
      <c r="J69" s="21"/>
      <c r="K69" s="21"/>
      <c r="L69" s="21"/>
      <c r="M69" s="21"/>
      <c r="N69" s="21"/>
      <c r="O69" s="21"/>
      <c r="P69" s="21"/>
      <c r="Q69" s="21"/>
    </row>
    <row r="70" spans="2:20" ht="18">
      <c r="B70" s="2632"/>
      <c r="C70" s="25"/>
      <c r="D70" s="25"/>
      <c r="E70" s="25"/>
      <c r="F70" s="2602"/>
      <c r="G70" s="21"/>
      <c r="H70" s="1032"/>
      <c r="I70" s="21"/>
      <c r="J70" s="21"/>
      <c r="K70" s="21"/>
      <c r="L70" s="21"/>
      <c r="M70" s="21"/>
      <c r="N70" s="21"/>
      <c r="O70" s="21"/>
      <c r="P70" s="21"/>
      <c r="Q70" s="21"/>
    </row>
    <row r="71" spans="2:20" ht="18">
      <c r="B71" s="2632"/>
      <c r="C71" s="25"/>
      <c r="D71" s="25"/>
      <c r="E71" s="25"/>
      <c r="F71" s="2602"/>
      <c r="G71" s="21"/>
      <c r="H71" s="1032"/>
      <c r="I71" s="21"/>
      <c r="J71" s="21"/>
      <c r="K71" s="21"/>
      <c r="L71" s="21"/>
      <c r="M71" s="21"/>
      <c r="N71" s="21"/>
      <c r="O71" s="21"/>
      <c r="P71" s="21"/>
      <c r="Q71" s="21"/>
    </row>
    <row r="72" spans="2:20" ht="18">
      <c r="B72" s="2632"/>
      <c r="C72" s="25"/>
      <c r="D72" s="25"/>
      <c r="E72" s="25"/>
      <c r="F72" s="2633" t="s">
        <v>754</v>
      </c>
      <c r="G72" s="26"/>
      <c r="H72" s="1034"/>
      <c r="I72" s="26"/>
      <c r="J72" s="26"/>
      <c r="K72" s="26"/>
      <c r="L72" s="26"/>
      <c r="M72" s="26"/>
      <c r="N72" s="26"/>
      <c r="O72" s="26"/>
      <c r="P72" s="26"/>
      <c r="Q72" s="26"/>
    </row>
    <row r="73" spans="2:20" ht="18">
      <c r="B73" s="2632"/>
      <c r="C73" s="25"/>
      <c r="D73" s="25"/>
      <c r="E73" s="25"/>
      <c r="F73" s="2640" t="s">
        <v>750</v>
      </c>
      <c r="G73" s="27"/>
      <c r="H73" s="1035"/>
      <c r="I73" s="27"/>
      <c r="J73" s="27"/>
      <c r="K73" s="27"/>
      <c r="L73" s="27"/>
      <c r="M73" s="27"/>
      <c r="N73" s="27"/>
      <c r="O73" s="27"/>
      <c r="P73" s="27"/>
      <c r="Q73" s="27"/>
    </row>
    <row r="74" spans="2:20" ht="18.600000000000001" thickBot="1">
      <c r="B74" s="999"/>
      <c r="C74" s="1190"/>
      <c r="D74" s="1190"/>
      <c r="E74" s="1190"/>
      <c r="F74" s="2641" t="s">
        <v>4724</v>
      </c>
      <c r="G74" s="1196"/>
      <c r="H74" s="1197"/>
      <c r="I74" s="21"/>
      <c r="J74" s="21"/>
      <c r="K74" s="21"/>
      <c r="L74" s="21"/>
      <c r="M74" s="21"/>
      <c r="N74" s="21"/>
      <c r="O74" s="21"/>
      <c r="P74" s="21"/>
      <c r="Q74" s="21"/>
    </row>
    <row r="75" spans="2:20" ht="18">
      <c r="B75" s="2642" t="s">
        <v>702</v>
      </c>
      <c r="C75" s="2643"/>
      <c r="D75" s="2643"/>
      <c r="E75" s="2643"/>
      <c r="F75" s="2643"/>
      <c r="G75" s="2643"/>
      <c r="H75" s="2644"/>
      <c r="I75" s="2645"/>
      <c r="J75" s="2645"/>
      <c r="K75" s="2645"/>
      <c r="L75" s="2645"/>
      <c r="M75" s="2645"/>
      <c r="N75" s="2645"/>
      <c r="O75" s="2645"/>
      <c r="P75" s="2645"/>
      <c r="Q75" s="2645"/>
    </row>
    <row r="76" spans="2:20" ht="18">
      <c r="B76" s="2646" t="s">
        <v>3054</v>
      </c>
      <c r="C76" s="2647"/>
      <c r="D76" s="2647"/>
      <c r="E76" s="2647"/>
      <c r="F76" s="2647"/>
      <c r="G76" s="2647"/>
      <c r="H76" s="2648"/>
      <c r="I76" s="2649"/>
      <c r="J76" s="2649"/>
      <c r="K76" s="2649"/>
      <c r="L76" s="2649"/>
      <c r="M76" s="2649"/>
      <c r="N76" s="2649"/>
      <c r="O76" s="2649"/>
      <c r="P76" s="2649"/>
      <c r="Q76" s="2649"/>
    </row>
    <row r="77" spans="2:20" ht="18">
      <c r="B77" s="2595" t="s">
        <v>463</v>
      </c>
      <c r="C77" s="2596"/>
      <c r="D77" s="2596"/>
      <c r="E77" s="2650"/>
      <c r="F77" s="2597" t="s">
        <v>755</v>
      </c>
      <c r="G77" s="1004" t="str">
        <f>+G5</f>
        <v xml:space="preserve">As At </v>
      </c>
      <c r="H77" s="1005" t="str">
        <f>+H5</f>
        <v xml:space="preserve">As At </v>
      </c>
      <c r="I77" s="1996"/>
      <c r="J77" s="1996"/>
      <c r="K77" s="1996"/>
      <c r="L77" s="1996"/>
      <c r="M77" s="1996"/>
      <c r="N77" s="1996"/>
      <c r="O77" s="1996"/>
      <c r="P77" s="1996"/>
      <c r="Q77" s="1996"/>
    </row>
    <row r="78" spans="2:20" ht="18">
      <c r="B78" s="2598" t="s">
        <v>757</v>
      </c>
      <c r="C78" s="2599"/>
      <c r="D78" s="2599"/>
      <c r="E78" s="2651"/>
      <c r="F78" s="2600"/>
      <c r="G78" s="30" t="str">
        <f>+G6</f>
        <v>March 31, 2024 (₹)</v>
      </c>
      <c r="H78" s="1038" t="str">
        <f>+H6</f>
        <v>March 31, 2023 (₹)</v>
      </c>
      <c r="I78" s="1996"/>
      <c r="J78" s="1996"/>
      <c r="K78" s="1996"/>
      <c r="L78" s="1996"/>
      <c r="M78" s="1996"/>
      <c r="N78" s="1996"/>
      <c r="O78" s="1996"/>
      <c r="P78" s="1996"/>
      <c r="Q78" s="1996"/>
    </row>
    <row r="79" spans="2:20" ht="18">
      <c r="B79" s="2610" t="s">
        <v>758</v>
      </c>
      <c r="C79" s="2602"/>
      <c r="D79" s="2602"/>
      <c r="E79" s="2602"/>
      <c r="F79" s="2652">
        <v>20</v>
      </c>
      <c r="G79" s="1040">
        <f>+G488</f>
        <v>589182206.39999998</v>
      </c>
      <c r="H79" s="1041">
        <f>+H488</f>
        <v>1052317702.4200001</v>
      </c>
      <c r="I79" s="1874"/>
      <c r="J79" s="1874"/>
      <c r="K79" s="1874"/>
      <c r="L79" s="1874"/>
      <c r="M79" s="1874"/>
      <c r="N79" s="1874"/>
      <c r="O79" s="1874"/>
      <c r="P79" s="1874"/>
      <c r="Q79" s="1874"/>
      <c r="S79" s="2592">
        <f>579958106.4+9444000</f>
        <v>589402106.39999998</v>
      </c>
      <c r="T79" s="376">
        <f>+G79-S79</f>
        <v>-219900</v>
      </c>
    </row>
    <row r="80" spans="2:20" ht="18">
      <c r="B80" s="2610" t="s">
        <v>759</v>
      </c>
      <c r="C80" s="2602"/>
      <c r="D80" s="2602"/>
      <c r="E80" s="2602"/>
      <c r="F80" s="2653">
        <v>21</v>
      </c>
      <c r="G80" s="11">
        <f>+G493</f>
        <v>901779</v>
      </c>
      <c r="H80" s="1015">
        <f>+H493</f>
        <v>1091313.059849001</v>
      </c>
      <c r="I80" s="1874"/>
      <c r="J80" s="1874"/>
      <c r="K80" s="1874"/>
      <c r="L80" s="1874"/>
      <c r="M80" s="1874"/>
      <c r="N80" s="1874"/>
      <c r="O80" s="1874"/>
      <c r="P80" s="1874"/>
      <c r="Q80" s="1874"/>
    </row>
    <row r="81" spans="2:18" ht="18">
      <c r="B81" s="2617" t="s">
        <v>760</v>
      </c>
      <c r="C81" s="2602"/>
      <c r="D81" s="2602"/>
      <c r="E81" s="2602"/>
      <c r="F81" s="2624"/>
      <c r="G81" s="1274">
        <f>+G79+G80</f>
        <v>590083985.39999998</v>
      </c>
      <c r="H81" s="1470">
        <f>+H79+H80</f>
        <v>1053409015.4798491</v>
      </c>
      <c r="I81" s="1757"/>
      <c r="J81" s="1757"/>
      <c r="K81" s="1757"/>
      <c r="L81" s="1757"/>
      <c r="M81" s="1757"/>
      <c r="N81" s="1757"/>
      <c r="O81" s="1757"/>
      <c r="P81" s="1757"/>
      <c r="Q81" s="1757"/>
    </row>
    <row r="82" spans="2:18" ht="18">
      <c r="B82" s="1042" t="s">
        <v>761</v>
      </c>
      <c r="C82" s="2602"/>
      <c r="D82" s="2602"/>
      <c r="E82" s="2602"/>
      <c r="F82" s="2624"/>
      <c r="G82" s="33"/>
      <c r="H82" s="1009"/>
      <c r="I82" s="20"/>
      <c r="J82" s="20"/>
      <c r="K82" s="20"/>
      <c r="L82" s="20"/>
      <c r="M82" s="20"/>
      <c r="N82" s="20"/>
      <c r="O82" s="20"/>
      <c r="P82" s="20"/>
      <c r="Q82" s="20"/>
    </row>
    <row r="83" spans="2:18" ht="18">
      <c r="B83" s="2610" t="s">
        <v>762</v>
      </c>
      <c r="C83" s="2602"/>
      <c r="D83" s="2602"/>
      <c r="E83" s="2602"/>
      <c r="F83" s="2653">
        <v>22</v>
      </c>
      <c r="G83" s="11">
        <f>+G499</f>
        <v>413929787.49000001</v>
      </c>
      <c r="H83" s="1015">
        <f>+H499</f>
        <v>815123705.5</v>
      </c>
      <c r="I83" s="1874"/>
      <c r="J83" s="1874"/>
      <c r="K83" s="1874"/>
      <c r="L83" s="1874"/>
      <c r="M83" s="1874"/>
      <c r="N83" s="1874"/>
      <c r="O83" s="1874"/>
      <c r="P83" s="1874"/>
      <c r="Q83" s="1874"/>
      <c r="R83" s="2612">
        <f>+G83-[72]BSPL!$E$81</f>
        <v>-401491485.17636156</v>
      </c>
    </row>
    <row r="84" spans="2:18" ht="18">
      <c r="B84" s="2610" t="s">
        <v>763</v>
      </c>
      <c r="C84" s="2602"/>
      <c r="D84" s="2602"/>
      <c r="E84" s="2602"/>
      <c r="F84" s="2653"/>
      <c r="G84" s="11">
        <v>0</v>
      </c>
      <c r="H84" s="1015">
        <v>0</v>
      </c>
      <c r="I84" s="1874"/>
      <c r="J84" s="1874"/>
      <c r="K84" s="1874"/>
      <c r="L84" s="1874"/>
      <c r="M84" s="1874"/>
      <c r="N84" s="1874"/>
      <c r="O84" s="1874"/>
      <c r="P84" s="1874"/>
      <c r="Q84" s="1874"/>
    </row>
    <row r="85" spans="2:18" ht="18">
      <c r="B85" s="2654" t="s">
        <v>764</v>
      </c>
      <c r="C85" s="2602"/>
      <c r="D85" s="2602"/>
      <c r="E85" s="2602"/>
      <c r="F85" s="2653">
        <v>23</v>
      </c>
      <c r="G85" s="11">
        <f>+G503</f>
        <v>12356119.266733212</v>
      </c>
      <c r="H85" s="1015">
        <f>+H503</f>
        <v>623065</v>
      </c>
      <c r="I85" s="1874"/>
      <c r="J85" s="1874"/>
      <c r="K85" s="1874"/>
      <c r="L85" s="1874"/>
      <c r="M85" s="1874"/>
      <c r="N85" s="1874"/>
      <c r="O85" s="1874"/>
      <c r="P85" s="1874"/>
      <c r="Q85" s="1874"/>
    </row>
    <row r="86" spans="2:18" ht="18">
      <c r="B86" s="2610" t="s">
        <v>765</v>
      </c>
      <c r="C86" s="2602"/>
      <c r="D86" s="2602"/>
      <c r="E86" s="2602"/>
      <c r="F86" s="2653">
        <v>24</v>
      </c>
      <c r="G86" s="11">
        <f>+G508</f>
        <v>20598065</v>
      </c>
      <c r="H86" s="1015">
        <f>+H508</f>
        <v>18473732</v>
      </c>
      <c r="I86" s="1874"/>
      <c r="J86" s="1874"/>
      <c r="K86" s="1874"/>
      <c r="L86" s="1874"/>
      <c r="M86" s="1874"/>
      <c r="N86" s="1874"/>
      <c r="O86" s="1874"/>
      <c r="P86" s="1874"/>
      <c r="Q86" s="1874"/>
    </row>
    <row r="87" spans="2:18" ht="18">
      <c r="B87" s="2610" t="s">
        <v>766</v>
      </c>
      <c r="C87" s="2602"/>
      <c r="D87" s="2602"/>
      <c r="E87" s="2615"/>
      <c r="F87" s="2653">
        <v>25</v>
      </c>
      <c r="G87" s="11">
        <f>+G512</f>
        <v>15644945</v>
      </c>
      <c r="H87" s="1015">
        <f>+H512</f>
        <v>8587641</v>
      </c>
      <c r="I87" s="1874"/>
      <c r="J87" s="1874"/>
      <c r="K87" s="1874"/>
      <c r="L87" s="1874"/>
      <c r="M87" s="1874"/>
      <c r="N87" s="1874"/>
      <c r="O87" s="1874"/>
      <c r="P87" s="1874"/>
      <c r="Q87" s="1874"/>
      <c r="R87" s="2618">
        <f>+G87-[72]BSPL!$E$85</f>
        <v>6935130</v>
      </c>
    </row>
    <row r="88" spans="2:18" ht="18">
      <c r="B88" s="2655" t="s">
        <v>767</v>
      </c>
      <c r="C88" s="2656"/>
      <c r="D88" s="2657"/>
      <c r="E88" s="2658"/>
      <c r="F88" s="2653">
        <v>2</v>
      </c>
      <c r="G88" s="11">
        <f>+SUM(Depreciation!B19:I19)</f>
        <v>19583896</v>
      </c>
      <c r="H88" s="1015">
        <f>+SUM(Depreciation!B16:I16)</f>
        <v>18081667.364197128</v>
      </c>
      <c r="I88" s="1874"/>
      <c r="J88" s="1874"/>
      <c r="K88" s="1874"/>
      <c r="L88" s="1874"/>
      <c r="M88" s="1874"/>
      <c r="N88" s="1874"/>
      <c r="O88" s="1874"/>
      <c r="P88" s="1874"/>
      <c r="Q88" s="1874"/>
    </row>
    <row r="89" spans="2:18" ht="18">
      <c r="B89" s="2610" t="s">
        <v>768</v>
      </c>
      <c r="C89" s="2602"/>
      <c r="D89" s="2602"/>
      <c r="E89" s="2615"/>
      <c r="F89" s="2653">
        <v>26</v>
      </c>
      <c r="G89" s="11">
        <f>+G568</f>
        <v>176691419.37</v>
      </c>
      <c r="H89" s="1015">
        <f>+H568</f>
        <v>242294252.75999999</v>
      </c>
      <c r="I89" s="1874"/>
      <c r="J89" s="1874"/>
      <c r="K89" s="1874"/>
      <c r="L89" s="1874"/>
      <c r="M89" s="1874"/>
      <c r="N89" s="1874"/>
      <c r="O89" s="1874"/>
      <c r="P89" s="1874"/>
      <c r="Q89" s="1874"/>
    </row>
    <row r="90" spans="2:18" ht="18">
      <c r="B90" s="2617" t="s">
        <v>769</v>
      </c>
      <c r="C90" s="2602"/>
      <c r="D90" s="2602"/>
      <c r="E90" s="2615"/>
      <c r="F90" s="2624"/>
      <c r="G90" s="1274">
        <f>+SUM(G83:G89)</f>
        <v>658804232.1267333</v>
      </c>
      <c r="H90" s="1470">
        <f>+SUM(H83:H89)</f>
        <v>1103184063.624197</v>
      </c>
      <c r="I90" s="1757"/>
      <c r="J90" s="1757"/>
      <c r="K90" s="1757"/>
      <c r="L90" s="1757"/>
      <c r="M90" s="1757"/>
      <c r="N90" s="1757"/>
      <c r="O90" s="1757"/>
      <c r="P90" s="1757"/>
      <c r="Q90" s="1757"/>
    </row>
    <row r="91" spans="2:18" ht="18">
      <c r="B91" s="2620" t="s">
        <v>770</v>
      </c>
      <c r="C91" s="2659"/>
      <c r="D91" s="2659"/>
      <c r="E91" s="2660"/>
      <c r="F91" s="2624"/>
      <c r="G91" s="34">
        <f>+G81-G90</f>
        <v>-68720246.726733327</v>
      </c>
      <c r="H91" s="1044">
        <f>+H81-H90</f>
        <v>-49775048.144347906</v>
      </c>
      <c r="I91" s="1757"/>
      <c r="J91" s="1757"/>
      <c r="K91" s="1757"/>
      <c r="L91" s="1757"/>
      <c r="M91" s="1757"/>
      <c r="N91" s="1757"/>
      <c r="O91" s="1757"/>
      <c r="P91" s="1757"/>
      <c r="Q91" s="1757"/>
    </row>
    <row r="92" spans="2:18" ht="18">
      <c r="B92" s="2655" t="s">
        <v>771</v>
      </c>
      <c r="C92" s="2656"/>
      <c r="D92" s="2657"/>
      <c r="E92" s="2658"/>
      <c r="F92" s="2624"/>
      <c r="G92" s="33">
        <v>0</v>
      </c>
      <c r="H92" s="1009">
        <v>0</v>
      </c>
      <c r="I92" s="20"/>
      <c r="J92" s="20"/>
      <c r="K92" s="20"/>
      <c r="L92" s="20"/>
      <c r="M92" s="20"/>
      <c r="N92" s="20"/>
      <c r="O92" s="20"/>
      <c r="P92" s="20"/>
      <c r="Q92" s="20"/>
    </row>
    <row r="93" spans="2:18" ht="18">
      <c r="B93" s="2611"/>
      <c r="C93" s="2657"/>
      <c r="D93" s="2657"/>
      <c r="E93" s="2657"/>
      <c r="F93" s="2624"/>
      <c r="G93" s="33"/>
      <c r="H93" s="1009"/>
      <c r="I93" s="20"/>
      <c r="J93" s="20"/>
      <c r="K93" s="20"/>
      <c r="L93" s="20"/>
      <c r="M93" s="20"/>
      <c r="N93" s="20"/>
      <c r="O93" s="20"/>
      <c r="P93" s="20"/>
      <c r="Q93" s="20"/>
    </row>
    <row r="94" spans="2:18" ht="18">
      <c r="B94" s="2617" t="s">
        <v>772</v>
      </c>
      <c r="C94" s="2602"/>
      <c r="D94" s="2602"/>
      <c r="E94" s="2602"/>
      <c r="F94" s="35"/>
      <c r="G94" s="34">
        <f>+G91-G92</f>
        <v>-68720246.726733327</v>
      </c>
      <c r="H94" s="1044">
        <f>+H91-H92</f>
        <v>-49775048.144347906</v>
      </c>
      <c r="I94" s="1757">
        <f>+G94+G88</f>
        <v>-49136350.726733327</v>
      </c>
      <c r="J94" s="1757"/>
      <c r="K94" s="1757"/>
      <c r="L94" s="1757"/>
      <c r="M94" s="1757"/>
      <c r="N94" s="1757"/>
      <c r="O94" s="1757"/>
      <c r="P94" s="1757"/>
      <c r="Q94" s="1757"/>
      <c r="R94" s="2618">
        <f>+G94+G88</f>
        <v>-49136350.726733327</v>
      </c>
    </row>
    <row r="95" spans="2:18" ht="18">
      <c r="B95" s="2610" t="s">
        <v>773</v>
      </c>
      <c r="C95" s="2602"/>
      <c r="D95" s="2602"/>
      <c r="E95" s="2602"/>
      <c r="F95" s="35"/>
      <c r="G95" s="33"/>
      <c r="H95" s="1009"/>
      <c r="I95" s="20"/>
      <c r="J95" s="20"/>
      <c r="K95" s="20"/>
      <c r="L95" s="20"/>
      <c r="M95" s="20"/>
      <c r="N95" s="20"/>
      <c r="O95" s="20"/>
      <c r="P95" s="20"/>
      <c r="Q95" s="20"/>
    </row>
    <row r="96" spans="2:18" ht="18">
      <c r="B96" s="2610" t="s">
        <v>774</v>
      </c>
      <c r="C96" s="2602"/>
      <c r="D96" s="2602"/>
      <c r="E96" s="2602"/>
      <c r="F96" s="2653"/>
      <c r="G96" s="36">
        <v>0</v>
      </c>
      <c r="H96" s="1011">
        <v>0</v>
      </c>
      <c r="I96" s="1997"/>
      <c r="J96" s="1997"/>
      <c r="K96" s="1997"/>
      <c r="L96" s="1997"/>
      <c r="M96" s="1997"/>
      <c r="N96" s="1997"/>
      <c r="O96" s="1997"/>
      <c r="P96" s="1997"/>
      <c r="Q96" s="1997"/>
    </row>
    <row r="97" spans="2:18" ht="18">
      <c r="B97" s="2610" t="s">
        <v>775</v>
      </c>
      <c r="C97" s="2602"/>
      <c r="D97" s="2602"/>
      <c r="E97" s="2602"/>
      <c r="F97" s="2653"/>
      <c r="G97" s="36">
        <v>0</v>
      </c>
      <c r="H97" s="1011">
        <v>0</v>
      </c>
      <c r="I97" s="1997"/>
      <c r="J97" s="1997"/>
      <c r="K97" s="1997"/>
      <c r="L97" s="1997"/>
      <c r="M97" s="1997"/>
      <c r="N97" s="1997"/>
      <c r="O97" s="1997"/>
      <c r="P97" s="1997"/>
      <c r="Q97" s="1997"/>
    </row>
    <row r="98" spans="2:18" ht="18">
      <c r="B98" s="2610" t="s">
        <v>2756</v>
      </c>
      <c r="C98" s="2602"/>
      <c r="D98" s="2602"/>
      <c r="E98" s="2602"/>
      <c r="F98" s="2653"/>
      <c r="G98" s="37">
        <v>0</v>
      </c>
      <c r="H98" s="1015">
        <v>0</v>
      </c>
      <c r="I98" s="1874"/>
      <c r="J98" s="1874"/>
      <c r="K98" s="1874"/>
      <c r="L98" s="1874"/>
      <c r="M98" s="1874"/>
      <c r="N98" s="1874"/>
      <c r="O98" s="1874"/>
      <c r="P98" s="1874"/>
      <c r="Q98" s="1874"/>
    </row>
    <row r="99" spans="2:18" ht="18">
      <c r="B99" s="2610" t="s">
        <v>776</v>
      </c>
      <c r="C99" s="2602"/>
      <c r="D99" s="2602"/>
      <c r="E99" s="2602"/>
      <c r="F99" s="2653"/>
      <c r="G99" s="37">
        <f>+DT!I35</f>
        <v>-17608870.467050835</v>
      </c>
      <c r="H99" s="1015">
        <v>-12045372.031225201</v>
      </c>
      <c r="I99" s="1874"/>
      <c r="J99" s="1874"/>
      <c r="K99" s="1874"/>
      <c r="L99" s="1874"/>
      <c r="M99" s="1874"/>
      <c r="N99" s="1874"/>
      <c r="O99" s="1874"/>
      <c r="P99" s="1874"/>
      <c r="Q99" s="1874"/>
      <c r="R99" s="2612">
        <f>+G99-[72]BSPL!$E$97</f>
        <v>-5735912.0281683374</v>
      </c>
    </row>
    <row r="100" spans="2:18" ht="18">
      <c r="B100" s="2610"/>
      <c r="C100" s="2602"/>
      <c r="D100" s="2602"/>
      <c r="E100" s="2602"/>
      <c r="F100" s="2653"/>
      <c r="G100" s="1471">
        <f>+SUM(G96:G99)</f>
        <v>-17608870.467050835</v>
      </c>
      <c r="H100" s="1455">
        <f>+SUM(H96:H99)</f>
        <v>-12045372.031225201</v>
      </c>
      <c r="I100" s="1998"/>
      <c r="J100" s="1998"/>
      <c r="K100" s="1998"/>
      <c r="L100" s="1998"/>
      <c r="M100" s="1998"/>
      <c r="N100" s="1998"/>
      <c r="O100" s="1998"/>
      <c r="P100" s="1998"/>
      <c r="Q100" s="1998"/>
    </row>
    <row r="101" spans="2:18" ht="18.600000000000001" thickBot="1">
      <c r="B101" s="2617" t="s">
        <v>777</v>
      </c>
      <c r="C101" s="2602"/>
      <c r="D101" s="2602"/>
      <c r="E101" s="2602"/>
      <c r="F101" s="2624"/>
      <c r="G101" s="38">
        <f>+G94-G100</f>
        <v>-51111376.259682491</v>
      </c>
      <c r="H101" s="1045">
        <f>+H94-H100</f>
        <v>-37729676.113122702</v>
      </c>
      <c r="I101" s="1757"/>
      <c r="J101" s="1757"/>
      <c r="K101" s="1757"/>
      <c r="L101" s="1757"/>
      <c r="M101" s="1757"/>
      <c r="N101" s="1757"/>
      <c r="O101" s="1757"/>
      <c r="P101" s="1757"/>
      <c r="Q101" s="1757"/>
    </row>
    <row r="102" spans="2:18" ht="18.600000000000001" thickTop="1">
      <c r="B102" s="2661"/>
      <c r="C102" s="2662"/>
      <c r="D102" s="2663"/>
      <c r="E102" s="2615"/>
      <c r="F102" s="2624"/>
      <c r="G102" s="33"/>
      <c r="H102" s="1009"/>
      <c r="I102" s="20"/>
      <c r="J102" s="20"/>
      <c r="K102" s="20"/>
      <c r="L102" s="20"/>
      <c r="M102" s="20"/>
      <c r="N102" s="20"/>
      <c r="O102" s="20"/>
      <c r="P102" s="20"/>
      <c r="Q102" s="20"/>
    </row>
    <row r="103" spans="2:18" ht="18">
      <c r="B103" s="2661" t="s">
        <v>278</v>
      </c>
      <c r="C103" s="2662"/>
      <c r="D103" s="2663"/>
      <c r="E103" s="2615"/>
      <c r="F103" s="2653">
        <v>27</v>
      </c>
      <c r="G103" s="40"/>
      <c r="H103" s="1013"/>
      <c r="I103" s="103"/>
      <c r="J103" s="103"/>
      <c r="K103" s="103"/>
      <c r="L103" s="103"/>
      <c r="M103" s="103"/>
      <c r="N103" s="103"/>
      <c r="O103" s="103"/>
      <c r="P103" s="103"/>
      <c r="Q103" s="103"/>
    </row>
    <row r="104" spans="2:18" ht="18">
      <c r="B104" s="2654" t="s">
        <v>778</v>
      </c>
      <c r="C104" s="2664"/>
      <c r="D104" s="2664"/>
      <c r="E104" s="2615"/>
      <c r="F104" s="2603"/>
      <c r="G104" s="7">
        <f>+G581</f>
        <v>1451163</v>
      </c>
      <c r="H104" s="1009">
        <f>+H581</f>
        <v>453421</v>
      </c>
      <c r="I104" s="20"/>
      <c r="J104" s="20"/>
      <c r="K104" s="20"/>
      <c r="L104" s="20"/>
      <c r="M104" s="20"/>
      <c r="N104" s="20"/>
      <c r="O104" s="20"/>
      <c r="P104" s="20"/>
      <c r="Q104" s="20"/>
    </row>
    <row r="105" spans="2:18" ht="18">
      <c r="B105" s="2654" t="s">
        <v>779</v>
      </c>
      <c r="C105" s="2664"/>
      <c r="D105" s="2664"/>
      <c r="E105" s="2615"/>
      <c r="F105" s="2603"/>
      <c r="G105" s="7">
        <v>0</v>
      </c>
      <c r="H105" s="1009">
        <v>0</v>
      </c>
      <c r="I105" s="20"/>
      <c r="J105" s="20"/>
      <c r="K105" s="20"/>
      <c r="L105" s="20"/>
      <c r="M105" s="20"/>
      <c r="N105" s="20"/>
      <c r="O105" s="20"/>
      <c r="P105" s="20"/>
      <c r="Q105" s="20"/>
    </row>
    <row r="106" spans="2:18" ht="18">
      <c r="B106" s="2654" t="s">
        <v>780</v>
      </c>
      <c r="C106" s="2664"/>
      <c r="D106" s="2664"/>
      <c r="E106" s="2615"/>
      <c r="F106" s="2603"/>
      <c r="G106" s="7">
        <v>0</v>
      </c>
      <c r="H106" s="1009">
        <v>0</v>
      </c>
      <c r="I106" s="20"/>
      <c r="J106" s="20"/>
      <c r="K106" s="20"/>
      <c r="L106" s="20"/>
      <c r="M106" s="20"/>
      <c r="N106" s="20"/>
      <c r="O106" s="20"/>
      <c r="P106" s="20"/>
      <c r="Q106" s="20"/>
    </row>
    <row r="107" spans="2:18" ht="18">
      <c r="B107" s="2654" t="s">
        <v>779</v>
      </c>
      <c r="C107" s="2665"/>
      <c r="D107" s="2665"/>
      <c r="E107" s="2615"/>
      <c r="F107" s="2603"/>
      <c r="G107" s="41">
        <v>0</v>
      </c>
      <c r="H107" s="1046">
        <v>0</v>
      </c>
      <c r="I107" s="20"/>
      <c r="J107" s="20"/>
      <c r="K107" s="20"/>
      <c r="L107" s="20"/>
      <c r="M107" s="20"/>
      <c r="N107" s="20"/>
      <c r="O107" s="20"/>
      <c r="P107" s="20"/>
      <c r="Q107" s="20"/>
    </row>
    <row r="108" spans="2:18" ht="18">
      <c r="B108" s="2601" t="s">
        <v>781</v>
      </c>
      <c r="C108" s="2666"/>
      <c r="D108" s="2666"/>
      <c r="E108" s="2615"/>
      <c r="F108" s="2603"/>
      <c r="G108" s="41">
        <f>+SUM(G104:G107)</f>
        <v>1451163</v>
      </c>
      <c r="H108" s="1046">
        <f>+SUM(H104:H107)</f>
        <v>453421</v>
      </c>
      <c r="I108" s="20"/>
      <c r="J108" s="20"/>
      <c r="K108" s="20"/>
      <c r="L108" s="20"/>
      <c r="M108" s="20"/>
      <c r="N108" s="20"/>
      <c r="O108" s="20"/>
      <c r="P108" s="20"/>
      <c r="Q108" s="20"/>
    </row>
    <row r="109" spans="2:18" ht="18">
      <c r="B109" s="2667"/>
      <c r="C109" s="2668"/>
      <c r="D109" s="2668"/>
      <c r="E109" s="2669"/>
      <c r="F109" s="2624"/>
      <c r="G109" s="33"/>
      <c r="H109" s="1009"/>
      <c r="I109" s="20"/>
      <c r="J109" s="20"/>
      <c r="K109" s="20"/>
      <c r="L109" s="20"/>
      <c r="M109" s="20"/>
      <c r="N109" s="20"/>
      <c r="O109" s="20"/>
      <c r="P109" s="20"/>
      <c r="Q109" s="20"/>
    </row>
    <row r="110" spans="2:18" ht="18">
      <c r="B110" s="2601"/>
      <c r="C110" s="2666"/>
      <c r="D110" s="2666"/>
      <c r="E110" s="2615"/>
      <c r="F110" s="2624"/>
      <c r="G110" s="33"/>
      <c r="H110" s="1009"/>
      <c r="I110" s="20"/>
      <c r="J110" s="20"/>
      <c r="K110" s="20"/>
      <c r="L110" s="20"/>
      <c r="M110" s="20"/>
      <c r="N110" s="20"/>
      <c r="O110" s="20"/>
      <c r="P110" s="20"/>
      <c r="Q110" s="20"/>
    </row>
    <row r="111" spans="2:18" ht="18.600000000000001" thickBot="1">
      <c r="B111" s="2667" t="s">
        <v>782</v>
      </c>
      <c r="C111" s="2668"/>
      <c r="D111" s="2670"/>
      <c r="E111" s="2615"/>
      <c r="F111" s="2624"/>
      <c r="G111" s="39">
        <f>+G101+G108</f>
        <v>-49660213.259682491</v>
      </c>
      <c r="H111" s="1045">
        <f>+H101+H108</f>
        <v>-37276255.113122702</v>
      </c>
      <c r="I111" s="1757"/>
      <c r="J111" s="1757"/>
      <c r="K111" s="1757"/>
      <c r="L111" s="1757"/>
      <c r="M111" s="1757"/>
      <c r="N111" s="1757"/>
      <c r="O111" s="1757"/>
      <c r="P111" s="1757"/>
      <c r="Q111" s="1757"/>
      <c r="R111" s="2618">
        <f>+G111+51556224.84</f>
        <v>1896011.5803175122</v>
      </c>
    </row>
    <row r="112" spans="2:18" ht="18.600000000000001" thickTop="1">
      <c r="B112" s="2667"/>
      <c r="C112" s="2668"/>
      <c r="D112" s="2670"/>
      <c r="E112" s="2615"/>
      <c r="F112" s="2624"/>
      <c r="G112" s="33"/>
      <c r="H112" s="1009"/>
      <c r="I112" s="20"/>
      <c r="J112" s="20"/>
      <c r="K112" s="20"/>
      <c r="L112" s="20"/>
      <c r="M112" s="20"/>
      <c r="N112" s="20"/>
      <c r="O112" s="20"/>
      <c r="P112" s="20"/>
      <c r="Q112" s="20"/>
      <c r="R112" s="2618">
        <f>18968916-G88</f>
        <v>-614980</v>
      </c>
    </row>
    <row r="113" spans="2:17" ht="18">
      <c r="B113" s="2610" t="s">
        <v>783</v>
      </c>
      <c r="C113" s="2602"/>
      <c r="D113" s="2602"/>
      <c r="E113" s="2602"/>
      <c r="F113" s="2671">
        <v>28</v>
      </c>
      <c r="G113" s="42">
        <f t="shared" ref="G113:H114" si="0">+G586</f>
        <v>-18.984526508230985</v>
      </c>
      <c r="H113" s="1047">
        <f t="shared" si="0"/>
        <v>-14.014101922776065</v>
      </c>
      <c r="I113" s="2001"/>
      <c r="J113" s="2001"/>
      <c r="K113" s="2001"/>
      <c r="L113" s="2001"/>
      <c r="M113" s="2001"/>
      <c r="N113" s="2001"/>
      <c r="O113" s="2001"/>
      <c r="P113" s="2001"/>
      <c r="Q113" s="2001"/>
    </row>
    <row r="114" spans="2:17" ht="18">
      <c r="B114" s="2610" t="s">
        <v>784</v>
      </c>
      <c r="C114" s="2602"/>
      <c r="D114" s="2602"/>
      <c r="E114" s="2602"/>
      <c r="F114" s="2671"/>
      <c r="G114" s="42">
        <f t="shared" si="0"/>
        <v>-18.984526508230985</v>
      </c>
      <c r="H114" s="1047">
        <f t="shared" si="0"/>
        <v>-14.014101922776065</v>
      </c>
      <c r="I114" s="2001"/>
      <c r="J114" s="2001"/>
      <c r="K114" s="2001"/>
      <c r="L114" s="2001"/>
      <c r="M114" s="2001"/>
      <c r="N114" s="2001"/>
      <c r="O114" s="2001"/>
      <c r="P114" s="2001"/>
      <c r="Q114" s="2001"/>
    </row>
    <row r="115" spans="2:17" ht="18">
      <c r="B115" s="2625" t="s">
        <v>737</v>
      </c>
      <c r="C115" s="2672"/>
      <c r="D115" s="2672"/>
      <c r="E115" s="2673"/>
      <c r="F115" s="2626" t="s">
        <v>2890</v>
      </c>
      <c r="G115" s="43"/>
      <c r="H115" s="1029"/>
      <c r="I115" s="19"/>
      <c r="J115" s="19"/>
      <c r="K115" s="19"/>
      <c r="L115" s="19"/>
      <c r="M115" s="19"/>
      <c r="N115" s="19"/>
      <c r="O115" s="19"/>
      <c r="P115" s="19"/>
      <c r="Q115" s="19"/>
    </row>
    <row r="116" spans="2:17" ht="18">
      <c r="B116" s="2620"/>
      <c r="C116" s="2659"/>
      <c r="D116" s="2659"/>
      <c r="E116" s="2663"/>
      <c r="F116" s="2674"/>
      <c r="G116" s="19"/>
      <c r="H116" s="1030"/>
      <c r="I116" s="19"/>
      <c r="J116" s="19"/>
      <c r="K116" s="19"/>
      <c r="L116" s="19"/>
      <c r="M116" s="19"/>
      <c r="N116" s="19"/>
      <c r="O116" s="19"/>
      <c r="P116" s="19"/>
      <c r="Q116" s="19"/>
    </row>
    <row r="117" spans="2:17" ht="18">
      <c r="B117" s="1049" t="s">
        <v>738</v>
      </c>
      <c r="C117" s="24"/>
      <c r="D117" s="24"/>
      <c r="E117" s="24"/>
      <c r="F117" s="2631"/>
      <c r="G117" s="21"/>
      <c r="H117" s="1032"/>
      <c r="I117" s="21"/>
      <c r="J117" s="21"/>
      <c r="K117" s="21"/>
      <c r="L117" s="21"/>
      <c r="M117" s="21"/>
      <c r="N117" s="21"/>
      <c r="O117" s="21"/>
      <c r="P117" s="21"/>
      <c r="Q117" s="21"/>
    </row>
    <row r="118" spans="2:17" ht="18">
      <c r="B118" s="2629" t="str">
        <f>+B51</f>
        <v>As per our report of even date</v>
      </c>
      <c r="C118" s="2630"/>
      <c r="D118" s="2630"/>
      <c r="E118" s="2630"/>
      <c r="F118" s="2631" t="s">
        <v>740</v>
      </c>
      <c r="G118" s="21"/>
      <c r="H118" s="1032"/>
      <c r="I118" s="21"/>
      <c r="J118" s="21"/>
      <c r="K118" s="21"/>
      <c r="L118" s="21"/>
      <c r="M118" s="21"/>
      <c r="N118" s="21"/>
      <c r="O118" s="21"/>
      <c r="P118" s="21"/>
      <c r="Q118" s="21"/>
    </row>
    <row r="119" spans="2:17" ht="18">
      <c r="B119" s="2632"/>
      <c r="C119" s="2602"/>
      <c r="D119" s="2602"/>
      <c r="E119" s="2602"/>
      <c r="F119" s="2631"/>
      <c r="G119" s="21"/>
      <c r="H119" s="1032"/>
      <c r="I119" s="21"/>
      <c r="J119" s="21"/>
      <c r="K119" s="21"/>
      <c r="L119" s="21"/>
      <c r="M119" s="21"/>
      <c r="N119" s="21"/>
      <c r="O119" s="21"/>
      <c r="P119" s="21"/>
      <c r="Q119" s="21"/>
    </row>
    <row r="120" spans="2:17" ht="18">
      <c r="B120" s="2675" t="str">
        <f t="shared" ref="B120:B128" si="1">+B53</f>
        <v>FOR DARAK AND ASSOCIATES</v>
      </c>
      <c r="C120" s="2633"/>
      <c r="D120" s="2633"/>
      <c r="E120" s="2633"/>
      <c r="F120" s="2676" t="str">
        <f>+F53</f>
        <v>ANIL KUMAR LAKHOTIYA - MANAGING  DIRECTOR</v>
      </c>
      <c r="G120" s="21"/>
      <c r="H120" s="1032"/>
      <c r="I120" s="21"/>
      <c r="J120" s="21"/>
      <c r="K120" s="21"/>
      <c r="L120" s="21"/>
      <c r="M120" s="21"/>
      <c r="N120" s="21"/>
      <c r="O120" s="21"/>
      <c r="P120" s="21"/>
      <c r="Q120" s="21"/>
    </row>
    <row r="121" spans="2:17" ht="18">
      <c r="B121" s="2675" t="str">
        <f t="shared" si="1"/>
        <v>CHARTERED ACCOUNTANTS</v>
      </c>
      <c r="C121" s="2633"/>
      <c r="D121" s="2633"/>
      <c r="E121" s="2633"/>
      <c r="F121" s="2631" t="str">
        <f>+F54</f>
        <v>(DIN:00367361)</v>
      </c>
      <c r="G121" s="21"/>
      <c r="H121" s="1032"/>
      <c r="I121" s="21"/>
      <c r="J121" s="21"/>
      <c r="K121" s="21"/>
      <c r="L121" s="21"/>
      <c r="M121" s="21"/>
      <c r="N121" s="21"/>
      <c r="O121" s="21"/>
      <c r="P121" s="21"/>
      <c r="Q121" s="21"/>
    </row>
    <row r="122" spans="2:17" ht="18">
      <c r="B122" s="2675" t="str">
        <f t="shared" si="1"/>
        <v>FIRM REGISTRATION NO.: 132818W</v>
      </c>
      <c r="C122" s="2602"/>
      <c r="D122" s="2602"/>
      <c r="E122" s="2602"/>
      <c r="F122" s="2634"/>
      <c r="G122" s="23"/>
      <c r="H122" s="1033"/>
      <c r="I122" s="23"/>
      <c r="J122" s="23"/>
      <c r="K122" s="23"/>
      <c r="L122" s="23"/>
      <c r="M122" s="23"/>
      <c r="N122" s="23"/>
      <c r="O122" s="23"/>
      <c r="P122" s="23"/>
      <c r="Q122" s="23"/>
    </row>
    <row r="123" spans="2:17" ht="18">
      <c r="B123" s="2675"/>
      <c r="C123" s="2602"/>
      <c r="D123" s="2602"/>
      <c r="E123" s="2602"/>
      <c r="F123" s="2602"/>
      <c r="G123" s="21"/>
      <c r="H123" s="1032"/>
      <c r="I123" s="21"/>
      <c r="J123" s="21"/>
      <c r="K123" s="21"/>
      <c r="L123" s="21"/>
      <c r="M123" s="21"/>
      <c r="N123" s="21"/>
      <c r="O123" s="21"/>
      <c r="P123" s="21"/>
      <c r="Q123" s="21"/>
    </row>
    <row r="124" spans="2:17" ht="18">
      <c r="B124" s="2675"/>
      <c r="C124" s="2602"/>
      <c r="D124" s="2602"/>
      <c r="E124" s="2602"/>
      <c r="F124" s="2633" t="str">
        <f>+F58</f>
        <v>KAILASH AGARWAL - WHOLE TIME DIRECTOR</v>
      </c>
      <c r="G124" s="21"/>
      <c r="H124" s="1032"/>
      <c r="I124" s="21"/>
      <c r="J124" s="21"/>
      <c r="K124" s="21"/>
      <c r="L124" s="21"/>
      <c r="M124" s="21"/>
      <c r="N124" s="21"/>
      <c r="O124" s="21"/>
      <c r="P124" s="21"/>
      <c r="Q124" s="21"/>
    </row>
    <row r="125" spans="2:17" ht="18">
      <c r="B125" s="2675"/>
      <c r="C125" s="2633"/>
      <c r="D125" s="2633"/>
      <c r="E125" s="2633"/>
      <c r="F125" s="2602" t="str">
        <f>+F59</f>
        <v>(DIN:00367292)</v>
      </c>
      <c r="G125" s="21"/>
      <c r="H125" s="1032"/>
      <c r="I125" s="21"/>
      <c r="J125" s="21"/>
      <c r="K125" s="21"/>
      <c r="L125" s="21"/>
      <c r="M125" s="21"/>
      <c r="N125" s="21"/>
      <c r="O125" s="21"/>
      <c r="P125" s="21"/>
      <c r="Q125" s="21"/>
    </row>
    <row r="126" spans="2:17" ht="18">
      <c r="B126" s="2675" t="str">
        <f t="shared" si="1"/>
        <v>SUMIT M. DARAK</v>
      </c>
      <c r="C126" s="25"/>
      <c r="D126" s="25"/>
      <c r="E126" s="25"/>
      <c r="F126" s="2602"/>
      <c r="G126" s="21"/>
      <c r="H126" s="1032"/>
      <c r="I126" s="21"/>
      <c r="J126" s="21"/>
      <c r="K126" s="21"/>
      <c r="L126" s="21"/>
      <c r="M126" s="21"/>
      <c r="N126" s="21"/>
      <c r="O126" s="21"/>
      <c r="P126" s="21"/>
      <c r="Q126" s="21"/>
    </row>
    <row r="127" spans="2:17" ht="18">
      <c r="B127" s="2675" t="str">
        <f t="shared" si="1"/>
        <v>PARTNER</v>
      </c>
      <c r="C127" s="25"/>
      <c r="D127" s="25"/>
      <c r="E127" s="25"/>
      <c r="F127" s="2631"/>
      <c r="G127" s="21"/>
      <c r="H127" s="1032"/>
      <c r="I127" s="21"/>
      <c r="J127" s="21"/>
      <c r="K127" s="21"/>
      <c r="L127" s="21"/>
      <c r="M127" s="21"/>
      <c r="N127" s="21"/>
      <c r="O127" s="21"/>
      <c r="P127" s="21"/>
      <c r="Q127" s="21"/>
    </row>
    <row r="128" spans="2:17" ht="18">
      <c r="B128" s="2677" t="str">
        <f t="shared" si="1"/>
        <v>MEMBERSHIP NO. : 141902</v>
      </c>
      <c r="C128" s="25"/>
      <c r="D128" s="25"/>
      <c r="E128" s="25"/>
      <c r="F128" s="2636" t="str">
        <f>+F62</f>
        <v>JARNAIL SINGH SAINI - CHIEF FINANCIAL OFFICER &amp; EXECUTIVE DIRECTOR</v>
      </c>
      <c r="G128" s="2636"/>
      <c r="H128" s="2637"/>
      <c r="I128" s="2638"/>
      <c r="J128" s="2638"/>
      <c r="K128" s="2638"/>
      <c r="L128" s="2638"/>
      <c r="M128" s="2638"/>
      <c r="N128" s="2638"/>
      <c r="O128" s="2638"/>
      <c r="P128" s="2638"/>
      <c r="Q128" s="2638"/>
    </row>
    <row r="129" spans="2:17" ht="18">
      <c r="B129" s="2629"/>
      <c r="C129" s="25"/>
      <c r="D129" s="25"/>
      <c r="E129" s="25"/>
      <c r="F129" s="2678" t="str">
        <f>+F63</f>
        <v>(DIN:00367656)</v>
      </c>
      <c r="G129" s="2678"/>
      <c r="H129" s="2679"/>
      <c r="I129" s="2680"/>
      <c r="J129" s="2680"/>
      <c r="K129" s="2680"/>
      <c r="L129" s="2680"/>
      <c r="M129" s="2680"/>
      <c r="N129" s="2680"/>
      <c r="O129" s="2680"/>
      <c r="P129" s="2680"/>
      <c r="Q129" s="2680"/>
    </row>
    <row r="130" spans="2:17" ht="18">
      <c r="B130" s="2639" t="str">
        <f>+B63</f>
        <v>Place: Nagpur</v>
      </c>
      <c r="C130" s="2602"/>
      <c r="D130" s="2602"/>
      <c r="E130" s="2602"/>
      <c r="F130" s="2602"/>
      <c r="G130" s="21"/>
      <c r="H130" s="1032"/>
      <c r="I130" s="21"/>
      <c r="J130" s="21"/>
      <c r="K130" s="21"/>
      <c r="L130" s="21"/>
      <c r="M130" s="21"/>
      <c r="N130" s="21"/>
      <c r="O130" s="21"/>
      <c r="P130" s="21"/>
      <c r="Q130" s="21"/>
    </row>
    <row r="131" spans="2:17" ht="18">
      <c r="B131" s="2639" t="str">
        <f t="shared" ref="B131:B132" si="2">+B64</f>
        <v>Date: 29/05/2024</v>
      </c>
      <c r="C131" s="2602"/>
      <c r="D131" s="2602"/>
      <c r="E131" s="2602"/>
      <c r="F131" s="2602"/>
      <c r="G131" s="21"/>
      <c r="H131" s="1032"/>
      <c r="I131" s="21"/>
      <c r="J131" s="21"/>
      <c r="K131" s="21"/>
      <c r="L131" s="21"/>
      <c r="M131" s="21"/>
      <c r="N131" s="21"/>
      <c r="O131" s="21"/>
      <c r="P131" s="21"/>
      <c r="Q131" s="21"/>
    </row>
    <row r="132" spans="2:17" ht="18">
      <c r="B132" s="2639" t="str">
        <f t="shared" si="2"/>
        <v xml:space="preserve">UDIN: </v>
      </c>
      <c r="C132" s="2602"/>
      <c r="D132" s="2602"/>
      <c r="E132" s="2602"/>
      <c r="F132" s="2633" t="str">
        <f>+F67</f>
        <v>OMPRAKASH RATHI - WHOLE TIME DIRECTOR</v>
      </c>
      <c r="G132" s="21"/>
      <c r="H132" s="1032"/>
      <c r="I132" s="21"/>
      <c r="J132" s="21"/>
      <c r="K132" s="21"/>
      <c r="L132" s="21"/>
      <c r="M132" s="21"/>
      <c r="N132" s="21"/>
      <c r="O132" s="21"/>
      <c r="P132" s="21"/>
      <c r="Q132" s="21"/>
    </row>
    <row r="133" spans="2:17" ht="18">
      <c r="B133" s="2639"/>
      <c r="C133" s="2602"/>
      <c r="D133" s="2602"/>
      <c r="E133" s="2602"/>
      <c r="F133" s="2640" t="str">
        <f>+F68</f>
        <v>(DIN:00895316)</v>
      </c>
      <c r="G133" s="23"/>
      <c r="H133" s="1033"/>
      <c r="I133" s="23"/>
      <c r="J133" s="23"/>
      <c r="K133" s="23"/>
      <c r="L133" s="23"/>
      <c r="M133" s="23"/>
      <c r="N133" s="23"/>
      <c r="O133" s="23"/>
      <c r="P133" s="23"/>
      <c r="Q133" s="23"/>
    </row>
    <row r="134" spans="2:17" ht="18">
      <c r="B134" s="2639"/>
      <c r="C134" s="2602"/>
      <c r="D134" s="2602"/>
      <c r="E134" s="2602"/>
      <c r="F134" s="2602"/>
      <c r="G134" s="21"/>
      <c r="H134" s="1032"/>
      <c r="I134" s="21"/>
      <c r="J134" s="21"/>
      <c r="K134" s="21"/>
      <c r="L134" s="21"/>
      <c r="M134" s="21"/>
      <c r="N134" s="21"/>
      <c r="O134" s="21"/>
      <c r="P134" s="21"/>
      <c r="Q134" s="21"/>
    </row>
    <row r="135" spans="2:17" ht="18">
      <c r="B135" s="2639"/>
      <c r="C135" s="2602"/>
      <c r="D135" s="2602"/>
      <c r="E135" s="2602"/>
      <c r="F135" s="2602"/>
      <c r="G135" s="21"/>
      <c r="H135" s="1032"/>
      <c r="I135" s="21"/>
      <c r="J135" s="21"/>
      <c r="K135" s="21"/>
      <c r="L135" s="21"/>
      <c r="M135" s="21"/>
      <c r="N135" s="21"/>
      <c r="O135" s="21"/>
      <c r="P135" s="21"/>
      <c r="Q135" s="21"/>
    </row>
    <row r="136" spans="2:17" ht="18">
      <c r="B136" s="2639"/>
      <c r="C136" s="2602"/>
      <c r="D136" s="2602"/>
      <c r="E136" s="2602"/>
      <c r="F136" s="2633" t="str">
        <f>+F72</f>
        <v>MAYANK LUNIYA - COMPANY SECRETARY</v>
      </c>
      <c r="G136" s="21"/>
      <c r="H136" s="1032"/>
      <c r="I136" s="21"/>
      <c r="J136" s="21"/>
      <c r="K136" s="21"/>
      <c r="L136" s="21"/>
      <c r="M136" s="21"/>
      <c r="N136" s="21"/>
      <c r="O136" s="21"/>
      <c r="P136" s="21"/>
      <c r="Q136" s="21"/>
    </row>
    <row r="137" spans="2:17" ht="18">
      <c r="B137" s="2639"/>
      <c r="C137" s="2602"/>
      <c r="D137" s="2602"/>
      <c r="E137" s="2602"/>
      <c r="F137" s="2633"/>
      <c r="G137" s="21"/>
      <c r="H137" s="1032"/>
      <c r="I137" s="21"/>
      <c r="J137" s="21"/>
      <c r="K137" s="21"/>
      <c r="L137" s="21"/>
      <c r="M137" s="21"/>
      <c r="N137" s="21"/>
      <c r="O137" s="21"/>
      <c r="P137" s="21"/>
      <c r="Q137" s="21"/>
    </row>
    <row r="138" spans="2:17" ht="18">
      <c r="B138" s="2639"/>
      <c r="C138" s="2602"/>
      <c r="D138" s="2602"/>
      <c r="E138" s="2602"/>
      <c r="F138" s="2631" t="str">
        <f>+F73</f>
        <v>Place: Nagpur</v>
      </c>
      <c r="G138" s="21"/>
      <c r="H138" s="1032"/>
      <c r="I138" s="21"/>
      <c r="J138" s="21"/>
      <c r="K138" s="21"/>
      <c r="L138" s="21"/>
      <c r="M138" s="21"/>
      <c r="N138" s="21"/>
      <c r="O138" s="21"/>
      <c r="P138" s="21"/>
      <c r="Q138" s="21"/>
    </row>
    <row r="139" spans="2:17" ht="18.600000000000001" thickBot="1">
      <c r="B139" s="2681"/>
      <c r="C139" s="2682"/>
      <c r="D139" s="2682"/>
      <c r="E139" s="2682"/>
      <c r="F139" s="2641" t="str">
        <f>+F74</f>
        <v>Date: 29/05/2024</v>
      </c>
      <c r="G139" s="1193"/>
      <c r="H139" s="1194"/>
      <c r="I139" s="27"/>
      <c r="J139" s="27"/>
      <c r="K139" s="27"/>
      <c r="L139" s="27"/>
      <c r="M139" s="27"/>
      <c r="N139" s="27"/>
      <c r="O139" s="27"/>
      <c r="P139" s="27"/>
      <c r="Q139" s="27"/>
    </row>
    <row r="140" spans="2:17" ht="18">
      <c r="B140" s="2683" t="s">
        <v>702</v>
      </c>
      <c r="C140" s="2684"/>
      <c r="D140" s="2684"/>
      <c r="E140" s="2684"/>
      <c r="F140" s="2684"/>
      <c r="G140" s="2684"/>
      <c r="H140" s="2685"/>
      <c r="I140" s="2686"/>
      <c r="J140" s="2686"/>
      <c r="K140" s="2686"/>
      <c r="L140" s="2686"/>
      <c r="M140" s="2686"/>
      <c r="N140" s="2686"/>
      <c r="O140" s="2686"/>
      <c r="P140" s="2686"/>
      <c r="Q140" s="2686"/>
    </row>
    <row r="141" spans="2:17" ht="18">
      <c r="B141" s="2687" t="s">
        <v>3055</v>
      </c>
      <c r="C141" s="2688"/>
      <c r="D141" s="2688"/>
      <c r="E141" s="2688"/>
      <c r="F141" s="2688"/>
      <c r="G141" s="2688"/>
      <c r="H141" s="2689"/>
      <c r="I141" s="2649"/>
      <c r="J141" s="2649"/>
      <c r="K141" s="2649"/>
      <c r="L141" s="2649"/>
      <c r="M141" s="2649"/>
      <c r="N141" s="2649"/>
      <c r="O141" s="2649"/>
      <c r="P141" s="2649"/>
      <c r="Q141" s="2649"/>
    </row>
    <row r="142" spans="2:17" ht="18">
      <c r="B142" s="2690" t="s">
        <v>0</v>
      </c>
      <c r="C142" s="1054"/>
      <c r="D142" s="1054"/>
      <c r="E142" s="1054"/>
      <c r="F142" s="2691"/>
      <c r="G142" s="1004" t="s">
        <v>704</v>
      </c>
      <c r="H142" s="1005" t="s">
        <v>704</v>
      </c>
      <c r="I142" s="1996"/>
      <c r="J142" s="1996"/>
      <c r="K142" s="1996"/>
      <c r="L142" s="1996"/>
      <c r="M142" s="1996"/>
      <c r="N142" s="1996"/>
      <c r="O142" s="1996"/>
      <c r="P142" s="1996"/>
      <c r="Q142" s="1996"/>
    </row>
    <row r="143" spans="2:17" ht="18">
      <c r="B143" s="1036"/>
      <c r="C143" s="44"/>
      <c r="D143" s="44"/>
      <c r="E143" s="44"/>
      <c r="F143" s="2692"/>
      <c r="G143" s="30" t="str">
        <f>+G6</f>
        <v>March 31, 2024 (₹)</v>
      </c>
      <c r="H143" s="1038" t="str">
        <f>+H6</f>
        <v>March 31, 2023 (₹)</v>
      </c>
      <c r="I143" s="1996"/>
      <c r="J143" s="1996"/>
      <c r="K143" s="1996"/>
      <c r="L143" s="1996"/>
      <c r="M143" s="1996"/>
      <c r="N143" s="1996"/>
      <c r="O143" s="1996"/>
      <c r="P143" s="1996"/>
      <c r="Q143" s="1996"/>
    </row>
    <row r="144" spans="2:17" ht="18">
      <c r="B144" s="2693" t="s">
        <v>785</v>
      </c>
      <c r="C144" s="2694"/>
      <c r="D144" s="2694"/>
      <c r="E144" s="2694"/>
      <c r="F144" s="2694"/>
      <c r="G144" s="46"/>
      <c r="H144" s="1057"/>
      <c r="I144" s="2003"/>
      <c r="J144" s="2003"/>
      <c r="K144" s="2003"/>
      <c r="L144" s="2003"/>
      <c r="M144" s="2003"/>
      <c r="N144" s="2003"/>
      <c r="O144" s="2003"/>
      <c r="P144" s="2003"/>
      <c r="Q144" s="2003"/>
    </row>
    <row r="145" spans="2:17" ht="18">
      <c r="B145" s="2639" t="s">
        <v>786</v>
      </c>
      <c r="C145" s="2695"/>
      <c r="D145" s="2695"/>
      <c r="E145" s="2695"/>
      <c r="F145" s="2602"/>
      <c r="G145" s="47">
        <f>+H147</f>
        <v>26922650</v>
      </c>
      <c r="H145" s="1058">
        <v>26922650</v>
      </c>
      <c r="I145" s="120"/>
      <c r="J145" s="120"/>
      <c r="K145" s="120"/>
      <c r="L145" s="120"/>
      <c r="M145" s="120"/>
      <c r="N145" s="120"/>
      <c r="O145" s="120"/>
      <c r="P145" s="120"/>
      <c r="Q145" s="120"/>
    </row>
    <row r="146" spans="2:17" ht="18">
      <c r="B146" s="2639" t="s">
        <v>787</v>
      </c>
      <c r="C146" s="2695"/>
      <c r="D146" s="2695"/>
      <c r="E146" s="2695"/>
      <c r="F146" s="2602"/>
      <c r="G146" s="48">
        <v>0</v>
      </c>
      <c r="H146" s="1059">
        <v>0</v>
      </c>
      <c r="I146" s="21"/>
      <c r="J146" s="21"/>
      <c r="K146" s="21"/>
      <c r="L146" s="21"/>
      <c r="M146" s="21"/>
      <c r="N146" s="21"/>
      <c r="O146" s="21"/>
      <c r="P146" s="21"/>
      <c r="Q146" s="21"/>
    </row>
    <row r="147" spans="2:17" ht="18.600000000000001" thickBot="1">
      <c r="B147" s="2696" t="s">
        <v>788</v>
      </c>
      <c r="C147" s="2695"/>
      <c r="D147" s="2695"/>
      <c r="E147" s="2695"/>
      <c r="F147" s="2602"/>
      <c r="G147" s="49">
        <f>+SUM(G145:G146)</f>
        <v>26922650</v>
      </c>
      <c r="H147" s="1061">
        <f>+SUM(H145:H146)</f>
        <v>26922650</v>
      </c>
      <c r="I147" s="2004"/>
      <c r="J147" s="2004"/>
      <c r="K147" s="2004"/>
      <c r="L147" s="2004"/>
      <c r="M147" s="2004"/>
      <c r="N147" s="2004"/>
      <c r="O147" s="2004"/>
      <c r="P147" s="2004"/>
      <c r="Q147" s="2004"/>
    </row>
    <row r="148" spans="2:17" ht="18.600000000000001" thickTop="1">
      <c r="B148" s="2696"/>
      <c r="C148" s="2695"/>
      <c r="D148" s="2695"/>
      <c r="E148" s="2695"/>
      <c r="F148" s="2602"/>
      <c r="G148" s="48"/>
      <c r="H148" s="1059"/>
      <c r="I148" s="21"/>
      <c r="J148" s="21"/>
      <c r="K148" s="21"/>
      <c r="L148" s="21"/>
      <c r="M148" s="21"/>
      <c r="N148" s="21"/>
      <c r="O148" s="21"/>
      <c r="P148" s="21"/>
      <c r="Q148" s="21"/>
    </row>
    <row r="149" spans="2:17" ht="18">
      <c r="B149" s="2693" t="s">
        <v>789</v>
      </c>
      <c r="C149" s="2695"/>
      <c r="D149" s="2695"/>
      <c r="E149" s="2695"/>
      <c r="F149" s="2695"/>
      <c r="G149" s="47"/>
      <c r="H149" s="1058"/>
      <c r="I149" s="120"/>
      <c r="J149" s="120"/>
      <c r="K149" s="120"/>
      <c r="L149" s="120"/>
      <c r="M149" s="120"/>
      <c r="N149" s="120"/>
      <c r="O149" s="120"/>
      <c r="P149" s="120"/>
      <c r="Q149" s="120"/>
    </row>
    <row r="150" spans="2:17" ht="18">
      <c r="B150" s="2697" t="s">
        <v>81</v>
      </c>
      <c r="C150" s="2695"/>
      <c r="D150" s="2695"/>
      <c r="E150" s="2695"/>
      <c r="F150" s="2695"/>
      <c r="G150" s="47"/>
      <c r="H150" s="1058"/>
      <c r="I150" s="120"/>
      <c r="J150" s="120"/>
      <c r="K150" s="120"/>
      <c r="L150" s="120"/>
      <c r="M150" s="120"/>
      <c r="N150" s="120"/>
      <c r="O150" s="120"/>
      <c r="P150" s="120"/>
      <c r="Q150" s="120"/>
    </row>
    <row r="151" spans="2:17" ht="18">
      <c r="B151" s="1063" t="s">
        <v>790</v>
      </c>
      <c r="C151" s="2698"/>
      <c r="D151" s="2698"/>
      <c r="E151" s="2698"/>
      <c r="F151" s="2695"/>
      <c r="G151" s="50">
        <f>+H155</f>
        <v>20413989</v>
      </c>
      <c r="H151" s="1058">
        <v>20413989</v>
      </c>
      <c r="I151" s="120"/>
      <c r="J151" s="120"/>
      <c r="K151" s="120"/>
      <c r="L151" s="120"/>
      <c r="M151" s="120"/>
      <c r="N151" s="120"/>
      <c r="O151" s="120"/>
      <c r="P151" s="120"/>
      <c r="Q151" s="120"/>
    </row>
    <row r="152" spans="2:17" ht="18">
      <c r="B152" s="2696" t="s">
        <v>791</v>
      </c>
      <c r="C152" s="2695"/>
      <c r="D152" s="2695"/>
      <c r="E152" s="2695"/>
      <c r="F152" s="2695"/>
      <c r="G152" s="47">
        <v>0</v>
      </c>
      <c r="H152" s="1058">
        <v>0</v>
      </c>
      <c r="I152" s="120"/>
      <c r="J152" s="120"/>
      <c r="K152" s="120"/>
      <c r="L152" s="120"/>
      <c r="M152" s="120"/>
      <c r="N152" s="120"/>
      <c r="O152" s="120"/>
      <c r="P152" s="120"/>
      <c r="Q152" s="120"/>
    </row>
    <row r="153" spans="2:17" ht="18">
      <c r="B153" s="2696" t="s">
        <v>792</v>
      </c>
      <c r="C153" s="2695"/>
      <c r="D153" s="2695"/>
      <c r="E153" s="2695"/>
      <c r="F153" s="2695"/>
      <c r="G153" s="1064">
        <f>+G151+G152</f>
        <v>20413989</v>
      </c>
      <c r="H153" s="1065">
        <f>+H151+H152</f>
        <v>20413989</v>
      </c>
      <c r="I153" s="120"/>
      <c r="J153" s="120"/>
      <c r="K153" s="120"/>
      <c r="L153" s="120"/>
      <c r="M153" s="120"/>
      <c r="N153" s="120"/>
      <c r="O153" s="120"/>
      <c r="P153" s="120"/>
      <c r="Q153" s="120"/>
    </row>
    <row r="154" spans="2:17" ht="18">
      <c r="B154" s="2696" t="s">
        <v>2891</v>
      </c>
      <c r="C154" s="2695"/>
      <c r="D154" s="2695"/>
      <c r="E154" s="2695"/>
      <c r="F154" s="2695"/>
      <c r="G154" s="47">
        <v>0</v>
      </c>
      <c r="H154" s="1058">
        <v>0</v>
      </c>
      <c r="I154" s="120"/>
      <c r="J154" s="120"/>
      <c r="K154" s="120"/>
      <c r="L154" s="120"/>
      <c r="M154" s="120"/>
      <c r="N154" s="120"/>
      <c r="O154" s="120"/>
      <c r="P154" s="120"/>
      <c r="Q154" s="120"/>
    </row>
    <row r="155" spans="2:17" ht="18">
      <c r="B155" s="2699" t="s">
        <v>464</v>
      </c>
      <c r="C155" s="2700"/>
      <c r="D155" s="2700"/>
      <c r="E155" s="2700"/>
      <c r="F155" s="2700"/>
      <c r="G155" s="1295">
        <f>+G153+G154</f>
        <v>20413989</v>
      </c>
      <c r="H155" s="1472">
        <f>+H153+H154</f>
        <v>20413989</v>
      </c>
      <c r="I155" s="2004"/>
      <c r="J155" s="2004"/>
      <c r="K155" s="2004"/>
      <c r="L155" s="2004"/>
      <c r="M155" s="2004"/>
      <c r="N155" s="2004"/>
      <c r="O155" s="2004"/>
      <c r="P155" s="2004"/>
      <c r="Q155" s="2004"/>
    </row>
    <row r="156" spans="2:17" ht="18">
      <c r="B156" s="2699"/>
      <c r="C156" s="2700"/>
      <c r="D156" s="2700"/>
      <c r="E156" s="2700"/>
      <c r="F156" s="2700"/>
      <c r="G156" s="52"/>
      <c r="H156" s="1067"/>
      <c r="I156" s="2004"/>
      <c r="J156" s="2004"/>
      <c r="K156" s="2004"/>
      <c r="L156" s="2004"/>
      <c r="M156" s="2004"/>
      <c r="N156" s="2004"/>
      <c r="O156" s="2004"/>
      <c r="P156" s="2004"/>
      <c r="Q156" s="2004"/>
    </row>
    <row r="157" spans="2:17" ht="18">
      <c r="B157" s="2699" t="s">
        <v>327</v>
      </c>
      <c r="C157" s="2695"/>
      <c r="D157" s="2695"/>
      <c r="E157" s="2695"/>
      <c r="F157" s="2695"/>
      <c r="G157" s="47"/>
      <c r="H157" s="1058"/>
      <c r="I157" s="120"/>
      <c r="J157" s="120"/>
      <c r="K157" s="120"/>
      <c r="L157" s="120"/>
      <c r="M157" s="120"/>
      <c r="N157" s="120"/>
      <c r="O157" s="120"/>
      <c r="P157" s="120"/>
      <c r="Q157" s="120"/>
    </row>
    <row r="158" spans="2:17" ht="18">
      <c r="B158" s="1063" t="s">
        <v>790</v>
      </c>
      <c r="C158" s="2695"/>
      <c r="D158" s="2695"/>
      <c r="E158" s="2695"/>
      <c r="F158" s="2695"/>
      <c r="G158" s="47">
        <f>+H162</f>
        <v>8664946</v>
      </c>
      <c r="H158" s="1058">
        <v>8664946</v>
      </c>
      <c r="I158" s="120"/>
      <c r="J158" s="120"/>
      <c r="K158" s="120"/>
      <c r="L158" s="120"/>
      <c r="M158" s="120"/>
      <c r="N158" s="120"/>
      <c r="O158" s="120"/>
      <c r="P158" s="120"/>
      <c r="Q158" s="120"/>
    </row>
    <row r="159" spans="2:17" ht="18">
      <c r="B159" s="2696" t="s">
        <v>791</v>
      </c>
      <c r="C159" s="2695"/>
      <c r="D159" s="2695"/>
      <c r="E159" s="2695"/>
      <c r="F159" s="2695"/>
      <c r="G159" s="51">
        <v>0</v>
      </c>
      <c r="H159" s="1068">
        <v>0</v>
      </c>
      <c r="I159" s="120"/>
      <c r="J159" s="120"/>
      <c r="K159" s="120"/>
      <c r="L159" s="120"/>
      <c r="M159" s="120"/>
      <c r="N159" s="120"/>
      <c r="O159" s="120"/>
      <c r="P159" s="120"/>
      <c r="Q159" s="120"/>
    </row>
    <row r="160" spans="2:17" ht="18">
      <c r="B160" s="2696" t="s">
        <v>792</v>
      </c>
      <c r="C160" s="2695"/>
      <c r="D160" s="2695"/>
      <c r="E160" s="2695"/>
      <c r="F160" s="2695"/>
      <c r="G160" s="47">
        <f>+G158+G159</f>
        <v>8664946</v>
      </c>
      <c r="H160" s="1058">
        <f>+H158+H159</f>
        <v>8664946</v>
      </c>
      <c r="I160" s="120"/>
      <c r="J160" s="120"/>
      <c r="K160" s="120"/>
      <c r="L160" s="120"/>
      <c r="M160" s="120"/>
      <c r="N160" s="120"/>
      <c r="O160" s="120"/>
      <c r="P160" s="120"/>
      <c r="Q160" s="120"/>
    </row>
    <row r="161" spans="2:17" ht="18">
      <c r="B161" s="2696" t="s">
        <v>2891</v>
      </c>
      <c r="C161" s="2695"/>
      <c r="D161" s="2695"/>
      <c r="E161" s="2695"/>
      <c r="F161" s="2695"/>
      <c r="G161" s="47">
        <v>0</v>
      </c>
      <c r="H161" s="1058">
        <v>0</v>
      </c>
      <c r="I161" s="120"/>
      <c r="J161" s="120"/>
      <c r="K161" s="120"/>
      <c r="L161" s="120"/>
      <c r="M161" s="120"/>
      <c r="N161" s="120"/>
      <c r="O161" s="120"/>
      <c r="P161" s="120"/>
      <c r="Q161" s="120"/>
    </row>
    <row r="162" spans="2:17" ht="18">
      <c r="B162" s="2699" t="s">
        <v>464</v>
      </c>
      <c r="C162" s="2695"/>
      <c r="D162" s="2695"/>
      <c r="E162" s="2695"/>
      <c r="F162" s="2695"/>
      <c r="G162" s="1295">
        <f>+G160+G161</f>
        <v>8664946</v>
      </c>
      <c r="H162" s="1472">
        <f>+H160+H161</f>
        <v>8664946</v>
      </c>
      <c r="I162" s="2004"/>
      <c r="J162" s="2004"/>
      <c r="K162" s="2004"/>
      <c r="L162" s="2004"/>
      <c r="M162" s="2004"/>
      <c r="N162" s="2004"/>
      <c r="O162" s="2004"/>
      <c r="P162" s="2004"/>
      <c r="Q162" s="2004"/>
    </row>
    <row r="163" spans="2:17" ht="18">
      <c r="B163" s="2699"/>
      <c r="C163" s="2695"/>
      <c r="D163" s="2695"/>
      <c r="E163" s="2695"/>
      <c r="F163" s="2695"/>
      <c r="G163" s="52"/>
      <c r="H163" s="1067"/>
      <c r="I163" s="2004"/>
      <c r="J163" s="2004"/>
      <c r="K163" s="2004"/>
      <c r="L163" s="2004"/>
      <c r="M163" s="2004"/>
      <c r="N163" s="2004"/>
      <c r="O163" s="2004"/>
      <c r="P163" s="2004"/>
      <c r="Q163" s="2004"/>
    </row>
    <row r="164" spans="2:17" ht="18">
      <c r="B164" s="2699" t="s">
        <v>178</v>
      </c>
      <c r="C164" s="2695"/>
      <c r="D164" s="2695"/>
      <c r="E164" s="2695"/>
      <c r="F164" s="2695"/>
      <c r="G164" s="47"/>
      <c r="H164" s="1058"/>
      <c r="I164" s="120"/>
      <c r="J164" s="120"/>
      <c r="K164" s="120"/>
      <c r="L164" s="120"/>
      <c r="M164" s="120"/>
      <c r="N164" s="120"/>
      <c r="O164" s="120"/>
      <c r="P164" s="120"/>
      <c r="Q164" s="120"/>
    </row>
    <row r="165" spans="2:17" ht="18">
      <c r="B165" s="1063" t="s">
        <v>790</v>
      </c>
      <c r="C165" s="2695"/>
      <c r="D165" s="2695"/>
      <c r="E165" s="2695"/>
      <c r="F165" s="2695"/>
      <c r="G165" s="50">
        <f>+H169</f>
        <v>1800000</v>
      </c>
      <c r="H165" s="1058">
        <v>1800000</v>
      </c>
      <c r="I165" s="120"/>
      <c r="J165" s="120"/>
      <c r="K165" s="120"/>
      <c r="L165" s="120"/>
      <c r="M165" s="120"/>
      <c r="N165" s="120"/>
      <c r="O165" s="120"/>
      <c r="P165" s="120"/>
      <c r="Q165" s="120"/>
    </row>
    <row r="166" spans="2:17" ht="18">
      <c r="B166" s="2696" t="s">
        <v>791</v>
      </c>
      <c r="C166" s="2695"/>
      <c r="D166" s="2695"/>
      <c r="E166" s="2695"/>
      <c r="F166" s="2695"/>
      <c r="G166" s="51">
        <v>0</v>
      </c>
      <c r="H166" s="1068">
        <v>0</v>
      </c>
      <c r="I166" s="120"/>
      <c r="J166" s="120"/>
      <c r="K166" s="120"/>
      <c r="L166" s="120"/>
      <c r="M166" s="120"/>
      <c r="N166" s="120"/>
      <c r="O166" s="120"/>
      <c r="P166" s="120"/>
      <c r="Q166" s="120"/>
    </row>
    <row r="167" spans="2:17" ht="18">
      <c r="B167" s="2696" t="s">
        <v>792</v>
      </c>
      <c r="C167" s="2695"/>
      <c r="D167" s="2695"/>
      <c r="E167" s="2695"/>
      <c r="F167" s="2695"/>
      <c r="G167" s="47">
        <f>+G165+G166</f>
        <v>1800000</v>
      </c>
      <c r="H167" s="1058">
        <f>+H165+H166</f>
        <v>1800000</v>
      </c>
      <c r="I167" s="120"/>
      <c r="J167" s="120"/>
      <c r="K167" s="120"/>
      <c r="L167" s="120"/>
      <c r="M167" s="120"/>
      <c r="N167" s="120"/>
      <c r="O167" s="120"/>
      <c r="P167" s="120"/>
      <c r="Q167" s="120"/>
    </row>
    <row r="168" spans="2:17" ht="18">
      <c r="B168" s="2696" t="s">
        <v>2891</v>
      </c>
      <c r="C168" s="2695"/>
      <c r="D168" s="2695"/>
      <c r="E168" s="2695"/>
      <c r="F168" s="2695"/>
      <c r="G168" s="47"/>
      <c r="H168" s="1058"/>
      <c r="I168" s="120"/>
      <c r="J168" s="120"/>
      <c r="K168" s="120"/>
      <c r="L168" s="120"/>
      <c r="M168" s="120"/>
      <c r="N168" s="120"/>
      <c r="O168" s="120"/>
      <c r="P168" s="120"/>
      <c r="Q168" s="120"/>
    </row>
    <row r="169" spans="2:17" ht="18">
      <c r="B169" s="2696" t="s">
        <v>464</v>
      </c>
      <c r="C169" s="2695"/>
      <c r="D169" s="2695"/>
      <c r="E169" s="2695"/>
      <c r="F169" s="2695"/>
      <c r="G169" s="1295">
        <f>+G167+G168</f>
        <v>1800000</v>
      </c>
      <c r="H169" s="1472">
        <f>+H167+H168</f>
        <v>1800000</v>
      </c>
      <c r="I169" s="2004"/>
      <c r="J169" s="2004"/>
      <c r="K169" s="2004"/>
      <c r="L169" s="2004"/>
      <c r="M169" s="2004"/>
      <c r="N169" s="2004"/>
      <c r="O169" s="2004"/>
      <c r="P169" s="2004"/>
      <c r="Q169" s="2004"/>
    </row>
    <row r="170" spans="2:17" ht="18">
      <c r="B170" s="2696"/>
      <c r="C170" s="2695"/>
      <c r="D170" s="2695"/>
      <c r="E170" s="2695"/>
      <c r="F170" s="2695"/>
      <c r="G170" s="52"/>
      <c r="H170" s="1067"/>
      <c r="I170" s="2004"/>
      <c r="J170" s="2004"/>
      <c r="K170" s="2004"/>
      <c r="L170" s="2004"/>
      <c r="M170" s="2004"/>
      <c r="N170" s="2004"/>
      <c r="O170" s="2004"/>
      <c r="P170" s="2004"/>
      <c r="Q170" s="2004"/>
    </row>
    <row r="171" spans="2:17" ht="18">
      <c r="B171" s="2699" t="s">
        <v>794</v>
      </c>
      <c r="C171" s="2695"/>
      <c r="D171" s="2695"/>
      <c r="E171" s="2695"/>
      <c r="F171" s="2695"/>
      <c r="G171" s="47"/>
      <c r="H171" s="1058"/>
      <c r="I171" s="120"/>
      <c r="J171" s="120"/>
      <c r="K171" s="120"/>
      <c r="L171" s="120"/>
      <c r="M171" s="120"/>
      <c r="N171" s="120"/>
      <c r="O171" s="120"/>
      <c r="P171" s="120"/>
      <c r="Q171" s="120"/>
    </row>
    <row r="172" spans="2:17" ht="18">
      <c r="B172" s="2696" t="s">
        <v>790</v>
      </c>
      <c r="C172" s="2695"/>
      <c r="D172" s="2695"/>
      <c r="E172" s="2695"/>
      <c r="F172" s="2695"/>
      <c r="G172" s="50">
        <f>+H177</f>
        <v>50905004</v>
      </c>
      <c r="H172" s="1058">
        <v>50905004</v>
      </c>
      <c r="I172" s="2004"/>
      <c r="J172" s="2004"/>
      <c r="K172" s="2004"/>
      <c r="L172" s="2004"/>
      <c r="M172" s="2004"/>
      <c r="N172" s="2004"/>
      <c r="O172" s="2004"/>
      <c r="P172" s="2004"/>
      <c r="Q172" s="2004"/>
    </row>
    <row r="173" spans="2:17" ht="18">
      <c r="B173" s="2696" t="s">
        <v>2757</v>
      </c>
      <c r="C173" s="2695"/>
      <c r="D173" s="2695"/>
      <c r="E173" s="2695"/>
      <c r="F173" s="2695"/>
      <c r="G173" s="47">
        <v>0</v>
      </c>
      <c r="H173" s="1058">
        <v>0</v>
      </c>
      <c r="I173" s="120"/>
      <c r="J173" s="120"/>
      <c r="K173" s="120"/>
      <c r="L173" s="120"/>
      <c r="M173" s="120"/>
      <c r="N173" s="120"/>
      <c r="O173" s="120"/>
      <c r="P173" s="120"/>
      <c r="Q173" s="120"/>
    </row>
    <row r="174" spans="2:17" ht="18">
      <c r="B174" s="2696" t="s">
        <v>795</v>
      </c>
      <c r="C174" s="2695"/>
      <c r="D174" s="2695"/>
      <c r="E174" s="2695"/>
      <c r="F174" s="2695"/>
      <c r="G174" s="51">
        <v>0</v>
      </c>
      <c r="H174" s="1068">
        <v>0</v>
      </c>
      <c r="I174" s="120"/>
      <c r="J174" s="120"/>
      <c r="K174" s="120"/>
      <c r="L174" s="120"/>
      <c r="M174" s="120"/>
      <c r="N174" s="120"/>
      <c r="O174" s="120"/>
      <c r="P174" s="120"/>
      <c r="Q174" s="120"/>
    </row>
    <row r="175" spans="2:17" ht="18">
      <c r="B175" s="2696" t="s">
        <v>792</v>
      </c>
      <c r="C175" s="2695"/>
      <c r="D175" s="2695"/>
      <c r="E175" s="2695"/>
      <c r="F175" s="2695"/>
      <c r="G175" s="47">
        <f>+G172+G173+G174</f>
        <v>50905004</v>
      </c>
      <c r="H175" s="1058">
        <f>+H172+H173+H174</f>
        <v>50905004</v>
      </c>
      <c r="I175" s="2004"/>
      <c r="J175" s="2004"/>
      <c r="K175" s="2004"/>
      <c r="L175" s="2004"/>
      <c r="M175" s="2004"/>
      <c r="N175" s="2004"/>
      <c r="O175" s="2004"/>
      <c r="P175" s="2004"/>
      <c r="Q175" s="2004"/>
    </row>
    <row r="176" spans="2:17" ht="18">
      <c r="B176" s="2696" t="s">
        <v>793</v>
      </c>
      <c r="C176" s="2695"/>
      <c r="D176" s="2695"/>
      <c r="E176" s="2695"/>
      <c r="F176" s="2695"/>
      <c r="G176" s="47">
        <v>0</v>
      </c>
      <c r="H176" s="1058">
        <v>0</v>
      </c>
      <c r="I176" s="120"/>
      <c r="J176" s="120"/>
      <c r="K176" s="120"/>
      <c r="L176" s="120"/>
      <c r="M176" s="120"/>
      <c r="N176" s="120"/>
      <c r="O176" s="120"/>
      <c r="P176" s="120"/>
      <c r="Q176" s="120"/>
    </row>
    <row r="177" spans="2:20" ht="18">
      <c r="B177" s="2696" t="s">
        <v>464</v>
      </c>
      <c r="C177" s="2695"/>
      <c r="D177" s="2695"/>
      <c r="E177" s="2695"/>
      <c r="F177" s="2695"/>
      <c r="G177" s="1295">
        <f>+G175+G176</f>
        <v>50905004</v>
      </c>
      <c r="H177" s="1472">
        <f>+H175+H176</f>
        <v>50905004</v>
      </c>
      <c r="I177" s="2004"/>
      <c r="J177" s="2004"/>
      <c r="K177" s="2004"/>
      <c r="L177" s="2004"/>
      <c r="M177" s="2004"/>
      <c r="N177" s="2004"/>
      <c r="O177" s="2004"/>
      <c r="P177" s="2004"/>
      <c r="Q177" s="2004"/>
    </row>
    <row r="178" spans="2:20" ht="18">
      <c r="B178" s="2696"/>
      <c r="C178" s="2695"/>
      <c r="D178" s="2695"/>
      <c r="E178" s="2695"/>
      <c r="F178" s="2695"/>
      <c r="G178" s="52"/>
      <c r="H178" s="1067"/>
      <c r="I178" s="2004"/>
      <c r="J178" s="2004"/>
      <c r="K178" s="2004"/>
      <c r="L178" s="2004"/>
      <c r="M178" s="2004"/>
      <c r="N178" s="2004"/>
      <c r="O178" s="2004"/>
      <c r="P178" s="2004"/>
      <c r="Q178" s="2004"/>
    </row>
    <row r="179" spans="2:20" ht="18">
      <c r="B179" s="2699" t="s">
        <v>796</v>
      </c>
      <c r="C179" s="2695"/>
      <c r="D179" s="2695"/>
      <c r="E179" s="2695"/>
      <c r="F179" s="2695"/>
      <c r="G179" s="47"/>
      <c r="H179" s="1058"/>
      <c r="I179" s="120"/>
      <c r="J179" s="120"/>
      <c r="K179" s="120"/>
      <c r="L179" s="120"/>
      <c r="M179" s="120"/>
      <c r="N179" s="120"/>
      <c r="O179" s="120"/>
      <c r="P179" s="120"/>
      <c r="Q179" s="120"/>
    </row>
    <row r="180" spans="2:20" ht="18">
      <c r="B180" s="1063" t="s">
        <v>790</v>
      </c>
      <c r="C180" s="2695"/>
      <c r="D180" s="2695"/>
      <c r="E180" s="2695"/>
      <c r="F180" s="2695"/>
      <c r="G180" s="47">
        <f>+H192</f>
        <v>127241302.8868773</v>
      </c>
      <c r="H180" s="1058">
        <v>164517558</v>
      </c>
      <c r="I180" s="120"/>
      <c r="J180" s="120"/>
      <c r="K180" s="120"/>
      <c r="L180" s="120"/>
      <c r="M180" s="120"/>
      <c r="N180" s="120"/>
      <c r="O180" s="120"/>
      <c r="P180" s="120"/>
      <c r="Q180" s="120"/>
    </row>
    <row r="181" spans="2:20" ht="18">
      <c r="B181" s="2696" t="s">
        <v>791</v>
      </c>
      <c r="C181" s="2695"/>
      <c r="D181" s="2695"/>
      <c r="E181" s="2695"/>
      <c r="F181" s="2695"/>
      <c r="G181" s="47">
        <v>0</v>
      </c>
      <c r="H181" s="1058">
        <v>0</v>
      </c>
      <c r="I181" s="120"/>
      <c r="J181" s="120"/>
      <c r="K181" s="120"/>
      <c r="L181" s="120"/>
      <c r="M181" s="120"/>
      <c r="N181" s="120"/>
      <c r="O181" s="120"/>
      <c r="P181" s="120"/>
      <c r="Q181" s="120"/>
    </row>
    <row r="182" spans="2:20" ht="18">
      <c r="B182" s="2696" t="s">
        <v>797</v>
      </c>
      <c r="C182" s="2695"/>
      <c r="D182" s="2695"/>
      <c r="E182" s="2695"/>
      <c r="F182" s="2695"/>
      <c r="G182" s="47">
        <v>0</v>
      </c>
      <c r="H182" s="1058">
        <v>0</v>
      </c>
      <c r="I182" s="120"/>
      <c r="J182" s="120"/>
      <c r="K182" s="120"/>
      <c r="L182" s="120"/>
      <c r="M182" s="120"/>
      <c r="N182" s="120"/>
      <c r="O182" s="120"/>
      <c r="P182" s="120"/>
      <c r="Q182" s="120"/>
    </row>
    <row r="183" spans="2:20" ht="18">
      <c r="B183" s="2696" t="s">
        <v>792</v>
      </c>
      <c r="C183" s="2695"/>
      <c r="D183" s="2695"/>
      <c r="E183" s="2695"/>
      <c r="F183" s="2695"/>
      <c r="G183" s="1064">
        <f>+G180+G181+G182</f>
        <v>127241302.8868773</v>
      </c>
      <c r="H183" s="1065">
        <f>+H180+H181+H182</f>
        <v>164517558</v>
      </c>
      <c r="I183" s="120"/>
      <c r="J183" s="120"/>
      <c r="K183" s="120"/>
      <c r="L183" s="120"/>
      <c r="M183" s="120"/>
      <c r="N183" s="120"/>
      <c r="O183" s="120"/>
      <c r="P183" s="120"/>
      <c r="Q183" s="120"/>
    </row>
    <row r="184" spans="2:20" ht="18">
      <c r="B184" s="2696" t="s">
        <v>798</v>
      </c>
      <c r="C184" s="2695"/>
      <c r="D184" s="2695"/>
      <c r="E184" s="2695"/>
      <c r="F184" s="2695"/>
      <c r="G184" s="47">
        <f>+G101</f>
        <v>-51111376.259682491</v>
      </c>
      <c r="H184" s="1058">
        <f>+H101</f>
        <v>-37729676.113122702</v>
      </c>
      <c r="I184" s="120"/>
      <c r="J184" s="120"/>
      <c r="K184" s="120"/>
      <c r="L184" s="120"/>
      <c r="M184" s="120"/>
      <c r="N184" s="120"/>
      <c r="O184" s="120"/>
      <c r="P184" s="120"/>
      <c r="Q184" s="120"/>
    </row>
    <row r="185" spans="2:20" ht="18">
      <c r="B185" s="2696" t="s">
        <v>799</v>
      </c>
      <c r="C185" s="2695"/>
      <c r="D185" s="2695"/>
      <c r="E185" s="2695"/>
      <c r="F185" s="2695"/>
      <c r="G185" s="51">
        <f>+G108</f>
        <v>1451163</v>
      </c>
      <c r="H185" s="1068">
        <f>+H108</f>
        <v>453421</v>
      </c>
      <c r="I185" s="120"/>
      <c r="J185" s="120"/>
      <c r="K185" s="120"/>
      <c r="L185" s="120"/>
      <c r="M185" s="120"/>
      <c r="N185" s="120"/>
      <c r="O185" s="120"/>
      <c r="P185" s="120"/>
      <c r="Q185" s="120"/>
    </row>
    <row r="186" spans="2:20" ht="18">
      <c r="B186" s="2696" t="s">
        <v>800</v>
      </c>
      <c r="C186" s="2695"/>
      <c r="D186" s="2695"/>
      <c r="E186" s="2695"/>
      <c r="F186" s="2695"/>
      <c r="G186" s="47">
        <f>+G184+G185</f>
        <v>-49660213.259682491</v>
      </c>
      <c r="H186" s="1058">
        <f>+H184+H185</f>
        <v>-37276255.113122702</v>
      </c>
      <c r="I186" s="120"/>
      <c r="J186" s="120"/>
      <c r="K186" s="120"/>
      <c r="L186" s="120"/>
      <c r="M186" s="120"/>
      <c r="N186" s="120"/>
      <c r="O186" s="120"/>
      <c r="P186" s="120"/>
      <c r="Q186" s="120"/>
    </row>
    <row r="187" spans="2:20" ht="18">
      <c r="B187" s="2699" t="s">
        <v>801</v>
      </c>
      <c r="C187" s="2695"/>
      <c r="D187" s="2695"/>
      <c r="E187" s="2695"/>
      <c r="F187" s="2695"/>
      <c r="G187" s="47"/>
      <c r="H187" s="1058"/>
      <c r="I187" s="120"/>
      <c r="J187" s="120"/>
      <c r="K187" s="120"/>
      <c r="L187" s="120"/>
      <c r="M187" s="120"/>
      <c r="N187" s="120"/>
      <c r="O187" s="120"/>
      <c r="P187" s="120"/>
      <c r="Q187" s="120"/>
    </row>
    <row r="188" spans="2:20" ht="18">
      <c r="B188" s="2696" t="s">
        <v>802</v>
      </c>
      <c r="C188" s="2695"/>
      <c r="D188" s="2695"/>
      <c r="E188" s="2695"/>
      <c r="F188" s="2695"/>
      <c r="G188" s="47">
        <v>0</v>
      </c>
      <c r="H188" s="1058">
        <v>0</v>
      </c>
      <c r="I188" s="120"/>
      <c r="J188" s="120"/>
      <c r="K188" s="120"/>
      <c r="L188" s="120"/>
      <c r="M188" s="120"/>
      <c r="N188" s="120"/>
      <c r="O188" s="120"/>
      <c r="P188" s="120"/>
      <c r="Q188" s="120"/>
    </row>
    <row r="189" spans="2:20" ht="18">
      <c r="B189" s="2696" t="s">
        <v>803</v>
      </c>
      <c r="C189" s="2695"/>
      <c r="D189" s="2695"/>
      <c r="E189" s="2695"/>
      <c r="F189" s="2695"/>
      <c r="G189" s="47">
        <v>0</v>
      </c>
      <c r="H189" s="1058">
        <v>0</v>
      </c>
      <c r="I189" s="120"/>
      <c r="J189" s="120"/>
      <c r="K189" s="120"/>
      <c r="L189" s="120"/>
      <c r="M189" s="120"/>
      <c r="N189" s="120"/>
      <c r="O189" s="120"/>
      <c r="P189" s="120"/>
      <c r="Q189" s="120"/>
    </row>
    <row r="190" spans="2:20" ht="18">
      <c r="B190" s="2696" t="s">
        <v>804</v>
      </c>
      <c r="C190" s="2695"/>
      <c r="D190" s="2695"/>
      <c r="E190" s="2695"/>
      <c r="F190" s="2695"/>
      <c r="G190" s="47">
        <v>0</v>
      </c>
      <c r="H190" s="1058">
        <v>0</v>
      </c>
      <c r="I190" s="120"/>
      <c r="J190" s="120"/>
      <c r="K190" s="120"/>
      <c r="L190" s="120"/>
      <c r="M190" s="120"/>
      <c r="N190" s="120"/>
      <c r="O190" s="120"/>
      <c r="P190" s="120"/>
      <c r="Q190" s="120"/>
    </row>
    <row r="191" spans="2:20" ht="18">
      <c r="B191" s="2696" t="s">
        <v>2891</v>
      </c>
      <c r="C191" s="2695"/>
      <c r="D191" s="2695"/>
      <c r="E191" s="2695"/>
      <c r="F191" s="2695"/>
      <c r="G191" s="47">
        <v>0</v>
      </c>
      <c r="H191" s="1058">
        <v>0</v>
      </c>
      <c r="I191" s="120"/>
      <c r="J191" s="120"/>
      <c r="K191" s="120"/>
      <c r="L191" s="120"/>
      <c r="M191" s="120"/>
      <c r="N191" s="120"/>
      <c r="O191" s="120"/>
      <c r="P191" s="120"/>
      <c r="Q191" s="120"/>
    </row>
    <row r="192" spans="2:20" ht="18">
      <c r="B192" s="2696" t="s">
        <v>464</v>
      </c>
      <c r="C192" s="2695"/>
      <c r="D192" s="2695"/>
      <c r="E192" s="2695"/>
      <c r="F192" s="2695"/>
      <c r="G192" s="1473">
        <f>+G183+G186-SUM(G189:G191)</f>
        <v>77581089.627194807</v>
      </c>
      <c r="H192" s="1474">
        <f>+H183+H186-SUM(H189:H191)</f>
        <v>127241302.8868773</v>
      </c>
      <c r="I192" s="120"/>
      <c r="J192" s="120"/>
      <c r="K192" s="120"/>
      <c r="L192" s="120"/>
      <c r="M192" s="120"/>
      <c r="N192" s="120"/>
      <c r="O192" s="120"/>
      <c r="P192" s="120"/>
      <c r="Q192" s="120"/>
      <c r="S192" s="376">
        <f>+S193/100000</f>
        <v>1084.6002462719482</v>
      </c>
      <c r="T192" s="376">
        <f>+T193/100000</f>
        <v>1581.2023788687729</v>
      </c>
    </row>
    <row r="193" spans="2:20" ht="18">
      <c r="B193" s="2701"/>
      <c r="C193" s="2702"/>
      <c r="D193" s="2702"/>
      <c r="E193" s="2702"/>
      <c r="F193" s="2702"/>
      <c r="G193" s="1295">
        <f>G192+G169+G162+G155+G177</f>
        <v>159365028.62719482</v>
      </c>
      <c r="H193" s="1472">
        <f>H192+H169+H162+H155+H177</f>
        <v>209025241.8868773</v>
      </c>
      <c r="I193" s="2004"/>
      <c r="J193" s="2004"/>
      <c r="K193" s="2004"/>
      <c r="L193" s="2004"/>
      <c r="M193" s="2004"/>
      <c r="N193" s="2004"/>
      <c r="O193" s="2004"/>
      <c r="P193" s="2004"/>
      <c r="Q193" s="2004"/>
      <c r="S193" s="376">
        <f>+G193-G177</f>
        <v>108460024.62719482</v>
      </c>
      <c r="T193" s="376">
        <f>+H193-H177</f>
        <v>158120237.8868773</v>
      </c>
    </row>
    <row r="194" spans="2:20" ht="18">
      <c r="B194" s="2703"/>
      <c r="C194" s="2704"/>
      <c r="D194" s="2704"/>
      <c r="E194" s="2704"/>
      <c r="F194" s="2704"/>
      <c r="G194" s="1072"/>
      <c r="H194" s="1073"/>
      <c r="I194" s="120"/>
      <c r="J194" s="120"/>
      <c r="K194" s="120"/>
      <c r="L194" s="120"/>
      <c r="M194" s="120"/>
      <c r="N194" s="120"/>
      <c r="O194" s="120"/>
      <c r="P194" s="120"/>
      <c r="Q194" s="120"/>
    </row>
    <row r="195" spans="2:20" ht="18">
      <c r="B195" s="1049" t="s">
        <v>738</v>
      </c>
      <c r="C195" s="2705"/>
      <c r="D195" s="2705"/>
      <c r="E195" s="2705"/>
      <c r="F195" s="2705"/>
      <c r="G195" s="54"/>
      <c r="H195" s="1074"/>
      <c r="I195" s="54"/>
      <c r="J195" s="54"/>
      <c r="K195" s="54"/>
      <c r="L195" s="54"/>
      <c r="M195" s="54"/>
      <c r="N195" s="54"/>
      <c r="O195" s="54"/>
      <c r="P195" s="54"/>
      <c r="Q195" s="54"/>
    </row>
    <row r="196" spans="2:20" ht="18">
      <c r="B196" s="2629" t="str">
        <f>+B118</f>
        <v>As per our report of even date</v>
      </c>
      <c r="C196" s="2630"/>
      <c r="D196" s="2630"/>
      <c r="E196" s="2630"/>
      <c r="F196" s="2631" t="s">
        <v>740</v>
      </c>
      <c r="G196" s="21"/>
      <c r="H196" s="1032"/>
      <c r="I196" s="21"/>
      <c r="J196" s="21"/>
      <c r="K196" s="21"/>
      <c r="L196" s="21"/>
      <c r="M196" s="21"/>
      <c r="N196" s="21"/>
      <c r="O196" s="21"/>
      <c r="P196" s="21"/>
      <c r="Q196" s="21"/>
    </row>
    <row r="197" spans="2:20" ht="18">
      <c r="B197" s="2632" t="str">
        <f>+B120</f>
        <v>FOR DARAK AND ASSOCIATES</v>
      </c>
      <c r="C197" s="2602"/>
      <c r="D197" s="2602"/>
      <c r="E197" s="2602"/>
      <c r="F197" s="2631"/>
      <c r="G197" s="21"/>
      <c r="H197" s="1032"/>
      <c r="I197" s="21"/>
      <c r="J197" s="21"/>
      <c r="K197" s="21"/>
      <c r="L197" s="21"/>
      <c r="M197" s="21"/>
      <c r="N197" s="21"/>
      <c r="O197" s="21"/>
      <c r="P197" s="21"/>
      <c r="Q197" s="21"/>
    </row>
    <row r="198" spans="2:20" ht="18">
      <c r="B198" s="2632" t="str">
        <f t="shared" ref="B198:B209" si="3">+B121</f>
        <v>CHARTERED ACCOUNTANTS</v>
      </c>
      <c r="C198" s="2602"/>
      <c r="D198" s="2602"/>
      <c r="E198" s="2602"/>
      <c r="F198" s="2631"/>
      <c r="G198" s="21"/>
      <c r="H198" s="1032"/>
      <c r="I198" s="21"/>
      <c r="J198" s="21"/>
      <c r="K198" s="21"/>
      <c r="L198" s="21"/>
      <c r="M198" s="21"/>
      <c r="N198" s="21"/>
      <c r="O198" s="21"/>
      <c r="P198" s="21"/>
      <c r="Q198" s="21"/>
    </row>
    <row r="199" spans="2:20" ht="18">
      <c r="B199" s="2632" t="str">
        <f t="shared" si="3"/>
        <v>FIRM REGISTRATION NO.: 132818W</v>
      </c>
      <c r="C199" s="2633"/>
      <c r="D199" s="2633"/>
      <c r="E199" s="2633"/>
      <c r="F199" s="2676" t="str">
        <f>+F120</f>
        <v>ANIL KUMAR LAKHOTIYA - MANAGING  DIRECTOR</v>
      </c>
      <c r="G199" s="21"/>
      <c r="H199" s="1032"/>
      <c r="I199" s="21"/>
      <c r="J199" s="21"/>
      <c r="K199" s="21"/>
      <c r="L199" s="21"/>
      <c r="M199" s="21"/>
      <c r="N199" s="21"/>
      <c r="O199" s="21"/>
      <c r="P199" s="21"/>
      <c r="Q199" s="21"/>
    </row>
    <row r="200" spans="2:20" ht="18">
      <c r="B200" s="2632"/>
      <c r="C200" s="2633"/>
      <c r="D200" s="2633"/>
      <c r="E200" s="2633"/>
      <c r="F200" s="2631" t="str">
        <f>+F121</f>
        <v>(DIN:00367361)</v>
      </c>
      <c r="G200" s="21"/>
      <c r="H200" s="1032"/>
      <c r="I200" s="21"/>
      <c r="J200" s="21"/>
      <c r="K200" s="21"/>
      <c r="L200" s="21"/>
      <c r="M200" s="21"/>
      <c r="N200" s="21"/>
      <c r="O200" s="21"/>
      <c r="P200" s="21"/>
      <c r="Q200" s="21"/>
    </row>
    <row r="201" spans="2:20" ht="18">
      <c r="B201" s="2632"/>
      <c r="C201" s="2602"/>
      <c r="D201" s="2602"/>
      <c r="E201" s="2602"/>
      <c r="F201" s="2634"/>
      <c r="G201" s="23"/>
      <c r="H201" s="1033"/>
      <c r="I201" s="23"/>
      <c r="J201" s="23"/>
      <c r="K201" s="23"/>
      <c r="L201" s="23"/>
      <c r="M201" s="23"/>
      <c r="N201" s="23"/>
      <c r="O201" s="23"/>
      <c r="P201" s="23"/>
      <c r="Q201" s="23"/>
    </row>
    <row r="202" spans="2:20" ht="18">
      <c r="B202" s="2632"/>
      <c r="C202" s="2602"/>
      <c r="D202" s="2602"/>
      <c r="E202" s="2602"/>
      <c r="F202" s="2602"/>
      <c r="G202" s="21"/>
      <c r="H202" s="1032"/>
      <c r="I202" s="21"/>
      <c r="J202" s="21"/>
      <c r="K202" s="21"/>
      <c r="L202" s="21"/>
      <c r="M202" s="21"/>
      <c r="N202" s="21"/>
      <c r="O202" s="21"/>
      <c r="P202" s="21"/>
      <c r="Q202" s="21"/>
    </row>
    <row r="203" spans="2:20" ht="18">
      <c r="B203" s="2632" t="str">
        <f t="shared" si="3"/>
        <v>SUMIT M. DARAK</v>
      </c>
      <c r="C203" s="2602"/>
      <c r="D203" s="2602"/>
      <c r="E203" s="2602"/>
      <c r="F203" s="2633" t="str">
        <f>+F124</f>
        <v>KAILASH AGARWAL - WHOLE TIME DIRECTOR</v>
      </c>
      <c r="G203" s="21"/>
      <c r="H203" s="1032"/>
      <c r="I203" s="21"/>
      <c r="J203" s="21"/>
      <c r="K203" s="21"/>
      <c r="L203" s="21"/>
      <c r="M203" s="21"/>
      <c r="N203" s="21"/>
      <c r="O203" s="21"/>
      <c r="P203" s="21"/>
      <c r="Q203" s="21"/>
    </row>
    <row r="204" spans="2:20" ht="18">
      <c r="B204" s="2632" t="str">
        <f t="shared" si="3"/>
        <v>PARTNER</v>
      </c>
      <c r="C204" s="2633"/>
      <c r="D204" s="2633"/>
      <c r="E204" s="2633"/>
      <c r="F204" s="2602" t="str">
        <f>+F125</f>
        <v>(DIN:00367292)</v>
      </c>
      <c r="G204" s="21"/>
      <c r="H204" s="1032"/>
      <c r="I204" s="21"/>
      <c r="J204" s="21"/>
      <c r="K204" s="21"/>
      <c r="L204" s="21"/>
      <c r="M204" s="21"/>
      <c r="N204" s="21"/>
      <c r="O204" s="21"/>
      <c r="P204" s="21"/>
      <c r="Q204" s="21"/>
    </row>
    <row r="205" spans="2:20" ht="18">
      <c r="B205" s="2632" t="str">
        <f t="shared" si="3"/>
        <v>MEMBERSHIP NO. : 141902</v>
      </c>
      <c r="C205" s="24"/>
      <c r="D205" s="24"/>
      <c r="E205" s="24"/>
      <c r="F205" s="2634"/>
      <c r="G205" s="23"/>
      <c r="H205" s="1033"/>
      <c r="I205" s="23"/>
      <c r="J205" s="23"/>
      <c r="K205" s="23"/>
      <c r="L205" s="23"/>
      <c r="M205" s="23"/>
      <c r="N205" s="23"/>
      <c r="O205" s="23"/>
      <c r="P205" s="23"/>
      <c r="Q205" s="23"/>
    </row>
    <row r="206" spans="2:20" ht="18">
      <c r="B206" s="2632"/>
      <c r="C206" s="25"/>
      <c r="D206" s="25"/>
      <c r="E206" s="25"/>
      <c r="F206" s="2602"/>
      <c r="G206" s="21"/>
      <c r="H206" s="1032"/>
      <c r="I206" s="21"/>
      <c r="J206" s="21"/>
      <c r="K206" s="21"/>
      <c r="L206" s="21"/>
      <c r="M206" s="21"/>
      <c r="N206" s="21"/>
      <c r="O206" s="21"/>
      <c r="P206" s="21"/>
      <c r="Q206" s="21"/>
    </row>
    <row r="207" spans="2:20" ht="18">
      <c r="B207" s="2639" t="str">
        <f t="shared" si="3"/>
        <v>Place: Nagpur</v>
      </c>
      <c r="C207" s="25"/>
      <c r="D207" s="25"/>
      <c r="E207" s="25"/>
      <c r="F207" s="2636" t="str">
        <f>+F128</f>
        <v>JARNAIL SINGH SAINI - CHIEF FINANCIAL OFFICER &amp; EXECUTIVE DIRECTOR</v>
      </c>
      <c r="G207" s="2636"/>
      <c r="H207" s="2637"/>
      <c r="I207" s="2638"/>
      <c r="J207" s="2638"/>
      <c r="K207" s="2638"/>
      <c r="L207" s="2638"/>
      <c r="M207" s="2638"/>
      <c r="N207" s="2638"/>
      <c r="O207" s="2638"/>
      <c r="P207" s="2638"/>
      <c r="Q207" s="2638"/>
    </row>
    <row r="208" spans="2:20" ht="18">
      <c r="B208" s="2639" t="str">
        <f t="shared" si="3"/>
        <v>Date: 29/05/2024</v>
      </c>
      <c r="C208" s="25"/>
      <c r="D208" s="25"/>
      <c r="E208" s="25"/>
      <c r="F208" s="2678" t="str">
        <f>+F129</f>
        <v>(DIN:00367656)</v>
      </c>
      <c r="G208" s="2678"/>
      <c r="H208" s="2679"/>
      <c r="I208" s="2680"/>
      <c r="J208" s="2680"/>
      <c r="K208" s="2680"/>
      <c r="L208" s="2680"/>
      <c r="M208" s="2680"/>
      <c r="N208" s="2680"/>
      <c r="O208" s="2680"/>
      <c r="P208" s="2680"/>
      <c r="Q208" s="2680"/>
    </row>
    <row r="209" spans="2:17" ht="18">
      <c r="B209" s="2632" t="str">
        <f t="shared" si="3"/>
        <v xml:space="preserve">UDIN: </v>
      </c>
      <c r="C209" s="2602"/>
      <c r="D209" s="2602"/>
      <c r="E209" s="2602"/>
      <c r="F209" s="2602"/>
      <c r="G209" s="21"/>
      <c r="H209" s="1032"/>
      <c r="I209" s="21"/>
      <c r="J209" s="21"/>
      <c r="K209" s="21"/>
      <c r="L209" s="21"/>
      <c r="M209" s="21"/>
      <c r="N209" s="21"/>
      <c r="O209" s="21"/>
      <c r="P209" s="21"/>
      <c r="Q209" s="21"/>
    </row>
    <row r="210" spans="2:17" ht="18">
      <c r="B210" s="2632"/>
      <c r="C210" s="2602"/>
      <c r="D210" s="2602"/>
      <c r="E210" s="2602"/>
      <c r="F210" s="2602"/>
      <c r="G210" s="21"/>
      <c r="H210" s="1032"/>
      <c r="I210" s="21"/>
      <c r="J210" s="21"/>
      <c r="K210" s="21"/>
      <c r="L210" s="21"/>
      <c r="M210" s="21"/>
      <c r="N210" s="21"/>
      <c r="O210" s="21"/>
      <c r="P210" s="21"/>
      <c r="Q210" s="21"/>
    </row>
    <row r="211" spans="2:17" ht="18">
      <c r="B211" s="2639"/>
      <c r="C211" s="2602"/>
      <c r="D211" s="2602"/>
      <c r="E211" s="2602"/>
      <c r="F211" s="2633" t="str">
        <f>+F132</f>
        <v>OMPRAKASH RATHI - WHOLE TIME DIRECTOR</v>
      </c>
      <c r="G211" s="21"/>
      <c r="H211" s="1032"/>
      <c r="I211" s="21"/>
      <c r="J211" s="21"/>
      <c r="K211" s="21"/>
      <c r="L211" s="21"/>
      <c r="M211" s="21"/>
      <c r="N211" s="21"/>
      <c r="O211" s="21"/>
      <c r="P211" s="21"/>
      <c r="Q211" s="21"/>
    </row>
    <row r="212" spans="2:17" ht="18">
      <c r="B212" s="2639"/>
      <c r="C212" s="2602"/>
      <c r="D212" s="2602"/>
      <c r="E212" s="2602"/>
      <c r="F212" s="2602" t="str">
        <f>+F133</f>
        <v>(DIN:00895316)</v>
      </c>
      <c r="G212" s="23"/>
      <c r="H212" s="1033"/>
      <c r="I212" s="23"/>
      <c r="J212" s="23"/>
      <c r="K212" s="23"/>
      <c r="L212" s="23"/>
      <c r="M212" s="23"/>
      <c r="N212" s="23"/>
      <c r="O212" s="23"/>
      <c r="P212" s="23"/>
      <c r="Q212" s="23"/>
    </row>
    <row r="213" spans="2:17" ht="18">
      <c r="B213" s="2639"/>
      <c r="C213" s="2602"/>
      <c r="D213" s="2602"/>
      <c r="E213" s="2602"/>
      <c r="F213" s="2602"/>
      <c r="G213" s="21"/>
      <c r="H213" s="1032"/>
      <c r="I213" s="21"/>
      <c r="J213" s="21"/>
      <c r="K213" s="21"/>
      <c r="L213" s="21"/>
      <c r="M213" s="21"/>
      <c r="N213" s="21"/>
      <c r="O213" s="21"/>
      <c r="P213" s="21"/>
      <c r="Q213" s="21"/>
    </row>
    <row r="214" spans="2:17" ht="18">
      <c r="B214" s="2639"/>
      <c r="C214" s="2602"/>
      <c r="D214" s="2602"/>
      <c r="E214" s="2602"/>
      <c r="F214" s="2602"/>
      <c r="G214" s="21"/>
      <c r="H214" s="1032"/>
      <c r="I214" s="21"/>
      <c r="J214" s="21"/>
      <c r="K214" s="21"/>
      <c r="L214" s="21"/>
      <c r="M214" s="21"/>
      <c r="N214" s="21"/>
      <c r="O214" s="21"/>
      <c r="P214" s="21"/>
      <c r="Q214" s="21"/>
    </row>
    <row r="215" spans="2:17" ht="18">
      <c r="B215" s="2639"/>
      <c r="C215" s="2602"/>
      <c r="D215" s="2602"/>
      <c r="E215" s="2602"/>
      <c r="F215" s="2633" t="str">
        <f>+F136</f>
        <v>MAYANK LUNIYA - COMPANY SECRETARY</v>
      </c>
      <c r="G215" s="21"/>
      <c r="H215" s="1032"/>
      <c r="I215" s="21"/>
      <c r="J215" s="21"/>
      <c r="K215" s="21"/>
      <c r="L215" s="21"/>
      <c r="M215" s="21"/>
      <c r="N215" s="21"/>
      <c r="O215" s="21"/>
      <c r="P215" s="21"/>
      <c r="Q215" s="21"/>
    </row>
    <row r="216" spans="2:17" ht="18">
      <c r="B216" s="2639"/>
      <c r="C216" s="2602"/>
      <c r="D216" s="2602"/>
      <c r="E216" s="2602"/>
      <c r="F216" s="2634"/>
      <c r="G216" s="23"/>
      <c r="H216" s="1033"/>
      <c r="I216" s="23"/>
      <c r="J216" s="23"/>
      <c r="K216" s="23"/>
      <c r="L216" s="23"/>
      <c r="M216" s="23"/>
      <c r="N216" s="23"/>
      <c r="O216" s="23"/>
      <c r="P216" s="23"/>
      <c r="Q216" s="23"/>
    </row>
    <row r="217" spans="2:17" ht="18">
      <c r="B217" s="2639"/>
      <c r="C217" s="2602"/>
      <c r="D217" s="2602"/>
      <c r="E217" s="2602"/>
      <c r="F217" s="2602" t="str">
        <f>+F138</f>
        <v>Place: Nagpur</v>
      </c>
      <c r="G217" s="21"/>
      <c r="H217" s="1032"/>
      <c r="I217" s="21"/>
      <c r="J217" s="21"/>
      <c r="K217" s="21"/>
      <c r="L217" s="21"/>
      <c r="M217" s="21"/>
      <c r="N217" s="21"/>
      <c r="O217" s="21"/>
      <c r="P217" s="21"/>
      <c r="Q217" s="21"/>
    </row>
    <row r="218" spans="2:17" ht="18.600000000000001" thickBot="1">
      <c r="B218" s="2681"/>
      <c r="C218" s="2682"/>
      <c r="D218" s="2682"/>
      <c r="E218" s="2682"/>
      <c r="F218" s="2682" t="str">
        <f>+F139</f>
        <v>Date: 29/05/2024</v>
      </c>
      <c r="G218" s="1196"/>
      <c r="H218" s="1197"/>
      <c r="I218" s="21"/>
      <c r="J218" s="21"/>
      <c r="K218" s="21"/>
      <c r="L218" s="21"/>
      <c r="M218" s="21"/>
      <c r="N218" s="21"/>
      <c r="O218" s="21"/>
      <c r="P218" s="21"/>
      <c r="Q218" s="21"/>
    </row>
    <row r="219" spans="2:17" ht="18">
      <c r="B219" s="2683" t="s">
        <v>702</v>
      </c>
      <c r="C219" s="2684"/>
      <c r="D219" s="2684"/>
      <c r="E219" s="2684"/>
      <c r="F219" s="2684"/>
      <c r="G219" s="2684"/>
      <c r="H219" s="2685"/>
      <c r="I219" s="2686"/>
      <c r="J219" s="2686"/>
      <c r="K219" s="2686"/>
      <c r="L219" s="2686"/>
      <c r="M219" s="2686"/>
      <c r="N219" s="2686"/>
      <c r="O219" s="2686"/>
      <c r="P219" s="2686"/>
      <c r="Q219" s="2686"/>
    </row>
    <row r="220" spans="2:17" ht="18">
      <c r="B220" s="2706" t="s">
        <v>3056</v>
      </c>
      <c r="C220" s="2707"/>
      <c r="D220" s="2707"/>
      <c r="E220" s="2707"/>
      <c r="F220" s="2707"/>
      <c r="G220" s="2707"/>
      <c r="H220" s="2708"/>
      <c r="I220" s="2709"/>
      <c r="J220" s="2709"/>
      <c r="K220" s="2709"/>
      <c r="L220" s="2709"/>
      <c r="M220" s="2709"/>
      <c r="N220" s="2709"/>
      <c r="O220" s="2709"/>
      <c r="P220" s="2709"/>
      <c r="Q220" s="2709"/>
    </row>
    <row r="221" spans="2:17" ht="18">
      <c r="B221" s="2690" t="s">
        <v>0</v>
      </c>
      <c r="C221" s="1054"/>
      <c r="D221" s="1054"/>
      <c r="E221" s="1054"/>
      <c r="F221" s="2691"/>
      <c r="G221" s="1004" t="s">
        <v>704</v>
      </c>
      <c r="H221" s="1005" t="s">
        <v>704</v>
      </c>
      <c r="I221" s="1996"/>
      <c r="J221" s="1996"/>
      <c r="K221" s="1996"/>
      <c r="L221" s="1996"/>
      <c r="M221" s="1996"/>
      <c r="N221" s="1996"/>
      <c r="O221" s="1996"/>
      <c r="P221" s="1996"/>
      <c r="Q221" s="1996"/>
    </row>
    <row r="222" spans="2:17" ht="18">
      <c r="B222" s="1036"/>
      <c r="C222" s="44"/>
      <c r="D222" s="44"/>
      <c r="E222" s="44"/>
      <c r="F222" s="2692"/>
      <c r="G222" s="30" t="str">
        <f>+G6</f>
        <v>March 31, 2024 (₹)</v>
      </c>
      <c r="H222" s="1038" t="str">
        <f>+H6</f>
        <v>March 31, 2023 (₹)</v>
      </c>
      <c r="I222" s="1996"/>
      <c r="J222" s="1996"/>
      <c r="K222" s="1996"/>
      <c r="L222" s="1996"/>
      <c r="M222" s="1996"/>
      <c r="N222" s="1996"/>
      <c r="O222" s="1996"/>
      <c r="P222" s="1996"/>
      <c r="Q222" s="1996"/>
    </row>
    <row r="223" spans="2:17" ht="18">
      <c r="B223" s="1063"/>
      <c r="C223" s="24"/>
      <c r="D223" s="24"/>
      <c r="E223" s="24"/>
      <c r="F223" s="2676"/>
      <c r="G223" s="55"/>
      <c r="H223" s="1075"/>
      <c r="I223" s="1996"/>
      <c r="J223" s="1996"/>
      <c r="K223" s="1996"/>
      <c r="L223" s="1996"/>
      <c r="M223" s="1996"/>
      <c r="N223" s="1996"/>
      <c r="O223" s="1996"/>
      <c r="P223" s="1996"/>
      <c r="Q223" s="1996"/>
    </row>
    <row r="224" spans="2:17" ht="18">
      <c r="B224" s="1076" t="s">
        <v>805</v>
      </c>
      <c r="C224" s="56"/>
      <c r="D224" s="56"/>
      <c r="E224" s="56"/>
      <c r="F224" s="2631"/>
      <c r="G224" s="48"/>
      <c r="H224" s="1059"/>
      <c r="I224" s="21"/>
      <c r="J224" s="21"/>
      <c r="K224" s="21"/>
      <c r="L224" s="21"/>
      <c r="M224" s="21"/>
      <c r="N224" s="21"/>
      <c r="O224" s="21"/>
      <c r="P224" s="21"/>
      <c r="Q224" s="21"/>
    </row>
    <row r="225" spans="2:18" ht="18">
      <c r="B225" s="1077" t="s">
        <v>806</v>
      </c>
      <c r="C225" s="56"/>
      <c r="D225" s="56"/>
      <c r="E225" s="56"/>
      <c r="F225" s="2631"/>
      <c r="G225" s="48"/>
      <c r="H225" s="1059"/>
      <c r="I225" s="21"/>
      <c r="J225" s="21"/>
      <c r="K225" s="21"/>
      <c r="L225" s="21"/>
      <c r="M225" s="21"/>
      <c r="N225" s="21"/>
      <c r="O225" s="21"/>
      <c r="P225" s="21"/>
      <c r="Q225" s="21"/>
    </row>
    <row r="226" spans="2:18" ht="18">
      <c r="B226" s="2710" t="s">
        <v>807</v>
      </c>
      <c r="C226" s="2711"/>
      <c r="D226" s="2711"/>
      <c r="E226" s="2711"/>
      <c r="F226" s="2711"/>
      <c r="G226" s="57">
        <f>+GETPIVOTDATA("Sum of Dr. Final 23-24",Pivot!$A$1,"Note",3,"BS Main Head","Other Financial Assets - Non Current")-GETPIVOTDATA("Sum of Cr. Final 23-24",Pivot!$A$1,"Note",3,"BS Main Head","Other Financial Assets - Non Current")</f>
        <v>3457331</v>
      </c>
      <c r="H226" s="1078">
        <f>+GETPIVOTDATA("Sum of Dr. Final 22-23",Pivot!$A$1,"Note",3,"BS Main Head","Other Financial Assets - Non Current")-GETPIVOTDATA("Sum of Cr. Final 22-23",Pivot!$A$1,"Note",3,"BS Main Head","Other Financial Assets - Non Current")</f>
        <v>3469626</v>
      </c>
      <c r="I226" s="54"/>
      <c r="J226" s="54"/>
      <c r="K226" s="54"/>
      <c r="L226" s="54"/>
      <c r="M226" s="54"/>
      <c r="N226" s="54"/>
      <c r="O226" s="54"/>
      <c r="P226" s="54"/>
      <c r="Q226" s="54"/>
    </row>
    <row r="227" spans="2:18" ht="18">
      <c r="B227" s="2712" t="s">
        <v>808</v>
      </c>
      <c r="C227" s="2713"/>
      <c r="D227" s="2713"/>
      <c r="E227" s="2713"/>
      <c r="F227" s="2713"/>
      <c r="G227" s="58"/>
      <c r="H227" s="1079"/>
      <c r="I227" s="2005"/>
      <c r="J227" s="2005"/>
      <c r="K227" s="2005"/>
      <c r="L227" s="2005"/>
      <c r="M227" s="2005"/>
      <c r="N227" s="2005"/>
      <c r="O227" s="2005"/>
      <c r="P227" s="2005"/>
      <c r="Q227" s="2005"/>
    </row>
    <row r="228" spans="2:18" ht="18">
      <c r="B228" s="2639"/>
      <c r="C228" s="2602"/>
      <c r="D228" s="2602"/>
      <c r="E228" s="2602"/>
      <c r="F228" s="2602"/>
      <c r="G228" s="59"/>
      <c r="H228" s="1059"/>
      <c r="I228" s="21"/>
      <c r="J228" s="21"/>
      <c r="K228" s="21"/>
      <c r="L228" s="21"/>
      <c r="M228" s="21"/>
      <c r="N228" s="21"/>
      <c r="O228" s="21"/>
      <c r="P228" s="21"/>
      <c r="Q228" s="21"/>
    </row>
    <row r="229" spans="2:18" ht="18.600000000000001" thickBot="1">
      <c r="B229" s="1063"/>
      <c r="C229" s="24"/>
      <c r="D229" s="24"/>
      <c r="E229" s="24"/>
      <c r="F229" s="2631"/>
      <c r="G229" s="60">
        <f>+SUM(G226:G228)</f>
        <v>3457331</v>
      </c>
      <c r="H229" s="1080">
        <f>+SUM(H226:H228)</f>
        <v>3469626</v>
      </c>
      <c r="I229" s="1998"/>
      <c r="J229" s="1998"/>
      <c r="K229" s="1998"/>
      <c r="L229" s="1998"/>
      <c r="M229" s="1998"/>
      <c r="N229" s="1998"/>
      <c r="O229" s="1998"/>
      <c r="P229" s="1998"/>
      <c r="Q229" s="1998"/>
    </row>
    <row r="230" spans="2:18" ht="18.600000000000001" thickTop="1">
      <c r="B230" s="1081"/>
      <c r="C230" s="61"/>
      <c r="D230" s="61"/>
      <c r="E230" s="61"/>
      <c r="F230" s="2631"/>
      <c r="G230" s="59"/>
      <c r="H230" s="1059"/>
      <c r="I230" s="21"/>
      <c r="J230" s="21"/>
      <c r="K230" s="21"/>
      <c r="L230" s="21"/>
      <c r="M230" s="21"/>
      <c r="N230" s="21"/>
      <c r="O230" s="21"/>
      <c r="P230" s="21"/>
      <c r="Q230" s="21"/>
    </row>
    <row r="231" spans="2:18" ht="18">
      <c r="B231" s="1076" t="s">
        <v>809</v>
      </c>
      <c r="C231" s="56"/>
      <c r="D231" s="56"/>
      <c r="E231" s="56"/>
      <c r="F231" s="2631"/>
      <c r="G231" s="59"/>
      <c r="H231" s="1059"/>
      <c r="I231" s="21"/>
      <c r="J231" s="21"/>
      <c r="K231" s="21"/>
      <c r="L231" s="21"/>
      <c r="M231" s="21"/>
      <c r="N231" s="21"/>
      <c r="O231" s="21"/>
      <c r="P231" s="21"/>
      <c r="Q231" s="21"/>
    </row>
    <row r="232" spans="2:18" ht="18">
      <c r="B232" s="1077" t="s">
        <v>806</v>
      </c>
      <c r="C232" s="56"/>
      <c r="D232" s="56"/>
      <c r="E232" s="56"/>
      <c r="F232" s="2631"/>
      <c r="G232" s="59"/>
      <c r="H232" s="1059"/>
      <c r="I232" s="21"/>
      <c r="J232" s="21"/>
      <c r="K232" s="21"/>
      <c r="L232" s="21"/>
      <c r="M232" s="21"/>
      <c r="N232" s="21"/>
      <c r="O232" s="21"/>
      <c r="P232" s="21"/>
      <c r="Q232" s="21"/>
    </row>
    <row r="233" spans="2:18" ht="18">
      <c r="B233" s="2714" t="s">
        <v>810</v>
      </c>
      <c r="C233" s="2705"/>
      <c r="D233" s="2705"/>
      <c r="E233" s="2705"/>
      <c r="F233" s="2715"/>
      <c r="G233" s="62">
        <v>0</v>
      </c>
      <c r="H233" s="1079">
        <f>+GETPIVOTDATA("Sum of Dr. Final 22-23",Pivot!$A$1,"Note",4,"BS Main Head","Other Non Current Assets","BS Sub Head","Advance For Capital Goods")+GETPIVOTDATA("Sum of Dr. Final 22-23",Pivot!$A$1,"PARTICULARS","NAV DURGA BOILER &amp; EQUIPMENTS P. LTD.","Note",18,"BS Main Head","Other Financial Liabilities - Current","BS Sub Head","Payable for Capital Goods")</f>
        <v>227000</v>
      </c>
      <c r="I233" s="2005"/>
      <c r="J233" s="2005"/>
      <c r="K233" s="2005"/>
      <c r="L233" s="2005"/>
      <c r="M233" s="2005"/>
      <c r="N233" s="2005"/>
      <c r="O233" s="2005"/>
      <c r="P233" s="2005"/>
      <c r="Q233" s="2005"/>
      <c r="R233" s="2594" t="s">
        <v>3101</v>
      </c>
    </row>
    <row r="234" spans="2:18" ht="18">
      <c r="B234" s="2714" t="s">
        <v>119</v>
      </c>
      <c r="C234" s="2705"/>
      <c r="D234" s="2705"/>
      <c r="E234" s="2705"/>
      <c r="F234" s="2715"/>
      <c r="G234" s="62">
        <f>+GETPIVOTDATA("Sum of Dr. Final 23-24",Pivot!$A$1,"Note",4,"BS Main Head","Other Non Current Assets","BS Sub Head","Long Term Deposits")-GETPIVOTDATA("Sum of Cr. Final 23-24",Pivot!$A$1,"Note",4,"BS Main Head","Other Non Current Assets","BS Sub Head","Long Term Deposits")</f>
        <v>8091977</v>
      </c>
      <c r="H234" s="1079">
        <f>+GETPIVOTDATA("Sum of Dr. Final 22-23",Pivot!$A$1,"Note",4,"BS Main Head","Other Non Current Assets","BS Sub Head","Long Term Deposits")</f>
        <v>5143597</v>
      </c>
      <c r="I234" s="2005"/>
      <c r="J234" s="2005"/>
      <c r="K234" s="2005"/>
      <c r="L234" s="2005"/>
      <c r="M234" s="2005"/>
      <c r="N234" s="2005"/>
      <c r="O234" s="2005"/>
      <c r="P234" s="2005"/>
      <c r="Q234" s="2005"/>
    </row>
    <row r="235" spans="2:18" ht="18">
      <c r="B235" s="2716" t="s">
        <v>112</v>
      </c>
      <c r="C235" s="2717"/>
      <c r="D235" s="2717"/>
      <c r="E235" s="2717"/>
      <c r="F235" s="2718"/>
      <c r="G235" s="62">
        <f>+GETPIVOTDATA("Sum of Dr. Final 23-24",Pivot!$A$1,"Note",9,"BS Main Head","Other Financial Assets","BS Sub Head","Balance with Government Authorities")</f>
        <v>11114075</v>
      </c>
      <c r="H235" s="1079">
        <f>+GETPIVOTDATA("Sum of Dr. Final 22-23",Pivot!$A$1,"Note",9,"BS Main Head","Other Financial Assets","BS Sub Head","Balance with Government Authorities")-H291</f>
        <v>10639075</v>
      </c>
      <c r="I235" s="2005"/>
      <c r="J235" s="2005"/>
      <c r="K235" s="2005"/>
      <c r="L235" s="2005"/>
      <c r="M235" s="2005"/>
      <c r="N235" s="2005"/>
      <c r="O235" s="2005"/>
      <c r="P235" s="2005"/>
      <c r="Q235" s="2005"/>
    </row>
    <row r="236" spans="2:18" ht="18">
      <c r="B236" s="1063"/>
      <c r="C236" s="24"/>
      <c r="D236" s="24"/>
      <c r="E236" s="24"/>
      <c r="F236" s="2631"/>
      <c r="G236" s="1268">
        <f>+SUM(G233:G235)</f>
        <v>19206052</v>
      </c>
      <c r="H236" s="1455">
        <f>+SUM(H233:H235)</f>
        <v>16009672</v>
      </c>
      <c r="I236" s="1998"/>
      <c r="J236" s="1998"/>
      <c r="K236" s="1998"/>
      <c r="L236" s="1998"/>
      <c r="M236" s="1998"/>
      <c r="N236" s="1998"/>
      <c r="O236" s="1998"/>
      <c r="P236" s="1998"/>
      <c r="Q236" s="1998"/>
    </row>
    <row r="237" spans="2:18" ht="18">
      <c r="B237" s="1076" t="s">
        <v>811</v>
      </c>
      <c r="C237" s="56"/>
      <c r="D237" s="56"/>
      <c r="E237" s="56"/>
      <c r="F237" s="2631"/>
      <c r="G237" s="59"/>
      <c r="H237" s="1059"/>
      <c r="I237" s="21"/>
      <c r="J237" s="21"/>
      <c r="K237" s="21"/>
      <c r="L237" s="21"/>
      <c r="M237" s="21"/>
      <c r="N237" s="21"/>
      <c r="O237" s="21"/>
      <c r="P237" s="21"/>
      <c r="Q237" s="21"/>
    </row>
    <row r="238" spans="2:18" ht="18">
      <c r="B238" s="1083" t="s">
        <v>812</v>
      </c>
      <c r="C238" s="56"/>
      <c r="D238" s="56"/>
      <c r="E238" s="56"/>
      <c r="F238" s="2631"/>
      <c r="G238" s="59"/>
      <c r="H238" s="1059"/>
      <c r="I238" s="21"/>
      <c r="J238" s="21"/>
      <c r="K238" s="21"/>
      <c r="L238" s="21"/>
      <c r="M238" s="21"/>
      <c r="N238" s="21"/>
      <c r="O238" s="21"/>
      <c r="P238" s="21"/>
      <c r="Q238" s="21"/>
    </row>
    <row r="239" spans="2:18" ht="18">
      <c r="B239" s="2719" t="s">
        <v>813</v>
      </c>
      <c r="C239" s="2720"/>
      <c r="D239" s="2720"/>
      <c r="E239" s="2720"/>
      <c r="F239" s="2631"/>
      <c r="G239" s="48">
        <f>+G498</f>
        <v>11927807</v>
      </c>
      <c r="H239" s="1059">
        <f>+H498</f>
        <v>34550733</v>
      </c>
      <c r="I239" s="21"/>
      <c r="J239" s="21"/>
      <c r="K239" s="21"/>
      <c r="L239" s="21"/>
      <c r="M239" s="21"/>
      <c r="N239" s="21"/>
      <c r="O239" s="21"/>
      <c r="P239" s="21"/>
      <c r="Q239" s="21"/>
    </row>
    <row r="240" spans="2:18" ht="18">
      <c r="B240" s="1063" t="s">
        <v>814</v>
      </c>
      <c r="C240" s="2720"/>
      <c r="D240" s="2720"/>
      <c r="E240" s="2720"/>
      <c r="F240" s="2631"/>
      <c r="G240" s="59">
        <f>+V519+V520+V521</f>
        <v>10886616</v>
      </c>
      <c r="H240" s="1059">
        <v>11646721</v>
      </c>
      <c r="I240" s="21"/>
      <c r="J240" s="21"/>
      <c r="K240" s="21"/>
      <c r="L240" s="21"/>
      <c r="M240" s="21"/>
      <c r="N240" s="21"/>
      <c r="O240" s="21"/>
      <c r="P240" s="21"/>
      <c r="Q240" s="21"/>
    </row>
    <row r="241" spans="2:19" ht="18">
      <c r="B241" s="2719" t="s">
        <v>815</v>
      </c>
      <c r="C241" s="2720"/>
      <c r="D241" s="2720"/>
      <c r="E241" s="2720"/>
      <c r="F241" s="2631"/>
      <c r="G241" s="48">
        <f>+G502</f>
        <v>4109107.7332667881</v>
      </c>
      <c r="H241" s="1059">
        <v>16465227</v>
      </c>
      <c r="I241" s="21"/>
      <c r="J241" s="21"/>
      <c r="K241" s="21"/>
      <c r="L241" s="21"/>
      <c r="M241" s="21"/>
      <c r="N241" s="21"/>
      <c r="O241" s="21"/>
      <c r="P241" s="21"/>
      <c r="Q241" s="21"/>
    </row>
    <row r="242" spans="2:19" ht="18">
      <c r="B242" s="2719" t="s">
        <v>816</v>
      </c>
      <c r="C242" s="2720"/>
      <c r="D242" s="2720"/>
      <c r="E242" s="2720"/>
      <c r="F242" s="2720"/>
      <c r="G242" s="64"/>
      <c r="H242" s="1085"/>
      <c r="I242" s="121"/>
      <c r="J242" s="121"/>
      <c r="K242" s="121"/>
      <c r="L242" s="121"/>
      <c r="M242" s="121"/>
      <c r="N242" s="121"/>
      <c r="O242" s="121"/>
      <c r="P242" s="121"/>
      <c r="Q242" s="121"/>
    </row>
    <row r="243" spans="2:19" ht="18.600000000000001" thickBot="1">
      <c r="B243" s="2719"/>
      <c r="C243" s="2720"/>
      <c r="D243" s="2720"/>
      <c r="E243" s="2720"/>
      <c r="F243" s="2720"/>
      <c r="G243" s="60">
        <f>+SUM(G239:G241)</f>
        <v>26923530.733266789</v>
      </c>
      <c r="H243" s="1080">
        <f>+SUM(H239:H241)</f>
        <v>62662681</v>
      </c>
      <c r="I243" s="1998"/>
      <c r="J243" s="1998"/>
      <c r="K243" s="1998"/>
      <c r="L243" s="1998"/>
      <c r="M243" s="1998"/>
      <c r="N243" s="1998"/>
      <c r="O243" s="1998"/>
      <c r="P243" s="1998"/>
      <c r="Q243" s="1998"/>
      <c r="S243" s="2592">
        <f>25317900-26702009</f>
        <v>-1384109</v>
      </c>
    </row>
    <row r="244" spans="2:19" ht="18.600000000000001" thickTop="1">
      <c r="B244" s="1076" t="s">
        <v>817</v>
      </c>
      <c r="C244" s="56"/>
      <c r="D244" s="56"/>
      <c r="E244" s="56"/>
      <c r="F244" s="2631"/>
      <c r="G244" s="59"/>
      <c r="H244" s="1059"/>
      <c r="I244" s="21"/>
      <c r="J244" s="21"/>
      <c r="K244" s="21"/>
      <c r="L244" s="21"/>
      <c r="M244" s="21"/>
      <c r="N244" s="21"/>
      <c r="O244" s="21"/>
      <c r="P244" s="21"/>
      <c r="Q244" s="21"/>
    </row>
    <row r="245" spans="2:19" ht="18">
      <c r="B245" s="1049" t="s">
        <v>806</v>
      </c>
      <c r="C245" s="2721"/>
      <c r="D245" s="2721"/>
      <c r="E245" s="2721"/>
      <c r="F245" s="2631"/>
      <c r="G245" s="59"/>
      <c r="H245" s="1059"/>
      <c r="I245" s="21"/>
      <c r="J245" s="21"/>
      <c r="K245" s="21"/>
      <c r="L245" s="21"/>
      <c r="M245" s="21"/>
      <c r="N245" s="21"/>
      <c r="O245" s="21"/>
      <c r="P245" s="21"/>
      <c r="Q245" s="21"/>
    </row>
    <row r="246" spans="2:19" ht="18">
      <c r="B246" s="2719" t="s">
        <v>3107</v>
      </c>
      <c r="C246" s="2720"/>
      <c r="D246" s="2720"/>
      <c r="E246" s="2720"/>
      <c r="F246" s="2631"/>
      <c r="G246" s="59">
        <f>+GETPIVOTDATA("Sum of Dr. Final 23-24",Pivot!$A$1,"Note",6,"BS Main Head","Financial Assets","BS Sub Head","Trade Receivables")-GETPIVOTDATA("Sum of Dr. Final 23-24",Pivot!$A$1,"PARTICULARS","CHANDRA COAL PVT. LTD. (SALE)","Note",6,"BS Main Head","Financial Assets","BS Sub Head","Trade Receivables")-GETPIVOTDATA("Sum of Dr. Final 23-24",Pivot!$A$1,"PARTICULARS","CHANDRA SALES CORPORATION(SALE)","Note",6,"BS Main Head","Financial Assets","BS Sub Head","Trade Receivables")-GETPIVOTDATA("Sum of Dr. Final 23-24",Pivot!$A$1,"PARTICULARS","RADHIKA SALES CORPORATION","Note",6,"BS Main Head","Financial Assets","BS Sub Head","Trade Receivables")</f>
        <v>69710981.019999996</v>
      </c>
      <c r="H246" s="1059">
        <f>+GETPIVOTDATA("Sum of Dr. Final 22-23",Pivot!$A$1,"Note",6,"BS Main Head","Financial Assets","BS Sub Head","Trade Receivables")-GETPIVOTDATA("Sum of Cr. Final 22-23",Pivot!$A$1,"Note",6,"BS Main Head","Financial Assets","BS Sub Head","Trade Receivables")-H249</f>
        <v>104597369.14</v>
      </c>
      <c r="I246" s="21"/>
      <c r="J246" s="21"/>
      <c r="K246" s="21"/>
      <c r="L246" s="21"/>
      <c r="M246" s="21"/>
      <c r="N246" s="21"/>
      <c r="O246" s="21"/>
      <c r="P246" s="21"/>
      <c r="Q246" s="21"/>
    </row>
    <row r="247" spans="2:19" ht="18">
      <c r="B247" s="2719" t="s">
        <v>3108</v>
      </c>
      <c r="C247" s="2720"/>
      <c r="D247" s="2720"/>
      <c r="E247" s="2720"/>
      <c r="F247" s="2631"/>
      <c r="G247" s="11">
        <f>+GETPIVOTDATA("Sum of Dr. Final 23-24",Pivot!$A$1,"PARTICULARS","CHANDRA COAL PVT. LTD. (SALE)","Note",6,"BS Main Head","Financial Assets","BS Sub Head","Trade Receivables")+GETPIVOTDATA("Sum of Dr. Final 23-24",Pivot!$A$1,"PARTICULARS","CHANDRA SALES CORPORATION(SALE)","Note",6,"BS Main Head","Financial Assets","BS Sub Head","Trade Receivables")</f>
        <v>0</v>
      </c>
      <c r="H247" s="1015">
        <v>0</v>
      </c>
      <c r="I247" s="1874"/>
      <c r="J247" s="1874"/>
      <c r="K247" s="1874"/>
      <c r="L247" s="1874"/>
      <c r="M247" s="1874"/>
      <c r="N247" s="1874"/>
      <c r="O247" s="1874"/>
      <c r="P247" s="1874"/>
      <c r="Q247" s="1874"/>
    </row>
    <row r="248" spans="2:19" ht="18">
      <c r="B248" s="2719" t="s">
        <v>3109</v>
      </c>
      <c r="C248" s="2720"/>
      <c r="D248" s="2720"/>
      <c r="E248" s="2720"/>
      <c r="F248" s="2631"/>
      <c r="G248" s="59">
        <v>0</v>
      </c>
      <c r="H248" s="1059">
        <v>0</v>
      </c>
      <c r="I248" s="21"/>
      <c r="J248" s="21"/>
      <c r="K248" s="21"/>
      <c r="L248" s="21"/>
      <c r="M248" s="21"/>
      <c r="N248" s="21"/>
      <c r="O248" s="21"/>
      <c r="P248" s="21"/>
      <c r="Q248" s="21"/>
    </row>
    <row r="249" spans="2:19" ht="18">
      <c r="B249" s="2719" t="s">
        <v>3110</v>
      </c>
      <c r="C249" s="2720"/>
      <c r="D249" s="2720"/>
      <c r="E249" s="2720"/>
      <c r="F249" s="2631"/>
      <c r="G249" s="59">
        <f>+GETPIVOTDATA("Sum of Dr. Final 23-24",Pivot!$A$1,"PARTICULARS","RADHIKA SALES CORPORATION","Note",6,"BS Main Head","Financial Assets","BS Sub Head","Trade Receivables")</f>
        <v>11449790</v>
      </c>
      <c r="H249" s="1059">
        <f>+GETPIVOTDATA("Sum of Dr. Final 22-23",Pivot!$A$1,"PARTICULARS","CHANDRA COAL PVT. LTD. (SALE)","Note",6,"BS Main Head","Financial Assets","BS Sub Head","Trade Receivables")+GETPIVOTDATA("Sum of Dr. Final 22-23",Pivot!$A$1,"PARTICULARS","CHANDRA SALES CORPORATION(SALE)","Note",6,"BS Main Head","Financial Assets","BS Sub Head","Trade Receivables")</f>
        <v>11204873</v>
      </c>
      <c r="I249" s="21"/>
      <c r="J249" s="21"/>
      <c r="K249" s="21"/>
      <c r="L249" s="21"/>
      <c r="M249" s="21"/>
      <c r="N249" s="21"/>
      <c r="O249" s="21"/>
      <c r="P249" s="21"/>
      <c r="Q249" s="21"/>
    </row>
    <row r="250" spans="2:19" ht="18">
      <c r="B250" s="2719" t="s">
        <v>3111</v>
      </c>
      <c r="C250" s="2720"/>
      <c r="D250" s="2720"/>
      <c r="E250" s="2720"/>
      <c r="F250" s="2631"/>
      <c r="G250" s="59">
        <v>0</v>
      </c>
      <c r="H250" s="1059">
        <v>0</v>
      </c>
      <c r="I250" s="21"/>
      <c r="J250" s="21"/>
      <c r="K250" s="21"/>
      <c r="L250" s="21"/>
      <c r="M250" s="21"/>
      <c r="N250" s="21"/>
      <c r="O250" s="21"/>
      <c r="P250" s="21"/>
      <c r="Q250" s="21"/>
    </row>
    <row r="251" spans="2:19" ht="18">
      <c r="B251" s="2719" t="s">
        <v>824</v>
      </c>
      <c r="C251" s="2720"/>
      <c r="D251" s="2720"/>
      <c r="E251" s="2720"/>
      <c r="F251" s="2631"/>
      <c r="G251" s="1268">
        <f>+SUM(G246:G249)</f>
        <v>81160771.019999996</v>
      </c>
      <c r="H251" s="1455">
        <f>+SUM(H246:H249)</f>
        <v>115802242.14</v>
      </c>
      <c r="I251" s="1998"/>
      <c r="J251" s="1998"/>
      <c r="K251" s="1998"/>
      <c r="L251" s="1998"/>
      <c r="M251" s="1998"/>
      <c r="N251" s="1998"/>
      <c r="O251" s="1998"/>
      <c r="P251" s="1998"/>
      <c r="Q251" s="1998"/>
    </row>
    <row r="252" spans="2:19" ht="18">
      <c r="B252" s="2719"/>
      <c r="C252" s="2720"/>
      <c r="D252" s="2720"/>
      <c r="E252" s="2720"/>
      <c r="F252" s="2631"/>
      <c r="G252" s="65"/>
      <c r="H252" s="1018"/>
      <c r="I252" s="1998"/>
      <c r="J252" s="1998"/>
      <c r="K252" s="1998"/>
      <c r="L252" s="1998"/>
      <c r="M252" s="1998"/>
      <c r="N252" s="1998"/>
      <c r="O252" s="1998"/>
      <c r="P252" s="1998"/>
      <c r="Q252" s="1998"/>
    </row>
    <row r="253" spans="2:19" ht="18">
      <c r="B253" s="2722" t="s">
        <v>818</v>
      </c>
      <c r="C253" s="2720"/>
      <c r="D253" s="2720"/>
      <c r="E253" s="2720"/>
      <c r="F253" s="2631"/>
      <c r="G253" s="65"/>
      <c r="H253" s="1018"/>
      <c r="I253" s="1998"/>
      <c r="J253" s="1998"/>
      <c r="K253" s="1998"/>
      <c r="L253" s="1998"/>
      <c r="M253" s="1998"/>
      <c r="N253" s="1998"/>
      <c r="O253" s="1998"/>
      <c r="P253" s="1998"/>
      <c r="Q253" s="1998"/>
    </row>
    <row r="254" spans="2:19" ht="36.75" customHeight="1">
      <c r="B254" s="2723" t="s">
        <v>463</v>
      </c>
      <c r="C254" s="2724" t="s">
        <v>3112</v>
      </c>
      <c r="D254" s="2725"/>
      <c r="E254" s="2725"/>
      <c r="F254" s="2725"/>
      <c r="G254" s="2725"/>
      <c r="H254" s="2726"/>
      <c r="I254" s="2727"/>
      <c r="J254" s="2727"/>
      <c r="K254" s="2727"/>
      <c r="L254" s="2727"/>
      <c r="M254" s="2727"/>
      <c r="N254" s="2727"/>
      <c r="O254" s="2727"/>
      <c r="P254" s="2727"/>
      <c r="Q254" s="2727"/>
    </row>
    <row r="255" spans="2:19" ht="18">
      <c r="B255" s="2723"/>
      <c r="C255" s="2728" t="s">
        <v>820</v>
      </c>
      <c r="D255" s="2729"/>
      <c r="E255" s="2730" t="s">
        <v>821</v>
      </c>
      <c r="F255" s="1268" t="s">
        <v>822</v>
      </c>
      <c r="G255" s="1268" t="s">
        <v>823</v>
      </c>
      <c r="H255" s="1455" t="s">
        <v>823</v>
      </c>
      <c r="I255" s="1998"/>
      <c r="J255" s="1998"/>
      <c r="K255" s="1998"/>
      <c r="L255" s="1998"/>
      <c r="M255" s="1998"/>
      <c r="N255" s="1998"/>
      <c r="O255" s="1998"/>
      <c r="P255" s="1998"/>
      <c r="Q255" s="1998"/>
    </row>
    <row r="256" spans="2:19" ht="36">
      <c r="B256" s="2731" t="s">
        <v>825</v>
      </c>
      <c r="C256" s="2400">
        <f>+'Debtor''s Ageing31.03.24'!J355+'Debtor''s Ageing31.03.24'!J357</f>
        <v>79063879</v>
      </c>
      <c r="D256" s="2401"/>
      <c r="E256" s="1271">
        <f>+'Debtor''s Ageing31.03.24'!K355+'Debtor''s Ageing31.03.24'!N357+'Debtor''s Ageing31.03.24'!F360-F256</f>
        <v>1865578</v>
      </c>
      <c r="F256" s="1271">
        <v>231314</v>
      </c>
      <c r="G256" s="1271">
        <v>0</v>
      </c>
      <c r="H256" s="1476">
        <v>0</v>
      </c>
      <c r="I256" s="2007"/>
      <c r="J256" s="2007"/>
      <c r="K256" s="2007"/>
      <c r="L256" s="2007"/>
      <c r="M256" s="2007"/>
      <c r="N256" s="2007"/>
      <c r="O256" s="2007"/>
      <c r="P256" s="2007"/>
      <c r="Q256" s="2007"/>
      <c r="R256" s="2618"/>
    </row>
    <row r="257" spans="2:17" ht="36">
      <c r="B257" s="2731" t="s">
        <v>826</v>
      </c>
      <c r="C257" s="2400">
        <v>0</v>
      </c>
      <c r="D257" s="2401"/>
      <c r="E257" s="1271">
        <v>0</v>
      </c>
      <c r="F257" s="1271">
        <v>0</v>
      </c>
      <c r="G257" s="1271">
        <v>0</v>
      </c>
      <c r="H257" s="1476">
        <v>0</v>
      </c>
      <c r="I257" s="2007"/>
      <c r="J257" s="2007"/>
      <c r="K257" s="2007"/>
      <c r="L257" s="2007"/>
      <c r="M257" s="2007"/>
      <c r="N257" s="2007"/>
      <c r="O257" s="2007"/>
      <c r="P257" s="2007"/>
      <c r="Q257" s="2007"/>
    </row>
    <row r="258" spans="2:17" ht="36">
      <c r="B258" s="2731" t="s">
        <v>827</v>
      </c>
      <c r="C258" s="2400">
        <v>0</v>
      </c>
      <c r="D258" s="2401"/>
      <c r="E258" s="1271">
        <v>0</v>
      </c>
      <c r="F258" s="1271">
        <v>0</v>
      </c>
      <c r="G258" s="1271">
        <v>0</v>
      </c>
      <c r="H258" s="1476">
        <v>0</v>
      </c>
      <c r="I258" s="2007"/>
      <c r="J258" s="2007"/>
      <c r="K258" s="2007"/>
      <c r="L258" s="2007"/>
      <c r="M258" s="2007"/>
      <c r="N258" s="2007"/>
      <c r="O258" s="2007"/>
      <c r="P258" s="2007"/>
      <c r="Q258" s="2007"/>
    </row>
    <row r="259" spans="2:17" ht="36">
      <c r="B259" s="2731" t="s">
        <v>828</v>
      </c>
      <c r="C259" s="2400">
        <v>0</v>
      </c>
      <c r="D259" s="2401"/>
      <c r="E259" s="1271">
        <v>0</v>
      </c>
      <c r="F259" s="1271">
        <v>0</v>
      </c>
      <c r="G259" s="1271">
        <v>0</v>
      </c>
      <c r="H259" s="1476">
        <v>0</v>
      </c>
      <c r="I259" s="2007"/>
      <c r="J259" s="2007"/>
      <c r="K259" s="2007"/>
      <c r="L259" s="2007"/>
      <c r="M259" s="2007"/>
      <c r="N259" s="2007"/>
      <c r="O259" s="2007"/>
      <c r="P259" s="2007"/>
      <c r="Q259" s="2007"/>
    </row>
    <row r="260" spans="2:17" ht="18">
      <c r="B260" s="2719"/>
      <c r="C260" s="2720"/>
      <c r="D260" s="2720"/>
      <c r="E260" s="2720"/>
      <c r="F260" s="2631"/>
      <c r="G260" s="65"/>
      <c r="H260" s="1018"/>
      <c r="I260" s="1998"/>
      <c r="J260" s="1998"/>
      <c r="K260" s="1998"/>
      <c r="L260" s="1998"/>
      <c r="M260" s="1998"/>
      <c r="N260" s="1998"/>
      <c r="O260" s="1998"/>
      <c r="P260" s="1998"/>
      <c r="Q260" s="1998"/>
    </row>
    <row r="261" spans="2:17" ht="37.5" customHeight="1">
      <c r="B261" s="2723" t="s">
        <v>463</v>
      </c>
      <c r="C261" s="2724" t="s">
        <v>819</v>
      </c>
      <c r="D261" s="2732"/>
      <c r="E261" s="2732"/>
      <c r="F261" s="2732"/>
      <c r="G261" s="2732"/>
      <c r="H261" s="2733"/>
      <c r="I261" s="2734"/>
      <c r="J261" s="2734"/>
      <c r="K261" s="2734"/>
      <c r="L261" s="2734"/>
      <c r="M261" s="2734"/>
      <c r="N261" s="2734"/>
      <c r="O261" s="2734"/>
      <c r="P261" s="2734"/>
      <c r="Q261" s="2734"/>
    </row>
    <row r="262" spans="2:17" ht="18">
      <c r="B262" s="2723"/>
      <c r="C262" s="2728" t="s">
        <v>820</v>
      </c>
      <c r="D262" s="2729"/>
      <c r="E262" s="2730" t="s">
        <v>821</v>
      </c>
      <c r="F262" s="1268" t="s">
        <v>822</v>
      </c>
      <c r="G262" s="1268" t="s">
        <v>823</v>
      </c>
      <c r="H262" s="1455" t="s">
        <v>823</v>
      </c>
      <c r="I262" s="1998"/>
      <c r="J262" s="1998"/>
      <c r="K262" s="1998"/>
      <c r="L262" s="1998"/>
      <c r="M262" s="1998"/>
      <c r="N262" s="1998"/>
      <c r="O262" s="1998"/>
      <c r="P262" s="1998"/>
      <c r="Q262" s="1998"/>
    </row>
    <row r="263" spans="2:17" ht="36">
      <c r="B263" s="2731" t="s">
        <v>829</v>
      </c>
      <c r="C263" s="2400">
        <v>115570928</v>
      </c>
      <c r="D263" s="2401"/>
      <c r="E263" s="1271">
        <v>231314</v>
      </c>
      <c r="F263" s="1271">
        <v>0</v>
      </c>
      <c r="G263" s="1271">
        <v>0</v>
      </c>
      <c r="H263" s="1476">
        <v>0</v>
      </c>
      <c r="I263" s="2007"/>
      <c r="J263" s="2007"/>
      <c r="K263" s="2007"/>
      <c r="L263" s="2007"/>
      <c r="M263" s="2007"/>
      <c r="N263" s="2007"/>
      <c r="O263" s="2007"/>
      <c r="P263" s="2007"/>
      <c r="Q263" s="2007"/>
    </row>
    <row r="264" spans="2:17" ht="54">
      <c r="B264" s="2731" t="s">
        <v>830</v>
      </c>
      <c r="C264" s="2400">
        <v>0</v>
      </c>
      <c r="D264" s="2401"/>
      <c r="E264" s="1271">
        <v>0</v>
      </c>
      <c r="F264" s="1271">
        <v>0</v>
      </c>
      <c r="G264" s="1271">
        <v>0</v>
      </c>
      <c r="H264" s="1476">
        <v>0</v>
      </c>
      <c r="I264" s="2007"/>
      <c r="J264" s="2007"/>
      <c r="K264" s="2007"/>
      <c r="L264" s="2007"/>
      <c r="M264" s="2007"/>
      <c r="N264" s="2007"/>
      <c r="O264" s="2007"/>
      <c r="P264" s="2007"/>
      <c r="Q264" s="2007"/>
    </row>
    <row r="265" spans="2:17" ht="36">
      <c r="B265" s="2731" t="s">
        <v>831</v>
      </c>
      <c r="C265" s="2400">
        <v>0</v>
      </c>
      <c r="D265" s="2401"/>
      <c r="E265" s="1271">
        <v>0</v>
      </c>
      <c r="F265" s="1271">
        <v>0</v>
      </c>
      <c r="G265" s="1271">
        <v>0</v>
      </c>
      <c r="H265" s="1476">
        <v>0</v>
      </c>
      <c r="I265" s="2007"/>
      <c r="J265" s="2007"/>
      <c r="K265" s="2007"/>
      <c r="L265" s="2007"/>
      <c r="M265" s="2007"/>
      <c r="N265" s="2007"/>
      <c r="O265" s="2007"/>
      <c r="P265" s="2007"/>
      <c r="Q265" s="2007"/>
    </row>
    <row r="266" spans="2:17" ht="36">
      <c r="B266" s="2731" t="s">
        <v>828</v>
      </c>
      <c r="C266" s="2400">
        <v>0</v>
      </c>
      <c r="D266" s="2401"/>
      <c r="E266" s="1271">
        <v>0</v>
      </c>
      <c r="F266" s="1271">
        <v>0</v>
      </c>
      <c r="G266" s="1271">
        <v>0</v>
      </c>
      <c r="H266" s="1476">
        <v>0</v>
      </c>
      <c r="I266" s="2007"/>
      <c r="J266" s="2007"/>
      <c r="K266" s="2007"/>
      <c r="L266" s="2007"/>
      <c r="M266" s="2007"/>
      <c r="N266" s="2007"/>
      <c r="O266" s="2007"/>
      <c r="P266" s="2007"/>
      <c r="Q266" s="2007"/>
    </row>
    <row r="267" spans="2:17" ht="18">
      <c r="B267" s="2719"/>
      <c r="C267" s="2720"/>
      <c r="D267" s="2720"/>
      <c r="E267" s="2720"/>
      <c r="F267" s="2631"/>
      <c r="G267" s="1087"/>
      <c r="H267" s="1088"/>
      <c r="I267" s="1998"/>
      <c r="J267" s="1998"/>
      <c r="K267" s="1998"/>
      <c r="L267" s="1998"/>
      <c r="M267" s="1998"/>
      <c r="N267" s="1998"/>
      <c r="O267" s="1998"/>
      <c r="P267" s="1998"/>
      <c r="Q267" s="1998"/>
    </row>
    <row r="268" spans="2:17" ht="18">
      <c r="B268" s="2735" t="s">
        <v>832</v>
      </c>
      <c r="C268" s="2736"/>
      <c r="D268" s="2736"/>
      <c r="E268" s="2736"/>
      <c r="F268" s="2736"/>
      <c r="G268" s="2736"/>
      <c r="H268" s="2737"/>
      <c r="I268" s="2738"/>
      <c r="J268" s="2738"/>
      <c r="K268" s="2738"/>
      <c r="L268" s="2738"/>
      <c r="M268" s="2738"/>
      <c r="N268" s="2738"/>
      <c r="O268" s="2738"/>
      <c r="P268" s="2738"/>
      <c r="Q268" s="2738"/>
    </row>
    <row r="269" spans="2:17" ht="18">
      <c r="B269" s="2735" t="s">
        <v>2758</v>
      </c>
      <c r="C269" s="2736"/>
      <c r="D269" s="2736"/>
      <c r="E269" s="2736"/>
      <c r="F269" s="2736"/>
      <c r="G269" s="2736"/>
      <c r="H269" s="2737"/>
      <c r="I269" s="2738"/>
      <c r="J269" s="2738"/>
      <c r="K269" s="2738"/>
      <c r="L269" s="2738"/>
      <c r="M269" s="2738"/>
      <c r="N269" s="2738"/>
      <c r="O269" s="2738"/>
      <c r="P269" s="2738"/>
      <c r="Q269" s="2738"/>
    </row>
    <row r="270" spans="2:17" ht="18">
      <c r="B270" s="2735"/>
      <c r="C270" s="2736"/>
      <c r="D270" s="2736"/>
      <c r="E270" s="2736"/>
      <c r="F270" s="2736"/>
      <c r="G270" s="2736"/>
      <c r="H270" s="2737"/>
      <c r="I270" s="2738"/>
      <c r="J270" s="2738"/>
      <c r="K270" s="2738"/>
      <c r="L270" s="2738"/>
      <c r="M270" s="2738"/>
      <c r="N270" s="2738"/>
      <c r="O270" s="2738"/>
      <c r="P270" s="2738"/>
      <c r="Q270" s="2738"/>
    </row>
    <row r="271" spans="2:17" ht="85.2" customHeight="1" thickBot="1">
      <c r="B271" s="2739"/>
      <c r="C271" s="2740"/>
      <c r="D271" s="2740"/>
      <c r="E271" s="2740"/>
      <c r="F271" s="2740"/>
      <c r="G271" s="2740"/>
      <c r="H271" s="2741"/>
      <c r="I271" s="2738"/>
      <c r="J271" s="2738"/>
      <c r="K271" s="2738"/>
      <c r="L271" s="2738"/>
      <c r="M271" s="2738"/>
      <c r="N271" s="2738"/>
      <c r="O271" s="2738"/>
      <c r="P271" s="2738"/>
      <c r="Q271" s="2738"/>
    </row>
    <row r="272" spans="2:17" ht="18">
      <c r="B272" s="2683" t="s">
        <v>702</v>
      </c>
      <c r="C272" s="2684"/>
      <c r="D272" s="2684"/>
      <c r="E272" s="2684"/>
      <c r="F272" s="2684"/>
      <c r="G272" s="2684"/>
      <c r="H272" s="2685"/>
      <c r="I272" s="2686"/>
      <c r="J272" s="2686"/>
      <c r="K272" s="2686"/>
      <c r="L272" s="2686"/>
      <c r="M272" s="2686"/>
      <c r="N272" s="2686"/>
      <c r="O272" s="2686"/>
      <c r="P272" s="2686"/>
      <c r="Q272" s="2686"/>
    </row>
    <row r="273" spans="2:17" ht="18">
      <c r="B273" s="2706" t="s">
        <v>3056</v>
      </c>
      <c r="C273" s="2707"/>
      <c r="D273" s="2707"/>
      <c r="E273" s="2707"/>
      <c r="F273" s="2707"/>
      <c r="G273" s="2707"/>
      <c r="H273" s="2708"/>
      <c r="I273" s="2709"/>
      <c r="J273" s="2709"/>
      <c r="K273" s="2709"/>
      <c r="L273" s="2709"/>
      <c r="M273" s="2709"/>
      <c r="N273" s="2709"/>
      <c r="O273" s="2709"/>
      <c r="P273" s="2709"/>
      <c r="Q273" s="2709"/>
    </row>
    <row r="274" spans="2:17" ht="18">
      <c r="B274" s="2690" t="s">
        <v>0</v>
      </c>
      <c r="C274" s="1054"/>
      <c r="D274" s="1054"/>
      <c r="E274" s="1054"/>
      <c r="F274" s="2691"/>
      <c r="G274" s="1004" t="s">
        <v>704</v>
      </c>
      <c r="H274" s="1005" t="s">
        <v>704</v>
      </c>
      <c r="I274" s="1996"/>
      <c r="J274" s="1996"/>
      <c r="K274" s="1996"/>
      <c r="L274" s="1996"/>
      <c r="M274" s="1996"/>
      <c r="N274" s="1996"/>
      <c r="O274" s="1996"/>
      <c r="P274" s="1996"/>
      <c r="Q274" s="1996"/>
    </row>
    <row r="275" spans="2:17" ht="18">
      <c r="B275" s="1036"/>
      <c r="C275" s="44"/>
      <c r="D275" s="44"/>
      <c r="E275" s="44"/>
      <c r="F275" s="2692"/>
      <c r="G275" s="30" t="str">
        <f>+G222</f>
        <v>March 31, 2024 (₹)</v>
      </c>
      <c r="H275" s="1038" t="str">
        <f>+H222</f>
        <v>March 31, 2023 (₹)</v>
      </c>
      <c r="I275" s="1996"/>
      <c r="J275" s="1996"/>
      <c r="K275" s="1996"/>
      <c r="L275" s="1996"/>
      <c r="M275" s="1996"/>
      <c r="N275" s="1996"/>
      <c r="O275" s="1996"/>
      <c r="P275" s="1996"/>
      <c r="Q275" s="1996"/>
    </row>
    <row r="276" spans="2:17" ht="18">
      <c r="B276" s="1076" t="s">
        <v>833</v>
      </c>
      <c r="C276" s="56"/>
      <c r="D276" s="56"/>
      <c r="E276" s="56"/>
      <c r="F276" s="2631"/>
      <c r="G276" s="59"/>
      <c r="H276" s="1059"/>
      <c r="I276" s="21"/>
      <c r="J276" s="21"/>
      <c r="K276" s="21"/>
      <c r="L276" s="21"/>
      <c r="M276" s="21"/>
      <c r="N276" s="21"/>
      <c r="O276" s="21"/>
      <c r="P276" s="21"/>
      <c r="Q276" s="21"/>
    </row>
    <row r="277" spans="2:17" ht="18">
      <c r="B277" s="1081" t="s">
        <v>834</v>
      </c>
      <c r="C277" s="61"/>
      <c r="D277" s="61"/>
      <c r="E277" s="61"/>
      <c r="F277" s="2631"/>
      <c r="G277" s="59"/>
      <c r="H277" s="1059"/>
      <c r="I277" s="21"/>
      <c r="J277" s="21"/>
      <c r="K277" s="21"/>
      <c r="L277" s="21"/>
      <c r="M277" s="21"/>
      <c r="N277" s="21"/>
      <c r="O277" s="21"/>
      <c r="P277" s="21"/>
      <c r="Q277" s="21"/>
    </row>
    <row r="278" spans="2:17" ht="18">
      <c r="B278" s="2719" t="s">
        <v>835</v>
      </c>
      <c r="C278" s="2720"/>
      <c r="D278" s="2720"/>
      <c r="E278" s="2720"/>
      <c r="F278" s="2631"/>
      <c r="G278" s="59">
        <f>+GETPIVOTDATA("Sum of Dr. Final 23-24",Pivot!$A$1,"Note",7,"BS Main Head","Cash and cash Equivalents","BS Sub Head","Cash On Hand")</f>
        <v>270656</v>
      </c>
      <c r="H278" s="1059">
        <f>+GETPIVOTDATA("Sum of Dr. Final 22-23",Pivot!$A$1,"Note",7,"BS Main Head","Cash and cash Equivalents","BS Sub Head","Cash On Hand")</f>
        <v>230316</v>
      </c>
      <c r="I278" s="21"/>
      <c r="J278" s="21"/>
      <c r="K278" s="21"/>
      <c r="L278" s="21"/>
      <c r="M278" s="21"/>
      <c r="N278" s="21"/>
      <c r="O278" s="21"/>
      <c r="P278" s="21"/>
      <c r="Q278" s="21"/>
    </row>
    <row r="279" spans="2:17" ht="18">
      <c r="B279" s="2719"/>
      <c r="C279" s="2720"/>
      <c r="D279" s="2720"/>
      <c r="E279" s="2720"/>
      <c r="F279" s="2631"/>
      <c r="G279" s="59"/>
      <c r="H279" s="1059"/>
      <c r="I279" s="21"/>
      <c r="J279" s="21"/>
      <c r="K279" s="21"/>
      <c r="L279" s="21"/>
      <c r="M279" s="21"/>
      <c r="N279" s="21"/>
      <c r="O279" s="21"/>
      <c r="P279" s="21"/>
      <c r="Q279" s="21"/>
    </row>
    <row r="280" spans="2:17" ht="18">
      <c r="B280" s="2677" t="s">
        <v>836</v>
      </c>
      <c r="C280" s="2720"/>
      <c r="D280" s="2720"/>
      <c r="E280" s="2720"/>
      <c r="F280" s="2631"/>
      <c r="G280" s="59"/>
      <c r="H280" s="1059"/>
      <c r="I280" s="21"/>
      <c r="J280" s="21"/>
      <c r="K280" s="21"/>
      <c r="L280" s="21"/>
      <c r="M280" s="21"/>
      <c r="N280" s="21"/>
      <c r="O280" s="21"/>
      <c r="P280" s="21"/>
      <c r="Q280" s="21"/>
    </row>
    <row r="281" spans="2:17" ht="18">
      <c r="B281" s="2719" t="s">
        <v>837</v>
      </c>
      <c r="C281" s="2720"/>
      <c r="D281" s="2720"/>
      <c r="E281" s="2720"/>
      <c r="F281" s="2631"/>
      <c r="G281" s="59">
        <f>+GETPIVOTDATA("Sum of Dr. Final 23-24",Pivot!$A$1,"Note",7,"BS Main Head","Cash and cash Equivalents","BS Sub Head","Balance With Bank - Current A/c")</f>
        <v>8810.64</v>
      </c>
      <c r="H281" s="1059">
        <f>+GETPIVOTDATA("Sum of Dr. Final 22-23",Pivot!$A$1,"Note",7,"BS Main Head","Cash and cash Equivalents","BS Sub Head","Balance With Bank - Current A/c")</f>
        <v>9459.64</v>
      </c>
      <c r="I281" s="21"/>
      <c r="J281" s="21"/>
      <c r="K281" s="21"/>
      <c r="L281" s="21"/>
      <c r="M281" s="21"/>
      <c r="N281" s="21"/>
      <c r="O281" s="21"/>
      <c r="P281" s="21"/>
      <c r="Q281" s="21"/>
    </row>
    <row r="282" spans="2:17" ht="18.600000000000001" thickBot="1">
      <c r="B282" s="1081"/>
      <c r="C282" s="61"/>
      <c r="D282" s="61"/>
      <c r="E282" s="61"/>
      <c r="F282" s="2631"/>
      <c r="G282" s="60">
        <f>+SUM(G278:G281)</f>
        <v>279466.64</v>
      </c>
      <c r="H282" s="1080">
        <f>+SUM(H278:H281)</f>
        <v>239775.64</v>
      </c>
      <c r="I282" s="1998"/>
      <c r="J282" s="1998"/>
      <c r="K282" s="1998"/>
      <c r="L282" s="1998"/>
      <c r="M282" s="1998"/>
      <c r="N282" s="1998"/>
      <c r="O282" s="1998"/>
      <c r="P282" s="1998"/>
      <c r="Q282" s="1998"/>
    </row>
    <row r="283" spans="2:17" ht="18.600000000000001" thickTop="1">
      <c r="B283" s="2639"/>
      <c r="C283" s="2602"/>
      <c r="D283" s="2602"/>
      <c r="E283" s="2602"/>
      <c r="F283" s="2602"/>
      <c r="G283" s="48"/>
      <c r="H283" s="1059"/>
      <c r="I283" s="21"/>
      <c r="J283" s="21"/>
      <c r="K283" s="21"/>
      <c r="L283" s="21"/>
      <c r="M283" s="21"/>
      <c r="N283" s="21"/>
      <c r="O283" s="21"/>
      <c r="P283" s="21"/>
      <c r="Q283" s="21"/>
    </row>
    <row r="284" spans="2:17" ht="18">
      <c r="B284" s="2742" t="s">
        <v>2257</v>
      </c>
      <c r="C284" s="2743"/>
      <c r="D284" s="2744"/>
      <c r="E284" s="2670"/>
      <c r="F284" s="2631"/>
      <c r="G284" s="59"/>
      <c r="H284" s="1059"/>
      <c r="I284" s="21"/>
      <c r="J284" s="21"/>
      <c r="K284" s="21"/>
      <c r="L284" s="21"/>
      <c r="M284" s="21"/>
      <c r="N284" s="21"/>
      <c r="O284" s="21"/>
      <c r="P284" s="21"/>
      <c r="Q284" s="21"/>
    </row>
    <row r="285" spans="2:17" ht="18">
      <c r="B285" s="2745" t="s">
        <v>838</v>
      </c>
      <c r="C285" s="2746"/>
      <c r="D285" s="2746"/>
      <c r="E285" s="2746"/>
      <c r="F285" s="2746"/>
      <c r="G285" s="67"/>
      <c r="H285" s="1089"/>
      <c r="I285" s="76"/>
      <c r="J285" s="76"/>
      <c r="K285" s="76"/>
      <c r="L285" s="76"/>
      <c r="M285" s="76"/>
      <c r="N285" s="76"/>
      <c r="O285" s="76"/>
      <c r="P285" s="76"/>
      <c r="Q285" s="76"/>
    </row>
    <row r="286" spans="2:17" ht="18">
      <c r="B286" s="1063" t="s">
        <v>839</v>
      </c>
      <c r="C286" s="21"/>
      <c r="D286" s="21"/>
      <c r="E286" s="21"/>
      <c r="F286" s="2631"/>
      <c r="G286" s="59">
        <f>+GETPIVOTDATA("Sum of Dr. Final 23-24",Pivot!$A$1,"Note",9,"BS Main Head","Other Financial Assets","BS Sub Head","Loans and Advances to Employees")-GETPIVOTDATA("Sum of Cr. Final 23-24",Pivot!$A$1,"Note",9,"BS Main Head","Other Financial Assets","BS Sub Head","Loans and Advances to Employees")</f>
        <v>235000</v>
      </c>
      <c r="H286" s="1059">
        <f>+GETPIVOTDATA("Sum of Dr. Final 22-23",Pivot!$A$1,"Note",9,"BS Main Head","Other Financial Assets","BS Sub Head","Loans and Advances to Employees")</f>
        <v>344000</v>
      </c>
      <c r="I286" s="21"/>
      <c r="J286" s="21"/>
      <c r="K286" s="21"/>
      <c r="L286" s="21"/>
      <c r="M286" s="21"/>
      <c r="N286" s="21"/>
      <c r="O286" s="21"/>
      <c r="P286" s="21"/>
      <c r="Q286" s="21"/>
    </row>
    <row r="287" spans="2:17" ht="18">
      <c r="B287" s="1063" t="s">
        <v>3013</v>
      </c>
      <c r="C287" s="21"/>
      <c r="D287" s="21"/>
      <c r="E287" s="21"/>
      <c r="F287" s="2631"/>
      <c r="G287" s="59">
        <f>+GETPIVOTDATA("Sum of Dr. Final 23-24",Pivot!$A$1,"Note",9,"BS Main Head","Other Financial Assets","BS Sub Head","Earnest Money Deposits")-GETPIVOTDATA("Sum of Cr. Final 23-24",Pivot!$A$1,"Note",9,"BS Main Head","Other Financial Assets","BS Sub Head","Earnest Money Deposits")</f>
        <v>805000</v>
      </c>
      <c r="H287" s="1059">
        <v>0</v>
      </c>
      <c r="I287" s="21"/>
      <c r="J287" s="21"/>
      <c r="K287" s="21"/>
      <c r="L287" s="21"/>
      <c r="M287" s="21"/>
      <c r="N287" s="21"/>
      <c r="O287" s="21"/>
      <c r="P287" s="21"/>
      <c r="Q287" s="21"/>
    </row>
    <row r="288" spans="2:17" ht="18">
      <c r="B288" s="1063" t="s">
        <v>3146</v>
      </c>
      <c r="C288" s="21"/>
      <c r="D288" s="21"/>
      <c r="E288" s="21"/>
      <c r="F288" s="2631"/>
      <c r="G288" s="59">
        <f>+GETPIVOTDATA("Sum of Dr. Final 23-24",Pivot!$A$1,"PARTICULARS","Power Excess Demand Chgs Receivable","Note",9,"BS Main Head","Other Financial Assets","BS Sub Head","Excess Demand Charges Receivable")-GETPIVOTDATA("Sum of Cr. Final 23-24",Pivot!$A$1,"PARTICULARS","Power Excess Demand Chgs Receivable","Note",9,"BS Main Head","Other Financial Assets","BS Sub Head","Excess Demand Charges Receivable")</f>
        <v>2498493</v>
      </c>
      <c r="H288" s="1059">
        <v>0</v>
      </c>
      <c r="I288" s="21"/>
      <c r="J288" s="21"/>
      <c r="K288" s="21"/>
      <c r="L288" s="21"/>
      <c r="M288" s="21"/>
      <c r="N288" s="21"/>
      <c r="O288" s="21"/>
      <c r="P288" s="21"/>
      <c r="Q288" s="21"/>
    </row>
    <row r="289" spans="2:20" ht="18">
      <c r="B289" s="1063" t="s">
        <v>112</v>
      </c>
      <c r="C289" s="21"/>
      <c r="D289" s="21"/>
      <c r="E289" s="21"/>
      <c r="F289" s="2631"/>
      <c r="G289" s="59">
        <f>+G290+G291</f>
        <v>3550400.36</v>
      </c>
      <c r="H289" s="59">
        <f>+H290+H291</f>
        <v>10605791.359999999</v>
      </c>
      <c r="I289" s="21"/>
      <c r="J289" s="21"/>
      <c r="K289" s="21"/>
      <c r="L289" s="21"/>
      <c r="M289" s="21"/>
      <c r="N289" s="21"/>
      <c r="O289" s="21"/>
      <c r="P289" s="21"/>
      <c r="Q289" s="21"/>
    </row>
    <row r="290" spans="2:20" ht="18">
      <c r="B290" s="1063" t="s">
        <v>3147</v>
      </c>
      <c r="C290" s="21"/>
      <c r="D290" s="21"/>
      <c r="E290" s="21"/>
      <c r="F290" s="2631"/>
      <c r="G290" s="59">
        <f>+GETPIVOTDATA("Sum of Dr. Final 23-24",Pivot!$A$1,"Note",11,"BS Main Head","Current Tax Assets","BS Sub Head","Advance Income Tax")-GETPIVOTDATA("Sum of Dr. Final 23-24",Pivot!$A$1,"PARTICULARS","TDS (AY 2024-25)","Note",11,"BS Main Head","Current Tax Assets","BS Sub Head","Advance Income Tax")-GETPIVOTDATA("Sum of Dr. Final 23-24",Pivot!$A$1,"PARTICULARS","T C S (A. Y. 2024-25)","Note",11,"BS Main Head","Current Tax Assets","BS Sub Head","Advance Income Tax")</f>
        <v>3550400.36</v>
      </c>
      <c r="H290" s="1059">
        <f>+GETPIVOTDATA("Sum of Dr. Final 22-23",Pivot!$A$1,"Note",11,"BS Main Head","Current Tax Assets","BS Sub Head","Advance Income Tax")-GETPIVOTDATA("Sum of Dr. Final 22-23",Pivot!$A$1,"PARTICULARS","TDS (A.Y. 2023-24)","Note",11,"BS Main Head","Current Tax Assets","BS Sub Head","Advance Income Tax")-GETPIVOTDATA("Sum of Dr. Final 22-23",Pivot!$A$1,"PARTICULARS","T C S ( A.Y. 2023-24)","Note",11,"BS Main Head","Current Tax Assets","BS Sub Head","Advance Income Tax")</f>
        <v>3522791.36</v>
      </c>
      <c r="I290" s="21"/>
      <c r="J290" s="21"/>
      <c r="K290" s="21"/>
      <c r="L290" s="21"/>
      <c r="M290" s="21"/>
      <c r="N290" s="21"/>
      <c r="O290" s="21"/>
      <c r="P290" s="21"/>
      <c r="Q290" s="21"/>
    </row>
    <row r="291" spans="2:20" ht="18">
      <c r="B291" s="1063" t="s">
        <v>840</v>
      </c>
      <c r="C291" s="2747"/>
      <c r="D291" s="2747"/>
      <c r="E291" s="2747"/>
      <c r="F291" s="2631"/>
      <c r="G291" s="59">
        <v>0</v>
      </c>
      <c r="H291" s="1059">
        <v>7083000</v>
      </c>
      <c r="I291" s="21"/>
      <c r="J291" s="21"/>
      <c r="K291" s="21"/>
      <c r="L291" s="21"/>
      <c r="M291" s="21"/>
      <c r="N291" s="21"/>
      <c r="O291" s="21"/>
      <c r="P291" s="21"/>
      <c r="Q291" s="21"/>
      <c r="R291" s="2618"/>
      <c r="T291" s="2748"/>
    </row>
    <row r="292" spans="2:20" ht="18">
      <c r="B292" s="1063" t="s">
        <v>202</v>
      </c>
      <c r="C292" s="2747"/>
      <c r="D292" s="2747"/>
      <c r="E292" s="2747"/>
      <c r="F292" s="2631"/>
      <c r="G292" s="59">
        <f>+GETPIVOTDATA("Sum of Dr. Final 23-24",Pivot!$A$1,"PARTICULARS","Interest Receivable on Power","Note",9,"BS Main Head","Other Financial Assets","BS Sub Head","Interest Receivable on Power")-GETPIVOTDATA("Sum of Cr. Final 23-24",Pivot!$A$1,"PARTICULARS","Interest Receivable on Power","Note",9,"BS Main Head","Other Financial Assets","BS Sub Head","Interest Receivable on Power")</f>
        <v>319057</v>
      </c>
      <c r="H292" s="1059">
        <v>0</v>
      </c>
      <c r="I292" s="21"/>
      <c r="J292" s="21"/>
      <c r="K292" s="21"/>
      <c r="L292" s="21"/>
      <c r="M292" s="21"/>
      <c r="N292" s="21"/>
      <c r="O292" s="21"/>
      <c r="P292" s="21"/>
      <c r="Q292" s="21"/>
      <c r="R292" s="2618"/>
      <c r="T292" s="2748"/>
    </row>
    <row r="293" spans="2:20" ht="18.600000000000001" thickBot="1">
      <c r="B293" s="2677"/>
      <c r="C293" s="2721"/>
      <c r="D293" s="2721"/>
      <c r="E293" s="2721"/>
      <c r="F293" s="2676"/>
      <c r="G293" s="60">
        <f>+SUM(G286:G292)-G291-G290</f>
        <v>7407950.3599999994</v>
      </c>
      <c r="H293" s="60">
        <f>+SUM(H286:H292)-H291-H290</f>
        <v>10949791.359999999</v>
      </c>
      <c r="I293" s="1998"/>
      <c r="J293" s="1998"/>
      <c r="K293" s="1998"/>
      <c r="L293" s="1998"/>
      <c r="M293" s="1998"/>
      <c r="N293" s="1998"/>
      <c r="O293" s="1998"/>
      <c r="P293" s="1998"/>
      <c r="Q293" s="1998"/>
      <c r="S293" s="2593"/>
    </row>
    <row r="294" spans="2:20" ht="18.600000000000001" thickTop="1">
      <c r="B294" s="1076" t="s">
        <v>2640</v>
      </c>
      <c r="C294" s="24"/>
      <c r="D294" s="24"/>
      <c r="E294" s="24"/>
      <c r="F294" s="2631"/>
      <c r="G294" s="59"/>
      <c r="H294" s="1059"/>
      <c r="I294" s="21"/>
      <c r="J294" s="21"/>
      <c r="K294" s="21"/>
      <c r="L294" s="21"/>
      <c r="M294" s="21"/>
      <c r="N294" s="21"/>
      <c r="O294" s="21"/>
      <c r="P294" s="21"/>
      <c r="Q294" s="21"/>
    </row>
    <row r="295" spans="2:20" ht="18">
      <c r="B295" s="1063" t="s">
        <v>841</v>
      </c>
      <c r="C295" s="21"/>
      <c r="D295" s="21"/>
      <c r="E295" s="21"/>
      <c r="F295" s="2631"/>
      <c r="G295" s="59">
        <f>+GETPIVOTDATA("Sum of Dr. Final 23-24",Pivot!$A$1,"Note",10,"BS Main Head","Other Current Assets","BS Sub Head","Advance to Suppliers")-GETPIVOTDATA("Sum of Cr. Final 23-24",Pivot!$A$1,"Note",10,"BS Main Head","Other Current Assets","BS Sub Head","Advance to Suppliers")</f>
        <v>5472750.4299999997</v>
      </c>
      <c r="H295" s="1059">
        <f>+GETPIVOTDATA("Sum of Dr. Final 22-23",Pivot!$A$1,"Note",10,"BS Main Head","Other Current Assets","BS Sub Head","Advance to Suppliers")</f>
        <v>8422074</v>
      </c>
      <c r="I295" s="21"/>
      <c r="J295" s="21"/>
      <c r="K295" s="21"/>
      <c r="L295" s="21"/>
      <c r="M295" s="21"/>
      <c r="N295" s="21"/>
      <c r="O295" s="21"/>
      <c r="P295" s="21"/>
      <c r="Q295" s="21"/>
      <c r="R295" s="2618"/>
    </row>
    <row r="296" spans="2:20" ht="18">
      <c r="B296" s="1063" t="s">
        <v>201</v>
      </c>
      <c r="C296" s="56"/>
      <c r="D296" s="56"/>
      <c r="E296" s="56"/>
      <c r="F296" s="2631"/>
      <c r="G296" s="59">
        <f>+GETPIVOTDATA("Sum of Dr. Final 23-24",Pivot!$A$1,"Note",10,"BS Main Head","Other Current Assets","BS Sub Head","Prepaid Expenses")-GETPIVOTDATA("Sum of Cr. Final 23-24",Pivot!$A$1,"Note",10,"BS Main Head","Other Current Assets","BS Sub Head","Prepaid Expenses")</f>
        <v>1477353</v>
      </c>
      <c r="H296" s="1059">
        <f>+GETPIVOTDATA("Sum of Dr. Final 22-23",Pivot!$A$1,"Note",10,"BS Main Head","Other Current Assets","BS Sub Head","Prepaid Expenses")</f>
        <v>1216935</v>
      </c>
      <c r="I296" s="21"/>
      <c r="J296" s="21"/>
      <c r="K296" s="21"/>
      <c r="L296" s="21"/>
      <c r="M296" s="21"/>
      <c r="N296" s="21"/>
      <c r="O296" s="21"/>
      <c r="P296" s="21"/>
      <c r="Q296" s="21"/>
      <c r="S296" s="2594"/>
    </row>
    <row r="297" spans="2:20" ht="18">
      <c r="B297" s="1063" t="s">
        <v>842</v>
      </c>
      <c r="C297" s="56"/>
      <c r="D297" s="56"/>
      <c r="E297" s="56"/>
      <c r="F297" s="2631"/>
      <c r="G297" s="59">
        <f>+GETPIVOTDATA("Sum of Dr. Final 23-24",Pivot!$A$1,"Note",10,"BS Main Head","Other Current Assets","BS Sub Head","Insurance claim Receivable")-GETPIVOTDATA("Sum of Cr. Final 23-24",Pivot!$A$1,"Note",10,"BS Main Head","Other Current Assets","BS Sub Head","Insurance claim Receivable")</f>
        <v>195208</v>
      </c>
      <c r="H297" s="1059">
        <f>+GETPIVOTDATA("Sum of Dr. Final 22-23",Pivot!$A$1,"Note",10,"BS Main Head","Other Current Assets","BS Sub Head","Insurance claim Receivable")</f>
        <v>176191</v>
      </c>
      <c r="I297" s="21"/>
      <c r="J297" s="21"/>
      <c r="K297" s="21"/>
      <c r="L297" s="21"/>
      <c r="M297" s="21"/>
      <c r="N297" s="21"/>
      <c r="O297" s="21"/>
      <c r="P297" s="21"/>
      <c r="Q297" s="21"/>
    </row>
    <row r="298" spans="2:20" ht="18">
      <c r="B298" s="1063" t="s">
        <v>406</v>
      </c>
      <c r="C298" s="56"/>
      <c r="D298" s="56"/>
      <c r="E298" s="56"/>
      <c r="F298" s="2631"/>
      <c r="G298" s="59">
        <f>+GETPIVOTDATA("Sum of Dr. Final 23-24",Pivot!$A$1,"Note",10,"BS Main Head","Other Current Assets","BS Sub Head","Import Claim Receivable")-GETPIVOTDATA("Sum of Cr. Final 23-24",Pivot!$A$1,"Note",10,"BS Main Head","Other Current Assets","BS Sub Head","Import Claim Receivable")</f>
        <v>467365</v>
      </c>
      <c r="H298" s="1059">
        <f>+GETPIVOTDATA("Sum of Dr. Final 22-23",Pivot!$A$1,"Note",10,"BS Main Head","Other Current Assets","BS Sub Head","Import Claim Receivable")</f>
        <v>221984</v>
      </c>
      <c r="I298" s="21"/>
      <c r="J298" s="21"/>
      <c r="K298" s="21"/>
      <c r="L298" s="21"/>
      <c r="M298" s="21"/>
      <c r="N298" s="21"/>
      <c r="O298" s="21"/>
      <c r="P298" s="21"/>
      <c r="Q298" s="21"/>
      <c r="S298" s="2749"/>
    </row>
    <row r="299" spans="2:20" ht="18.600000000000001" thickBot="1">
      <c r="B299" s="2677"/>
      <c r="C299" s="56"/>
      <c r="D299" s="56"/>
      <c r="E299" s="56"/>
      <c r="F299" s="2676"/>
      <c r="G299" s="60">
        <f>+SUM(G295:G298)</f>
        <v>7612676.4299999997</v>
      </c>
      <c r="H299" s="1080">
        <f>+SUM(H295:H298)</f>
        <v>10037184</v>
      </c>
      <c r="I299" s="1998"/>
      <c r="J299" s="1998"/>
      <c r="K299" s="1998"/>
      <c r="L299" s="1998"/>
      <c r="M299" s="1998"/>
      <c r="N299" s="1998"/>
      <c r="O299" s="1998"/>
      <c r="P299" s="1998"/>
      <c r="Q299" s="1998"/>
    </row>
    <row r="300" spans="2:20" ht="18.600000000000001" thickTop="1">
      <c r="B300" s="1076" t="s">
        <v>2641</v>
      </c>
      <c r="C300" s="56"/>
      <c r="D300" s="56"/>
      <c r="E300" s="56"/>
      <c r="F300" s="2676"/>
      <c r="G300" s="68"/>
      <c r="H300" s="1090"/>
      <c r="I300" s="26"/>
      <c r="J300" s="26"/>
      <c r="K300" s="26"/>
      <c r="L300" s="26"/>
      <c r="M300" s="26"/>
      <c r="N300" s="26"/>
      <c r="O300" s="26"/>
      <c r="P300" s="26"/>
      <c r="Q300" s="26"/>
    </row>
    <row r="301" spans="2:20" ht="18">
      <c r="B301" s="1063" t="s">
        <v>843</v>
      </c>
      <c r="C301" s="24"/>
      <c r="D301" s="24"/>
      <c r="E301" s="24"/>
      <c r="F301" s="2631"/>
      <c r="G301" s="59">
        <f>+GETPIVOTDATA("Sum of Dr. Final 23-24",Pivot!$A$1,"PARTICULARS","TDS (AY 2024-25)","Note",11,"BS Main Head","Current Tax Assets","BS Sub Head","Advance Income Tax")+GETPIVOTDATA("Sum of Dr. Final 23-24",Pivot!$A$1,"PARTICULARS","T C S (A. Y. 2024-25)","Note",11,"BS Main Head","Current Tax Assets","BS Sub Head","Advance Income Tax")</f>
        <v>488737.92</v>
      </c>
      <c r="H301" s="1059">
        <f>+GETPIVOTDATA("Sum of Dr. Final 22-23",Pivot!$A$1,"PARTICULARS","TDS (A.Y. 2023-24)","Note",11,"BS Main Head","Current Tax Assets","BS Sub Head","Advance Income Tax")+GETPIVOTDATA("Sum of Dr. Final 22-23",Pivot!$A$1,"PARTICULARS","T C S ( A.Y. 2023-24)","Note",11,"BS Main Head","Current Tax Assets","BS Sub Head","Advance Income Tax")</f>
        <v>27609</v>
      </c>
      <c r="I301" s="21"/>
      <c r="J301" s="21"/>
      <c r="K301" s="21"/>
      <c r="L301" s="21"/>
      <c r="M301" s="21"/>
      <c r="N301" s="21"/>
      <c r="O301" s="21"/>
      <c r="P301" s="21"/>
      <c r="Q301" s="21"/>
    </row>
    <row r="302" spans="2:20" ht="18.600000000000001" thickBot="1">
      <c r="B302" s="2677"/>
      <c r="C302" s="56"/>
      <c r="D302" s="56"/>
      <c r="E302" s="56"/>
      <c r="F302" s="2676"/>
      <c r="G302" s="60">
        <f>+G301</f>
        <v>488737.92</v>
      </c>
      <c r="H302" s="1080">
        <f>+H301</f>
        <v>27609</v>
      </c>
      <c r="I302" s="1998"/>
      <c r="J302" s="1998"/>
      <c r="K302" s="1998"/>
      <c r="L302" s="1998"/>
      <c r="M302" s="1998"/>
      <c r="N302" s="1998"/>
      <c r="O302" s="1998"/>
      <c r="P302" s="1998"/>
      <c r="Q302" s="1998"/>
    </row>
    <row r="303" spans="2:20" ht="15" hidden="1" thickTop="1">
      <c r="B303" s="2750"/>
      <c r="H303" s="2751"/>
    </row>
    <row r="304" spans="2:20" hidden="1">
      <c r="B304" s="2750"/>
      <c r="H304" s="2751"/>
    </row>
    <row r="305" spans="2:26" ht="18" hidden="1">
      <c r="B305" s="2690" t="s">
        <v>0</v>
      </c>
      <c r="C305" s="1054"/>
      <c r="D305" s="1054"/>
      <c r="E305" s="1054"/>
      <c r="F305" s="2691"/>
      <c r="G305" s="1004" t="s">
        <v>704</v>
      </c>
      <c r="H305" s="1005" t="s">
        <v>704</v>
      </c>
      <c r="I305" s="1996"/>
      <c r="J305" s="1996"/>
      <c r="K305" s="1996"/>
      <c r="L305" s="1996"/>
      <c r="M305" s="1996"/>
      <c r="N305" s="1996"/>
      <c r="O305" s="1996"/>
      <c r="P305" s="1996"/>
      <c r="Q305" s="1996"/>
    </row>
    <row r="306" spans="2:26" ht="18" hidden="1">
      <c r="B306" s="1036"/>
      <c r="C306" s="44"/>
      <c r="D306" s="44"/>
      <c r="E306" s="44"/>
      <c r="F306" s="2692"/>
      <c r="G306" s="30" t="str">
        <f>+G6</f>
        <v>March 31, 2024 (₹)</v>
      </c>
      <c r="H306" s="1038" t="str">
        <f>+H6</f>
        <v>March 31, 2023 (₹)</v>
      </c>
      <c r="I306" s="1996"/>
      <c r="J306" s="1996"/>
      <c r="K306" s="1996"/>
      <c r="L306" s="1996"/>
      <c r="M306" s="1996"/>
      <c r="N306" s="1996"/>
      <c r="O306" s="1996"/>
      <c r="P306" s="1996"/>
      <c r="Q306" s="1996"/>
    </row>
    <row r="307" spans="2:26" ht="18" hidden="1">
      <c r="B307" s="1063"/>
      <c r="C307" s="24"/>
      <c r="D307" s="24"/>
      <c r="E307" s="24"/>
      <c r="F307" s="2676"/>
      <c r="G307" s="55"/>
      <c r="H307" s="1075"/>
      <c r="I307" s="1996"/>
      <c r="J307" s="1996"/>
      <c r="K307" s="1996"/>
      <c r="L307" s="1996"/>
      <c r="M307" s="1996"/>
      <c r="N307" s="1996"/>
      <c r="O307" s="1996"/>
      <c r="P307" s="1996"/>
      <c r="Q307" s="1996"/>
    </row>
    <row r="308" spans="2:26" ht="18.600000000000001" thickTop="1">
      <c r="B308" s="1076" t="s">
        <v>2642</v>
      </c>
      <c r="C308" s="56"/>
      <c r="D308" s="56"/>
      <c r="E308" s="56"/>
      <c r="F308" s="2676"/>
      <c r="G308" s="69"/>
      <c r="H308" s="1090"/>
      <c r="I308" s="26"/>
      <c r="J308" s="26"/>
      <c r="K308" s="26"/>
      <c r="L308" s="26"/>
      <c r="M308" s="26"/>
      <c r="N308" s="26"/>
      <c r="O308" s="26"/>
      <c r="P308" s="26"/>
      <c r="Q308" s="26"/>
    </row>
    <row r="309" spans="2:26" ht="18">
      <c r="B309" s="1081"/>
      <c r="C309" s="61"/>
      <c r="D309" s="61"/>
      <c r="E309" s="61"/>
      <c r="F309" s="2631"/>
      <c r="G309" s="48"/>
      <c r="H309" s="1059"/>
      <c r="I309" s="21"/>
      <c r="J309" s="21"/>
      <c r="K309" s="21"/>
      <c r="L309" s="21"/>
      <c r="M309" s="21"/>
      <c r="N309" s="21"/>
      <c r="O309" s="21"/>
      <c r="P309" s="21"/>
      <c r="Q309" s="21"/>
    </row>
    <row r="310" spans="2:26" ht="18">
      <c r="B310" s="1091" t="s">
        <v>844</v>
      </c>
      <c r="C310" s="71"/>
      <c r="D310" s="71"/>
      <c r="E310" s="71"/>
      <c r="F310" s="2631"/>
      <c r="G310" s="48"/>
      <c r="H310" s="1059"/>
      <c r="I310" s="21"/>
      <c r="J310" s="21"/>
      <c r="K310" s="21"/>
      <c r="L310" s="21"/>
      <c r="M310" s="21"/>
      <c r="N310" s="21"/>
      <c r="O310" s="21"/>
      <c r="P310" s="21"/>
      <c r="Q310" s="21"/>
    </row>
    <row r="311" spans="2:26" ht="18">
      <c r="B311" s="2752" t="s">
        <v>845</v>
      </c>
      <c r="C311" s="2753"/>
      <c r="D311" s="2753"/>
      <c r="E311" s="2753"/>
      <c r="F311" s="2754"/>
      <c r="G311" s="72">
        <v>35000000</v>
      </c>
      <c r="H311" s="1093">
        <v>35000000</v>
      </c>
      <c r="I311" s="1874"/>
      <c r="J311" s="1874"/>
      <c r="K311" s="1874"/>
      <c r="L311" s="1874"/>
      <c r="M311" s="1874"/>
      <c r="N311" s="1874"/>
      <c r="O311" s="1874"/>
      <c r="P311" s="1874"/>
      <c r="Q311" s="1874"/>
    </row>
    <row r="312" spans="2:26" ht="18.600000000000001" thickBot="1">
      <c r="B312" s="2752"/>
      <c r="C312" s="2753"/>
      <c r="D312" s="2753"/>
      <c r="E312" s="2753"/>
      <c r="F312" s="2631"/>
      <c r="G312" s="844">
        <v>35000000</v>
      </c>
      <c r="H312" s="1094">
        <v>35000000</v>
      </c>
      <c r="I312" s="26"/>
      <c r="J312" s="26"/>
      <c r="K312" s="26"/>
      <c r="L312" s="26"/>
      <c r="M312" s="26"/>
      <c r="N312" s="26"/>
      <c r="O312" s="26"/>
      <c r="P312" s="26"/>
      <c r="Q312" s="26"/>
    </row>
    <row r="313" spans="2:26" ht="18.600000000000001" thickTop="1">
      <c r="B313" s="2755" t="s">
        <v>846</v>
      </c>
      <c r="C313" s="2756"/>
      <c r="D313" s="2756"/>
      <c r="E313" s="2756"/>
      <c r="F313" s="2631"/>
      <c r="G313" s="48"/>
      <c r="H313" s="1059"/>
      <c r="I313" s="21"/>
      <c r="J313" s="21"/>
      <c r="K313" s="21"/>
      <c r="L313" s="21"/>
      <c r="M313" s="21"/>
      <c r="N313" s="21"/>
      <c r="O313" s="21"/>
      <c r="P313" s="21"/>
      <c r="Q313" s="21"/>
    </row>
    <row r="314" spans="2:26" ht="18">
      <c r="B314" s="2757" t="s">
        <v>847</v>
      </c>
      <c r="C314" s="2758"/>
      <c r="D314" s="2758"/>
      <c r="E314" s="2758"/>
      <c r="F314" s="2758"/>
      <c r="G314" s="48">
        <f>+G147</f>
        <v>26922650</v>
      </c>
      <c r="H314" s="1059">
        <f>+H147</f>
        <v>26922650</v>
      </c>
      <c r="I314" s="21"/>
      <c r="J314" s="21"/>
      <c r="K314" s="21"/>
      <c r="L314" s="21"/>
      <c r="M314" s="21"/>
      <c r="N314" s="21"/>
      <c r="O314" s="21"/>
      <c r="P314" s="21"/>
      <c r="Q314" s="21"/>
    </row>
    <row r="315" spans="2:26" ht="18">
      <c r="B315" s="2757"/>
      <c r="C315" s="2758"/>
      <c r="D315" s="2758"/>
      <c r="E315" s="2758"/>
      <c r="F315" s="2758"/>
      <c r="G315" s="73"/>
      <c r="H315" s="1096"/>
      <c r="I315" s="2009"/>
      <c r="J315" s="2009"/>
      <c r="K315" s="2009"/>
      <c r="L315" s="2009"/>
      <c r="M315" s="2009"/>
      <c r="N315" s="2009"/>
      <c r="O315" s="2009"/>
      <c r="P315" s="2009"/>
      <c r="Q315" s="2009"/>
    </row>
    <row r="316" spans="2:26" ht="18.600000000000001" thickBot="1">
      <c r="B316" s="1081"/>
      <c r="C316" s="61"/>
      <c r="D316" s="61"/>
      <c r="E316" s="61"/>
      <c r="F316" s="2631"/>
      <c r="G316" s="60">
        <v>26922650</v>
      </c>
      <c r="H316" s="1080">
        <v>26922650</v>
      </c>
      <c r="I316" s="1998"/>
      <c r="J316" s="1998"/>
      <c r="K316" s="1998"/>
      <c r="L316" s="1998"/>
      <c r="M316" s="1998"/>
      <c r="N316" s="1998"/>
      <c r="O316" s="1998"/>
      <c r="P316" s="1998"/>
      <c r="Q316" s="1998"/>
    </row>
    <row r="317" spans="2:26" ht="18.600000000000001" thickTop="1">
      <c r="B317" s="2759" t="s">
        <v>848</v>
      </c>
      <c r="C317" s="2753"/>
      <c r="D317" s="2753"/>
      <c r="E317" s="2753"/>
      <c r="F317" s="2631"/>
      <c r="G317" s="48"/>
      <c r="H317" s="1059"/>
      <c r="I317" s="21"/>
      <c r="J317" s="21"/>
      <c r="K317" s="21"/>
      <c r="L317" s="21"/>
      <c r="M317" s="21"/>
      <c r="N317" s="21"/>
      <c r="O317" s="21"/>
      <c r="P317" s="21"/>
      <c r="Q317" s="21"/>
    </row>
    <row r="318" spans="2:26" ht="18">
      <c r="B318" s="2760" t="s">
        <v>849</v>
      </c>
      <c r="C318" s="2761"/>
      <c r="D318" s="2762"/>
      <c r="E318" s="2763">
        <v>45382</v>
      </c>
      <c r="F318" s="2763">
        <v>45016</v>
      </c>
      <c r="G318" s="2764">
        <v>45382</v>
      </c>
      <c r="H318" s="2765">
        <v>45016</v>
      </c>
      <c r="I318" s="2766"/>
      <c r="J318" s="2766"/>
      <c r="K318" s="2766"/>
      <c r="L318" s="2766"/>
      <c r="M318" s="2766"/>
      <c r="N318" s="2766"/>
      <c r="O318" s="2766"/>
      <c r="P318" s="2766"/>
      <c r="Q318" s="2766"/>
    </row>
    <row r="319" spans="2:26" ht="18">
      <c r="B319" s="2767"/>
      <c r="C319" s="2768"/>
      <c r="D319" s="2769"/>
      <c r="E319" s="2770" t="s">
        <v>852</v>
      </c>
      <c r="F319" s="2770" t="s">
        <v>852</v>
      </c>
      <c r="G319" s="849" t="s">
        <v>853</v>
      </c>
      <c r="H319" s="1100" t="s">
        <v>853</v>
      </c>
      <c r="I319" s="2011"/>
      <c r="J319" s="2011"/>
      <c r="K319" s="2011"/>
      <c r="L319" s="2011"/>
      <c r="M319" s="2011"/>
      <c r="N319" s="2011"/>
      <c r="O319" s="2011"/>
      <c r="P319" s="2011"/>
      <c r="Q319" s="2011"/>
      <c r="V319" s="2771" t="s">
        <v>849</v>
      </c>
      <c r="W319" s="2772"/>
      <c r="X319" s="2773" t="s">
        <v>850</v>
      </c>
      <c r="Y319" s="2773" t="s">
        <v>851</v>
      </c>
      <c r="Z319" s="2774"/>
    </row>
    <row r="320" spans="2:26" ht="18">
      <c r="B320" s="1101" t="s">
        <v>2116</v>
      </c>
      <c r="C320" s="85"/>
      <c r="D320" s="85"/>
      <c r="E320" s="846">
        <v>0.12520000000000001</v>
      </c>
      <c r="F320" s="846">
        <v>0.12516709907828538</v>
      </c>
      <c r="G320" s="48">
        <v>337058</v>
      </c>
      <c r="H320" s="1059">
        <v>337058</v>
      </c>
      <c r="I320" s="21"/>
      <c r="J320" s="21"/>
      <c r="K320" s="21"/>
      <c r="L320" s="21"/>
      <c r="M320" s="21"/>
      <c r="N320" s="21"/>
      <c r="O320" s="21"/>
      <c r="P320" s="21"/>
      <c r="Q320" s="21"/>
      <c r="V320" s="2775"/>
      <c r="W320" s="2768"/>
      <c r="X320" s="2770" t="s">
        <v>852</v>
      </c>
      <c r="Y320" s="2770" t="s">
        <v>852</v>
      </c>
      <c r="Z320" s="2776" t="s">
        <v>853</v>
      </c>
    </row>
    <row r="321" spans="2:26" ht="18">
      <c r="B321" s="1101" t="s">
        <v>854</v>
      </c>
      <c r="C321" s="85"/>
      <c r="D321" s="85"/>
      <c r="E321" s="846">
        <v>9.9900000000000003E-2</v>
      </c>
      <c r="F321" s="846">
        <v>9.9306717577950163E-2</v>
      </c>
      <c r="G321" s="11">
        <f>+HDE2023_2024_BUY_SELL!G177</f>
        <v>268860</v>
      </c>
      <c r="H321" s="1015">
        <v>267360</v>
      </c>
      <c r="I321" s="1874"/>
      <c r="J321" s="1874"/>
      <c r="K321" s="1874"/>
      <c r="L321" s="1874"/>
      <c r="M321" s="1874"/>
      <c r="N321" s="1874"/>
      <c r="O321" s="1874"/>
      <c r="P321" s="1874"/>
      <c r="Q321" s="1874"/>
      <c r="V321" s="2777" t="s">
        <v>854</v>
      </c>
      <c r="W321" s="2778"/>
      <c r="X321" s="2779">
        <v>9.9306717577950163</v>
      </c>
      <c r="Y321" s="2779">
        <v>9.9306717577950163</v>
      </c>
      <c r="Z321" s="48">
        <v>267360</v>
      </c>
    </row>
    <row r="322" spans="2:26" ht="18">
      <c r="B322" s="1101" t="s">
        <v>855</v>
      </c>
      <c r="C322" s="85"/>
      <c r="D322" s="85"/>
      <c r="E322" s="846">
        <v>8.9899999999999994E-2</v>
      </c>
      <c r="F322" s="846">
        <v>8.9885282466621974E-2</v>
      </c>
      <c r="G322" s="48">
        <f>+HDE2023_2024_BUY_SELL!G43</f>
        <v>241995</v>
      </c>
      <c r="H322" s="1059">
        <v>241995</v>
      </c>
      <c r="I322" s="21"/>
      <c r="J322" s="21"/>
      <c r="K322" s="21"/>
      <c r="L322" s="21"/>
      <c r="M322" s="21"/>
      <c r="N322" s="21"/>
      <c r="O322" s="21"/>
      <c r="P322" s="21"/>
      <c r="Q322" s="21"/>
      <c r="V322" s="2777" t="s">
        <v>855</v>
      </c>
      <c r="W322" s="2778"/>
      <c r="X322" s="2779">
        <v>8.9884000000000004</v>
      </c>
      <c r="Y322" s="2779">
        <v>8.9884000000000004</v>
      </c>
      <c r="Z322" s="11">
        <v>241995</v>
      </c>
    </row>
    <row r="323" spans="2:26" ht="18">
      <c r="B323" s="1101" t="s">
        <v>856</v>
      </c>
      <c r="C323" s="85"/>
      <c r="D323" s="85"/>
      <c r="E323" s="846">
        <v>8.3500000000000005E-2</v>
      </c>
      <c r="F323" s="846">
        <v>8.3537467522699291E-2</v>
      </c>
      <c r="G323" s="48">
        <v>228405</v>
      </c>
      <c r="H323" s="1059">
        <v>228405</v>
      </c>
      <c r="I323" s="21"/>
      <c r="J323" s="21"/>
      <c r="K323" s="21"/>
      <c r="L323" s="21"/>
      <c r="M323" s="21"/>
      <c r="N323" s="21"/>
      <c r="O323" s="21"/>
      <c r="P323" s="21"/>
      <c r="Q323" s="21"/>
      <c r="V323" s="2777" t="s">
        <v>856</v>
      </c>
      <c r="W323" s="2778"/>
      <c r="X323" s="2779">
        <v>8.4837488137311894</v>
      </c>
      <c r="Y323" s="2779">
        <v>8.4837488137311894</v>
      </c>
      <c r="Z323" s="48">
        <v>228405</v>
      </c>
    </row>
    <row r="324" spans="2:26" ht="18">
      <c r="B324" s="1101" t="s">
        <v>857</v>
      </c>
      <c r="C324" s="85"/>
      <c r="D324" s="85"/>
      <c r="E324" s="846">
        <v>6.9199999999999998E-2</v>
      </c>
      <c r="F324" s="846">
        <v>6.9196382971215692E-2</v>
      </c>
      <c r="G324" s="48">
        <f>+HDE2023_2024_BUY_SELL!G53</f>
        <v>186295</v>
      </c>
      <c r="H324" s="1059">
        <v>186295</v>
      </c>
      <c r="I324" s="21"/>
      <c r="J324" s="21"/>
      <c r="K324" s="21"/>
      <c r="L324" s="21"/>
      <c r="M324" s="21"/>
      <c r="N324" s="21"/>
      <c r="O324" s="21"/>
      <c r="P324" s="21"/>
      <c r="Q324" s="21"/>
      <c r="V324" s="2777" t="s">
        <v>857</v>
      </c>
      <c r="W324" s="2778"/>
      <c r="X324" s="2779">
        <v>6.9196382971215691</v>
      </c>
      <c r="Y324" s="2779">
        <v>6.9196382971215691</v>
      </c>
      <c r="Z324" s="48">
        <v>186295</v>
      </c>
    </row>
    <row r="325" spans="2:26" ht="18">
      <c r="B325" s="1101" t="s">
        <v>858</v>
      </c>
      <c r="C325" s="85"/>
      <c r="D325" s="85"/>
      <c r="E325" s="846">
        <v>5.6099999999999997E-2</v>
      </c>
      <c r="F325" s="846">
        <v>5.6066174763628393E-2</v>
      </c>
      <c r="G325" s="48">
        <f>+HDE2023_2024_BUY_SELL!G179</f>
        <v>150945</v>
      </c>
      <c r="H325" s="1059">
        <v>150945</v>
      </c>
      <c r="I325" s="21"/>
      <c r="J325" s="21"/>
      <c r="K325" s="21"/>
      <c r="L325" s="21"/>
      <c r="M325" s="21"/>
      <c r="N325" s="21"/>
      <c r="O325" s="21"/>
      <c r="P325" s="21"/>
      <c r="Q325" s="21"/>
      <c r="V325" s="2777" t="s">
        <v>858</v>
      </c>
      <c r="W325" s="2778"/>
      <c r="X325" s="2779">
        <v>5.6066174763628389</v>
      </c>
      <c r="Y325" s="2779">
        <v>5.6066174763628389</v>
      </c>
      <c r="Z325" s="48">
        <v>150945</v>
      </c>
    </row>
    <row r="326" spans="2:26" ht="18">
      <c r="B326" s="1102"/>
      <c r="C326" s="2780"/>
      <c r="D326" s="2780"/>
      <c r="E326" s="847"/>
      <c r="F326" s="847"/>
      <c r="G326" s="66"/>
      <c r="H326" s="1103"/>
      <c r="I326" s="21"/>
      <c r="J326" s="21"/>
      <c r="K326" s="21"/>
      <c r="L326" s="21"/>
      <c r="M326" s="21"/>
      <c r="N326" s="21"/>
      <c r="O326" s="21"/>
      <c r="P326" s="21"/>
      <c r="Q326" s="21"/>
      <c r="V326" s="2781" t="s">
        <v>859</v>
      </c>
      <c r="W326" s="2782"/>
      <c r="X326" s="2783">
        <v>5.09</v>
      </c>
      <c r="Y326" s="2783">
        <v>5.09</v>
      </c>
      <c r="Z326" s="66">
        <v>137078</v>
      </c>
    </row>
    <row r="327" spans="2:26" ht="18">
      <c r="B327" s="1081"/>
      <c r="C327" s="2631"/>
      <c r="D327" s="2631"/>
      <c r="E327" s="2631"/>
      <c r="F327" s="2631"/>
      <c r="G327" s="48"/>
      <c r="H327" s="1059"/>
      <c r="I327" s="21"/>
      <c r="J327" s="21"/>
      <c r="K327" s="21"/>
      <c r="L327" s="21"/>
      <c r="M327" s="21"/>
      <c r="N327" s="21"/>
      <c r="O327" s="21"/>
      <c r="P327" s="21"/>
      <c r="Q327" s="21"/>
    </row>
    <row r="328" spans="2:26" ht="18">
      <c r="B328" s="2784" t="s">
        <v>860</v>
      </c>
      <c r="C328" s="2785"/>
      <c r="D328" s="2785"/>
      <c r="E328" s="2785"/>
      <c r="F328" s="2785"/>
      <c r="G328" s="74"/>
      <c r="H328" s="1104"/>
      <c r="I328" s="77"/>
      <c r="J328" s="77"/>
      <c r="K328" s="77"/>
      <c r="L328" s="77"/>
      <c r="M328" s="77"/>
      <c r="N328" s="77"/>
      <c r="O328" s="77"/>
      <c r="P328" s="77"/>
      <c r="Q328" s="77"/>
    </row>
    <row r="329" spans="2:26" ht="18">
      <c r="B329" s="1477" t="s">
        <v>0</v>
      </c>
      <c r="C329" s="2786"/>
      <c r="D329" s="2786"/>
      <c r="E329" s="2786"/>
      <c r="F329" s="2786"/>
      <c r="G329" s="1434" t="s">
        <v>853</v>
      </c>
      <c r="H329" s="1478" t="s">
        <v>853</v>
      </c>
      <c r="I329" s="2011"/>
      <c r="J329" s="2011"/>
      <c r="K329" s="2011"/>
      <c r="L329" s="2011"/>
      <c r="M329" s="2011"/>
      <c r="N329" s="2011"/>
      <c r="O329" s="2011"/>
      <c r="P329" s="2011"/>
      <c r="Q329" s="2011"/>
    </row>
    <row r="330" spans="2:26" ht="18">
      <c r="B330" s="1063" t="s">
        <v>861</v>
      </c>
      <c r="C330" s="2631"/>
      <c r="D330" s="2631"/>
      <c r="E330" s="2631"/>
      <c r="F330" s="2631"/>
      <c r="G330" s="48">
        <v>2692265</v>
      </c>
      <c r="H330" s="1059">
        <v>2692265</v>
      </c>
      <c r="I330" s="21"/>
      <c r="J330" s="21"/>
      <c r="K330" s="21"/>
      <c r="L330" s="21"/>
      <c r="M330" s="21"/>
      <c r="N330" s="21"/>
      <c r="O330" s="21"/>
      <c r="P330" s="21"/>
      <c r="Q330" s="21"/>
      <c r="R330" s="2787"/>
    </row>
    <row r="331" spans="2:26" ht="18">
      <c r="B331" s="1063" t="s">
        <v>862</v>
      </c>
      <c r="C331" s="2631"/>
      <c r="D331" s="2631"/>
      <c r="E331" s="2631"/>
      <c r="F331" s="2631"/>
      <c r="G331" s="72">
        <v>0</v>
      </c>
      <c r="H331" s="1093">
        <v>0</v>
      </c>
      <c r="I331" s="1874"/>
      <c r="J331" s="1874"/>
      <c r="K331" s="1874"/>
      <c r="L331" s="1874"/>
      <c r="M331" s="1874"/>
      <c r="N331" s="1874"/>
      <c r="O331" s="1874"/>
      <c r="P331" s="1874"/>
      <c r="Q331" s="1874"/>
    </row>
    <row r="332" spans="2:26" ht="18">
      <c r="B332" s="1036" t="s">
        <v>863</v>
      </c>
      <c r="C332" s="2780"/>
      <c r="D332" s="2780"/>
      <c r="E332" s="2780"/>
      <c r="F332" s="2780"/>
      <c r="G332" s="1268">
        <f>+G330+G331</f>
        <v>2692265</v>
      </c>
      <c r="H332" s="1268">
        <f>+H330+H331</f>
        <v>2692265</v>
      </c>
      <c r="I332" s="1998"/>
      <c r="J332" s="1998"/>
      <c r="K332" s="1998"/>
      <c r="L332" s="1998"/>
      <c r="M332" s="1998"/>
      <c r="N332" s="1998"/>
      <c r="O332" s="1998"/>
      <c r="P332" s="1998"/>
      <c r="Q332" s="1998"/>
    </row>
    <row r="333" spans="2:26" ht="18">
      <c r="B333" s="1105"/>
      <c r="C333" s="2788"/>
      <c r="D333" s="2788"/>
      <c r="E333" s="2788"/>
      <c r="F333" s="2788"/>
      <c r="G333" s="1107"/>
      <c r="H333" s="1108"/>
      <c r="I333" s="21"/>
      <c r="J333" s="21"/>
      <c r="K333" s="21"/>
      <c r="L333" s="21"/>
      <c r="M333" s="21"/>
      <c r="N333" s="21"/>
      <c r="O333" s="21"/>
      <c r="P333" s="21"/>
      <c r="Q333" s="21"/>
    </row>
    <row r="334" spans="2:26" ht="18">
      <c r="B334" s="2409" t="s">
        <v>3140</v>
      </c>
      <c r="C334" s="2410"/>
      <c r="D334" s="2410"/>
      <c r="E334" s="2410"/>
      <c r="F334" s="2410"/>
      <c r="G334" s="2410"/>
      <c r="H334" s="2411"/>
      <c r="I334" s="1881"/>
      <c r="J334" s="1881"/>
      <c r="K334" s="1881"/>
      <c r="L334" s="1881"/>
      <c r="M334" s="1881"/>
      <c r="N334" s="1881"/>
      <c r="O334" s="1881"/>
      <c r="P334" s="1881"/>
      <c r="Q334" s="1881"/>
    </row>
    <row r="335" spans="2:26" ht="18">
      <c r="B335" s="1109"/>
      <c r="C335" s="75"/>
      <c r="D335" s="75"/>
      <c r="E335" s="75"/>
      <c r="F335" s="75"/>
      <c r="G335" s="76"/>
      <c r="H335" s="1110"/>
      <c r="I335" s="76"/>
      <c r="J335" s="76"/>
      <c r="K335" s="76"/>
      <c r="L335" s="76"/>
      <c r="M335" s="76"/>
      <c r="N335" s="76"/>
      <c r="O335" s="76"/>
      <c r="P335" s="76"/>
      <c r="Q335" s="76"/>
    </row>
    <row r="336" spans="2:26" ht="18">
      <c r="B336" s="2412" t="s">
        <v>864</v>
      </c>
      <c r="C336" s="2413"/>
      <c r="D336" s="2413"/>
      <c r="E336" s="2413"/>
      <c r="F336" s="2413"/>
      <c r="G336" s="77"/>
      <c r="H336" s="1111"/>
      <c r="I336" s="77"/>
      <c r="J336" s="77"/>
      <c r="K336" s="77"/>
      <c r="L336" s="77"/>
      <c r="M336" s="77"/>
      <c r="N336" s="77"/>
      <c r="O336" s="77"/>
      <c r="P336" s="77"/>
      <c r="Q336" s="77"/>
    </row>
    <row r="337" spans="2:19" ht="18">
      <c r="B337" s="1112" t="s">
        <v>865</v>
      </c>
      <c r="C337" s="2631"/>
      <c r="D337" s="2631"/>
      <c r="E337" s="2631"/>
      <c r="F337" s="2631"/>
      <c r="G337" s="21"/>
      <c r="H337" s="1032"/>
      <c r="I337" s="21"/>
      <c r="J337" s="21"/>
      <c r="K337" s="21"/>
      <c r="L337" s="21"/>
      <c r="M337" s="21"/>
      <c r="N337" s="21"/>
      <c r="O337" s="21"/>
      <c r="P337" s="21"/>
      <c r="Q337" s="21"/>
    </row>
    <row r="338" spans="2:19" ht="18">
      <c r="B338" s="2414" t="s">
        <v>2892</v>
      </c>
      <c r="C338" s="2415"/>
      <c r="D338" s="2415"/>
      <c r="E338" s="2415"/>
      <c r="F338" s="2415"/>
      <c r="G338" s="2415"/>
      <c r="H338" s="2416"/>
      <c r="I338" s="1882"/>
      <c r="J338" s="1882"/>
      <c r="K338" s="1882"/>
      <c r="L338" s="1882"/>
      <c r="M338" s="1882"/>
      <c r="N338" s="1882"/>
      <c r="O338" s="1882"/>
      <c r="P338" s="1882"/>
      <c r="Q338" s="1882"/>
    </row>
    <row r="339" spans="2:19" ht="18">
      <c r="B339" s="2414"/>
      <c r="C339" s="2415"/>
      <c r="D339" s="2415"/>
      <c r="E339" s="2415"/>
      <c r="F339" s="2415"/>
      <c r="G339" s="2415"/>
      <c r="H339" s="2416"/>
      <c r="I339" s="1882"/>
      <c r="J339" s="1882"/>
      <c r="K339" s="1882"/>
      <c r="L339" s="1882"/>
      <c r="M339" s="1882"/>
      <c r="N339" s="1882"/>
      <c r="O339" s="1882"/>
      <c r="P339" s="1882"/>
      <c r="Q339" s="1882"/>
    </row>
    <row r="340" spans="2:19" ht="18">
      <c r="B340" s="2414"/>
      <c r="C340" s="2415"/>
      <c r="D340" s="2415"/>
      <c r="E340" s="2415"/>
      <c r="F340" s="2415"/>
      <c r="G340" s="2415"/>
      <c r="H340" s="2416"/>
      <c r="I340" s="1882"/>
      <c r="J340" s="1882"/>
      <c r="K340" s="1882"/>
      <c r="L340" s="1882"/>
      <c r="M340" s="1882"/>
      <c r="N340" s="1882"/>
      <c r="O340" s="1882"/>
      <c r="P340" s="1882"/>
      <c r="Q340" s="1882"/>
    </row>
    <row r="341" spans="2:19" ht="30.75" customHeight="1" thickBot="1">
      <c r="B341" s="2417"/>
      <c r="C341" s="2418"/>
      <c r="D341" s="2418"/>
      <c r="E341" s="2418"/>
      <c r="F341" s="2418"/>
      <c r="G341" s="2418"/>
      <c r="H341" s="2419"/>
      <c r="I341" s="1882"/>
      <c r="J341" s="1882"/>
      <c r="K341" s="1882"/>
      <c r="L341" s="1882"/>
      <c r="M341" s="1882"/>
      <c r="N341" s="1882"/>
      <c r="O341" s="1882"/>
      <c r="P341" s="1882"/>
      <c r="Q341" s="1882"/>
    </row>
    <row r="342" spans="2:19" ht="18">
      <c r="B342" s="2789" t="s">
        <v>702</v>
      </c>
      <c r="C342" s="2790"/>
      <c r="D342" s="2790"/>
      <c r="E342" s="2790"/>
      <c r="F342" s="2790"/>
      <c r="G342" s="2790"/>
      <c r="H342" s="2791"/>
      <c r="I342" s="2709"/>
      <c r="J342" s="2709"/>
      <c r="K342" s="2709"/>
      <c r="L342" s="2709"/>
      <c r="M342" s="2709"/>
      <c r="N342" s="2709"/>
      <c r="O342" s="2709"/>
      <c r="P342" s="2709"/>
      <c r="Q342" s="2709"/>
    </row>
    <row r="343" spans="2:19" ht="18">
      <c r="B343" s="2792" t="s">
        <v>3056</v>
      </c>
      <c r="C343" s="2793"/>
      <c r="D343" s="2793"/>
      <c r="E343" s="2793"/>
      <c r="F343" s="2793"/>
      <c r="G343" s="2793"/>
      <c r="H343" s="2794"/>
      <c r="I343" s="2709"/>
      <c r="J343" s="2709"/>
      <c r="K343" s="2709"/>
      <c r="L343" s="2709"/>
      <c r="M343" s="2709"/>
      <c r="N343" s="2709"/>
      <c r="O343" s="2709"/>
      <c r="P343" s="2709"/>
      <c r="Q343" s="2709"/>
    </row>
    <row r="344" spans="2:19" ht="18">
      <c r="B344" s="1113"/>
      <c r="C344" s="78"/>
      <c r="D344" s="78"/>
      <c r="E344" s="78"/>
      <c r="F344" s="78"/>
      <c r="G344" s="54"/>
      <c r="H344" s="1074"/>
      <c r="I344" s="54"/>
      <c r="J344" s="54"/>
      <c r="K344" s="54"/>
      <c r="L344" s="54"/>
      <c r="M344" s="54"/>
      <c r="N344" s="54"/>
      <c r="O344" s="54"/>
      <c r="P344" s="54"/>
      <c r="Q344" s="54"/>
    </row>
    <row r="345" spans="2:19" ht="18">
      <c r="B345" s="1114" t="s">
        <v>866</v>
      </c>
      <c r="C345" s="24"/>
      <c r="D345" s="24"/>
      <c r="E345" s="24"/>
      <c r="F345" s="2676"/>
      <c r="G345" s="26"/>
      <c r="H345" s="1034"/>
      <c r="I345" s="26"/>
      <c r="J345" s="26"/>
      <c r="K345" s="26"/>
      <c r="L345" s="26"/>
      <c r="M345" s="26"/>
      <c r="N345" s="26"/>
      <c r="O345" s="26"/>
      <c r="P345" s="26"/>
      <c r="Q345" s="26"/>
    </row>
    <row r="346" spans="2:19" ht="18">
      <c r="B346" s="1115" t="s">
        <v>3141</v>
      </c>
      <c r="C346" s="44"/>
      <c r="D346" s="44"/>
      <c r="E346" s="44"/>
      <c r="F346" s="2692"/>
      <c r="G346" s="79"/>
      <c r="H346" s="1116"/>
      <c r="I346" s="26"/>
      <c r="J346" s="26"/>
      <c r="K346" s="26"/>
      <c r="L346" s="26"/>
      <c r="M346" s="26"/>
      <c r="N346" s="26"/>
      <c r="O346" s="26"/>
      <c r="P346" s="26"/>
      <c r="Q346" s="26"/>
    </row>
    <row r="347" spans="2:19" ht="54">
      <c r="B347" s="1479" t="s">
        <v>2115</v>
      </c>
      <c r="C347" s="2344" t="s">
        <v>868</v>
      </c>
      <c r="D347" s="2344"/>
      <c r="E347" s="1272" t="s">
        <v>869</v>
      </c>
      <c r="F347" s="2795" t="s">
        <v>870</v>
      </c>
      <c r="G347" s="1274" t="s">
        <v>871</v>
      </c>
      <c r="H347" s="1470" t="s">
        <v>871</v>
      </c>
      <c r="I347" s="1757"/>
      <c r="J347" s="1757"/>
      <c r="K347" s="1757"/>
      <c r="L347" s="1757"/>
      <c r="M347" s="1757"/>
      <c r="N347" s="1757"/>
      <c r="O347" s="1757"/>
      <c r="P347" s="1757"/>
      <c r="Q347" s="1757"/>
      <c r="S347" s="2592">
        <f>126990*2</f>
        <v>253980</v>
      </c>
    </row>
    <row r="348" spans="2:19" ht="18">
      <c r="B348" s="1480" t="s">
        <v>872</v>
      </c>
      <c r="C348" s="2343">
        <f>+H321</f>
        <v>267360</v>
      </c>
      <c r="D348" s="2343"/>
      <c r="E348" s="1275">
        <v>0</v>
      </c>
      <c r="F348" s="1473">
        <v>267360</v>
      </c>
      <c r="G348" s="2220">
        <f>+F348/$G$330</f>
        <v>9.9306717577950163E-2</v>
      </c>
      <c r="H348" s="1481">
        <f>+G348</f>
        <v>9.9306717577950163E-2</v>
      </c>
      <c r="I348" s="2012"/>
      <c r="J348" s="2012"/>
      <c r="K348" s="2012"/>
      <c r="L348" s="2012"/>
      <c r="M348" s="2012"/>
      <c r="N348" s="2012"/>
      <c r="O348" s="2012"/>
      <c r="P348" s="2012"/>
      <c r="Q348" s="2012"/>
    </row>
    <row r="349" spans="2:19" ht="18">
      <c r="B349" s="1480" t="s">
        <v>873</v>
      </c>
      <c r="C349" s="2343">
        <f>+H322</f>
        <v>241995</v>
      </c>
      <c r="D349" s="2343"/>
      <c r="E349" s="1275">
        <v>0</v>
      </c>
      <c r="F349" s="1473">
        <v>241995</v>
      </c>
      <c r="G349" s="2220">
        <f t="shared" ref="G349:G354" si="4">+F349/$G$330</f>
        <v>8.9885282466621974E-2</v>
      </c>
      <c r="H349" s="1481">
        <f t="shared" ref="H349:H354" si="5">+G349</f>
        <v>8.9885282466621974E-2</v>
      </c>
      <c r="I349" s="2012"/>
      <c r="J349" s="2012"/>
      <c r="K349" s="2012"/>
      <c r="L349" s="2012"/>
      <c r="M349" s="2012"/>
      <c r="N349" s="2012"/>
      <c r="O349" s="2012"/>
      <c r="P349" s="2012"/>
      <c r="Q349" s="2012"/>
    </row>
    <row r="350" spans="2:19" ht="18">
      <c r="B350" s="1480" t="s">
        <v>874</v>
      </c>
      <c r="C350" s="2343">
        <f>+H324</f>
        <v>186295</v>
      </c>
      <c r="D350" s="2343"/>
      <c r="E350" s="1275">
        <v>0</v>
      </c>
      <c r="F350" s="1473">
        <v>186295</v>
      </c>
      <c r="G350" s="2220">
        <f t="shared" si="4"/>
        <v>6.9196382971215692E-2</v>
      </c>
      <c r="H350" s="1481">
        <f t="shared" si="5"/>
        <v>6.9196382971215692E-2</v>
      </c>
      <c r="I350" s="2012"/>
      <c r="J350" s="2012"/>
      <c r="K350" s="2012"/>
      <c r="L350" s="2012"/>
      <c r="M350" s="2012"/>
      <c r="N350" s="2012"/>
      <c r="O350" s="2012"/>
      <c r="P350" s="2012"/>
      <c r="Q350" s="2012"/>
    </row>
    <row r="351" spans="2:19" ht="18">
      <c r="B351" s="1480" t="s">
        <v>875</v>
      </c>
      <c r="C351" s="2343">
        <v>113805</v>
      </c>
      <c r="D351" s="2343"/>
      <c r="E351" s="1275">
        <v>0</v>
      </c>
      <c r="F351" s="1473">
        <v>113805</v>
      </c>
      <c r="G351" s="2220">
        <f t="shared" si="4"/>
        <v>4.2271098870282083E-2</v>
      </c>
      <c r="H351" s="1481">
        <f t="shared" si="5"/>
        <v>4.2271098870282083E-2</v>
      </c>
      <c r="I351" s="2012"/>
      <c r="J351" s="2012"/>
      <c r="K351" s="2012"/>
      <c r="L351" s="2012"/>
      <c r="M351" s="2012"/>
      <c r="N351" s="2012"/>
      <c r="O351" s="2012"/>
      <c r="P351" s="2012"/>
      <c r="Q351" s="2012"/>
    </row>
    <row r="352" spans="2:19" ht="18">
      <c r="B352" s="1480" t="s">
        <v>876</v>
      </c>
      <c r="C352" s="2343">
        <v>39520</v>
      </c>
      <c r="D352" s="2343"/>
      <c r="E352" s="1275">
        <v>0</v>
      </c>
      <c r="F352" s="1473">
        <v>39520</v>
      </c>
      <c r="G352" s="2220">
        <f t="shared" si="4"/>
        <v>1.4679089911282878E-2</v>
      </c>
      <c r="H352" s="1481">
        <f t="shared" si="5"/>
        <v>1.4679089911282878E-2</v>
      </c>
      <c r="I352" s="2012"/>
      <c r="J352" s="2012"/>
      <c r="K352" s="2012"/>
      <c r="L352" s="2012"/>
      <c r="M352" s="2012"/>
      <c r="N352" s="2012"/>
      <c r="O352" s="2012"/>
      <c r="P352" s="2012"/>
      <c r="Q352" s="2012"/>
    </row>
    <row r="353" spans="2:17" ht="18">
      <c r="B353" s="1480" t="s">
        <v>877</v>
      </c>
      <c r="C353" s="2343">
        <v>3600</v>
      </c>
      <c r="D353" s="2343"/>
      <c r="E353" s="1275">
        <v>0</v>
      </c>
      <c r="F353" s="1473">
        <v>3600</v>
      </c>
      <c r="G353" s="2220">
        <f t="shared" si="4"/>
        <v>1.3371640607443918E-3</v>
      </c>
      <c r="H353" s="1481">
        <f t="shared" si="5"/>
        <v>1.3371640607443918E-3</v>
      </c>
      <c r="I353" s="2012"/>
      <c r="J353" s="2012"/>
      <c r="K353" s="2012"/>
      <c r="L353" s="2012"/>
      <c r="M353" s="2012"/>
      <c r="N353" s="2012"/>
      <c r="O353" s="2012"/>
      <c r="P353" s="2012"/>
      <c r="Q353" s="2012"/>
    </row>
    <row r="354" spans="2:17" ht="18">
      <c r="B354" s="1480" t="s">
        <v>878</v>
      </c>
      <c r="C354" s="2343">
        <v>100</v>
      </c>
      <c r="D354" s="2343"/>
      <c r="E354" s="1275">
        <v>0</v>
      </c>
      <c r="F354" s="1473">
        <v>100</v>
      </c>
      <c r="G354" s="2221">
        <f t="shared" si="4"/>
        <v>3.7143446131788664E-5</v>
      </c>
      <c r="H354" s="1482">
        <f t="shared" si="5"/>
        <v>3.7143446131788664E-5</v>
      </c>
      <c r="I354" s="2013"/>
      <c r="J354" s="2013"/>
      <c r="K354" s="2013"/>
      <c r="L354" s="2013"/>
      <c r="M354" s="2013"/>
      <c r="N354" s="2013"/>
      <c r="O354" s="2013"/>
      <c r="P354" s="2013"/>
      <c r="Q354" s="2013"/>
    </row>
    <row r="355" spans="2:17" ht="18">
      <c r="B355" s="1063"/>
      <c r="C355" s="24"/>
      <c r="D355" s="24"/>
      <c r="E355" s="24"/>
      <c r="F355" s="2676"/>
      <c r="G355" s="69"/>
      <c r="H355" s="1090"/>
      <c r="I355" s="26"/>
      <c r="J355" s="26"/>
      <c r="K355" s="26"/>
      <c r="L355" s="26"/>
      <c r="M355" s="26"/>
      <c r="N355" s="26"/>
      <c r="O355" s="26"/>
      <c r="P355" s="26"/>
      <c r="Q355" s="26"/>
    </row>
    <row r="356" spans="2:17" ht="18">
      <c r="B356" s="1049" t="s">
        <v>867</v>
      </c>
      <c r="C356" s="24"/>
      <c r="D356" s="24"/>
      <c r="E356" s="24"/>
      <c r="F356" s="2676"/>
      <c r="G356" s="69"/>
      <c r="H356" s="1090"/>
      <c r="I356" s="26"/>
      <c r="J356" s="26"/>
      <c r="K356" s="26"/>
      <c r="L356" s="26"/>
      <c r="M356" s="26"/>
      <c r="N356" s="26"/>
      <c r="O356" s="26"/>
      <c r="P356" s="26"/>
      <c r="Q356" s="26"/>
    </row>
    <row r="357" spans="2:17" ht="54">
      <c r="B357" s="1479" t="s">
        <v>2115</v>
      </c>
      <c r="C357" s="2344" t="s">
        <v>868</v>
      </c>
      <c r="D357" s="2344"/>
      <c r="E357" s="1272" t="s">
        <v>869</v>
      </c>
      <c r="F357" s="2796" t="s">
        <v>870</v>
      </c>
      <c r="G357" s="1562" t="s">
        <v>871</v>
      </c>
      <c r="H357" s="1563" t="s">
        <v>871</v>
      </c>
      <c r="I357" s="1996"/>
      <c r="J357" s="1996"/>
      <c r="K357" s="1996"/>
      <c r="L357" s="1996"/>
      <c r="M357" s="1996"/>
      <c r="N357" s="1996"/>
      <c r="O357" s="1996"/>
      <c r="P357" s="1996"/>
      <c r="Q357" s="1996"/>
    </row>
    <row r="358" spans="2:17" ht="18">
      <c r="B358" s="1480" t="s">
        <v>872</v>
      </c>
      <c r="C358" s="2343">
        <v>267360</v>
      </c>
      <c r="D358" s="2343"/>
      <c r="E358" s="1275">
        <v>0</v>
      </c>
      <c r="F358" s="1473">
        <v>267360</v>
      </c>
      <c r="G358" s="2220">
        <f t="shared" ref="G358" si="6">+F358/$G$330</f>
        <v>9.9306717577950163E-2</v>
      </c>
      <c r="H358" s="1481">
        <f t="shared" ref="H358:H364" si="7">+G358</f>
        <v>9.9306717577950163E-2</v>
      </c>
      <c r="I358" s="2012"/>
      <c r="J358" s="2012"/>
      <c r="K358" s="2012"/>
      <c r="L358" s="2012"/>
      <c r="M358" s="2012"/>
      <c r="N358" s="2012"/>
      <c r="O358" s="2012"/>
      <c r="P358" s="2012"/>
      <c r="Q358" s="2012"/>
    </row>
    <row r="359" spans="2:17" ht="18">
      <c r="B359" s="1480" t="s">
        <v>873</v>
      </c>
      <c r="C359" s="2343">
        <v>241995</v>
      </c>
      <c r="D359" s="2343"/>
      <c r="E359" s="1275">
        <v>0</v>
      </c>
      <c r="F359" s="1473">
        <v>241995</v>
      </c>
      <c r="G359" s="2220">
        <f t="shared" ref="G359" si="8">+F359/$G$330</f>
        <v>8.9885282466621974E-2</v>
      </c>
      <c r="H359" s="1481">
        <f t="shared" si="7"/>
        <v>8.9885282466621974E-2</v>
      </c>
      <c r="I359" s="2012"/>
      <c r="J359" s="2012"/>
      <c r="K359" s="2012"/>
      <c r="L359" s="2012"/>
      <c r="M359" s="2012"/>
      <c r="N359" s="2012"/>
      <c r="O359" s="2012"/>
      <c r="P359" s="2012"/>
      <c r="Q359" s="2012"/>
    </row>
    <row r="360" spans="2:17" ht="18">
      <c r="B360" s="1480" t="s">
        <v>874</v>
      </c>
      <c r="C360" s="2343">
        <v>186295</v>
      </c>
      <c r="D360" s="2343"/>
      <c r="E360" s="1275">
        <v>0</v>
      </c>
      <c r="F360" s="1473">
        <v>186295</v>
      </c>
      <c r="G360" s="2220">
        <f t="shared" ref="G360" si="9">+F360/$G$330</f>
        <v>6.9196382971215692E-2</v>
      </c>
      <c r="H360" s="1481">
        <f t="shared" si="7"/>
        <v>6.9196382971215692E-2</v>
      </c>
      <c r="I360" s="2012"/>
      <c r="J360" s="2012"/>
      <c r="K360" s="2012"/>
      <c r="L360" s="2012"/>
      <c r="M360" s="2012"/>
      <c r="N360" s="2012"/>
      <c r="O360" s="2012"/>
      <c r="P360" s="2012"/>
      <c r="Q360" s="2012"/>
    </row>
    <row r="361" spans="2:17" ht="18">
      <c r="B361" s="1480" t="s">
        <v>875</v>
      </c>
      <c r="C361" s="2343">
        <v>113805</v>
      </c>
      <c r="D361" s="2343"/>
      <c r="E361" s="1275">
        <v>0</v>
      </c>
      <c r="F361" s="1473">
        <v>113805</v>
      </c>
      <c r="G361" s="2220">
        <f t="shared" ref="G361" si="10">+F361/$G$330</f>
        <v>4.2271098870282083E-2</v>
      </c>
      <c r="H361" s="1481">
        <f t="shared" si="7"/>
        <v>4.2271098870282083E-2</v>
      </c>
      <c r="I361" s="2012"/>
      <c r="J361" s="2012"/>
      <c r="K361" s="2012"/>
      <c r="L361" s="2012"/>
      <c r="M361" s="2012"/>
      <c r="N361" s="2012"/>
      <c r="O361" s="2012"/>
      <c r="P361" s="2012"/>
      <c r="Q361" s="2012"/>
    </row>
    <row r="362" spans="2:17" ht="18">
      <c r="B362" s="1480" t="s">
        <v>876</v>
      </c>
      <c r="C362" s="2343">
        <v>39520</v>
      </c>
      <c r="D362" s="2343"/>
      <c r="E362" s="1275">
        <v>0</v>
      </c>
      <c r="F362" s="1473">
        <v>39520</v>
      </c>
      <c r="G362" s="2220">
        <f t="shared" ref="G362" si="11">+F362/$G$330</f>
        <v>1.4679089911282878E-2</v>
      </c>
      <c r="H362" s="1481">
        <f t="shared" si="7"/>
        <v>1.4679089911282878E-2</v>
      </c>
      <c r="I362" s="2012"/>
      <c r="J362" s="2012"/>
      <c r="K362" s="2012"/>
      <c r="L362" s="2012"/>
      <c r="M362" s="2012"/>
      <c r="N362" s="2012"/>
      <c r="O362" s="2012"/>
      <c r="P362" s="2012"/>
      <c r="Q362" s="2012"/>
    </row>
    <row r="363" spans="2:17" ht="18">
      <c r="B363" s="1480" t="s">
        <v>877</v>
      </c>
      <c r="C363" s="2343">
        <v>3600</v>
      </c>
      <c r="D363" s="2343"/>
      <c r="E363" s="1275">
        <v>0</v>
      </c>
      <c r="F363" s="1473">
        <v>3600</v>
      </c>
      <c r="G363" s="2220">
        <f t="shared" ref="G363" si="12">+F363/$G$330</f>
        <v>1.3371640607443918E-3</v>
      </c>
      <c r="H363" s="1481">
        <f t="shared" si="7"/>
        <v>1.3371640607443918E-3</v>
      </c>
      <c r="I363" s="2012"/>
      <c r="J363" s="2012"/>
      <c r="K363" s="2012"/>
      <c r="L363" s="2012"/>
      <c r="M363" s="2012"/>
      <c r="N363" s="2012"/>
      <c r="O363" s="2012"/>
      <c r="P363" s="2012"/>
      <c r="Q363" s="2012"/>
    </row>
    <row r="364" spans="2:17" ht="18">
      <c r="B364" s="1480" t="s">
        <v>878</v>
      </c>
      <c r="C364" s="2343">
        <v>100</v>
      </c>
      <c r="D364" s="2343"/>
      <c r="E364" s="1275">
        <v>0</v>
      </c>
      <c r="F364" s="1473">
        <v>100</v>
      </c>
      <c r="G364" s="2221">
        <f t="shared" ref="G364" si="13">+F364/$G$330</f>
        <v>3.7143446131788664E-5</v>
      </c>
      <c r="H364" s="1482">
        <f t="shared" si="7"/>
        <v>3.7143446131788664E-5</v>
      </c>
      <c r="I364" s="2013"/>
      <c r="J364" s="2013"/>
      <c r="K364" s="2013"/>
      <c r="L364" s="2013"/>
      <c r="M364" s="2013"/>
      <c r="N364" s="2013"/>
      <c r="O364" s="2013"/>
      <c r="P364" s="2013"/>
      <c r="Q364" s="2013"/>
    </row>
    <row r="365" spans="2:17" ht="18">
      <c r="B365" s="1178"/>
      <c r="C365" s="1107"/>
      <c r="D365" s="1107"/>
      <c r="E365" s="1107"/>
      <c r="F365" s="1072"/>
      <c r="G365" s="1291"/>
      <c r="H365" s="1292"/>
      <c r="I365" s="2013"/>
      <c r="J365" s="2013"/>
      <c r="K365" s="2013"/>
      <c r="L365" s="2013"/>
      <c r="M365" s="2013"/>
      <c r="N365" s="2013"/>
      <c r="O365" s="2013"/>
      <c r="P365" s="2013"/>
      <c r="Q365" s="2013"/>
    </row>
    <row r="366" spans="2:17" hidden="1">
      <c r="B366" s="2750"/>
      <c r="H366" s="2751"/>
    </row>
    <row r="367" spans="2:17" hidden="1">
      <c r="B367" s="2750"/>
      <c r="H367" s="2751"/>
    </row>
    <row r="368" spans="2:17" ht="18" hidden="1">
      <c r="B368" s="1483"/>
      <c r="C368" s="1117"/>
      <c r="D368" s="1117"/>
      <c r="E368" s="1117"/>
      <c r="F368" s="2797"/>
      <c r="G368" s="1119"/>
      <c r="H368" s="1120"/>
      <c r="I368" s="26"/>
      <c r="J368" s="26"/>
      <c r="K368" s="26"/>
      <c r="L368" s="26"/>
      <c r="M368" s="26"/>
      <c r="N368" s="26"/>
      <c r="O368" s="26"/>
      <c r="P368" s="26"/>
      <c r="Q368" s="26"/>
    </row>
    <row r="369" spans="2:17" ht="18">
      <c r="B369" s="2690" t="s">
        <v>0</v>
      </c>
      <c r="C369" s="1054"/>
      <c r="D369" s="1054"/>
      <c r="E369" s="1054"/>
      <c r="F369" s="2691"/>
      <c r="G369" s="1004" t="s">
        <v>704</v>
      </c>
      <c r="H369" s="1005" t="s">
        <v>704</v>
      </c>
      <c r="I369" s="1996"/>
      <c r="J369" s="1996"/>
      <c r="K369" s="1996"/>
      <c r="L369" s="1996"/>
      <c r="M369" s="1996"/>
      <c r="N369" s="1996"/>
      <c r="O369" s="1996"/>
      <c r="P369" s="1996"/>
      <c r="Q369" s="1996"/>
    </row>
    <row r="370" spans="2:17" ht="18">
      <c r="B370" s="1036"/>
      <c r="C370" s="44"/>
      <c r="D370" s="44"/>
      <c r="E370" s="44"/>
      <c r="F370" s="2692"/>
      <c r="G370" s="30" t="str">
        <f>+G306</f>
        <v>March 31, 2024 (₹)</v>
      </c>
      <c r="H370" s="1038" t="str">
        <f>+H306</f>
        <v>March 31, 2023 (₹)</v>
      </c>
      <c r="I370" s="1996"/>
      <c r="J370" s="1996"/>
      <c r="K370" s="1996"/>
      <c r="L370" s="1996"/>
      <c r="M370" s="1996"/>
      <c r="N370" s="1996"/>
      <c r="O370" s="1996"/>
      <c r="P370" s="1996"/>
      <c r="Q370" s="1996"/>
    </row>
    <row r="371" spans="2:17" ht="18">
      <c r="B371" s="1076" t="s">
        <v>2643</v>
      </c>
      <c r="C371" s="56"/>
      <c r="D371" s="56"/>
      <c r="E371" s="56"/>
      <c r="F371" s="2631"/>
      <c r="G371" s="48"/>
      <c r="H371" s="1059"/>
      <c r="I371" s="21"/>
      <c r="J371" s="21"/>
      <c r="K371" s="21"/>
      <c r="L371" s="21"/>
      <c r="M371" s="21"/>
      <c r="N371" s="21"/>
      <c r="O371" s="21"/>
      <c r="P371" s="21"/>
      <c r="Q371" s="21"/>
    </row>
    <row r="372" spans="2:17" ht="18">
      <c r="B372" s="1076"/>
      <c r="C372" s="56"/>
      <c r="D372" s="56"/>
      <c r="E372" s="56"/>
      <c r="F372" s="2631"/>
      <c r="G372" s="48"/>
      <c r="H372" s="1059"/>
      <c r="I372" s="21"/>
      <c r="J372" s="21"/>
      <c r="K372" s="21"/>
      <c r="L372" s="21"/>
      <c r="M372" s="21"/>
      <c r="N372" s="21"/>
      <c r="O372" s="21"/>
      <c r="P372" s="21"/>
      <c r="Q372" s="21"/>
    </row>
    <row r="373" spans="2:17" ht="18">
      <c r="B373" s="1081" t="s">
        <v>879</v>
      </c>
      <c r="C373" s="61"/>
      <c r="D373" s="61"/>
      <c r="E373" s="61"/>
      <c r="F373" s="2631"/>
      <c r="G373" s="48"/>
      <c r="H373" s="1059"/>
      <c r="I373" s="21"/>
      <c r="J373" s="21"/>
      <c r="K373" s="21"/>
      <c r="L373" s="21"/>
      <c r="M373" s="21"/>
      <c r="N373" s="21"/>
      <c r="O373" s="21"/>
      <c r="P373" s="21"/>
      <c r="Q373" s="21"/>
    </row>
    <row r="374" spans="2:17" ht="18">
      <c r="B374" s="2798" t="s">
        <v>880</v>
      </c>
      <c r="C374" s="2720"/>
      <c r="D374" s="2720"/>
      <c r="E374" s="2720"/>
      <c r="F374" s="2631"/>
      <c r="G374" s="48"/>
      <c r="H374" s="1059"/>
      <c r="I374" s="21"/>
      <c r="J374" s="21"/>
      <c r="K374" s="21"/>
      <c r="L374" s="21"/>
      <c r="M374" s="21"/>
      <c r="N374" s="21"/>
      <c r="O374" s="21"/>
      <c r="P374" s="21"/>
      <c r="Q374" s="21"/>
    </row>
    <row r="375" spans="2:17" ht="18">
      <c r="B375" s="2798"/>
      <c r="C375" s="2720"/>
      <c r="D375" s="2720"/>
      <c r="E375" s="2720"/>
      <c r="F375" s="2631"/>
      <c r="G375" s="48"/>
      <c r="H375" s="1059"/>
      <c r="I375" s="21"/>
      <c r="J375" s="21"/>
      <c r="K375" s="21"/>
      <c r="L375" s="21"/>
      <c r="M375" s="21"/>
      <c r="N375" s="21"/>
      <c r="O375" s="21"/>
      <c r="P375" s="21"/>
      <c r="Q375" s="21"/>
    </row>
    <row r="376" spans="2:17" ht="18">
      <c r="B376" s="2697" t="s">
        <v>881</v>
      </c>
      <c r="C376" s="2753"/>
      <c r="D376" s="2753"/>
      <c r="E376" s="2753"/>
      <c r="F376" s="2631"/>
      <c r="G376" s="48">
        <f>+'Term Loans '!D29+'Term Loans '!D27+'Term Loans '!D26</f>
        <v>63531288</v>
      </c>
      <c r="H376" s="1059">
        <v>57314949</v>
      </c>
      <c r="I376" s="21"/>
      <c r="J376" s="21"/>
      <c r="K376" s="21"/>
      <c r="L376" s="21"/>
      <c r="M376" s="21"/>
      <c r="N376" s="21"/>
      <c r="O376" s="21"/>
      <c r="P376" s="21"/>
      <c r="Q376" s="21"/>
    </row>
    <row r="377" spans="2:17" ht="18">
      <c r="B377" s="2697"/>
      <c r="C377" s="2753"/>
      <c r="D377" s="2753"/>
      <c r="E377" s="2753"/>
      <c r="F377" s="2631"/>
      <c r="G377" s="48"/>
      <c r="H377" s="1059"/>
      <c r="I377" s="21"/>
      <c r="J377" s="21"/>
      <c r="K377" s="21"/>
      <c r="L377" s="21"/>
      <c r="M377" s="21"/>
      <c r="N377" s="21"/>
      <c r="O377" s="21"/>
      <c r="P377" s="21"/>
      <c r="Q377" s="21"/>
    </row>
    <row r="378" spans="2:17" ht="127.2" customHeight="1">
      <c r="B378" s="2735" t="s">
        <v>2881</v>
      </c>
      <c r="C378" s="2736"/>
      <c r="D378" s="2736"/>
      <c r="E378" s="2736"/>
      <c r="F378" s="2799"/>
      <c r="G378" s="57"/>
      <c r="H378" s="1078"/>
      <c r="I378" s="54"/>
      <c r="J378" s="54"/>
      <c r="K378" s="54"/>
      <c r="L378" s="54"/>
      <c r="M378" s="54"/>
      <c r="N378" s="54"/>
      <c r="O378" s="54"/>
      <c r="P378" s="54"/>
      <c r="Q378" s="54"/>
    </row>
    <row r="379" spans="2:17" ht="74.400000000000006" customHeight="1">
      <c r="B379" s="2735" t="s">
        <v>2759</v>
      </c>
      <c r="C379" s="2736"/>
      <c r="D379" s="2736"/>
      <c r="E379" s="2736"/>
      <c r="F379" s="2799"/>
      <c r="G379" s="57"/>
      <c r="H379" s="1078"/>
      <c r="I379" s="54"/>
      <c r="J379" s="54"/>
      <c r="K379" s="54"/>
      <c r="L379" s="54"/>
      <c r="M379" s="54"/>
      <c r="N379" s="54"/>
      <c r="O379" s="54"/>
      <c r="P379" s="54"/>
      <c r="Q379" s="54"/>
    </row>
    <row r="380" spans="2:17" ht="162.75" customHeight="1">
      <c r="B380" s="2735" t="s">
        <v>4706</v>
      </c>
      <c r="C380" s="2736"/>
      <c r="D380" s="2736"/>
      <c r="E380" s="2736"/>
      <c r="F380" s="2799"/>
      <c r="G380" s="57"/>
      <c r="H380" s="1078"/>
      <c r="I380" s="54"/>
      <c r="J380" s="54"/>
      <c r="K380" s="54"/>
      <c r="L380" s="54"/>
      <c r="M380" s="54"/>
      <c r="N380" s="54"/>
      <c r="O380" s="54"/>
      <c r="P380" s="54"/>
      <c r="Q380" s="54"/>
    </row>
    <row r="381" spans="2:17" ht="111" customHeight="1">
      <c r="B381" s="2735" t="s">
        <v>4707</v>
      </c>
      <c r="C381" s="2736"/>
      <c r="D381" s="2736"/>
      <c r="E381" s="2736"/>
      <c r="F381" s="2799"/>
      <c r="G381" s="57"/>
      <c r="H381" s="1078"/>
      <c r="I381" s="54"/>
      <c r="J381" s="54"/>
      <c r="K381" s="54"/>
      <c r="L381" s="54"/>
      <c r="M381" s="54"/>
      <c r="N381" s="54"/>
      <c r="O381" s="54"/>
      <c r="P381" s="54"/>
      <c r="Q381" s="54"/>
    </row>
    <row r="382" spans="2:17" ht="76.2" customHeight="1">
      <c r="B382" s="2800" t="s">
        <v>4708</v>
      </c>
      <c r="C382" s="2801"/>
      <c r="D382" s="2801"/>
      <c r="E382" s="2801"/>
      <c r="F382" s="2802"/>
      <c r="G382" s="57"/>
      <c r="H382" s="1078"/>
      <c r="I382" s="54"/>
      <c r="J382" s="54"/>
      <c r="K382" s="54"/>
      <c r="L382" s="54"/>
      <c r="M382" s="54"/>
      <c r="N382" s="54"/>
      <c r="O382" s="54"/>
      <c r="P382" s="54"/>
      <c r="Q382" s="54"/>
    </row>
    <row r="383" spans="2:17" ht="18">
      <c r="B383" s="2798"/>
      <c r="C383" s="2738"/>
      <c r="D383" s="2738"/>
      <c r="E383" s="2738"/>
      <c r="F383" s="2738"/>
      <c r="G383" s="57"/>
      <c r="H383" s="1078"/>
      <c r="I383" s="54"/>
      <c r="J383" s="54"/>
      <c r="K383" s="54"/>
      <c r="L383" s="54"/>
      <c r="M383" s="54"/>
      <c r="N383" s="54"/>
      <c r="O383" s="54"/>
      <c r="P383" s="54"/>
      <c r="Q383" s="54"/>
    </row>
    <row r="384" spans="2:17" ht="18">
      <c r="B384" s="2677" t="s">
        <v>882</v>
      </c>
      <c r="C384" s="2803"/>
      <c r="D384" s="2803"/>
      <c r="E384" s="2803"/>
      <c r="F384" s="2803"/>
      <c r="G384" s="57">
        <f>+'Term Loans '!D28+'Term Loans '!D25</f>
        <v>3829801</v>
      </c>
      <c r="H384" s="1078">
        <v>4466577.09</v>
      </c>
      <c r="I384" s="54"/>
      <c r="J384" s="54"/>
      <c r="K384" s="54"/>
      <c r="L384" s="54"/>
      <c r="M384" s="54"/>
      <c r="N384" s="54"/>
      <c r="O384" s="54"/>
      <c r="P384" s="54"/>
      <c r="Q384" s="54"/>
    </row>
    <row r="385" spans="2:18" ht="95.4" customHeight="1">
      <c r="B385" s="2735" t="s">
        <v>2882</v>
      </c>
      <c r="C385" s="2736"/>
      <c r="D385" s="2736"/>
      <c r="E385" s="2736"/>
      <c r="F385" s="2799"/>
      <c r="G385" s="57"/>
      <c r="H385" s="1078"/>
      <c r="I385" s="54"/>
      <c r="J385" s="54"/>
      <c r="K385" s="54"/>
      <c r="L385" s="54"/>
      <c r="M385" s="54"/>
      <c r="N385" s="54"/>
      <c r="O385" s="54"/>
      <c r="P385" s="54"/>
      <c r="Q385" s="54"/>
    </row>
    <row r="386" spans="2:18" ht="78" customHeight="1">
      <c r="B386" s="2735" t="s">
        <v>2760</v>
      </c>
      <c r="C386" s="2736"/>
      <c r="D386" s="2736"/>
      <c r="E386" s="2736"/>
      <c r="F386" s="2799"/>
      <c r="G386" s="57"/>
      <c r="H386" s="1078"/>
      <c r="I386" s="54"/>
      <c r="J386" s="54"/>
      <c r="K386" s="54"/>
      <c r="L386" s="54"/>
      <c r="M386" s="54"/>
      <c r="N386" s="54"/>
      <c r="O386" s="54"/>
      <c r="P386" s="54"/>
      <c r="Q386" s="54"/>
    </row>
    <row r="387" spans="2:18" ht="18">
      <c r="B387" s="2714"/>
      <c r="C387" s="2705"/>
      <c r="D387" s="2705"/>
      <c r="E387" s="2705"/>
      <c r="F387" s="2705"/>
      <c r="G387" s="57"/>
      <c r="H387" s="1078"/>
      <c r="I387" s="54"/>
      <c r="J387" s="54"/>
      <c r="K387" s="54"/>
      <c r="L387" s="54"/>
      <c r="M387" s="54"/>
      <c r="N387" s="54"/>
      <c r="O387" s="54"/>
      <c r="P387" s="54"/>
      <c r="Q387" s="54"/>
    </row>
    <row r="388" spans="2:18" ht="18">
      <c r="B388" s="2677" t="s">
        <v>883</v>
      </c>
      <c r="C388" s="2720"/>
      <c r="D388" s="2720"/>
      <c r="E388" s="2720"/>
      <c r="F388" s="2631"/>
      <c r="G388" s="48"/>
      <c r="H388" s="1059"/>
      <c r="I388" s="21"/>
      <c r="J388" s="21"/>
      <c r="K388" s="21"/>
      <c r="L388" s="21"/>
      <c r="M388" s="21"/>
      <c r="N388" s="21"/>
      <c r="O388" s="21"/>
      <c r="P388" s="21"/>
      <c r="Q388" s="21"/>
    </row>
    <row r="389" spans="2:18" ht="18">
      <c r="B389" s="2696" t="s">
        <v>884</v>
      </c>
      <c r="C389" s="2720"/>
      <c r="D389" s="2720"/>
      <c r="E389" s="2720"/>
      <c r="F389" s="2631"/>
      <c r="G389" s="48">
        <f>+GETPIVOTDATA("Sum of Cr. Final 23-24",Pivot!$A$1,"Note",13,"BS Main Head","Long Term Borrowings","BS Sub Head","Unsecured-From Others")-GETPIVOTDATA("Sum of Dr. Final 23-24",Pivot!$A$1,"Note",13,"BS Main Head","Long Term Borrowings","BS Sub Head","Unsecured-From Others")</f>
        <v>7622054</v>
      </c>
      <c r="H389" s="1059">
        <f>+GETPIVOTDATA("Sum of Cr. Final 22-23",Pivot!$A$1,"Note",13,"BS Main Head","Long Term Borrowings","BS Sub Head","Unsecured-From Others")-GETPIVOTDATA("Sum of Dr. Final 22-23",Pivot!$A$1,"Note",13,"BS Main Head","Long Term Borrowings","BS Sub Head","Unsecured-From Others")</f>
        <v>15000000</v>
      </c>
      <c r="I389" s="21"/>
      <c r="J389" s="21"/>
      <c r="K389" s="21"/>
      <c r="L389" s="21"/>
      <c r="M389" s="21"/>
      <c r="N389" s="21"/>
      <c r="O389" s="21"/>
      <c r="P389" s="21"/>
      <c r="Q389" s="21"/>
    </row>
    <row r="390" spans="2:18" ht="18">
      <c r="B390" s="2719" t="s">
        <v>2624</v>
      </c>
      <c r="C390" s="2720"/>
      <c r="D390" s="2720"/>
      <c r="E390" s="2720"/>
      <c r="F390" s="2631"/>
      <c r="G390" s="48">
        <f>+GETPIVOTDATA("Sum of Cr. Final 23-24",Pivot!$A$1,"Note",13,"BS Main Head","Long Term Borrowings","BS Sub Head","Unsecured-From Related Party")-GETPIVOTDATA("Sum of Dr. Final 23-24",Pivot!$A$1,"Note",13,"BS Main Head","Long Term Borrowings","BS Sub Head","Unsecured-From Related Party")</f>
        <v>37219886</v>
      </c>
      <c r="H390" s="1059">
        <f>+GETPIVOTDATA("Sum of Cr. Final 22-23",Pivot!$A$1,"Note",13,"BS Main Head","Long Term Borrowings","BS Sub Head","Unsecured-From Related Party")-GETPIVOTDATA("Sum of Dr. Final 22-23",Pivot!$A$1,"Note",13,"BS Main Head","Long Term Borrowings","BS Sub Head","Unsecured-From Related Party")</f>
        <v>37807579</v>
      </c>
      <c r="I390" s="21"/>
      <c r="J390" s="21"/>
      <c r="K390" s="21"/>
      <c r="L390" s="21"/>
      <c r="M390" s="21"/>
      <c r="N390" s="21"/>
      <c r="O390" s="21"/>
      <c r="P390" s="21"/>
      <c r="Q390" s="21"/>
    </row>
    <row r="391" spans="2:18" ht="18.600000000000001" thickBot="1">
      <c r="B391" s="2804"/>
      <c r="C391" s="2805"/>
      <c r="D391" s="2805"/>
      <c r="E391" s="2805"/>
      <c r="F391" s="2806"/>
      <c r="G391" s="1547">
        <f>+SUM(G376:G390)</f>
        <v>112203029</v>
      </c>
      <c r="H391" s="1548">
        <f>+SUM(H376:H390)</f>
        <v>114589105.09</v>
      </c>
      <c r="I391" s="1998"/>
      <c r="J391" s="1998"/>
      <c r="K391" s="1998"/>
      <c r="L391" s="1998"/>
      <c r="M391" s="1998"/>
      <c r="N391" s="1998"/>
      <c r="O391" s="1998"/>
      <c r="P391" s="1998"/>
      <c r="Q391" s="1998"/>
      <c r="R391" s="2807"/>
    </row>
    <row r="392" spans="2:18" ht="18">
      <c r="B392" s="2789" t="s">
        <v>702</v>
      </c>
      <c r="C392" s="2790"/>
      <c r="D392" s="2790"/>
      <c r="E392" s="2790"/>
      <c r="F392" s="2790"/>
      <c r="G392" s="2790"/>
      <c r="H392" s="2791"/>
      <c r="I392" s="2709"/>
      <c r="J392" s="2709"/>
      <c r="K392" s="2709"/>
      <c r="L392" s="2709"/>
      <c r="M392" s="2709"/>
      <c r="N392" s="2709"/>
      <c r="O392" s="2709"/>
      <c r="P392" s="2709"/>
      <c r="Q392" s="2709"/>
    </row>
    <row r="393" spans="2:18" ht="18">
      <c r="B393" s="2706" t="s">
        <v>2117</v>
      </c>
      <c r="C393" s="2707"/>
      <c r="D393" s="2707"/>
      <c r="E393" s="2707"/>
      <c r="F393" s="2707"/>
      <c r="G393" s="2707"/>
      <c r="H393" s="2708"/>
      <c r="I393" s="2709"/>
      <c r="J393" s="2709"/>
      <c r="K393" s="2709"/>
      <c r="L393" s="2709"/>
      <c r="M393" s="2709"/>
      <c r="N393" s="2709"/>
      <c r="O393" s="2709"/>
      <c r="P393" s="2709"/>
      <c r="Q393" s="2709"/>
    </row>
    <row r="394" spans="2:18" ht="18">
      <c r="B394" s="2808" t="s">
        <v>0</v>
      </c>
      <c r="C394" s="56"/>
      <c r="D394" s="56"/>
      <c r="E394" s="56"/>
      <c r="F394" s="2616"/>
      <c r="G394" s="1004" t="s">
        <v>704</v>
      </c>
      <c r="H394" s="1005" t="s">
        <v>704</v>
      </c>
      <c r="I394" s="1996"/>
      <c r="J394" s="1996"/>
      <c r="K394" s="1996"/>
      <c r="L394" s="1996"/>
      <c r="M394" s="1996"/>
      <c r="N394" s="1996"/>
      <c r="O394" s="1996"/>
      <c r="P394" s="1996"/>
      <c r="Q394" s="1996"/>
    </row>
    <row r="395" spans="2:18" ht="18">
      <c r="B395" s="1036"/>
      <c r="C395" s="44"/>
      <c r="D395" s="44"/>
      <c r="E395" s="44"/>
      <c r="F395" s="2692"/>
      <c r="G395" s="30" t="str">
        <f>+G6</f>
        <v>March 31, 2024 (₹)</v>
      </c>
      <c r="H395" s="1038" t="str">
        <f>+H6</f>
        <v>March 31, 2023 (₹)</v>
      </c>
      <c r="I395" s="1996"/>
      <c r="J395" s="1996"/>
      <c r="K395" s="1996"/>
      <c r="L395" s="1996"/>
      <c r="M395" s="1996"/>
      <c r="N395" s="1996"/>
      <c r="O395" s="1996"/>
      <c r="P395" s="1996"/>
      <c r="Q395" s="1996"/>
    </row>
    <row r="396" spans="2:18" ht="18">
      <c r="B396" s="1063"/>
      <c r="C396" s="24"/>
      <c r="D396" s="24"/>
      <c r="E396" s="24"/>
      <c r="F396" s="2676"/>
      <c r="G396" s="55"/>
      <c r="H396" s="1075"/>
      <c r="I396" s="1996"/>
      <c r="J396" s="1996"/>
      <c r="K396" s="1996"/>
      <c r="L396" s="1996"/>
      <c r="M396" s="1996"/>
      <c r="N396" s="1996"/>
      <c r="O396" s="1996"/>
      <c r="P396" s="1996"/>
      <c r="Q396" s="1996"/>
    </row>
    <row r="397" spans="2:18" ht="18">
      <c r="B397" s="1091" t="s">
        <v>2644</v>
      </c>
      <c r="C397" s="24"/>
      <c r="D397" s="24"/>
      <c r="E397" s="24"/>
      <c r="F397" s="2676"/>
      <c r="G397" s="69"/>
      <c r="H397" s="1090"/>
      <c r="I397" s="26"/>
      <c r="J397" s="26"/>
      <c r="K397" s="26"/>
      <c r="L397" s="26"/>
      <c r="M397" s="26"/>
      <c r="N397" s="26"/>
      <c r="O397" s="26"/>
      <c r="P397" s="26"/>
      <c r="Q397" s="26"/>
    </row>
    <row r="398" spans="2:18" ht="18">
      <c r="B398" s="1063" t="s">
        <v>885</v>
      </c>
      <c r="C398" s="24"/>
      <c r="D398" s="24"/>
      <c r="E398" s="24"/>
      <c r="F398" s="2676"/>
      <c r="G398" s="850">
        <f>+GETPIVOTDATA("Sum of Cr. Final 23-24",Pivot!$A$1,"Note",14,"BS Main Head","Non Current - Provisions","BS Sub Head","Provision for Employee Benefit")-GETPIVOTDATA("Sum of Dr. Final 23-24",Pivot!$A$1,"Note",14,"BS Main Head","Non Current - Provisions","BS Sub Head","Provision for Employee Benefit")-G479-G108</f>
        <v>495765.69999999925</v>
      </c>
      <c r="H398" s="1122">
        <f>+GETPIVOTDATA("Sum of Cr. Final 22-23",Pivot!$A$1,"Note",14,"BS Main Head","Non Current - Provisions","BS Sub Head","Provision for Employee Benefit")-GETPIVOTDATA("Sum of Dr. Final 22-23",Pivot!$A$1,"Note",14,"BS Main Head","Non Current - Provisions","BS Sub Head","Provision for Employee Benefit")-H479</f>
        <v>838989.70000000019</v>
      </c>
      <c r="I398" s="1997"/>
      <c r="J398" s="1997"/>
      <c r="K398" s="1997"/>
      <c r="L398" s="1997"/>
      <c r="M398" s="1997"/>
      <c r="N398" s="1997"/>
      <c r="O398" s="1997"/>
      <c r="P398" s="1997"/>
      <c r="Q398" s="1997"/>
    </row>
    <row r="399" spans="2:18" ht="18">
      <c r="B399" s="1063"/>
      <c r="C399" s="24"/>
      <c r="D399" s="24"/>
      <c r="E399" s="24"/>
      <c r="F399" s="2676"/>
      <c r="G399" s="6">
        <f>+SUM(G398)</f>
        <v>495765.69999999925</v>
      </c>
      <c r="H399" s="1007">
        <f>+SUM(H398)</f>
        <v>838989.70000000019</v>
      </c>
      <c r="I399" s="103"/>
      <c r="J399" s="103"/>
      <c r="K399" s="103"/>
      <c r="L399" s="103"/>
      <c r="M399" s="103"/>
      <c r="N399" s="103"/>
      <c r="O399" s="103"/>
      <c r="P399" s="103"/>
      <c r="Q399" s="103"/>
    </row>
    <row r="400" spans="2:18" ht="18">
      <c r="B400" s="1091" t="s">
        <v>2645</v>
      </c>
      <c r="C400" s="61"/>
      <c r="D400" s="61"/>
      <c r="E400" s="61"/>
      <c r="F400" s="2631"/>
      <c r="G400" s="48"/>
      <c r="H400" s="1059"/>
      <c r="I400" s="21"/>
      <c r="J400" s="21"/>
      <c r="K400" s="21"/>
      <c r="L400" s="21"/>
      <c r="M400" s="21"/>
      <c r="N400" s="21"/>
      <c r="O400" s="21"/>
      <c r="P400" s="21"/>
      <c r="Q400" s="21"/>
    </row>
    <row r="401" spans="2:17" ht="18">
      <c r="B401" s="2326" t="s">
        <v>886</v>
      </c>
      <c r="C401" s="2327"/>
      <c r="D401" s="2327"/>
      <c r="E401" s="2327"/>
      <c r="F401" s="2631"/>
      <c r="G401" s="48"/>
      <c r="H401" s="1059"/>
      <c r="I401" s="21"/>
      <c r="J401" s="21"/>
      <c r="K401" s="21"/>
      <c r="L401" s="21"/>
      <c r="M401" s="21"/>
      <c r="N401" s="21"/>
      <c r="O401" s="21"/>
      <c r="P401" s="21"/>
      <c r="Q401" s="21"/>
    </row>
    <row r="402" spans="2:17" ht="18">
      <c r="B402" s="1123" t="s">
        <v>2761</v>
      </c>
      <c r="C402" s="852"/>
      <c r="D402" s="852"/>
      <c r="E402" s="852"/>
      <c r="F402" s="852"/>
      <c r="G402" s="64"/>
      <c r="H402" s="1085"/>
      <c r="I402" s="121"/>
      <c r="J402" s="121"/>
      <c r="K402" s="121"/>
      <c r="L402" s="121"/>
      <c r="M402" s="121"/>
      <c r="N402" s="121"/>
      <c r="O402" s="121"/>
      <c r="P402" s="121"/>
      <c r="Q402" s="121"/>
    </row>
    <row r="403" spans="2:17" ht="18">
      <c r="B403" s="1124" t="s">
        <v>887</v>
      </c>
      <c r="C403" s="852"/>
      <c r="D403" s="852"/>
      <c r="E403" s="852"/>
      <c r="F403" s="852"/>
      <c r="G403" s="64"/>
      <c r="H403" s="1085"/>
      <c r="I403" s="121"/>
      <c r="J403" s="121"/>
      <c r="K403" s="121"/>
      <c r="L403" s="121"/>
      <c r="M403" s="121"/>
      <c r="N403" s="121"/>
      <c r="O403" s="121"/>
      <c r="P403" s="121"/>
      <c r="Q403" s="121"/>
    </row>
    <row r="404" spans="2:17" ht="18">
      <c r="B404" s="1125" t="s">
        <v>888</v>
      </c>
      <c r="C404" s="852"/>
      <c r="D404" s="852"/>
      <c r="E404" s="852"/>
      <c r="F404" s="852"/>
      <c r="G404" s="853">
        <f>+DT!J15</f>
        <v>16594552.144350922</v>
      </c>
      <c r="H404" s="1126">
        <f>+'DT 22-23'!J28</f>
        <v>15542258.215957768</v>
      </c>
      <c r="I404" s="121"/>
      <c r="J404" s="121"/>
      <c r="K404" s="121"/>
      <c r="L404" s="121"/>
      <c r="M404" s="121"/>
      <c r="N404" s="121"/>
      <c r="O404" s="121"/>
      <c r="P404" s="121"/>
      <c r="Q404" s="121"/>
    </row>
    <row r="405" spans="2:17" ht="18">
      <c r="B405" s="1123" t="s">
        <v>889</v>
      </c>
      <c r="C405" s="852"/>
      <c r="D405" s="852"/>
      <c r="E405" s="852"/>
      <c r="F405" s="852"/>
      <c r="G405" s="69">
        <f>+G404</f>
        <v>16594552.144350922</v>
      </c>
      <c r="H405" s="1090">
        <f>+H404</f>
        <v>15542258.215957768</v>
      </c>
      <c r="I405" s="26"/>
      <c r="J405" s="26"/>
      <c r="K405" s="26"/>
      <c r="L405" s="26"/>
      <c r="M405" s="26"/>
      <c r="N405" s="26"/>
      <c r="O405" s="26"/>
      <c r="P405" s="26"/>
      <c r="Q405" s="26"/>
    </row>
    <row r="406" spans="2:17" ht="18">
      <c r="B406" s="1123"/>
      <c r="C406" s="852"/>
      <c r="D406" s="852"/>
      <c r="E406" s="852"/>
      <c r="F406" s="852"/>
      <c r="G406" s="69"/>
      <c r="H406" s="1090"/>
      <c r="I406" s="26"/>
      <c r="J406" s="26"/>
      <c r="K406" s="26"/>
      <c r="L406" s="26"/>
      <c r="M406" s="26"/>
      <c r="N406" s="26"/>
      <c r="O406" s="26"/>
      <c r="P406" s="26"/>
      <c r="Q406" s="26"/>
    </row>
    <row r="407" spans="2:17" ht="18">
      <c r="B407" s="1123" t="s">
        <v>2762</v>
      </c>
      <c r="C407" s="852"/>
      <c r="D407" s="852"/>
      <c r="E407" s="852"/>
      <c r="F407" s="852"/>
      <c r="G407" s="64"/>
      <c r="H407" s="1085"/>
      <c r="I407" s="121"/>
      <c r="J407" s="121"/>
      <c r="K407" s="121"/>
      <c r="L407" s="121"/>
      <c r="M407" s="121"/>
      <c r="N407" s="121"/>
      <c r="O407" s="121"/>
      <c r="P407" s="121"/>
      <c r="Q407" s="121"/>
    </row>
    <row r="408" spans="2:17" ht="18">
      <c r="B408" s="1124" t="s">
        <v>887</v>
      </c>
      <c r="C408" s="852"/>
      <c r="D408" s="852"/>
      <c r="E408" s="852"/>
      <c r="F408" s="852"/>
      <c r="G408" s="64"/>
      <c r="H408" s="1085"/>
      <c r="I408" s="121"/>
      <c r="J408" s="121"/>
      <c r="K408" s="121"/>
      <c r="L408" s="121"/>
      <c r="M408" s="121"/>
      <c r="N408" s="121"/>
      <c r="O408" s="121"/>
      <c r="P408" s="121"/>
      <c r="Q408" s="121"/>
    </row>
    <row r="409" spans="2:17" ht="18">
      <c r="B409" s="1125" t="s">
        <v>2625</v>
      </c>
      <c r="C409" s="852"/>
      <c r="D409" s="852"/>
      <c r="E409" s="852"/>
      <c r="F409" s="852"/>
      <c r="G409" s="64">
        <f>+DT!J25</f>
        <v>29552118.411617327</v>
      </c>
      <c r="H409" s="1085">
        <f>+'DT 22-23'!J24</f>
        <v>11158446.995069338</v>
      </c>
      <c r="I409" s="121"/>
      <c r="J409" s="121"/>
      <c r="K409" s="121"/>
      <c r="L409" s="121"/>
      <c r="M409" s="121"/>
      <c r="N409" s="121"/>
      <c r="O409" s="121"/>
      <c r="P409" s="121"/>
      <c r="Q409" s="121"/>
    </row>
    <row r="410" spans="2:17" ht="18">
      <c r="B410" s="1125" t="s">
        <v>2763</v>
      </c>
      <c r="C410" s="852"/>
      <c r="D410" s="852"/>
      <c r="E410" s="852"/>
      <c r="F410" s="852"/>
      <c r="G410" s="64">
        <f>+DT!J21</f>
        <v>545547.28113599983</v>
      </c>
      <c r="H410" s="1085">
        <f>+'DT 22-23'!J21</f>
        <v>278054.30223999999</v>
      </c>
      <c r="I410" s="121"/>
      <c r="J410" s="121"/>
      <c r="K410" s="121"/>
      <c r="L410" s="121"/>
      <c r="M410" s="121"/>
      <c r="N410" s="121"/>
      <c r="O410" s="121"/>
      <c r="P410" s="121"/>
      <c r="Q410" s="121"/>
    </row>
    <row r="411" spans="2:17" ht="18">
      <c r="B411" s="1123" t="s">
        <v>889</v>
      </c>
      <c r="C411" s="852"/>
      <c r="D411" s="852"/>
      <c r="E411" s="852"/>
      <c r="F411" s="852"/>
      <c r="G411" s="1294">
        <f>+G410+G409</f>
        <v>30097665.692753326</v>
      </c>
      <c r="H411" s="1484">
        <f>+SUM(H409:H410)</f>
        <v>11436501.297309337</v>
      </c>
      <c r="I411" s="26"/>
      <c r="J411" s="26"/>
      <c r="K411" s="26"/>
      <c r="L411" s="26"/>
      <c r="M411" s="26"/>
      <c r="N411" s="26"/>
      <c r="O411" s="26"/>
      <c r="P411" s="26"/>
      <c r="Q411" s="26"/>
    </row>
    <row r="412" spans="2:17" ht="18">
      <c r="B412" s="1123" t="s">
        <v>4748</v>
      </c>
      <c r="C412" s="25"/>
      <c r="D412" s="25"/>
      <c r="E412" s="2676"/>
      <c r="F412" s="2676"/>
      <c r="G412" s="1295">
        <f>+G405-G411</f>
        <v>-13503113.548402404</v>
      </c>
      <c r="H412" s="1472">
        <f>+H405-H411</f>
        <v>4105756.9186484311</v>
      </c>
      <c r="I412" s="2004"/>
      <c r="J412" s="2004"/>
      <c r="K412" s="2004"/>
      <c r="L412" s="2004"/>
      <c r="M412" s="2004"/>
      <c r="N412" s="2004"/>
      <c r="O412" s="2004"/>
      <c r="P412" s="2004"/>
      <c r="Q412" s="2004"/>
    </row>
    <row r="413" spans="2:17" ht="18">
      <c r="B413" s="1123"/>
      <c r="C413" s="25"/>
      <c r="D413" s="25"/>
      <c r="E413" s="2676"/>
      <c r="F413" s="2676"/>
      <c r="G413" s="69"/>
      <c r="H413" s="1090"/>
      <c r="I413" s="26"/>
      <c r="J413" s="26"/>
      <c r="K413" s="26"/>
      <c r="L413" s="26"/>
      <c r="M413" s="26"/>
      <c r="N413" s="26"/>
      <c r="O413" s="26"/>
      <c r="P413" s="26"/>
      <c r="Q413" s="26"/>
    </row>
    <row r="414" spans="2:17" ht="18">
      <c r="B414" s="1049" t="s">
        <v>824</v>
      </c>
      <c r="C414" s="24"/>
      <c r="D414" s="24"/>
      <c r="E414" s="2676"/>
      <c r="F414" s="2631"/>
      <c r="G414" s="1295">
        <f>+G412</f>
        <v>-13503113.548402404</v>
      </c>
      <c r="H414" s="1472">
        <f>+H412</f>
        <v>4105756.9186484311</v>
      </c>
      <c r="I414" s="2004"/>
      <c r="J414" s="2004"/>
      <c r="K414" s="2004"/>
      <c r="L414" s="2004"/>
      <c r="M414" s="2004"/>
      <c r="N414" s="2004"/>
      <c r="O414" s="2004"/>
      <c r="P414" s="2004"/>
      <c r="Q414" s="2004"/>
    </row>
    <row r="415" spans="2:17" ht="18">
      <c r="B415" s="1049"/>
      <c r="C415" s="24"/>
      <c r="D415" s="24"/>
      <c r="E415" s="2676"/>
      <c r="F415" s="2631"/>
      <c r="G415" s="48"/>
      <c r="H415" s="1059"/>
      <c r="I415" s="21"/>
      <c r="J415" s="21"/>
      <c r="K415" s="21"/>
      <c r="L415" s="21"/>
      <c r="M415" s="21"/>
      <c r="N415" s="21"/>
      <c r="O415" s="21"/>
      <c r="P415" s="21"/>
      <c r="Q415" s="21"/>
    </row>
    <row r="416" spans="2:17" ht="18">
      <c r="B416" s="1076" t="s">
        <v>2646</v>
      </c>
      <c r="C416" s="56"/>
      <c r="D416" s="56"/>
      <c r="E416" s="56"/>
      <c r="F416" s="2631"/>
      <c r="G416" s="48"/>
      <c r="H416" s="1059"/>
      <c r="I416" s="21"/>
      <c r="J416" s="21"/>
      <c r="K416" s="21"/>
      <c r="L416" s="21"/>
      <c r="M416" s="21"/>
      <c r="N416" s="21"/>
      <c r="O416" s="21"/>
      <c r="P416" s="21"/>
      <c r="Q416" s="21"/>
    </row>
    <row r="417" spans="2:19" ht="18">
      <c r="B417" s="1076"/>
      <c r="C417" s="56"/>
      <c r="D417" s="56"/>
      <c r="E417" s="56"/>
      <c r="F417" s="2631"/>
      <c r="G417" s="48"/>
      <c r="H417" s="1059"/>
      <c r="I417" s="21"/>
      <c r="J417" s="21"/>
      <c r="K417" s="21"/>
      <c r="L417" s="21"/>
      <c r="M417" s="21"/>
      <c r="N417" s="21"/>
      <c r="O417" s="21"/>
      <c r="P417" s="21"/>
      <c r="Q417" s="21"/>
    </row>
    <row r="418" spans="2:19" ht="18">
      <c r="B418" s="2697" t="s">
        <v>879</v>
      </c>
      <c r="C418" s="2721"/>
      <c r="D418" s="2721"/>
      <c r="E418" s="2721"/>
      <c r="F418" s="2631"/>
      <c r="G418" s="48"/>
      <c r="H418" s="1059"/>
      <c r="I418" s="21"/>
      <c r="J418" s="21"/>
      <c r="K418" s="21"/>
      <c r="L418" s="21"/>
      <c r="M418" s="21"/>
      <c r="N418" s="21"/>
      <c r="O418" s="21"/>
      <c r="P418" s="21"/>
      <c r="Q418" s="21"/>
    </row>
    <row r="419" spans="2:19" ht="18">
      <c r="B419" s="1127" t="s">
        <v>906</v>
      </c>
      <c r="C419" s="61"/>
      <c r="D419" s="61"/>
      <c r="E419" s="61"/>
      <c r="F419" s="2631"/>
      <c r="G419" s="48"/>
      <c r="H419" s="1059"/>
      <c r="I419" s="21"/>
      <c r="J419" s="21"/>
      <c r="K419" s="21"/>
      <c r="L419" s="21"/>
      <c r="M419" s="21"/>
      <c r="N419" s="21"/>
      <c r="O419" s="21"/>
      <c r="P419" s="21"/>
      <c r="Q419" s="21"/>
    </row>
    <row r="420" spans="2:19" ht="18">
      <c r="B420" s="2719" t="s">
        <v>907</v>
      </c>
      <c r="C420" s="2809"/>
      <c r="D420" s="2809"/>
      <c r="E420" s="2809"/>
      <c r="F420" s="2705"/>
      <c r="G420" s="57">
        <f>+'Term Loans '!E29+'Term Loans '!E27+'Term Loans '!E26</f>
        <v>22800000</v>
      </c>
      <c r="H420" s="1078">
        <v>15500000</v>
      </c>
      <c r="I420" s="54"/>
      <c r="J420" s="54"/>
      <c r="K420" s="54"/>
      <c r="L420" s="54"/>
      <c r="M420" s="54"/>
      <c r="N420" s="54"/>
      <c r="O420" s="54"/>
      <c r="P420" s="54"/>
      <c r="Q420" s="54"/>
    </row>
    <row r="421" spans="2:19" ht="18">
      <c r="B421" s="2719" t="s">
        <v>908</v>
      </c>
      <c r="C421" s="2809"/>
      <c r="D421" s="2809"/>
      <c r="E421" s="2809"/>
      <c r="F421" s="2705"/>
      <c r="G421" s="57">
        <f>+'Term Loans '!E25+'Term Loans '!E28</f>
        <v>2502059.86</v>
      </c>
      <c r="H421" s="1078">
        <v>7500016</v>
      </c>
      <c r="I421" s="54"/>
      <c r="J421" s="54"/>
      <c r="K421" s="54"/>
      <c r="L421" s="54"/>
      <c r="M421" s="54"/>
      <c r="N421" s="54"/>
      <c r="O421" s="54"/>
      <c r="P421" s="54"/>
      <c r="Q421" s="54"/>
    </row>
    <row r="422" spans="2:19" ht="18">
      <c r="B422" s="2719"/>
      <c r="C422" s="2809"/>
      <c r="D422" s="2809"/>
      <c r="E422" s="2809"/>
      <c r="F422" s="2705"/>
      <c r="G422" s="57"/>
      <c r="H422" s="1078"/>
      <c r="I422" s="54"/>
      <c r="J422" s="54"/>
      <c r="K422" s="54"/>
      <c r="L422" s="54"/>
      <c r="M422" s="54"/>
      <c r="N422" s="54"/>
      <c r="O422" s="54"/>
      <c r="P422" s="54"/>
      <c r="Q422" s="54"/>
    </row>
    <row r="423" spans="2:19" ht="18">
      <c r="B423" s="2810" t="s">
        <v>890</v>
      </c>
      <c r="C423" s="2753"/>
      <c r="D423" s="2753"/>
      <c r="E423" s="2753"/>
      <c r="F423" s="2631"/>
      <c r="G423" s="48"/>
      <c r="H423" s="1059"/>
      <c r="I423" s="21"/>
      <c r="J423" s="21"/>
      <c r="K423" s="21"/>
      <c r="L423" s="21"/>
      <c r="M423" s="21"/>
      <c r="N423" s="21"/>
      <c r="O423" s="21"/>
      <c r="P423" s="21"/>
      <c r="Q423" s="21"/>
    </row>
    <row r="424" spans="2:19" ht="18">
      <c r="B424" s="2811" t="s">
        <v>891</v>
      </c>
      <c r="C424" s="2753"/>
      <c r="D424" s="2753"/>
      <c r="E424" s="2753"/>
      <c r="F424" s="2631"/>
      <c r="G424" s="48">
        <f>+GETPIVOTDATA("Sum of Cr. Final 23-24",Pivot!$A$1,"Note",16,"BS Main Head","Short Term Borrowings","BS Sub Head","Secured - From Banks - Working Capital Loan")</f>
        <v>89643931.159999996</v>
      </c>
      <c r="H424" s="1059">
        <f>+GETPIVOTDATA("Sum of Cr. Final 22-23",Pivot!$A$1,"Note",16,"BS Main Head","Short Term Borrowings","BS Sub Head","Secured - From Banks - Working Capital Loan")</f>
        <v>78274677.280000001</v>
      </c>
      <c r="I424" s="21"/>
      <c r="J424" s="21"/>
      <c r="K424" s="21"/>
      <c r="L424" s="21"/>
      <c r="M424" s="21"/>
      <c r="N424" s="21"/>
      <c r="O424" s="21"/>
      <c r="P424" s="21"/>
      <c r="Q424" s="21"/>
    </row>
    <row r="425" spans="2:19" ht="39" customHeight="1">
      <c r="B425" s="2710" t="s">
        <v>2883</v>
      </c>
      <c r="C425" s="2711"/>
      <c r="D425" s="2711"/>
      <c r="E425" s="2711"/>
      <c r="F425" s="2711"/>
      <c r="G425" s="57"/>
      <c r="H425" s="1078"/>
      <c r="I425" s="54"/>
      <c r="J425" s="54"/>
      <c r="K425" s="54"/>
      <c r="L425" s="54"/>
      <c r="M425" s="54"/>
      <c r="N425" s="54"/>
      <c r="O425" s="54"/>
      <c r="P425" s="54"/>
      <c r="Q425" s="54"/>
    </row>
    <row r="426" spans="2:19" ht="55.2" customHeight="1">
      <c r="B426" s="2710"/>
      <c r="C426" s="2711"/>
      <c r="D426" s="2711"/>
      <c r="E426" s="2711"/>
      <c r="F426" s="2711"/>
      <c r="G426" s="57"/>
      <c r="H426" s="1078"/>
      <c r="I426" s="54"/>
      <c r="J426" s="54"/>
      <c r="K426" s="54"/>
      <c r="L426" s="54"/>
      <c r="M426" s="54"/>
      <c r="N426" s="54"/>
      <c r="O426" s="54"/>
      <c r="P426" s="54"/>
      <c r="Q426" s="54"/>
    </row>
    <row r="427" spans="2:19" ht="18">
      <c r="B427" s="2696"/>
      <c r="C427" s="2695"/>
      <c r="D427" s="2695"/>
      <c r="E427" s="2695"/>
      <c r="F427" s="2631"/>
      <c r="G427" s="1268">
        <f>+SUM(G420:G426)</f>
        <v>114945991.02</v>
      </c>
      <c r="H427" s="1455">
        <f>+SUM(H420:H426)</f>
        <v>101274693.28</v>
      </c>
      <c r="I427" s="1998"/>
      <c r="J427" s="1998"/>
      <c r="K427" s="1998"/>
      <c r="L427" s="1998"/>
      <c r="M427" s="1998"/>
      <c r="N427" s="1998"/>
      <c r="O427" s="1998"/>
      <c r="P427" s="1998"/>
      <c r="Q427" s="1998"/>
    </row>
    <row r="428" spans="2:19" ht="18">
      <c r="B428" s="1076" t="s">
        <v>2647</v>
      </c>
      <c r="C428" s="2812"/>
      <c r="D428" s="2812"/>
      <c r="E428" s="2812"/>
      <c r="F428" s="2631"/>
      <c r="G428" s="48"/>
      <c r="H428" s="1059"/>
      <c r="I428" s="21"/>
      <c r="J428" s="21"/>
      <c r="K428" s="21"/>
      <c r="L428" s="21"/>
      <c r="M428" s="21"/>
      <c r="N428" s="21"/>
      <c r="O428" s="21"/>
      <c r="P428" s="21"/>
      <c r="Q428" s="21"/>
    </row>
    <row r="429" spans="2:19" ht="18">
      <c r="B429" s="2677" t="s">
        <v>2764</v>
      </c>
      <c r="C429" s="2812"/>
      <c r="D429" s="2812"/>
      <c r="E429" s="2812"/>
      <c r="F429" s="2631"/>
      <c r="G429" s="48"/>
      <c r="H429" s="1059"/>
      <c r="I429" s="21"/>
      <c r="J429" s="21"/>
      <c r="K429" s="21"/>
      <c r="L429" s="21"/>
      <c r="M429" s="21"/>
      <c r="N429" s="21"/>
      <c r="O429" s="21"/>
      <c r="P429" s="21"/>
      <c r="Q429" s="21"/>
    </row>
    <row r="430" spans="2:19" ht="18">
      <c r="B430" s="2719" t="s">
        <v>892</v>
      </c>
      <c r="C430" s="2812"/>
      <c r="D430" s="2812"/>
      <c r="E430" s="2812"/>
      <c r="F430" s="2631"/>
      <c r="G430" s="48">
        <f>+E438+F438</f>
        <v>79353478.470000014</v>
      </c>
      <c r="H430" s="1059">
        <f>+E445+F445</f>
        <v>13822219.5</v>
      </c>
      <c r="I430" s="21"/>
      <c r="J430" s="21"/>
      <c r="K430" s="21"/>
      <c r="L430" s="21"/>
      <c r="M430" s="21"/>
      <c r="N430" s="21"/>
      <c r="O430" s="21"/>
      <c r="P430" s="21"/>
      <c r="Q430" s="21"/>
    </row>
    <row r="431" spans="2:19" ht="18">
      <c r="B431" s="2719" t="s">
        <v>893</v>
      </c>
      <c r="C431" s="2812"/>
      <c r="D431" s="2812"/>
      <c r="E431" s="2812"/>
      <c r="F431" s="2631"/>
      <c r="G431" s="48">
        <f>+E439</f>
        <v>30141437</v>
      </c>
      <c r="H431" s="1059">
        <f>+E446</f>
        <v>77775702.490151003</v>
      </c>
      <c r="I431" s="21"/>
      <c r="J431" s="21"/>
      <c r="K431" s="21"/>
      <c r="L431" s="21"/>
      <c r="M431" s="21"/>
      <c r="N431" s="21"/>
      <c r="O431" s="21"/>
      <c r="P431" s="21"/>
      <c r="Q431" s="21"/>
      <c r="R431" s="2618"/>
      <c r="S431" s="2593"/>
    </row>
    <row r="432" spans="2:19" ht="18">
      <c r="B432" s="2813"/>
      <c r="C432" s="2814"/>
      <c r="D432" s="2814"/>
      <c r="E432" s="2814"/>
      <c r="F432" s="2780"/>
      <c r="G432" s="1268">
        <f>+SUM(G429:G431)</f>
        <v>109494915.47000001</v>
      </c>
      <c r="H432" s="1455">
        <f>+SUM(H430:H431)</f>
        <v>91597921.990151003</v>
      </c>
      <c r="I432" s="1998"/>
      <c r="J432" s="1998"/>
      <c r="K432" s="1998"/>
      <c r="L432" s="1998"/>
      <c r="M432" s="1998"/>
      <c r="N432" s="1998"/>
      <c r="O432" s="1998"/>
      <c r="P432" s="1998"/>
      <c r="Q432" s="1998"/>
    </row>
    <row r="433" spans="2:17" ht="18">
      <c r="B433" s="2735" t="s">
        <v>2893</v>
      </c>
      <c r="C433" s="2736"/>
      <c r="D433" s="2736"/>
      <c r="E433" s="2736"/>
      <c r="F433" s="2736"/>
      <c r="G433" s="2736"/>
      <c r="H433" s="2737"/>
      <c r="I433" s="2738"/>
      <c r="J433" s="2738"/>
      <c r="K433" s="2738"/>
      <c r="L433" s="2738"/>
      <c r="M433" s="2738"/>
      <c r="N433" s="2738"/>
      <c r="O433" s="2738"/>
      <c r="P433" s="2738"/>
      <c r="Q433" s="2738"/>
    </row>
    <row r="434" spans="2:17" ht="28.2" customHeight="1">
      <c r="B434" s="2735"/>
      <c r="C434" s="2736"/>
      <c r="D434" s="2736"/>
      <c r="E434" s="2736"/>
      <c r="F434" s="2736"/>
      <c r="G434" s="2736"/>
      <c r="H434" s="2737"/>
      <c r="I434" s="2738"/>
      <c r="J434" s="2738"/>
      <c r="K434" s="2738"/>
      <c r="L434" s="2738"/>
      <c r="M434" s="2738"/>
      <c r="N434" s="2738"/>
      <c r="O434" s="2738"/>
      <c r="P434" s="2738"/>
      <c r="Q434" s="2738"/>
    </row>
    <row r="435" spans="2:17" ht="18">
      <c r="B435" s="2735"/>
      <c r="C435" s="2736"/>
      <c r="D435" s="2736"/>
      <c r="E435" s="2736"/>
      <c r="F435" s="2736"/>
      <c r="G435" s="2736"/>
      <c r="H435" s="2737"/>
      <c r="I435" s="2738"/>
      <c r="J435" s="2738"/>
      <c r="K435" s="2738"/>
      <c r="L435" s="2738"/>
      <c r="M435" s="2738"/>
      <c r="N435" s="2738"/>
      <c r="O435" s="2738"/>
      <c r="P435" s="2738"/>
      <c r="Q435" s="2738"/>
    </row>
    <row r="436" spans="2:17" ht="18">
      <c r="B436" s="2723" t="s">
        <v>463</v>
      </c>
      <c r="C436" s="2815"/>
      <c r="D436" s="2816" t="s">
        <v>3112</v>
      </c>
      <c r="E436" s="2817"/>
      <c r="F436" s="2817"/>
      <c r="G436" s="2817"/>
      <c r="H436" s="2818"/>
      <c r="I436" s="2709"/>
      <c r="J436" s="2709"/>
      <c r="K436" s="2709"/>
      <c r="L436" s="2709"/>
      <c r="M436" s="2709"/>
      <c r="N436" s="2709"/>
      <c r="O436" s="2709"/>
      <c r="P436" s="2709"/>
      <c r="Q436" s="2709"/>
    </row>
    <row r="437" spans="2:17" ht="18">
      <c r="B437" s="2723"/>
      <c r="C437" s="2815"/>
      <c r="D437" s="2819" t="s">
        <v>898</v>
      </c>
      <c r="E437" s="2819" t="s">
        <v>820</v>
      </c>
      <c r="F437" s="2730" t="s">
        <v>821</v>
      </c>
      <c r="G437" s="1268" t="s">
        <v>822</v>
      </c>
      <c r="H437" s="1455" t="s">
        <v>823</v>
      </c>
      <c r="I437" s="1998"/>
      <c r="J437" s="1998"/>
      <c r="K437" s="1998"/>
      <c r="L437" s="1998"/>
      <c r="M437" s="1998"/>
      <c r="N437" s="1998"/>
      <c r="O437" s="1998"/>
      <c r="P437" s="1998"/>
      <c r="Q437" s="1998"/>
    </row>
    <row r="438" spans="2:17" ht="18">
      <c r="B438" s="2820" t="s">
        <v>894</v>
      </c>
      <c r="C438" s="2821"/>
      <c r="D438" s="1425">
        <v>0</v>
      </c>
      <c r="E438" s="1425">
        <v>79354324.470000014</v>
      </c>
      <c r="F438" s="1271">
        <v>-846</v>
      </c>
      <c r="G438" s="1271">
        <v>0</v>
      </c>
      <c r="H438" s="1476">
        <v>0</v>
      </c>
      <c r="I438" s="2007"/>
      <c r="J438" s="2007"/>
      <c r="K438" s="2007"/>
      <c r="L438" s="2007"/>
      <c r="M438" s="2007"/>
      <c r="N438" s="2007"/>
      <c r="O438" s="2007"/>
      <c r="P438" s="2007"/>
      <c r="Q438" s="2007"/>
    </row>
    <row r="439" spans="2:17" ht="18">
      <c r="B439" s="2820" t="s">
        <v>895</v>
      </c>
      <c r="C439" s="2821"/>
      <c r="D439" s="1425">
        <v>0</v>
      </c>
      <c r="E439" s="1425">
        <v>30141437</v>
      </c>
      <c r="F439" s="1271">
        <v>0</v>
      </c>
      <c r="G439" s="1271">
        <v>0</v>
      </c>
      <c r="H439" s="1476">
        <v>0</v>
      </c>
      <c r="I439" s="2007"/>
      <c r="J439" s="2007"/>
      <c r="K439" s="2007"/>
      <c r="L439" s="2007"/>
      <c r="M439" s="2007"/>
      <c r="N439" s="2007"/>
      <c r="O439" s="2007"/>
      <c r="P439" s="2007"/>
      <c r="Q439" s="2007"/>
    </row>
    <row r="440" spans="2:17" ht="18">
      <c r="B440" s="2820" t="s">
        <v>896</v>
      </c>
      <c r="C440" s="2821"/>
      <c r="D440" s="1425">
        <v>0</v>
      </c>
      <c r="E440" s="1296">
        <v>0</v>
      </c>
      <c r="F440" s="1271">
        <v>0</v>
      </c>
      <c r="G440" s="1271">
        <v>0</v>
      </c>
      <c r="H440" s="1476">
        <v>0</v>
      </c>
      <c r="I440" s="2007"/>
      <c r="J440" s="2007"/>
      <c r="K440" s="2007"/>
      <c r="L440" s="2007"/>
      <c r="M440" s="2007"/>
      <c r="N440" s="2007"/>
      <c r="O440" s="2007"/>
      <c r="P440" s="2007"/>
      <c r="Q440" s="2007"/>
    </row>
    <row r="441" spans="2:17" ht="18">
      <c r="B441" s="2820" t="s">
        <v>897</v>
      </c>
      <c r="C441" s="2821"/>
      <c r="D441" s="1425">
        <v>0</v>
      </c>
      <c r="E441" s="1297">
        <v>0</v>
      </c>
      <c r="F441" s="1271">
        <v>0</v>
      </c>
      <c r="G441" s="1271">
        <v>0</v>
      </c>
      <c r="H441" s="1476">
        <v>0</v>
      </c>
      <c r="I441" s="2007"/>
      <c r="J441" s="2007"/>
      <c r="K441" s="2007"/>
      <c r="L441" s="2007"/>
      <c r="M441" s="2007"/>
      <c r="N441" s="2007"/>
      <c r="O441" s="2007"/>
      <c r="P441" s="2007"/>
      <c r="Q441" s="2007"/>
    </row>
    <row r="442" spans="2:17" ht="18">
      <c r="B442" s="2822"/>
      <c r="C442" s="2823"/>
      <c r="D442" s="2824"/>
      <c r="E442" s="2824"/>
      <c r="F442" s="2786"/>
      <c r="G442" s="1457"/>
      <c r="H442" s="1018"/>
      <c r="I442" s="1998"/>
      <c r="J442" s="1998"/>
      <c r="K442" s="1998"/>
      <c r="L442" s="1998"/>
      <c r="M442" s="1998"/>
      <c r="N442" s="1998"/>
      <c r="O442" s="1998"/>
      <c r="P442" s="1998"/>
      <c r="Q442" s="1998"/>
    </row>
    <row r="443" spans="2:17" ht="18">
      <c r="B443" s="2825" t="s">
        <v>463</v>
      </c>
      <c r="C443" s="2826"/>
      <c r="D443" s="2816" t="s">
        <v>819</v>
      </c>
      <c r="E443" s="2817"/>
      <c r="F443" s="2817"/>
      <c r="G443" s="2817"/>
      <c r="H443" s="2818"/>
      <c r="I443" s="2709"/>
      <c r="J443" s="2709"/>
      <c r="K443" s="2709"/>
      <c r="L443" s="2709"/>
      <c r="M443" s="2709"/>
      <c r="N443" s="2709"/>
      <c r="O443" s="2709"/>
      <c r="P443" s="2709"/>
      <c r="Q443" s="2709"/>
    </row>
    <row r="444" spans="2:17" ht="18">
      <c r="B444" s="2825"/>
      <c r="C444" s="2827"/>
      <c r="D444" s="2819" t="s">
        <v>898</v>
      </c>
      <c r="E444" s="2828" t="s">
        <v>820</v>
      </c>
      <c r="F444" s="2730" t="s">
        <v>821</v>
      </c>
      <c r="G444" s="1268" t="s">
        <v>822</v>
      </c>
      <c r="H444" s="1455" t="s">
        <v>822</v>
      </c>
      <c r="I444" s="1998"/>
      <c r="J444" s="1998"/>
      <c r="K444" s="1998"/>
      <c r="L444" s="1998"/>
      <c r="M444" s="1998"/>
      <c r="N444" s="1998"/>
      <c r="O444" s="1998"/>
      <c r="P444" s="1998"/>
      <c r="Q444" s="1998"/>
    </row>
    <row r="445" spans="2:17" ht="18">
      <c r="B445" s="2820" t="s">
        <v>894</v>
      </c>
      <c r="C445" s="2821"/>
      <c r="D445" s="1425">
        <v>0</v>
      </c>
      <c r="E445" s="1271">
        <v>13606704.5</v>
      </c>
      <c r="F445" s="1271">
        <v>215515</v>
      </c>
      <c r="G445" s="1271">
        <v>0</v>
      </c>
      <c r="H445" s="1476">
        <v>0</v>
      </c>
      <c r="I445" s="2007"/>
      <c r="J445" s="2007"/>
      <c r="K445" s="2007"/>
      <c r="L445" s="2007"/>
      <c r="M445" s="2007"/>
      <c r="N445" s="2007"/>
      <c r="O445" s="2007"/>
      <c r="P445" s="2007"/>
      <c r="Q445" s="2007"/>
    </row>
    <row r="446" spans="2:17" ht="18">
      <c r="B446" s="2820" t="s">
        <v>895</v>
      </c>
      <c r="C446" s="2821"/>
      <c r="D446" s="1425">
        <v>0</v>
      </c>
      <c r="E446" s="1271">
        <v>77775702.490151003</v>
      </c>
      <c r="F446" s="1271">
        <v>0</v>
      </c>
      <c r="G446" s="1271">
        <v>0</v>
      </c>
      <c r="H446" s="1476">
        <v>0</v>
      </c>
      <c r="I446" s="2007"/>
      <c r="J446" s="2007"/>
      <c r="K446" s="2007"/>
      <c r="L446" s="2007"/>
      <c r="M446" s="2007"/>
      <c r="N446" s="2007"/>
      <c r="O446" s="2007"/>
      <c r="P446" s="2007"/>
      <c r="Q446" s="2007"/>
    </row>
    <row r="447" spans="2:17" ht="18">
      <c r="B447" s="2820" t="s">
        <v>896</v>
      </c>
      <c r="C447" s="2821"/>
      <c r="D447" s="1425">
        <v>0</v>
      </c>
      <c r="E447" s="1271">
        <v>0</v>
      </c>
      <c r="F447" s="1271">
        <v>0</v>
      </c>
      <c r="G447" s="1271">
        <v>0</v>
      </c>
      <c r="H447" s="1476">
        <v>0</v>
      </c>
      <c r="I447" s="2007"/>
      <c r="J447" s="2007"/>
      <c r="K447" s="2007"/>
      <c r="L447" s="2007"/>
      <c r="M447" s="2007"/>
      <c r="N447" s="2007"/>
      <c r="O447" s="2007"/>
      <c r="P447" s="2007"/>
      <c r="Q447" s="2007"/>
    </row>
    <row r="448" spans="2:17" ht="18">
      <c r="B448" s="2820" t="s">
        <v>897</v>
      </c>
      <c r="C448" s="2821"/>
      <c r="D448" s="1425">
        <v>0</v>
      </c>
      <c r="E448" s="1271">
        <v>0</v>
      </c>
      <c r="F448" s="1271">
        <v>0</v>
      </c>
      <c r="G448" s="1271">
        <v>0</v>
      </c>
      <c r="H448" s="1476">
        <v>0</v>
      </c>
      <c r="I448" s="2007"/>
      <c r="J448" s="2007"/>
      <c r="K448" s="2007"/>
      <c r="L448" s="2007"/>
      <c r="M448" s="2007"/>
      <c r="N448" s="2007"/>
      <c r="O448" s="2007"/>
      <c r="P448" s="2007"/>
      <c r="Q448" s="2007"/>
    </row>
    <row r="449" spans="2:18" ht="18">
      <c r="B449" s="2829"/>
      <c r="C449" s="2738"/>
      <c r="D449" s="2738"/>
      <c r="E449" s="2738"/>
      <c r="F449" s="2738"/>
      <c r="G449" s="2738"/>
      <c r="H449" s="2830"/>
      <c r="I449" s="2738"/>
      <c r="J449" s="2738"/>
      <c r="K449" s="2738"/>
      <c r="L449" s="2738"/>
      <c r="M449" s="2738"/>
      <c r="N449" s="2738"/>
      <c r="O449" s="2738"/>
      <c r="P449" s="2738"/>
      <c r="Q449" s="2738"/>
    </row>
    <row r="450" spans="2:18" ht="36.75" customHeight="1">
      <c r="B450" s="2831" t="s">
        <v>899</v>
      </c>
      <c r="C450" s="2832"/>
      <c r="D450" s="2832"/>
      <c r="E450" s="2832"/>
      <c r="F450" s="2832"/>
      <c r="G450" s="2204" t="s">
        <v>2488</v>
      </c>
      <c r="H450" s="1400" t="s">
        <v>900</v>
      </c>
      <c r="I450" s="1996"/>
      <c r="J450" s="1996"/>
      <c r="K450" s="1996"/>
      <c r="L450" s="1996"/>
      <c r="M450" s="1996"/>
      <c r="N450" s="1996"/>
      <c r="O450" s="1996"/>
      <c r="P450" s="1996"/>
      <c r="Q450" s="1996"/>
    </row>
    <row r="451" spans="2:18" ht="18">
      <c r="B451" s="2833" t="s">
        <v>902</v>
      </c>
      <c r="C451" s="2834"/>
      <c r="D451" s="2834"/>
      <c r="E451" s="2834"/>
      <c r="F451" s="2835"/>
      <c r="G451" s="2208">
        <f>+G430</f>
        <v>79353478.470000014</v>
      </c>
      <c r="H451" s="2209">
        <f>+H430</f>
        <v>13822219.5</v>
      </c>
      <c r="I451" s="2836"/>
      <c r="J451" s="2836"/>
      <c r="K451" s="2836"/>
      <c r="L451" s="2836"/>
      <c r="M451" s="2836"/>
      <c r="N451" s="2836"/>
      <c r="O451" s="2836"/>
      <c r="P451" s="2836"/>
      <c r="Q451" s="2836"/>
    </row>
    <row r="452" spans="2:18" ht="18">
      <c r="B452" s="2833" t="s">
        <v>903</v>
      </c>
      <c r="C452" s="2834"/>
      <c r="D452" s="2834"/>
      <c r="E452" s="2834"/>
      <c r="F452" s="2835"/>
      <c r="G452" s="2210">
        <v>0</v>
      </c>
      <c r="H452" s="2211">
        <v>0</v>
      </c>
      <c r="I452" s="27"/>
      <c r="J452" s="27"/>
      <c r="K452" s="27"/>
      <c r="L452" s="27"/>
      <c r="M452" s="27"/>
      <c r="N452" s="27"/>
      <c r="O452" s="27"/>
      <c r="P452" s="27"/>
      <c r="Q452" s="27"/>
    </row>
    <row r="453" spans="2:18" ht="18">
      <c r="B453" s="2837"/>
      <c r="C453" s="2838"/>
      <c r="D453" s="2838"/>
      <c r="E453" s="2838"/>
      <c r="F453" s="2839"/>
      <c r="G453" s="2210"/>
      <c r="H453" s="2211"/>
      <c r="I453" s="27"/>
      <c r="J453" s="27"/>
      <c r="K453" s="27"/>
      <c r="L453" s="27"/>
      <c r="M453" s="27"/>
      <c r="N453" s="27"/>
      <c r="O453" s="27"/>
      <c r="P453" s="27"/>
      <c r="Q453" s="27"/>
    </row>
    <row r="454" spans="2:18" ht="59.25" customHeight="1">
      <c r="B454" s="2840" t="s">
        <v>2765</v>
      </c>
      <c r="C454" s="2841"/>
      <c r="D454" s="2841"/>
      <c r="E454" s="2841"/>
      <c r="F454" s="2841"/>
      <c r="G454" s="2212">
        <v>0</v>
      </c>
      <c r="H454" s="2213">
        <v>0</v>
      </c>
      <c r="I454" s="2842"/>
      <c r="J454" s="2842"/>
      <c r="K454" s="2842"/>
      <c r="L454" s="2842"/>
      <c r="M454" s="2842"/>
      <c r="N454" s="2842"/>
      <c r="O454" s="2842"/>
      <c r="P454" s="2842"/>
      <c r="Q454" s="2842"/>
    </row>
    <row r="455" spans="2:18" ht="58.5" customHeight="1">
      <c r="B455" s="2840" t="s">
        <v>2766</v>
      </c>
      <c r="C455" s="2841"/>
      <c r="D455" s="2841"/>
      <c r="E455" s="2841"/>
      <c r="F455" s="2841"/>
      <c r="G455" s="2212">
        <v>0</v>
      </c>
      <c r="H455" s="2213">
        <v>0</v>
      </c>
      <c r="I455" s="2842"/>
      <c r="J455" s="2842"/>
      <c r="K455" s="2842"/>
      <c r="L455" s="2842"/>
      <c r="M455" s="2842"/>
      <c r="N455" s="2842"/>
      <c r="O455" s="2842"/>
      <c r="P455" s="2842"/>
      <c r="Q455" s="2842"/>
    </row>
    <row r="456" spans="2:18" ht="39.75" customHeight="1">
      <c r="B456" s="2840" t="s">
        <v>904</v>
      </c>
      <c r="C456" s="2841"/>
      <c r="D456" s="2841"/>
      <c r="E456" s="2841"/>
      <c r="F456" s="2841"/>
      <c r="G456" s="2212">
        <v>0</v>
      </c>
      <c r="H456" s="2213">
        <v>0</v>
      </c>
      <c r="I456" s="2842"/>
      <c r="J456" s="2842"/>
      <c r="K456" s="2842"/>
      <c r="L456" s="2842"/>
      <c r="M456" s="2842"/>
      <c r="N456" s="2842"/>
      <c r="O456" s="2842"/>
      <c r="P456" s="2842"/>
      <c r="Q456" s="2842"/>
    </row>
    <row r="457" spans="2:18" ht="78.75" customHeight="1" thickBot="1">
      <c r="B457" s="2843" t="s">
        <v>905</v>
      </c>
      <c r="C457" s="2844"/>
      <c r="D457" s="2844"/>
      <c r="E457" s="2844"/>
      <c r="F457" s="2844"/>
      <c r="G457" s="2214">
        <v>0</v>
      </c>
      <c r="H457" s="2215">
        <v>0</v>
      </c>
      <c r="I457" s="2842"/>
      <c r="J457" s="2842"/>
      <c r="K457" s="2842"/>
      <c r="L457" s="2842"/>
      <c r="M457" s="2842"/>
      <c r="N457" s="2842"/>
      <c r="O457" s="2842"/>
      <c r="P457" s="2842"/>
      <c r="Q457" s="2842"/>
    </row>
    <row r="458" spans="2:18" ht="18">
      <c r="B458" s="2789" t="s">
        <v>702</v>
      </c>
      <c r="C458" s="2790"/>
      <c r="D458" s="2790"/>
      <c r="E458" s="2790"/>
      <c r="F458" s="2790"/>
      <c r="G458" s="2790"/>
      <c r="H458" s="2791"/>
      <c r="I458" s="2709"/>
      <c r="J458" s="2709"/>
      <c r="K458" s="2709"/>
      <c r="L458" s="2709"/>
      <c r="M458" s="2709"/>
      <c r="N458" s="2709"/>
      <c r="O458" s="2709"/>
      <c r="P458" s="2709"/>
      <c r="Q458" s="2709"/>
      <c r="R458" s="2807"/>
    </row>
    <row r="459" spans="2:18" ht="18">
      <c r="B459" s="2792" t="s">
        <v>2117</v>
      </c>
      <c r="C459" s="2793"/>
      <c r="D459" s="2793"/>
      <c r="E459" s="2793"/>
      <c r="F459" s="2793"/>
      <c r="G459" s="2793"/>
      <c r="H459" s="2794"/>
      <c r="I459" s="2709"/>
      <c r="J459" s="2709"/>
      <c r="K459" s="2709"/>
      <c r="L459" s="2709"/>
      <c r="M459" s="2709"/>
      <c r="N459" s="2709"/>
      <c r="O459" s="2709"/>
      <c r="P459" s="2709"/>
      <c r="Q459" s="2709"/>
      <c r="R459" s="2807"/>
    </row>
    <row r="460" spans="2:18" ht="18">
      <c r="B460" s="2845"/>
      <c r="C460" s="2709"/>
      <c r="D460" s="2709"/>
      <c r="E460" s="2709"/>
      <c r="F460" s="2709"/>
      <c r="G460" s="2709"/>
      <c r="H460" s="2846"/>
      <c r="I460" s="2709"/>
      <c r="J460" s="2709"/>
      <c r="K460" s="2709"/>
      <c r="L460" s="2709"/>
      <c r="M460" s="2709"/>
      <c r="N460" s="2709"/>
      <c r="O460" s="2709"/>
      <c r="P460" s="2709"/>
      <c r="Q460" s="2709"/>
      <c r="R460" s="2807"/>
    </row>
    <row r="461" spans="2:18" ht="18">
      <c r="B461" s="2690" t="s">
        <v>0</v>
      </c>
      <c r="C461" s="1054"/>
      <c r="D461" s="1054"/>
      <c r="E461" s="1054"/>
      <c r="F461" s="2847"/>
      <c r="G461" s="1004" t="s">
        <v>704</v>
      </c>
      <c r="H461" s="1005" t="s">
        <v>704</v>
      </c>
      <c r="I461" s="1996"/>
      <c r="J461" s="1996"/>
      <c r="K461" s="1996"/>
      <c r="L461" s="1996"/>
      <c r="M461" s="1996"/>
      <c r="N461" s="1996"/>
      <c r="O461" s="1996"/>
      <c r="P461" s="1996"/>
      <c r="Q461" s="1996"/>
    </row>
    <row r="462" spans="2:18" ht="18">
      <c r="B462" s="1036"/>
      <c r="C462" s="44"/>
      <c r="D462" s="44"/>
      <c r="E462" s="44"/>
      <c r="F462" s="2692"/>
      <c r="G462" s="30" t="str">
        <f>+G395</f>
        <v>March 31, 2024 (₹)</v>
      </c>
      <c r="H462" s="1038" t="str">
        <f>+H395</f>
        <v>March 31, 2023 (₹)</v>
      </c>
      <c r="I462" s="1996"/>
      <c r="J462" s="1996"/>
      <c r="K462" s="1996"/>
      <c r="L462" s="1996"/>
      <c r="M462" s="1996"/>
      <c r="N462" s="1996"/>
      <c r="O462" s="1996"/>
      <c r="P462" s="1996"/>
      <c r="Q462" s="1996"/>
    </row>
    <row r="463" spans="2:18" ht="18">
      <c r="B463" s="2719"/>
      <c r="C463" s="2812"/>
      <c r="D463" s="2812"/>
      <c r="E463" s="2812"/>
      <c r="F463" s="2631"/>
      <c r="G463" s="48"/>
      <c r="H463" s="1059"/>
      <c r="I463" s="21"/>
      <c r="J463" s="21"/>
      <c r="K463" s="21"/>
      <c r="L463" s="21"/>
      <c r="M463" s="21"/>
      <c r="N463" s="21"/>
      <c r="O463" s="21"/>
      <c r="P463" s="21"/>
      <c r="Q463" s="21"/>
    </row>
    <row r="464" spans="2:18" ht="18">
      <c r="B464" s="2719"/>
      <c r="C464" s="2812"/>
      <c r="D464" s="2812"/>
      <c r="E464" s="2812"/>
      <c r="F464" s="2631"/>
      <c r="G464" s="48"/>
      <c r="H464" s="1059"/>
      <c r="I464" s="21"/>
      <c r="J464" s="21"/>
      <c r="K464" s="21"/>
      <c r="L464" s="21"/>
      <c r="M464" s="21"/>
      <c r="N464" s="21"/>
      <c r="O464" s="21"/>
      <c r="P464" s="21"/>
      <c r="Q464" s="21"/>
    </row>
    <row r="465" spans="2:18" ht="18">
      <c r="B465" s="1091" t="s">
        <v>2648</v>
      </c>
      <c r="C465" s="61"/>
      <c r="D465" s="61"/>
      <c r="E465" s="61"/>
      <c r="F465" s="2631"/>
      <c r="G465" s="48"/>
      <c r="H465" s="1059"/>
      <c r="I465" s="21"/>
      <c r="J465" s="21"/>
      <c r="K465" s="21"/>
      <c r="L465" s="21"/>
      <c r="M465" s="21"/>
      <c r="N465" s="21"/>
      <c r="O465" s="21"/>
      <c r="P465" s="21"/>
      <c r="Q465" s="21"/>
    </row>
    <row r="466" spans="2:18" ht="18">
      <c r="B466" s="2719"/>
      <c r="C466" s="2809"/>
      <c r="D466" s="2809"/>
      <c r="E466" s="2809"/>
      <c r="F466" s="2631"/>
      <c r="G466" s="48"/>
      <c r="H466" s="1059"/>
      <c r="I466" s="21"/>
      <c r="J466" s="21"/>
      <c r="K466" s="21"/>
      <c r="L466" s="21"/>
      <c r="M466" s="21"/>
      <c r="N466" s="21"/>
      <c r="O466" s="21"/>
      <c r="P466" s="21"/>
      <c r="Q466" s="21"/>
    </row>
    <row r="467" spans="2:18" ht="18">
      <c r="B467" s="2719" t="s">
        <v>90</v>
      </c>
      <c r="C467" s="2809"/>
      <c r="D467" s="2809"/>
      <c r="E467" s="2809"/>
      <c r="F467" s="2631"/>
      <c r="G467" s="48"/>
      <c r="H467" s="1059"/>
      <c r="I467" s="21"/>
      <c r="J467" s="21"/>
      <c r="K467" s="21"/>
      <c r="L467" s="21"/>
      <c r="M467" s="21"/>
      <c r="N467" s="21"/>
      <c r="O467" s="21"/>
      <c r="P467" s="21"/>
      <c r="Q467" s="21"/>
    </row>
    <row r="468" spans="2:18" ht="18">
      <c r="B468" s="2719" t="s">
        <v>107</v>
      </c>
      <c r="C468" s="2809"/>
      <c r="D468" s="2809"/>
      <c r="E468" s="2809"/>
      <c r="F468" s="2631"/>
      <c r="G468" s="48"/>
      <c r="H468" s="1059"/>
      <c r="I468" s="21"/>
      <c r="J468" s="21"/>
      <c r="K468" s="21"/>
      <c r="L468" s="21"/>
      <c r="M468" s="21"/>
      <c r="N468" s="21"/>
      <c r="O468" s="21"/>
      <c r="P468" s="21"/>
      <c r="Q468" s="21"/>
    </row>
    <row r="469" spans="2:18" ht="18">
      <c r="B469" s="2719" t="s">
        <v>2258</v>
      </c>
      <c r="C469" s="2809"/>
      <c r="D469" s="2809"/>
      <c r="E469" s="2809"/>
      <c r="F469" s="2631"/>
      <c r="G469" s="48">
        <f>+GETPIVOTDATA("Sum of Cr. Final 23-24",Pivot!$A$1,"Note",18,"BS Main Head","Other Financial Liabilities - Current","BS Sub Head","Payable for Capital Goods")-GETPIVOTDATA("Sum of Dr. Final 23-24",Pivot!$A$1,"Note",18,"BS Main Head","Other Financial Liabilities - Current","BS Sub Head","Payable for Capital Goods")</f>
        <v>907767</v>
      </c>
      <c r="H469" s="1059">
        <f>+GETPIVOTDATA("Sum of Cr. Final 22-23",Pivot!$A$1,"Note",18,"BS Main Head","Other Financial Liabilities - Current","BS Sub Head","Payable for Capital Goods")</f>
        <v>5310167</v>
      </c>
      <c r="I469" s="21"/>
      <c r="J469" s="21"/>
      <c r="K469" s="21"/>
      <c r="L469" s="21"/>
      <c r="M469" s="21"/>
      <c r="N469" s="21"/>
      <c r="O469" s="21"/>
      <c r="P469" s="21"/>
      <c r="Q469" s="21"/>
    </row>
    <row r="470" spans="2:18" ht="18">
      <c r="B470" s="2714" t="s">
        <v>322</v>
      </c>
      <c r="C470" s="2809"/>
      <c r="D470" s="2809"/>
      <c r="E470" s="2809"/>
      <c r="F470" s="81"/>
      <c r="G470" s="48">
        <f>+GETPIVOTDATA("Sum of Cr. Final 23-24",Pivot!$A$1,"Note",18,"BS Main Head","Other Financial Liabilities - Current","BS Sub Head","Employee Payables")-GETPIVOTDATA("Sum of Dr. Final 23-24",Pivot!$A$1,"Note",18,"BS Main Head","Other Financial Liabilities - Current","BS Sub Head","Employee Payables")</f>
        <v>1668972</v>
      </c>
      <c r="H470" s="1059">
        <f>+GETPIVOTDATA("Sum of Cr. Final 22-23",Pivot!$A$1,"PARTICULARS","Salary Payable","Note",18,"BS Main Head","Other Financial Liabilities - Current","BS Sub Head","Employee Payables")</f>
        <v>1087441</v>
      </c>
      <c r="I470" s="21"/>
      <c r="J470" s="21"/>
      <c r="K470" s="21"/>
      <c r="L470" s="21"/>
      <c r="M470" s="21"/>
      <c r="N470" s="21"/>
      <c r="O470" s="21"/>
      <c r="P470" s="21"/>
      <c r="Q470" s="21"/>
      <c r="R470" s="2618"/>
    </row>
    <row r="471" spans="2:18" ht="18">
      <c r="B471" s="2848"/>
      <c r="C471" s="2809"/>
      <c r="D471" s="2809"/>
      <c r="E471" s="2809"/>
      <c r="F471" s="2631"/>
      <c r="G471" s="1268">
        <f>+SUM(G467:G470)</f>
        <v>2576739</v>
      </c>
      <c r="H471" s="1455">
        <f>+SUM(H467:H470)</f>
        <v>6397608</v>
      </c>
      <c r="I471" s="1998"/>
      <c r="J471" s="1998"/>
      <c r="K471" s="1998"/>
      <c r="L471" s="1998"/>
      <c r="M471" s="1998"/>
      <c r="N471" s="1998"/>
      <c r="O471" s="1998"/>
      <c r="P471" s="1998"/>
      <c r="Q471" s="1998"/>
      <c r="R471" s="2618"/>
    </row>
    <row r="472" spans="2:18" ht="18">
      <c r="B472" s="1091" t="s">
        <v>2649</v>
      </c>
      <c r="C472" s="2809"/>
      <c r="D472" s="2809"/>
      <c r="E472" s="2809"/>
      <c r="F472" s="2631"/>
      <c r="G472" s="48"/>
      <c r="H472" s="1059"/>
      <c r="I472" s="21"/>
      <c r="J472" s="21"/>
      <c r="K472" s="21"/>
      <c r="L472" s="21"/>
      <c r="M472" s="21"/>
      <c r="N472" s="21"/>
      <c r="O472" s="21"/>
      <c r="P472" s="21"/>
      <c r="Q472" s="21"/>
    </row>
    <row r="473" spans="2:18" ht="18">
      <c r="B473" s="1135" t="s">
        <v>90</v>
      </c>
      <c r="C473" s="2809"/>
      <c r="D473" s="2809"/>
      <c r="E473" s="2809"/>
      <c r="F473" s="2631"/>
      <c r="G473" s="48">
        <f>+GETPIVOTDATA("Sum of Cr. Final 23-24",Pivot!$A$1,"Note",18,"BS Main Head","Other Financial Liabilities - Current","BS Sub Head","GST")-GETPIVOTDATA("Sum of Dr. Final 23-24",Pivot!$A$1,"Note",18,"BS Main Head","Other Financial Liabilities - Current","BS Sub Head","GST")</f>
        <v>2006046.7000000002</v>
      </c>
      <c r="H473" s="1059">
        <f>+GETPIVOTDATA("Sum of Cr. Final 22-23",Pivot!$A$1,"Note",18,"BS Main Head","Other Financial Liabilities - Current","BS Sub Head","GST")-GETPIVOTDATA("Sum of Dr. Final 22-23",Pivot!$A$1,"Note",18,"BS Main Head","Other Financial Liabilities - Current","BS Sub Head","GST")</f>
        <v>1648919.9999999991</v>
      </c>
      <c r="I473" s="21"/>
      <c r="J473" s="21"/>
      <c r="K473" s="21"/>
      <c r="L473" s="21"/>
      <c r="M473" s="21"/>
      <c r="N473" s="21"/>
      <c r="O473" s="21"/>
      <c r="P473" s="21"/>
      <c r="Q473" s="21"/>
    </row>
    <row r="474" spans="2:18" ht="18">
      <c r="B474" s="2849" t="s">
        <v>107</v>
      </c>
      <c r="C474" s="2809"/>
      <c r="D474" s="2809"/>
      <c r="E474" s="2809"/>
      <c r="F474" s="81"/>
      <c r="G474" s="48">
        <f>+GETPIVOTDATA("Sum of Cr. Final 23-24",Pivot!$A$1,"Note",18,"BS Main Head","Other Financial Liabilities - Current","BS Sub Head","Statutory Dues")-GETPIVOTDATA("Sum of Dr. Final 23-24",Pivot!$A$1,"Note",18,"BS Main Head","Other Financial Liabilities - Current","BS Sub Head","Statutory Dues")</f>
        <v>536725.05000000005</v>
      </c>
      <c r="H474" s="1059">
        <f>+GETPIVOTDATA("Sum of Cr. Final 22-23",Pivot!$A$1,"Note",19,"BS Main Head","Other Current Liabilities","BS Sub Head","Profession Tax")+GETPIVOTDATA("Sum of Cr. Final 22-23",Pivot!$A$1,"Note",18,"BS Main Head","Other Financial Liabilities - Current","BS Sub Head","Statutory Dues")</f>
        <v>663611.86</v>
      </c>
      <c r="I474" s="21"/>
      <c r="J474" s="21"/>
      <c r="K474" s="21"/>
      <c r="L474" s="21"/>
      <c r="M474" s="21"/>
      <c r="N474" s="21"/>
      <c r="O474" s="21"/>
      <c r="P474" s="21"/>
      <c r="Q474" s="21"/>
    </row>
    <row r="475" spans="2:18" ht="18">
      <c r="B475" s="2848"/>
      <c r="C475" s="2809"/>
      <c r="D475" s="2809"/>
      <c r="E475" s="2809"/>
      <c r="F475" s="2631"/>
      <c r="G475" s="1268">
        <f>+SUM(G473:G474)</f>
        <v>2542771.75</v>
      </c>
      <c r="H475" s="1455">
        <f>+SUM(H473+H474)</f>
        <v>2312531.8599999989</v>
      </c>
      <c r="I475" s="1998"/>
      <c r="J475" s="1998"/>
      <c r="K475" s="1998"/>
      <c r="L475" s="1998"/>
      <c r="M475" s="1998"/>
      <c r="N475" s="1998"/>
      <c r="O475" s="1998"/>
      <c r="P475" s="1998"/>
      <c r="Q475" s="1998"/>
    </row>
    <row r="476" spans="2:18" ht="18">
      <c r="B476" s="1091" t="s">
        <v>2650</v>
      </c>
      <c r="C476" s="2809"/>
      <c r="D476" s="2809"/>
      <c r="E476" s="2809"/>
      <c r="F476" s="2631"/>
      <c r="G476" s="48"/>
      <c r="H476" s="1059"/>
      <c r="I476" s="21"/>
      <c r="J476" s="21"/>
      <c r="K476" s="21"/>
      <c r="L476" s="21"/>
      <c r="M476" s="21"/>
      <c r="N476" s="21"/>
      <c r="O476" s="21"/>
      <c r="P476" s="21"/>
      <c r="Q476" s="21"/>
    </row>
    <row r="477" spans="2:18" ht="18">
      <c r="B477" s="1135"/>
      <c r="C477" s="2809"/>
      <c r="D477" s="2809"/>
      <c r="E477" s="2809"/>
      <c r="F477" s="2631"/>
      <c r="G477" s="48"/>
      <c r="H477" s="1059"/>
      <c r="I477" s="21"/>
      <c r="J477" s="21"/>
      <c r="K477" s="21"/>
      <c r="L477" s="21"/>
      <c r="M477" s="21"/>
      <c r="N477" s="21"/>
      <c r="O477" s="21"/>
      <c r="P477" s="21"/>
      <c r="Q477" s="21"/>
    </row>
    <row r="478" spans="2:18" ht="18">
      <c r="B478" s="2811" t="s">
        <v>910</v>
      </c>
      <c r="C478" s="2850"/>
      <c r="D478" s="2850"/>
      <c r="E478" s="2850"/>
      <c r="F478" s="63"/>
      <c r="G478" s="48">
        <f>+GETPIVOTDATA("Sum of Cr. Final 23-24",Pivot!$A$1,"Note",20,"BS Main Head","Short Term Provisions","BS Sub Head","Provision for Employee Benefit")-GETPIVOTDATA("Sum of Dr. Final 23-24",Pivot!$A$1,"Note",20,"BS Main Head","Short Term Provisions","BS Sub Head","Provision for Employee Benefit")</f>
        <v>343164</v>
      </c>
      <c r="H478" s="1059">
        <f>+GETPIVOTDATA("Sum of Cr. Final 22-23",Pivot!$A$1,"Note",20,"BS Main Head","Short Term Provisions","BS Sub Head","Provision for Employee Benefit")-GETPIVOTDATA("Sum of Dr. Final 22-23",Pivot!$A$1,"Note",20,"BS Main Head","Short Term Provisions","BS Sub Head","Provision for Employee Benefit")</f>
        <v>233275</v>
      </c>
      <c r="I478" s="21"/>
      <c r="J478" s="21"/>
      <c r="K478" s="21"/>
      <c r="L478" s="21"/>
      <c r="M478" s="21"/>
      <c r="N478" s="21"/>
      <c r="O478" s="21"/>
      <c r="P478" s="21"/>
      <c r="Q478" s="21"/>
    </row>
    <row r="479" spans="2:18" ht="18">
      <c r="B479" s="2811" t="s">
        <v>911</v>
      </c>
      <c r="C479" s="2850"/>
      <c r="D479" s="2850"/>
      <c r="E479" s="2850"/>
      <c r="F479" s="63"/>
      <c r="G479" s="11">
        <f>+G722</f>
        <v>1328693</v>
      </c>
      <c r="H479" s="1015">
        <v>1776300</v>
      </c>
      <c r="I479" s="1874">
        <f>+G479+G398</f>
        <v>1824458.6999999993</v>
      </c>
      <c r="J479" s="1874"/>
      <c r="K479" s="1874"/>
      <c r="L479" s="1874"/>
      <c r="M479" s="1874"/>
      <c r="N479" s="1874"/>
      <c r="O479" s="1874"/>
      <c r="P479" s="1874"/>
      <c r="Q479" s="1874"/>
    </row>
    <row r="480" spans="2:18" ht="18">
      <c r="B480" s="2848"/>
      <c r="C480" s="2809"/>
      <c r="D480" s="2809"/>
      <c r="E480" s="2809"/>
      <c r="F480" s="2631"/>
      <c r="G480" s="1289">
        <f>+SUM(G477:G479)</f>
        <v>1671857</v>
      </c>
      <c r="H480" s="1290">
        <f>+SUM(H477:H479)</f>
        <v>2009575</v>
      </c>
      <c r="I480" s="1998"/>
      <c r="J480" s="1998"/>
      <c r="K480" s="1998"/>
      <c r="L480" s="1998"/>
      <c r="M480" s="1998"/>
      <c r="N480" s="1998"/>
      <c r="O480" s="1998"/>
      <c r="P480" s="1998"/>
      <c r="Q480" s="1998"/>
    </row>
    <row r="481" spans="2:24" ht="18">
      <c r="B481" s="1091" t="s">
        <v>2651</v>
      </c>
      <c r="C481" s="25"/>
      <c r="D481" s="25"/>
      <c r="E481" s="25"/>
      <c r="F481" s="2616"/>
      <c r="G481" s="10"/>
      <c r="H481" s="1013"/>
      <c r="I481" s="103"/>
      <c r="J481" s="103"/>
      <c r="K481" s="103"/>
      <c r="L481" s="103"/>
      <c r="M481" s="103"/>
      <c r="N481" s="103"/>
      <c r="O481" s="103"/>
      <c r="P481" s="103"/>
      <c r="Q481" s="103"/>
    </row>
    <row r="482" spans="2:24" ht="18">
      <c r="B482" s="1081" t="s">
        <v>912</v>
      </c>
      <c r="C482" s="25"/>
      <c r="D482" s="25"/>
      <c r="E482" s="25"/>
      <c r="F482" s="2616"/>
      <c r="G482" s="10"/>
      <c r="H482" s="1013"/>
      <c r="I482" s="103"/>
      <c r="J482" s="103"/>
      <c r="K482" s="103"/>
      <c r="L482" s="103"/>
      <c r="M482" s="103"/>
      <c r="N482" s="103"/>
      <c r="O482" s="103"/>
      <c r="P482" s="103"/>
      <c r="Q482" s="103"/>
    </row>
    <row r="483" spans="2:24" ht="18">
      <c r="B483" s="1137" t="s">
        <v>913</v>
      </c>
      <c r="C483" s="25"/>
      <c r="D483" s="25"/>
      <c r="E483" s="25"/>
      <c r="F483" s="2616"/>
      <c r="G483" s="8">
        <f>+GETPIVOTDATA("Sum of Cr. Final 23-24",Pivot!$A$1,"Note",21,"BS Main Head","Revenue From Operations","BS Sub Head","Sale of Goods - Manufacturing Sales")-GETPIVOTDATA("Sum of Dr. Final 23-24",Pivot!$A$1,"Note",21,"BS Main Head","Revenue From Operations","BS Sub Head","Sale of Goods - Manufacturing Sales")</f>
        <v>579738206.39999998</v>
      </c>
      <c r="H483" s="1011">
        <f>+GETPIVOTDATA("Sum of Cr. Final 22-23",Pivot!$A$1,"Note",21,"BS Main Head","Revenue From Operations","BS Sub Head","Sale of Goods - Manufacturing Sales")-GETPIVOTDATA("Sum of Dr. Final 22-23",Pivot!$A$1,"Note",21,"BS Main Head","Revenue From Operations","BS Sub Head","Sale of Goods - Manufacturing Sales")</f>
        <v>1042874202.4200001</v>
      </c>
      <c r="I483" s="1997"/>
      <c r="J483" s="1997"/>
      <c r="K483" s="1997"/>
      <c r="L483" s="1997"/>
      <c r="M483" s="1997"/>
      <c r="N483" s="1997"/>
      <c r="O483" s="1997"/>
      <c r="P483" s="1997"/>
      <c r="Q483" s="1997"/>
    </row>
    <row r="484" spans="2:24" ht="18">
      <c r="B484" s="2851"/>
      <c r="C484" s="25"/>
      <c r="D484" s="25"/>
      <c r="E484" s="25"/>
      <c r="F484" s="2616"/>
      <c r="G484" s="13"/>
      <c r="H484" s="1018"/>
      <c r="I484" s="1998"/>
      <c r="J484" s="1998"/>
      <c r="K484" s="1998"/>
      <c r="L484" s="1998"/>
      <c r="M484" s="1998"/>
      <c r="N484" s="1998"/>
      <c r="O484" s="1998"/>
      <c r="P484" s="1998"/>
      <c r="Q484" s="1998"/>
    </row>
    <row r="485" spans="2:24" ht="18">
      <c r="B485" s="2852" t="s">
        <v>914</v>
      </c>
      <c r="C485" s="25"/>
      <c r="D485" s="25"/>
      <c r="E485" s="25"/>
      <c r="F485" s="2616"/>
      <c r="G485" s="10"/>
      <c r="H485" s="1013"/>
      <c r="I485" s="103"/>
      <c r="J485" s="103"/>
      <c r="K485" s="103"/>
      <c r="L485" s="103"/>
      <c r="M485" s="103"/>
      <c r="N485" s="103"/>
      <c r="O485" s="103"/>
      <c r="P485" s="103"/>
      <c r="Q485" s="103"/>
    </row>
    <row r="486" spans="2:24" ht="18">
      <c r="B486" s="2851" t="s">
        <v>915</v>
      </c>
      <c r="C486" s="25"/>
      <c r="D486" s="25"/>
      <c r="E486" s="25"/>
      <c r="F486" s="2616"/>
      <c r="G486" s="11">
        <f>+GETPIVOTDATA("Sum of Cr. Final 23-24",Pivot!$A$1,"Note",21,"BS Main Head","Revenue From Operations","BS Sub Head","PSI Subsidy")-GETPIVOTDATA("Sum of Dr. Final 23-24",Pivot!$A$1,"Note",21,"BS Main Head","Revenue From Operations","BS Sub Head","PSI Subsidy")</f>
        <v>9444000</v>
      </c>
      <c r="H486" s="1015">
        <f>+GETPIVOTDATA("Sum of Cr. Final 22-23",Pivot!$A$1,"Note",21,"BS Main Head","Revenue From Operations","BS Sub Head","PSI Subsidy")-GETPIVOTDATA("Sum of Dr. Final 22-23",Pivot!$A$1,"Note",21,"BS Main Head","Revenue From Operations","BS Sub Head","PSI Subsidy")</f>
        <v>9443500</v>
      </c>
      <c r="I486" s="1874"/>
      <c r="J486" s="1874"/>
      <c r="K486" s="1874"/>
      <c r="L486" s="1874"/>
      <c r="M486" s="1874"/>
      <c r="N486" s="1874"/>
      <c r="O486" s="1874"/>
      <c r="P486" s="1874"/>
      <c r="Q486" s="1874"/>
    </row>
    <row r="487" spans="2:24" ht="18">
      <c r="B487" s="2853"/>
      <c r="C487" s="25"/>
      <c r="D487" s="25"/>
      <c r="E487" s="25"/>
      <c r="F487" s="2616"/>
      <c r="G487" s="10"/>
      <c r="H487" s="1013"/>
      <c r="I487" s="103"/>
      <c r="J487" s="103"/>
      <c r="K487" s="103"/>
      <c r="L487" s="103"/>
      <c r="M487" s="103"/>
      <c r="N487" s="103"/>
      <c r="O487" s="103"/>
      <c r="P487" s="103"/>
      <c r="Q487" s="103"/>
    </row>
    <row r="488" spans="2:24" ht="18">
      <c r="B488" s="1049"/>
      <c r="C488" s="25"/>
      <c r="D488" s="25"/>
      <c r="E488" s="25"/>
      <c r="F488" s="2616"/>
      <c r="G488" s="1268">
        <f>+G483+G486</f>
        <v>589182206.39999998</v>
      </c>
      <c r="H488" s="1268">
        <f>+H483+H486</f>
        <v>1052317702.4200001</v>
      </c>
      <c r="I488" s="1998"/>
      <c r="J488" s="1998"/>
      <c r="K488" s="1998"/>
      <c r="L488" s="1998"/>
      <c r="M488" s="1998"/>
      <c r="N488" s="1998"/>
      <c r="O488" s="1998"/>
      <c r="P488" s="1998"/>
      <c r="Q488" s="1998"/>
    </row>
    <row r="489" spans="2:24" ht="18">
      <c r="B489" s="1076" t="s">
        <v>2652</v>
      </c>
      <c r="C489" s="25"/>
      <c r="D489" s="25"/>
      <c r="E489" s="25"/>
      <c r="F489" s="2631"/>
      <c r="G489" s="48"/>
      <c r="H489" s="1059"/>
      <c r="I489" s="21"/>
      <c r="J489" s="21"/>
      <c r="K489" s="21"/>
      <c r="L489" s="21"/>
      <c r="M489" s="21"/>
      <c r="N489" s="21"/>
      <c r="O489" s="21"/>
      <c r="P489" s="21"/>
      <c r="Q489" s="21"/>
      <c r="S489" s="2592" t="s">
        <v>2634</v>
      </c>
    </row>
    <row r="490" spans="2:24" ht="18">
      <c r="B490" s="1063" t="s">
        <v>916</v>
      </c>
      <c r="C490" s="24"/>
      <c r="D490" s="24"/>
      <c r="E490" s="24"/>
      <c r="F490" s="2631"/>
      <c r="G490" s="48">
        <f>+GETPIVOTDATA("Sum of Cr. Final 23-24",Pivot!$A$1,"Note",22,"BS Main Head","Other Income","BS Sub Head","Foreign Exchange Fluctuation Gain on RM")-GETPIVOTDATA("Sum of Dr. Final 23-24",Pivot!$A$1,"Note",22,"BS Main Head","Other Income","BS Sub Head","Foreign Exchange Fluctuation Gain on RM")</f>
        <v>729285</v>
      </c>
      <c r="H490" s="1059">
        <f>+GETPIVOTDATA("Sum of Cr. Final 22-23",Pivot!$A$1,"Note",22,"BS Main Head","Other Income","BS Sub Head","Foreign Exchange Fluctuation Gain on RM")-GETPIVOTDATA("Sum of Dr. Final 22-23",Pivot!$A$1,"Note",22,"BS Main Head","Other Income","BS Sub Head","Foreign Exchange Fluctuation Gain on RM")</f>
        <v>889167.66984900087</v>
      </c>
      <c r="I490" s="21"/>
      <c r="J490" s="21"/>
      <c r="K490" s="21"/>
      <c r="L490" s="21"/>
      <c r="M490" s="21"/>
      <c r="N490" s="21"/>
      <c r="O490" s="21"/>
      <c r="P490" s="21"/>
      <c r="Q490" s="21"/>
      <c r="S490" s="2854" t="s">
        <v>2635</v>
      </c>
      <c r="T490" s="2855" t="s">
        <v>2636</v>
      </c>
      <c r="U490" s="2855" t="s">
        <v>2579</v>
      </c>
      <c r="V490" s="2855" t="s">
        <v>2637</v>
      </c>
      <c r="W490" s="2855" t="s">
        <v>2639</v>
      </c>
      <c r="X490" s="2855" t="s">
        <v>2638</v>
      </c>
    </row>
    <row r="491" spans="2:24" ht="18">
      <c r="B491" s="1063" t="s">
        <v>3015</v>
      </c>
      <c r="C491" s="24"/>
      <c r="D491" s="24"/>
      <c r="E491" s="24"/>
      <c r="F491" s="2631"/>
      <c r="G491" s="48">
        <f>+GETPIVOTDATA("Sum of Cr. Final 23-24",Pivot!$A$1,"Note",22,"BS Main Head","Other Income","BS Sub Head","Sale of Scrap")-GETPIVOTDATA("Sum of Dr. Final 23-24",Pivot!$A$1,"Note",22,"BS Main Head","Other Income","BS Sub Head","Sale of Scrap")</f>
        <v>0</v>
      </c>
      <c r="H491" s="1059"/>
      <c r="I491" s="21"/>
      <c r="J491" s="21"/>
      <c r="K491" s="21"/>
      <c r="L491" s="21"/>
      <c r="M491" s="21"/>
      <c r="N491" s="21"/>
      <c r="O491" s="21"/>
      <c r="P491" s="21"/>
      <c r="Q491" s="21"/>
      <c r="S491" s="2854"/>
      <c r="T491" s="2855"/>
      <c r="U491" s="2855"/>
      <c r="V491" s="2855"/>
      <c r="W491" s="2855"/>
      <c r="X491" s="2855"/>
    </row>
    <row r="492" spans="2:24" ht="18">
      <c r="B492" s="1063" t="s">
        <v>917</v>
      </c>
      <c r="C492" s="24"/>
      <c r="D492" s="24"/>
      <c r="E492" s="24"/>
      <c r="F492" s="2631"/>
      <c r="G492" s="48">
        <f>+GETPIVOTDATA("Sum of Cr. Final 23-24",Pivot!$A$1,"Note",22,"BS Main Head","Other Income","BS Sub Head","Interest Received")-GETPIVOTDATA("Sum of Dr. Final 23-24",Pivot!$A$1,"Note",22,"BS Main Head","Other Income","BS Sub Head","Interest Received")</f>
        <v>172494</v>
      </c>
      <c r="H492" s="1059">
        <f>+GETPIVOTDATA("Sum of Cr. Final 22-23",Pivot!$A$1,"Note",22,"BS Main Head","Other Income","BS Sub Head","Interest Received")-GETPIVOTDATA("Sum of Dr. Final 22-23",Pivot!$A$1,"Note",22,"BS Main Head","Other Income","BS Sub Head","Interest Received")</f>
        <v>202145.39</v>
      </c>
      <c r="I492" s="21"/>
      <c r="J492" s="21"/>
      <c r="K492" s="21"/>
      <c r="L492" s="21"/>
      <c r="M492" s="21"/>
      <c r="N492" s="21"/>
      <c r="O492" s="21"/>
      <c r="P492" s="21"/>
      <c r="Q492" s="21"/>
      <c r="S492" s="2854" t="s">
        <v>40</v>
      </c>
      <c r="T492" s="2855">
        <f>+W953</f>
        <v>46366.25</v>
      </c>
      <c r="U492" s="2856">
        <v>82.216899999999995</v>
      </c>
      <c r="V492" s="2855">
        <f>+T492*U492</f>
        <v>3812089.3396249996</v>
      </c>
      <c r="W492" s="2855">
        <v>3880855</v>
      </c>
      <c r="X492" s="2857">
        <f>+W492-V492</f>
        <v>68765.660375000443</v>
      </c>
    </row>
    <row r="493" spans="2:24" ht="18.600000000000001" thickBot="1">
      <c r="B493" s="1063"/>
      <c r="C493" s="24"/>
      <c r="D493" s="24"/>
      <c r="E493" s="24"/>
      <c r="F493" s="2631"/>
      <c r="G493" s="60">
        <f>+SUM(G490:G492)</f>
        <v>901779</v>
      </c>
      <c r="H493" s="1080">
        <f>+SUM(H490:H492)</f>
        <v>1091313.059849001</v>
      </c>
      <c r="I493" s="1998"/>
      <c r="J493" s="1998"/>
      <c r="K493" s="1998"/>
      <c r="L493" s="1998"/>
      <c r="M493" s="1998"/>
      <c r="N493" s="1998"/>
      <c r="O493" s="1998"/>
      <c r="P493" s="1998"/>
      <c r="Q493" s="1998"/>
      <c r="S493" s="2854" t="s">
        <v>39</v>
      </c>
      <c r="T493" s="2855">
        <f>+W954</f>
        <v>13063.24</v>
      </c>
      <c r="U493" s="2856">
        <v>82.216899999999995</v>
      </c>
      <c r="V493" s="2855">
        <f t="shared" ref="V493:V495" si="14">+T493*U493</f>
        <v>1074019.0967559998</v>
      </c>
      <c r="W493" s="2855">
        <v>1093393</v>
      </c>
      <c r="X493" s="2857">
        <f t="shared" ref="X493:X495" si="15">+W493-V493</f>
        <v>19373.903244000161</v>
      </c>
    </row>
    <row r="494" spans="2:24" ht="18.600000000000001" thickTop="1">
      <c r="B494" s="1076" t="s">
        <v>2653</v>
      </c>
      <c r="C494" s="56"/>
      <c r="D494" s="56"/>
      <c r="E494" s="56"/>
      <c r="F494" s="2631"/>
      <c r="G494" s="48"/>
      <c r="H494" s="1059"/>
      <c r="I494" s="21"/>
      <c r="J494" s="21"/>
      <c r="K494" s="21"/>
      <c r="L494" s="21"/>
      <c r="M494" s="21"/>
      <c r="N494" s="21"/>
      <c r="O494" s="21"/>
      <c r="P494" s="21"/>
      <c r="Q494" s="21"/>
      <c r="S494" s="2854" t="s">
        <v>468</v>
      </c>
      <c r="T494" s="2855">
        <f>+W955</f>
        <v>24291.3</v>
      </c>
      <c r="U494" s="2856">
        <v>82.216899999999995</v>
      </c>
      <c r="V494" s="2855">
        <f t="shared" si="14"/>
        <v>1997155.3829699999</v>
      </c>
      <c r="W494" s="2855">
        <v>2033181</v>
      </c>
      <c r="X494" s="2857">
        <f t="shared" si="15"/>
        <v>36025.617030000081</v>
      </c>
    </row>
    <row r="495" spans="2:24" ht="18">
      <c r="B495" s="1063" t="s">
        <v>251</v>
      </c>
      <c r="C495" s="24"/>
      <c r="D495" s="24"/>
      <c r="E495" s="24"/>
      <c r="F495" s="2631"/>
      <c r="G495" s="48">
        <f>+H498</f>
        <v>34550733</v>
      </c>
      <c r="H495" s="1059">
        <v>23499723</v>
      </c>
      <c r="I495" s="21"/>
      <c r="J495" s="21"/>
      <c r="K495" s="21"/>
      <c r="L495" s="21"/>
      <c r="M495" s="21"/>
      <c r="N495" s="21"/>
      <c r="O495" s="21"/>
      <c r="P495" s="21"/>
      <c r="Q495" s="21"/>
      <c r="S495" s="2854" t="s">
        <v>544</v>
      </c>
      <c r="T495" s="2855">
        <f>+W956</f>
        <v>45332</v>
      </c>
      <c r="U495" s="2856">
        <v>82.216899999999995</v>
      </c>
      <c r="V495" s="2855">
        <f t="shared" si="14"/>
        <v>3727056.5107999998</v>
      </c>
      <c r="W495" s="2855">
        <v>3794288</v>
      </c>
      <c r="X495" s="2857">
        <f t="shared" si="15"/>
        <v>67231.489200000186</v>
      </c>
    </row>
    <row r="496" spans="2:24" ht="18">
      <c r="B496" s="1063" t="s">
        <v>918</v>
      </c>
      <c r="C496" s="24"/>
      <c r="D496" s="24"/>
      <c r="E496" s="24"/>
      <c r="F496" s="63"/>
      <c r="G496" s="66">
        <f>+GETPIVOTDATA("Sum of Dr. Final 23-24",Pivot!$A$1,"Note",23,"BS Main Head","Raw Material Consumed","BS Sub Head","Raw Material Purchase")-GETPIVOTDATA("Sum of Cr. Final 23-24",Pivot!$A$1,"Note",23,"BS Main Head","Raw Material Consumed","BS Sub Head","Raw Material Purchase")</f>
        <v>391306861.49000001</v>
      </c>
      <c r="H496" s="1103">
        <f>+GETPIVOTDATA("Sum of Dr. Final 22-23",Pivot!$A$1,"Note",23,"BS Main Head","Raw Material Consumed","BS Sub Head","Raw Material Purchase")-GETPIVOTDATA("Sum of Cr. Final 22-23",Pivot!$A$1,"Note",23,"BS Main Head","Raw Material Consumed","BS Sub Head","Raw Material Purchase")</f>
        <v>826174715.5</v>
      </c>
      <c r="I496" s="21"/>
      <c r="J496" s="21"/>
      <c r="K496" s="21"/>
      <c r="L496" s="21"/>
      <c r="M496" s="21"/>
      <c r="N496" s="21"/>
      <c r="O496" s="21"/>
      <c r="P496" s="21"/>
      <c r="Q496" s="21"/>
      <c r="S496" s="2854"/>
      <c r="T496" s="2855"/>
      <c r="U496" s="2855"/>
      <c r="V496" s="2855"/>
      <c r="W496" s="2855"/>
      <c r="X496" s="2857">
        <f>SUM(X492:X495)</f>
        <v>191396.66984900087</v>
      </c>
    </row>
    <row r="497" spans="2:23" ht="18">
      <c r="B497" s="1063"/>
      <c r="C497" s="24"/>
      <c r="D497" s="24"/>
      <c r="E497" s="24"/>
      <c r="F497" s="2631"/>
      <c r="G497" s="13">
        <f>+SUM(G495:G496)</f>
        <v>425857594.49000001</v>
      </c>
      <c r="H497" s="1018">
        <f>+SUM(H495:H496)</f>
        <v>849674438.5</v>
      </c>
      <c r="I497" s="1998"/>
      <c r="J497" s="1998"/>
      <c r="K497" s="1998"/>
      <c r="L497" s="1998"/>
      <c r="M497" s="1998"/>
      <c r="N497" s="1998"/>
      <c r="O497" s="1998"/>
      <c r="P497" s="1998"/>
      <c r="Q497" s="1998"/>
    </row>
    <row r="498" spans="2:23" ht="18">
      <c r="B498" s="1063" t="s">
        <v>919</v>
      </c>
      <c r="C498" s="24"/>
      <c r="D498" s="24"/>
      <c r="E498" s="24"/>
      <c r="F498" s="22"/>
      <c r="G498" s="48">
        <f>+'CLOSING STOCK 31-03-24'!P11+'CLOSING STOCK 31-03-24'!P18+'CLOSING STOCK 31-03-24'!P24</f>
        <v>11927807</v>
      </c>
      <c r="H498" s="1059">
        <f>+'CLOSING STOCK 31-03-24'!F20+'CLOSING STOCK 31-03-24'!F24</f>
        <v>34550733</v>
      </c>
      <c r="I498" s="21"/>
      <c r="J498" s="21"/>
      <c r="K498" s="21"/>
      <c r="L498" s="21"/>
      <c r="M498" s="21"/>
      <c r="N498" s="21"/>
      <c r="O498" s="21"/>
      <c r="P498" s="21"/>
      <c r="Q498" s="21"/>
    </row>
    <row r="499" spans="2:23" ht="18.600000000000001" thickBot="1">
      <c r="B499" s="1063"/>
      <c r="C499" s="82"/>
      <c r="D499" s="82"/>
      <c r="E499" s="82"/>
      <c r="F499" s="82"/>
      <c r="G499" s="60">
        <f>+G497-G498</f>
        <v>413929787.49000001</v>
      </c>
      <c r="H499" s="1080">
        <f>+H497-H498</f>
        <v>815123705.5</v>
      </c>
      <c r="I499" s="1998"/>
      <c r="J499" s="1998"/>
      <c r="K499" s="1998"/>
      <c r="L499" s="1998"/>
      <c r="M499" s="1998"/>
      <c r="N499" s="1998"/>
      <c r="O499" s="1998"/>
      <c r="P499" s="1998"/>
      <c r="Q499" s="1998"/>
    </row>
    <row r="500" spans="2:23" ht="18.600000000000001" thickTop="1">
      <c r="B500" s="1076" t="s">
        <v>2654</v>
      </c>
      <c r="C500" s="56"/>
      <c r="D500" s="56"/>
      <c r="E500" s="56"/>
      <c r="F500" s="2858"/>
      <c r="G500" s="47"/>
      <c r="H500" s="1058"/>
      <c r="I500" s="120"/>
      <c r="J500" s="120"/>
      <c r="K500" s="120"/>
      <c r="L500" s="120"/>
      <c r="M500" s="120"/>
      <c r="N500" s="120"/>
      <c r="O500" s="120"/>
      <c r="P500" s="120"/>
      <c r="Q500" s="120"/>
    </row>
    <row r="501" spans="2:23" ht="18">
      <c r="B501" s="1063" t="s">
        <v>251</v>
      </c>
      <c r="C501" s="24"/>
      <c r="D501" s="24"/>
      <c r="E501" s="24"/>
      <c r="F501" s="2631"/>
      <c r="G501" s="48">
        <f>+H502</f>
        <v>16465227</v>
      </c>
      <c r="H501" s="1059">
        <v>17088292</v>
      </c>
      <c r="I501" s="21"/>
      <c r="J501" s="21"/>
      <c r="K501" s="21"/>
      <c r="L501" s="21"/>
      <c r="M501" s="21"/>
      <c r="N501" s="21"/>
      <c r="O501" s="21"/>
      <c r="P501" s="21"/>
      <c r="Q501" s="21"/>
    </row>
    <row r="502" spans="2:23" ht="18">
      <c r="B502" s="1063" t="s">
        <v>920</v>
      </c>
      <c r="C502" s="24"/>
      <c r="D502" s="24"/>
      <c r="E502" s="24"/>
      <c r="F502" s="22"/>
      <c r="G502" s="48">
        <f>+'FG Valuation'!G39</f>
        <v>4109107.7332667881</v>
      </c>
      <c r="H502" s="1059">
        <v>16465227</v>
      </c>
      <c r="I502" s="21"/>
      <c r="J502" s="21"/>
      <c r="K502" s="21"/>
      <c r="L502" s="21"/>
      <c r="M502" s="21"/>
      <c r="N502" s="21"/>
      <c r="O502" s="21"/>
      <c r="P502" s="21"/>
      <c r="Q502" s="21"/>
    </row>
    <row r="503" spans="2:23" ht="18.600000000000001" thickBot="1">
      <c r="B503" s="1063"/>
      <c r="C503" s="24"/>
      <c r="D503" s="24"/>
      <c r="E503" s="24"/>
      <c r="F503" s="2631"/>
      <c r="G503" s="60">
        <f>+G501-G502</f>
        <v>12356119.266733212</v>
      </c>
      <c r="H503" s="1080">
        <f>+H501-H502</f>
        <v>623065</v>
      </c>
      <c r="I503" s="1998"/>
      <c r="J503" s="1998"/>
      <c r="K503" s="1998"/>
      <c r="L503" s="1998"/>
      <c r="M503" s="1998"/>
      <c r="N503" s="1998"/>
      <c r="O503" s="1998"/>
      <c r="P503" s="1998"/>
      <c r="Q503" s="1998"/>
    </row>
    <row r="504" spans="2:23" ht="18.600000000000001" thickTop="1">
      <c r="B504" s="1076" t="s">
        <v>2655</v>
      </c>
      <c r="C504" s="56"/>
      <c r="D504" s="56"/>
      <c r="E504" s="56"/>
      <c r="F504" s="2631"/>
      <c r="G504" s="48"/>
      <c r="H504" s="1059"/>
      <c r="I504" s="21"/>
      <c r="J504" s="21"/>
      <c r="K504" s="21"/>
      <c r="L504" s="21"/>
      <c r="M504" s="21"/>
      <c r="N504" s="21"/>
      <c r="O504" s="21"/>
      <c r="P504" s="21"/>
      <c r="Q504" s="21"/>
      <c r="S504" s="2592" t="s">
        <v>900</v>
      </c>
    </row>
    <row r="505" spans="2:23" ht="18">
      <c r="B505" s="1063" t="s">
        <v>141</v>
      </c>
      <c r="C505" s="24"/>
      <c r="D505" s="24"/>
      <c r="E505" s="24"/>
      <c r="F505" s="21"/>
      <c r="G505" s="48">
        <f>+GETPIVOTDATA("Sum of Dr. Final 23-24",Pivot!$A$1,"Note",25,"BS Main Head","Employee Benefit Expenses","BS Sub Head","Salary &amp; Wages")-GETPIVOTDATA("Sum of Cr. Final 23-24",Pivot!$A$1,"Note",25,"BS Main Head","Employee Benefit Expenses","BS Sub Head","Salary &amp; Wages")</f>
        <v>17639146</v>
      </c>
      <c r="H505" s="1059">
        <f>+GETPIVOTDATA("Sum of Dr. Final 22-23",Pivot!$A$1,"Note",25,"BS Main Head","Employee Benefit Expenses","BS Sub Head","Salary &amp; Wages")-GETPIVOTDATA("Sum of Cr. Final 22-23",Pivot!$A$1,"Note",25,"BS Main Head","Employee Benefit Expenses","BS Sub Head","Salary &amp; Wages")</f>
        <v>15862269</v>
      </c>
      <c r="I505" s="21"/>
      <c r="J505" s="21"/>
      <c r="K505" s="21"/>
      <c r="L505" s="21"/>
      <c r="M505" s="21"/>
      <c r="N505" s="21"/>
      <c r="O505" s="21"/>
      <c r="P505" s="21"/>
      <c r="Q505" s="21"/>
      <c r="S505" s="2592" t="s">
        <v>463</v>
      </c>
      <c r="T505" s="376" t="s">
        <v>1119</v>
      </c>
      <c r="U505" s="376" t="s">
        <v>1120</v>
      </c>
      <c r="V505" s="376" t="s">
        <v>1121</v>
      </c>
      <c r="W505" s="376" t="s">
        <v>1122</v>
      </c>
    </row>
    <row r="506" spans="2:23" ht="18">
      <c r="B506" s="1063" t="s">
        <v>157</v>
      </c>
      <c r="C506" s="24"/>
      <c r="D506" s="24"/>
      <c r="E506" s="24"/>
      <c r="F506" s="2631"/>
      <c r="G506" s="48">
        <f>+GETPIVOTDATA("Sum of Dr. Final 23-24",Pivot!$A$1,"Note",25,"BS Main Head","Employee Benefit Expenses","BS Sub Head","Contribution to Funds")</f>
        <v>2702976</v>
      </c>
      <c r="H506" s="1059">
        <f>+GETPIVOTDATA("Sum of Dr. Final 22-23",Pivot!$A$1,"Note",25,"BS Main Head","Employee Benefit Expenses","BS Sub Head","Contribution to Funds")-GETPIVOTDATA("Sum of Cr. Final 22-23",Pivot!$A$1,"Note",25,"BS Main Head","Employee Benefit Expenses","BS Sub Head","Contribution to Funds")</f>
        <v>2416943</v>
      </c>
      <c r="I506" s="21"/>
      <c r="J506" s="21"/>
      <c r="K506" s="21"/>
      <c r="L506" s="21"/>
      <c r="M506" s="21"/>
      <c r="N506" s="21"/>
      <c r="O506" s="21"/>
      <c r="P506" s="21"/>
      <c r="Q506" s="21"/>
      <c r="S506" s="2592" t="s">
        <v>1118</v>
      </c>
      <c r="T506" s="376">
        <v>656155</v>
      </c>
      <c r="U506" s="376">
        <f>+GETPIVOTDATA("Sum of Dr. Final 22-23",Pivot!$A$1,"Note",27,"BS Main Head","Other - Manufacturing Expenses","BS Sub Head","Packing Material Purchase")-GETPIVOTDATA("Sum of Cr. Final 22-23",Pivot!$A$1,"Note",27,"BS Main Head","Other - Manufacturing Expenses","BS Sub Head","Packing Material Purchase")</f>
        <v>10882324.880000001</v>
      </c>
      <c r="V506" s="376">
        <f>+'CLOSING STOCK 31-03-24'!F22</f>
        <v>548138</v>
      </c>
      <c r="W506" s="376">
        <f>+T506+U506-V506</f>
        <v>10990341.880000001</v>
      </c>
    </row>
    <row r="507" spans="2:23" ht="18">
      <c r="B507" s="1063" t="s">
        <v>244</v>
      </c>
      <c r="C507" s="24"/>
      <c r="D507" s="24"/>
      <c r="E507" s="24"/>
      <c r="F507" s="2631"/>
      <c r="G507" s="48">
        <f>+GETPIVOTDATA("Sum of Dr. Final 23-24",Pivot!$A$1,"Note",25,"BS Main Head","Employee Benefit Expenses","BS Sub Head","Staff Welfare Expenses")-GETPIVOTDATA("Sum of Cr. Final 23-24",Pivot!$A$1,"Note",25,"BS Main Head","Employee Benefit Expenses","BS Sub Head","Staff Welfare Expenses")</f>
        <v>255943</v>
      </c>
      <c r="H507" s="1059">
        <f>+GETPIVOTDATA("Sum of Dr. Final 22-23",Pivot!$A$1,"Note",25,"BS Main Head","Employee Benefit Expenses","BS Sub Head","Staff Welfare Expenses")-GETPIVOTDATA("Sum of Cr. Final 22-23",Pivot!$A$1,"Note",25,"BS Main Head","Employee Benefit Expenses","BS Sub Head","Staff Welfare Expenses")</f>
        <v>194520</v>
      </c>
      <c r="I507" s="21"/>
      <c r="J507" s="21"/>
      <c r="K507" s="21"/>
      <c r="L507" s="21"/>
      <c r="M507" s="21"/>
      <c r="N507" s="21"/>
      <c r="O507" s="21"/>
      <c r="P507" s="21"/>
      <c r="Q507" s="21"/>
      <c r="S507" s="2592" t="s">
        <v>1123</v>
      </c>
      <c r="T507" s="376">
        <v>2062056</v>
      </c>
      <c r="U507" s="376">
        <f>+GETPIVOTDATA("Sum of Dr. Final 22-23",Pivot!$A$1,"Note",27,"BS Main Head","Other - Manufacturing Expenses","BS Sub Head","Power and Fuel")-GETPIVOTDATA("Sum of Cr. Final 22-23",Pivot!$A$1,"Note",27,"BS Main Head","Other - Manufacturing Expenses","BS Sub Head","Power and Fuel")</f>
        <v>184467217.23999998</v>
      </c>
      <c r="V507" s="376">
        <f>+'CLOSING STOCK 31-03-24'!F26</f>
        <v>2142890</v>
      </c>
      <c r="W507" s="376">
        <f t="shared" ref="W507:W508" si="16">+T507+U507-V507</f>
        <v>184386383.23999998</v>
      </c>
    </row>
    <row r="508" spans="2:23" ht="18.600000000000001" thickBot="1">
      <c r="B508" s="1063"/>
      <c r="C508" s="24"/>
      <c r="D508" s="24"/>
      <c r="E508" s="24"/>
      <c r="F508" s="2631"/>
      <c r="G508" s="60">
        <f>+SUM(G505:G507)</f>
        <v>20598065</v>
      </c>
      <c r="H508" s="1080">
        <f>+SUM(H505:H507)</f>
        <v>18473732</v>
      </c>
      <c r="I508" s="1998"/>
      <c r="J508" s="1998"/>
      <c r="K508" s="1998"/>
      <c r="L508" s="1998"/>
      <c r="M508" s="1998"/>
      <c r="N508" s="1998"/>
      <c r="O508" s="1998"/>
      <c r="P508" s="1998"/>
      <c r="Q508" s="1998"/>
      <c r="S508" s="2592" t="s">
        <v>1124</v>
      </c>
      <c r="T508" s="376">
        <v>8287041</v>
      </c>
      <c r="U508" s="376">
        <f>+GETPIVOTDATA("Sum of Dr. Final 22-23",Pivot!$A$1,"Note",27,"BS Main Head","Other - Manufacturing Expenses","BS Sub Head","Stores &amp; Spares Consumed")-GETPIVOTDATA("Sum of Cr. Final 22-23",Pivot!$A$1,"Note",27,"BS Main Head","Other - Manufacturing Expenses","BS Sub Head","Stores &amp; Spares Consumed")</f>
        <v>13738207.939999999</v>
      </c>
      <c r="V508" s="376">
        <f>+'CLOSING STOCK 31-03-24'!F34</f>
        <v>8955693</v>
      </c>
      <c r="W508" s="376">
        <f t="shared" si="16"/>
        <v>13069555.939999998</v>
      </c>
    </row>
    <row r="509" spans="2:23" ht="18.600000000000001" thickTop="1">
      <c r="B509" s="1076" t="s">
        <v>2656</v>
      </c>
      <c r="C509" s="56"/>
      <c r="D509" s="56"/>
      <c r="E509" s="56"/>
      <c r="F509" s="2631"/>
      <c r="G509" s="48"/>
      <c r="H509" s="1059"/>
      <c r="I509" s="21"/>
      <c r="J509" s="21"/>
      <c r="K509" s="21"/>
      <c r="L509" s="21"/>
      <c r="M509" s="21"/>
      <c r="N509" s="21"/>
      <c r="O509" s="21"/>
      <c r="P509" s="21"/>
      <c r="Q509" s="21"/>
    </row>
    <row r="510" spans="2:23" ht="18">
      <c r="B510" s="1063" t="s">
        <v>205</v>
      </c>
      <c r="C510" s="24"/>
      <c r="D510" s="24"/>
      <c r="E510" s="24"/>
      <c r="F510" s="2695"/>
      <c r="G510" s="47">
        <f>+GETPIVOTDATA("Sum of Dr. Final 23-24",Pivot!$A$1,"Note",26,"BS Main Head","Finance Costs","BS Sub Head","Interest Expenses")-GETPIVOTDATA("Sum of Cr. Final 23-24",Pivot!$A$1,"Note",26,"BS Main Head","Finance Costs","BS Sub Head","Interest Expenses")</f>
        <v>14399701</v>
      </c>
      <c r="H510" s="1058">
        <f>+GETPIVOTDATA("Sum of Dr. Final 22-23",Pivot!$A$1,"Note",26,"BS Main Head","Finance Costs","BS Sub Head","Interest Expenses")-GETPIVOTDATA("Sum of Cr. Final 22-23",Pivot!$A$1,"Note",26,"BS Main Head","Finance Costs","BS Sub Head","Interest Expenses")</f>
        <v>8389824</v>
      </c>
      <c r="I510" s="120"/>
      <c r="J510" s="120"/>
      <c r="K510" s="120"/>
      <c r="L510" s="120"/>
      <c r="M510" s="120"/>
      <c r="N510" s="120"/>
      <c r="O510" s="120"/>
      <c r="P510" s="120"/>
      <c r="Q510" s="120"/>
    </row>
    <row r="511" spans="2:23" ht="18">
      <c r="B511" s="1063" t="s">
        <v>921</v>
      </c>
      <c r="C511" s="24"/>
      <c r="D511" s="24"/>
      <c r="E511" s="24"/>
      <c r="F511" s="2859"/>
      <c r="G511" s="47">
        <f>+GETPIVOTDATA("Sum of Dr. Final 23-24",Pivot!$A$1,"Note",26,"BS Main Head","Finance Costs","BS Sub Head","Other Borrowing Costs")-GETPIVOTDATA("Sum of Cr. Final 23-24",Pivot!$A$1,"Note",26,"BS Main Head","Finance Costs","BS Sub Head","Other Borrowing Costs")</f>
        <v>1245244</v>
      </c>
      <c r="H511" s="1058">
        <f>+GETPIVOTDATA("Sum of Dr. Final 22-23",Pivot!$A$1,"Note",26,"BS Main Head","Finance Costs","BS Sub Head","Other Borrowing Costs")-GETPIVOTDATA("Sum of Cr. Final 22-23",Pivot!$A$1,"Note",26,"BS Main Head","Finance Costs","BS Sub Head","Other Borrowing Costs")</f>
        <v>197817</v>
      </c>
      <c r="I511" s="120"/>
      <c r="J511" s="120"/>
      <c r="K511" s="120"/>
      <c r="L511" s="120"/>
      <c r="M511" s="120"/>
      <c r="N511" s="120"/>
      <c r="O511" s="120"/>
      <c r="P511" s="120"/>
      <c r="Q511" s="120"/>
    </row>
    <row r="512" spans="2:23" ht="18">
      <c r="B512" s="1063"/>
      <c r="C512" s="24"/>
      <c r="D512" s="24"/>
      <c r="E512" s="24"/>
      <c r="F512" s="2860"/>
      <c r="G512" s="1268">
        <f>+SUM(G510:G511)</f>
        <v>15644945</v>
      </c>
      <c r="H512" s="1455">
        <f>+SUM(H510:H511)</f>
        <v>8587641</v>
      </c>
      <c r="I512" s="1998"/>
      <c r="J512" s="1998"/>
      <c r="K512" s="1998"/>
      <c r="L512" s="1998"/>
      <c r="M512" s="1998"/>
      <c r="N512" s="1998"/>
      <c r="O512" s="1998"/>
      <c r="P512" s="1998"/>
      <c r="Q512" s="1998"/>
    </row>
    <row r="513" spans="2:23" ht="18" hidden="1">
      <c r="B513" s="2808" t="s">
        <v>0</v>
      </c>
      <c r="C513" s="56"/>
      <c r="D513" s="56"/>
      <c r="E513" s="56"/>
      <c r="F513" s="2631"/>
      <c r="G513" s="1004" t="s">
        <v>704</v>
      </c>
      <c r="H513" s="1005" t="s">
        <v>704</v>
      </c>
      <c r="I513" s="1996"/>
      <c r="J513" s="1996"/>
      <c r="K513" s="1996"/>
      <c r="L513" s="1996"/>
      <c r="M513" s="1996"/>
      <c r="N513" s="1996"/>
      <c r="O513" s="1996"/>
      <c r="P513" s="1996"/>
      <c r="Q513" s="1996"/>
    </row>
    <row r="514" spans="2:23" ht="18" hidden="1">
      <c r="B514" s="2861"/>
      <c r="C514" s="70"/>
      <c r="D514" s="70"/>
      <c r="E514" s="70"/>
      <c r="F514" s="2862"/>
      <c r="G514" s="30" t="str">
        <f>+G593</f>
        <v>March 31, 2024 (₹)</v>
      </c>
      <c r="H514" s="1038" t="str">
        <f>+H593</f>
        <v>March 31, 2023 (₹)</v>
      </c>
      <c r="I514" s="1996"/>
      <c r="J514" s="1996"/>
      <c r="K514" s="1996"/>
      <c r="L514" s="1996"/>
      <c r="M514" s="1996"/>
      <c r="N514" s="1996"/>
      <c r="O514" s="1996"/>
      <c r="P514" s="1996"/>
      <c r="Q514" s="1996"/>
    </row>
    <row r="515" spans="2:23" ht="18">
      <c r="B515" s="1076" t="s">
        <v>2657</v>
      </c>
      <c r="C515" s="25"/>
      <c r="D515" s="25"/>
      <c r="E515" s="25"/>
      <c r="F515" s="2631"/>
      <c r="G515" s="55"/>
      <c r="H515" s="1075"/>
      <c r="I515" s="1996"/>
      <c r="J515" s="1996"/>
      <c r="K515" s="1996"/>
      <c r="L515" s="1996"/>
      <c r="M515" s="1996"/>
      <c r="N515" s="1996"/>
      <c r="O515" s="1996"/>
      <c r="P515" s="1996"/>
      <c r="Q515" s="1996"/>
    </row>
    <row r="516" spans="2:23" ht="18">
      <c r="B516" s="1049" t="s">
        <v>922</v>
      </c>
      <c r="C516" s="25"/>
      <c r="D516" s="25"/>
      <c r="E516" s="25"/>
      <c r="F516" s="2631"/>
      <c r="G516" s="48"/>
      <c r="H516" s="1059"/>
      <c r="I516" s="21"/>
      <c r="J516" s="21"/>
      <c r="K516" s="21"/>
      <c r="L516" s="21"/>
      <c r="M516" s="21"/>
      <c r="N516" s="21"/>
      <c r="O516" s="21"/>
      <c r="P516" s="21"/>
      <c r="Q516" s="21"/>
    </row>
    <row r="517" spans="2:23" ht="18">
      <c r="B517" s="2696" t="s">
        <v>74</v>
      </c>
      <c r="C517" s="2695"/>
      <c r="D517" s="2695"/>
      <c r="E517" s="2695"/>
      <c r="F517" s="2631"/>
      <c r="G517" s="48">
        <f>+GETPIVOTDATA("Sum of Dr. Final 23-24",Pivot!$A$1,"Note",27,"BS Main Head","Other - Manufacturing Expenses","BS Sub Head","Factory Expenses")-GETPIVOTDATA("Sum of Cr. Final 23-24",Pivot!$A$1,"Note",27,"BS Main Head","Other - Manufacturing Expenses","BS Sub Head","Factory Expenses")</f>
        <v>4910747.88</v>
      </c>
      <c r="H517" s="1059">
        <f>+GETPIVOTDATA("Sum of Dr. Final 22-23",Pivot!$A$1,"Note",27,"BS Main Head","Other - Manufacturing Expenses","BS Sub Head","Factory Expenses")-GETPIVOTDATA("Sum of Cr. Final 22-23",Pivot!$A$1,"Note",27,"BS Main Head","Other - Manufacturing Expenses","BS Sub Head","Factory Expenses")</f>
        <v>4847155.45</v>
      </c>
      <c r="I517" s="21"/>
      <c r="J517" s="21"/>
      <c r="K517" s="21"/>
      <c r="L517" s="21"/>
      <c r="M517" s="21"/>
      <c r="N517" s="21"/>
      <c r="O517" s="21"/>
      <c r="P517" s="21"/>
      <c r="Q517" s="21"/>
      <c r="S517" s="2592" t="s">
        <v>2488</v>
      </c>
    </row>
    <row r="518" spans="2:23" ht="18">
      <c r="B518" s="1063" t="s">
        <v>170</v>
      </c>
      <c r="C518" s="24"/>
      <c r="D518" s="24"/>
      <c r="E518" s="24"/>
      <c r="F518" s="2631"/>
      <c r="G518" s="48">
        <f>+GETPIVOTDATA("Sum of Dr. Final 23-24",Pivot!$A$1,"Note",27,"BS Main Head","Other - Manufacturing Expenses","BS Sub Head","Finished Goods Packing and Allied Charges")-GETPIVOTDATA("Sum of Cr. Final 23-24",Pivot!$A$1,"Note",27,"BS Main Head","Other - Manufacturing Expenses","BS Sub Head","Finished Goods Packing and Allied Charges")</f>
        <v>3611803</v>
      </c>
      <c r="H518" s="1059">
        <f>+GETPIVOTDATA("Sum of Dr. Final 22-23",Pivot!$A$1,"Note",27,"BS Main Head","Other - Manufacturing Expenses","BS Sub Head","Finished Goods Packing and Allied Charges")-GETPIVOTDATA("Sum of Cr. Final 22-23",Pivot!$A$1,"Note",27,"BS Main Head","Other - Manufacturing Expenses","BS Sub Head","Finished Goods Packing and Allied Charges")</f>
        <v>2829820</v>
      </c>
      <c r="I518" s="21"/>
      <c r="J518" s="21"/>
      <c r="K518" s="21"/>
      <c r="L518" s="21"/>
      <c r="M518" s="21"/>
      <c r="N518" s="21"/>
      <c r="O518" s="21"/>
      <c r="P518" s="21"/>
      <c r="Q518" s="21"/>
      <c r="S518" s="2592" t="s">
        <v>463</v>
      </c>
      <c r="T518" s="376" t="s">
        <v>1119</v>
      </c>
      <c r="U518" s="376" t="s">
        <v>1120</v>
      </c>
      <c r="V518" s="376" t="s">
        <v>1121</v>
      </c>
      <c r="W518" s="376" t="s">
        <v>1122</v>
      </c>
    </row>
    <row r="519" spans="2:23" ht="18">
      <c r="B519" s="1063" t="s">
        <v>923</v>
      </c>
      <c r="C519" s="84"/>
      <c r="D519" s="84"/>
      <c r="E519" s="84"/>
      <c r="F519" s="2631"/>
      <c r="G519" s="48">
        <f>+W519</f>
        <v>5173477.92</v>
      </c>
      <c r="H519" s="1059">
        <f>+W506</f>
        <v>10990341.880000001</v>
      </c>
      <c r="I519" s="21"/>
      <c r="J519" s="21"/>
      <c r="K519" s="21"/>
      <c r="L519" s="21"/>
      <c r="M519" s="21"/>
      <c r="N519" s="21"/>
      <c r="O519" s="21"/>
      <c r="P519" s="21"/>
      <c r="Q519" s="21"/>
      <c r="S519" s="2592" t="s">
        <v>1118</v>
      </c>
      <c r="T519" s="376">
        <v>548138</v>
      </c>
      <c r="U519" s="376">
        <f>+GETPIVOTDATA("Sum of Dr. Final 23-24",Pivot!$A$1,"Note",27,"BS Main Head","Other - Manufacturing Expenses","BS Sub Head","Packing Material Purchase")-GETPIVOTDATA("Sum of Cr. Final 23-24",Pivot!$A$1,"Note",27,"BS Main Head","Other - Manufacturing Expenses","BS Sub Head","Packing Material Purchase")</f>
        <v>5536948.9199999999</v>
      </c>
      <c r="V519" s="2863">
        <f>+'CLOSING STOCK 31-03-24'!P22</f>
        <v>911609</v>
      </c>
      <c r="W519" s="376">
        <f>+T519+U519-V519</f>
        <v>5173477.92</v>
      </c>
    </row>
    <row r="520" spans="2:23" ht="18">
      <c r="B520" s="1063" t="s">
        <v>924</v>
      </c>
      <c r="C520" s="24"/>
      <c r="D520" s="24"/>
      <c r="E520" s="24"/>
      <c r="F520" s="21"/>
      <c r="G520" s="48">
        <f>+W520</f>
        <v>126354165.61</v>
      </c>
      <c r="H520" s="1059">
        <f>+W507</f>
        <v>184386383.23999998</v>
      </c>
      <c r="I520" s="21"/>
      <c r="J520" s="21"/>
      <c r="K520" s="21"/>
      <c r="L520" s="21"/>
      <c r="M520" s="21"/>
      <c r="N520" s="21"/>
      <c r="O520" s="21"/>
      <c r="P520" s="21"/>
      <c r="Q520" s="21"/>
      <c r="S520" s="2592" t="s">
        <v>1123</v>
      </c>
      <c r="T520" s="376">
        <v>2142890</v>
      </c>
      <c r="U520" s="376">
        <f>+GETPIVOTDATA("Sum of Dr. Final 23-24",Pivot!$A$1,"Note",27,"BS Main Head","Other - Manufacturing Expenses","BS Sub Head","Power and Fuel")-GETPIVOTDATA("Sum of Cr. Final 23-24",Pivot!$A$1,"Note",27,"BS Main Head","Other - Manufacturing Expenses","BS Sub Head","Power and Fuel")</f>
        <v>125595383.61</v>
      </c>
      <c r="V520" s="2863">
        <f>+'CLOSING STOCK 31-03-24'!P26</f>
        <v>1384108</v>
      </c>
      <c r="W520" s="376">
        <f>+T520+U520-V520</f>
        <v>126354165.61</v>
      </c>
    </row>
    <row r="521" spans="2:23" ht="18">
      <c r="B521" s="1063" t="s">
        <v>303</v>
      </c>
      <c r="C521" s="24"/>
      <c r="D521" s="24"/>
      <c r="E521" s="24"/>
      <c r="F521" s="2631"/>
      <c r="G521" s="48">
        <f>+GETPIVOTDATA("Sum of Dr. Final 23-24",Pivot!$A$1,"Note",27,"BS Main Head","Other - Manufacturing Expenses","BS Sub Head","Raw Material Sorting Charges")-GETPIVOTDATA("Sum of Cr. Final 23-24",Pivot!$A$1,"Note",27,"BS Main Head","Other - Manufacturing Expenses","BS Sub Head","Raw Material Sorting Charges")</f>
        <v>3685087.84</v>
      </c>
      <c r="H521" s="1059">
        <f>+GETPIVOTDATA("Sum of Dr. Final 22-23",Pivot!$A$1,"Note",27,"BS Main Head","Other - Manufacturing Expenses","BS Sub Head","Raw Material Sorting Charges")-GETPIVOTDATA("Sum of Cr. Final 22-23",Pivot!$A$1,"Note",27,"BS Main Head","Other - Manufacturing Expenses","BS Sub Head","Raw Material Sorting Charges")</f>
        <v>3368785</v>
      </c>
      <c r="I521" s="21"/>
      <c r="J521" s="21"/>
      <c r="K521" s="21"/>
      <c r="L521" s="21"/>
      <c r="M521" s="21"/>
      <c r="N521" s="21"/>
      <c r="O521" s="21"/>
      <c r="P521" s="21"/>
      <c r="Q521" s="21"/>
      <c r="S521" s="2592" t="s">
        <v>1124</v>
      </c>
      <c r="T521" s="376">
        <v>8955693</v>
      </c>
      <c r="U521" s="376">
        <f>+GETPIVOTDATA("Sum of Dr. Final 23-24",Pivot!$A$1,"Note",27,"BS Main Head","Other - Manufacturing Expenses","BS Sub Head","Stores &amp; Spares Consumed")-GETPIVOTDATA("Sum of Cr. Final 23-24",Pivot!$A$1,"Note",27,"BS Main Head","Other - Manufacturing Expenses","BS Sub Head","Stores &amp; Spares Consumed")</f>
        <v>11174515.4</v>
      </c>
      <c r="V521" s="2863">
        <f>+'CLOSING STOCK 31-03-24'!P34</f>
        <v>8590899</v>
      </c>
      <c r="W521" s="376">
        <f>+T521+U521-V521</f>
        <v>11539309.399999999</v>
      </c>
    </row>
    <row r="522" spans="2:23" ht="18">
      <c r="B522" s="1141" t="s">
        <v>925</v>
      </c>
      <c r="C522" s="24"/>
      <c r="D522" s="24"/>
      <c r="E522" s="24"/>
      <c r="F522" s="2631"/>
      <c r="G522" s="48"/>
      <c r="H522" s="1059"/>
      <c r="I522" s="21"/>
      <c r="J522" s="21"/>
      <c r="K522" s="21"/>
      <c r="L522" s="21"/>
      <c r="M522" s="21"/>
      <c r="N522" s="21"/>
      <c r="O522" s="21"/>
      <c r="P522" s="21"/>
      <c r="Q522" s="21"/>
    </row>
    <row r="523" spans="2:23" ht="18">
      <c r="B523" s="1063" t="s">
        <v>926</v>
      </c>
      <c r="C523" s="24"/>
      <c r="D523" s="24"/>
      <c r="E523" s="24"/>
      <c r="F523" s="2631"/>
      <c r="G523" s="48">
        <f>+GETPIVOTDATA("Sum of Dr. Final 23-24",Pivot!$A$1,"Note",27,"BS Main Head","Other - Manufacturing Expenses","BS Sub Head","Repairs &amp; Maintainence - Machinery")-GETPIVOTDATA("Sum of Cr. Final 23-24",Pivot!$A$1,"Note",27,"BS Main Head","Other - Manufacturing Expenses","BS Sub Head","Repairs &amp; Maintainence - Machinery")</f>
        <v>6603046.9199999999</v>
      </c>
      <c r="H523" s="1059">
        <f>+GETPIVOTDATA("Sum of Dr. Final 22-23",Pivot!$A$1,"Note",27,"BS Main Head","Other - Manufacturing Expenses","BS Sub Head","Repairs &amp; Maintainence - Machinery")-GETPIVOTDATA("Sum of Cr. Final 22-23",Pivot!$A$1,"Note",27,"BS Main Head","Other - Manufacturing Expenses","BS Sub Head","Repairs &amp; Maintainence - Machinery")</f>
        <v>6859174.04</v>
      </c>
      <c r="I523" s="21"/>
      <c r="J523" s="21"/>
      <c r="K523" s="21"/>
      <c r="L523" s="21"/>
      <c r="M523" s="21"/>
      <c r="N523" s="21"/>
      <c r="O523" s="21"/>
      <c r="P523" s="21"/>
      <c r="Q523" s="21"/>
    </row>
    <row r="524" spans="2:23" ht="18">
      <c r="B524" s="1063" t="s">
        <v>927</v>
      </c>
      <c r="C524" s="24"/>
      <c r="D524" s="24"/>
      <c r="E524" s="24"/>
      <c r="F524" s="2695"/>
      <c r="G524" s="47">
        <f>+GETPIVOTDATA("Sum of Dr. Final 23-24",Pivot!$A$1,"Note",27,"BS Main Head","Other - Manufacturing Expenses","BS Sub Head","Repairs &amp; Maintainence - Building")-GETPIVOTDATA("Sum of Cr. Final 23-24",Pivot!$A$1,"Note",27,"BS Main Head","Other - Manufacturing Expenses","BS Sub Head","Repairs &amp; Maintainence - Building")</f>
        <v>263090.43</v>
      </c>
      <c r="H524" s="1058">
        <f>+GETPIVOTDATA("Sum of Dr. Final 22-23",Pivot!$A$1,"Note",27,"BS Main Head","Other - Manufacturing Expenses","BS Sub Head","Repairs &amp; Maintainence - Building")-GETPIVOTDATA("Sum of Cr. Final 22-23",Pivot!$A$1,"Note",27,"BS Main Head","Other - Manufacturing Expenses","BS Sub Head","Repairs &amp; Maintainence - Building")</f>
        <v>93430.13</v>
      </c>
      <c r="I524" s="120"/>
      <c r="J524" s="120"/>
      <c r="K524" s="120"/>
      <c r="L524" s="120"/>
      <c r="M524" s="120"/>
      <c r="N524" s="120"/>
      <c r="O524" s="120"/>
      <c r="P524" s="120"/>
      <c r="Q524" s="120"/>
    </row>
    <row r="525" spans="2:23" ht="18">
      <c r="B525" s="1063" t="s">
        <v>328</v>
      </c>
      <c r="C525" s="24"/>
      <c r="D525" s="24"/>
      <c r="E525" s="24"/>
      <c r="F525" s="2631"/>
      <c r="G525" s="48">
        <f>+GETPIVOTDATA("Sum of Dr. Final 23-24",Pivot!$A$1,"Note",27,"BS Main Head","Other - Manufacturing Expenses","BS Sub Head","Security Service Charges")-GETPIVOTDATA("Sum of Cr. Final 23-24",Pivot!$A$1,"Note",27,"BS Main Head","Other - Manufacturing Expenses","BS Sub Head","Security Service Charges")</f>
        <v>827794</v>
      </c>
      <c r="H525" s="1059">
        <f>+GETPIVOTDATA("Sum of Dr. Final 22-23",Pivot!$A$1,"Note",27,"BS Main Head","Other - Manufacturing Expenses","BS Sub Head","Security Service Charges")-GETPIVOTDATA("Sum of Cr. Final 22-23",Pivot!$A$1,"Note",27,"BS Main Head","Other - Manufacturing Expenses","BS Sub Head","Security Service Charges")</f>
        <v>905691</v>
      </c>
      <c r="I525" s="21"/>
      <c r="J525" s="21"/>
      <c r="K525" s="21"/>
      <c r="L525" s="21"/>
      <c r="M525" s="21"/>
      <c r="N525" s="21"/>
      <c r="O525" s="21"/>
      <c r="P525" s="21"/>
      <c r="Q525" s="21"/>
    </row>
    <row r="526" spans="2:23" ht="18">
      <c r="B526" s="1063" t="s">
        <v>297</v>
      </c>
      <c r="C526" s="24"/>
      <c r="D526" s="24"/>
      <c r="E526" s="24"/>
      <c r="F526" s="2631"/>
      <c r="G526" s="48">
        <f>+W521</f>
        <v>11539309.399999999</v>
      </c>
      <c r="H526" s="1059">
        <f>+W508</f>
        <v>13069555.939999998</v>
      </c>
      <c r="I526" s="21"/>
      <c r="J526" s="21"/>
      <c r="K526" s="21"/>
      <c r="L526" s="21"/>
      <c r="M526" s="21"/>
      <c r="N526" s="21"/>
      <c r="O526" s="21"/>
      <c r="P526" s="21"/>
      <c r="Q526" s="21"/>
    </row>
    <row r="527" spans="2:23" ht="18">
      <c r="B527" s="1063" t="s">
        <v>3018</v>
      </c>
      <c r="C527" s="24"/>
      <c r="D527" s="24"/>
      <c r="E527" s="24"/>
      <c r="F527" s="2631"/>
      <c r="G527" s="48">
        <f>+GETPIVOTDATA("Sum of Dr. Final 23-24",Pivot!$A$1,"Note",27,"BS Main Head","Other - Manufacturing Expenses","BS Sub Head","Waste Disposal Expenses")-GETPIVOTDATA("Sum of Cr. Final 23-24",Pivot!$A$1,"Note",27,"BS Main Head","Other - Manufacturing Expenses","BS Sub Head","Waste Disposal Expenses")</f>
        <v>319489</v>
      </c>
      <c r="H527" s="1059">
        <v>0</v>
      </c>
      <c r="I527" s="21"/>
      <c r="J527" s="21"/>
      <c r="K527" s="21"/>
      <c r="L527" s="21"/>
      <c r="M527" s="21"/>
      <c r="N527" s="21"/>
      <c r="O527" s="21"/>
      <c r="P527" s="21"/>
      <c r="Q527" s="21"/>
    </row>
    <row r="528" spans="2:23" ht="18">
      <c r="B528" s="2696" t="s">
        <v>928</v>
      </c>
      <c r="C528" s="24"/>
      <c r="D528" s="24"/>
      <c r="E528" s="24"/>
      <c r="F528" s="2631"/>
      <c r="G528" s="48">
        <f>+GETPIVOTDATA("Sum of Dr. Final 23-24",Pivot!$A$1,"Note",27,"BS Main Head","Other - Manufacturing Expenses","BS Sub Head","Waste Paper Feeding Charges")-GETPIVOTDATA("Sum of Cr. Final 23-24",Pivot!$A$1,"Note",27,"BS Main Head","Other - Manufacturing Expenses","BS Sub Head","Waste Paper Feeding Charges")</f>
        <v>4714336.38</v>
      </c>
      <c r="H528" s="1059">
        <f>+GETPIVOTDATA("Sum of Dr. Final 22-23",Pivot!$A$1,"Note",27,"BS Main Head","Other - Manufacturing Expenses","BS Sub Head","Waste Paper Feeding Charges")-GETPIVOTDATA("Sum of Cr. Final 22-23",Pivot!$A$1,"Note",27,"BS Main Head","Other - Manufacturing Expenses","BS Sub Head","Waste Paper Feeding Charges")</f>
        <v>4829408</v>
      </c>
      <c r="I528" s="21"/>
      <c r="J528" s="21"/>
      <c r="K528" s="21"/>
      <c r="L528" s="21"/>
      <c r="M528" s="21"/>
      <c r="N528" s="21"/>
      <c r="O528" s="21"/>
      <c r="P528" s="21"/>
      <c r="Q528" s="21"/>
    </row>
    <row r="529" spans="2:17" ht="18">
      <c r="B529" s="1036"/>
      <c r="C529" s="44"/>
      <c r="D529" s="44"/>
      <c r="E529" s="44"/>
      <c r="F529" s="2864" t="s">
        <v>929</v>
      </c>
      <c r="G529" s="1268">
        <f>+SUM(G517:G528)</f>
        <v>168002348.38</v>
      </c>
      <c r="H529" s="1455">
        <f>+SUM(H517:H528)</f>
        <v>232179744.67999998</v>
      </c>
      <c r="I529" s="1998"/>
      <c r="J529" s="1998"/>
      <c r="K529" s="1998"/>
      <c r="L529" s="1998"/>
      <c r="M529" s="1998"/>
      <c r="N529" s="1998"/>
      <c r="O529" s="1998"/>
      <c r="P529" s="1998"/>
      <c r="Q529" s="1998"/>
    </row>
    <row r="530" spans="2:17" ht="18.600000000000001" thickBot="1">
      <c r="B530" s="999"/>
      <c r="C530" s="1000"/>
      <c r="D530" s="1000"/>
      <c r="E530" s="1000"/>
      <c r="F530" s="2865"/>
      <c r="G530" s="1459"/>
      <c r="H530" s="1487"/>
      <c r="I530" s="1998"/>
      <c r="J530" s="1998"/>
      <c r="K530" s="1998"/>
      <c r="L530" s="1998"/>
      <c r="M530" s="1998"/>
      <c r="N530" s="1998"/>
      <c r="O530" s="1998"/>
      <c r="P530" s="1998"/>
      <c r="Q530" s="1998"/>
    </row>
    <row r="531" spans="2:17" ht="18">
      <c r="B531" s="2866" t="s">
        <v>702</v>
      </c>
      <c r="C531" s="2867"/>
      <c r="D531" s="2867"/>
      <c r="E531" s="2867"/>
      <c r="F531" s="2867"/>
      <c r="G531" s="2867"/>
      <c r="H531" s="2868"/>
      <c r="I531" s="2869"/>
      <c r="J531" s="2869"/>
      <c r="K531" s="2869"/>
      <c r="L531" s="2869"/>
      <c r="M531" s="2869"/>
      <c r="N531" s="2869"/>
      <c r="O531" s="2869"/>
      <c r="P531" s="2869"/>
      <c r="Q531" s="2869"/>
    </row>
    <row r="532" spans="2:17" ht="18">
      <c r="B532" s="2870" t="s">
        <v>2117</v>
      </c>
      <c r="C532" s="2871"/>
      <c r="D532" s="2871"/>
      <c r="E532" s="2871"/>
      <c r="F532" s="2871"/>
      <c r="G532" s="2871"/>
      <c r="H532" s="2872"/>
      <c r="I532" s="2869"/>
      <c r="J532" s="2869"/>
      <c r="K532" s="2869"/>
      <c r="L532" s="2869"/>
      <c r="M532" s="2869"/>
      <c r="N532" s="2869"/>
      <c r="O532" s="2869"/>
      <c r="P532" s="2869"/>
      <c r="Q532" s="2869"/>
    </row>
    <row r="533" spans="2:17" ht="18">
      <c r="B533" s="2873"/>
      <c r="C533" s="2869"/>
      <c r="D533" s="2869"/>
      <c r="E533" s="2869"/>
      <c r="F533" s="2869"/>
      <c r="G533" s="2869"/>
      <c r="H533" s="2874"/>
      <c r="I533" s="2869"/>
      <c r="J533" s="2869"/>
      <c r="K533" s="2869"/>
      <c r="L533" s="2869"/>
      <c r="M533" s="2869"/>
      <c r="N533" s="2869"/>
      <c r="O533" s="2869"/>
      <c r="P533" s="2869"/>
      <c r="Q533" s="2869"/>
    </row>
    <row r="534" spans="2:17" ht="18">
      <c r="B534" s="2690" t="s">
        <v>0</v>
      </c>
      <c r="C534" s="1054"/>
      <c r="D534" s="1054"/>
      <c r="E534" s="1054"/>
      <c r="F534" s="2691"/>
      <c r="G534" s="1004" t="s">
        <v>704</v>
      </c>
      <c r="H534" s="1005" t="s">
        <v>704</v>
      </c>
      <c r="I534" s="1996"/>
      <c r="J534" s="1996"/>
      <c r="K534" s="1996"/>
      <c r="L534" s="1996"/>
      <c r="M534" s="1996"/>
      <c r="N534" s="1996"/>
      <c r="O534" s="1996"/>
      <c r="P534" s="1996"/>
      <c r="Q534" s="1996"/>
    </row>
    <row r="535" spans="2:17" ht="18">
      <c r="B535" s="1036"/>
      <c r="C535" s="44"/>
      <c r="D535" s="44"/>
      <c r="E535" s="44"/>
      <c r="F535" s="2780"/>
      <c r="G535" s="30" t="str">
        <f>+G6</f>
        <v>March 31, 2024 (₹)</v>
      </c>
      <c r="H535" s="1038" t="str">
        <f>+H6</f>
        <v>March 31, 2023 (₹)</v>
      </c>
      <c r="I535" s="1996"/>
      <c r="J535" s="1996"/>
      <c r="K535" s="1996"/>
      <c r="L535" s="1996"/>
      <c r="M535" s="1996"/>
      <c r="N535" s="1996"/>
      <c r="O535" s="1996"/>
      <c r="P535" s="1996"/>
      <c r="Q535" s="1996"/>
    </row>
    <row r="536" spans="2:17" ht="18">
      <c r="B536" s="1077" t="s">
        <v>930</v>
      </c>
      <c r="C536" s="25"/>
      <c r="D536" s="25"/>
      <c r="E536" s="25"/>
      <c r="F536" s="2695"/>
      <c r="G536" s="47"/>
      <c r="H536" s="1058"/>
      <c r="I536" s="120"/>
      <c r="J536" s="120"/>
      <c r="K536" s="120"/>
      <c r="L536" s="120"/>
      <c r="M536" s="120"/>
      <c r="N536" s="120"/>
      <c r="O536" s="120"/>
      <c r="P536" s="120"/>
      <c r="Q536" s="120"/>
    </row>
    <row r="537" spans="2:17" ht="18">
      <c r="B537" s="1141" t="s">
        <v>931</v>
      </c>
      <c r="C537" s="2695"/>
      <c r="D537" s="2695"/>
      <c r="E537" s="2695"/>
      <c r="F537" s="2695"/>
      <c r="G537" s="47"/>
      <c r="H537" s="1058"/>
      <c r="I537" s="120"/>
      <c r="J537" s="120"/>
      <c r="K537" s="120"/>
      <c r="L537" s="120"/>
      <c r="M537" s="120"/>
      <c r="N537" s="120"/>
      <c r="O537" s="120"/>
      <c r="P537" s="120"/>
      <c r="Q537" s="120"/>
    </row>
    <row r="538" spans="2:17" ht="18">
      <c r="B538" s="1063" t="s">
        <v>344</v>
      </c>
      <c r="C538" s="2695"/>
      <c r="D538" s="2695"/>
      <c r="E538" s="2695"/>
      <c r="F538" s="2695"/>
      <c r="G538" s="47">
        <f>+GETPIVOTDATA("Sum of Dr. Final 23-24",Pivot!$A$1,"Note",27,"BS Main Head","Other - Establishment Expenses","BS Sub Head","Statutory Audit Fees")-GETPIVOTDATA("Sum of Cr. Final 23-24",Pivot!$A$1,"Note",27,"BS Main Head","Other - Establishment Expenses","BS Sub Head","Statutory Audit Fees")</f>
        <v>275000</v>
      </c>
      <c r="H538" s="1058">
        <f>+GETPIVOTDATA("Sum of Dr. Final 22-23",Pivot!$A$1,"Note",27,"BS Main Head","Other - Establishment Expenses","BS Sub Head","Statutory Audit Fees")-GETPIVOTDATA("Sum of Cr. Final 22-23",Pivot!$A$1,"Note",27,"BS Main Head","Other - Establishment Expenses","BS Sub Head","Statutory Audit Fees")</f>
        <v>275000</v>
      </c>
      <c r="I538" s="120"/>
      <c r="J538" s="120"/>
      <c r="K538" s="120"/>
      <c r="L538" s="120"/>
      <c r="M538" s="120"/>
      <c r="N538" s="120"/>
      <c r="O538" s="120"/>
      <c r="P538" s="120"/>
      <c r="Q538" s="120"/>
    </row>
    <row r="539" spans="2:17" ht="18">
      <c r="B539" s="1063" t="s">
        <v>216</v>
      </c>
      <c r="C539" s="2695"/>
      <c r="D539" s="2695"/>
      <c r="E539" s="2695"/>
      <c r="F539" s="2695"/>
      <c r="G539" s="47">
        <f>+GETPIVOTDATA("Sum of Dr. Final 23-24",Pivot!$A$1,"Note",27,"BS Main Head","Other - Establishment Expenses","BS Sub Head","Internal Audit Fees")-GETPIVOTDATA("Sum of Cr. Final 23-24",Pivot!$A$1,"Note",27,"BS Main Head","Other - Establishment Expenses","BS Sub Head","Internal Audit Fees")</f>
        <v>200000</v>
      </c>
      <c r="H539" s="1058">
        <f>+GETPIVOTDATA("Sum of Dr. Final 22-23",Pivot!$A$1,"Note",27,"BS Main Head","Other - Establishment Expenses","BS Sub Head","Internal Audit Fees")-GETPIVOTDATA("Sum of Cr. Final 22-23",Pivot!$A$1,"Note",27,"BS Main Head","Other - Establishment Expenses","BS Sub Head","Internal Audit Fees")</f>
        <v>200000</v>
      </c>
      <c r="I539" s="120"/>
      <c r="J539" s="120"/>
      <c r="K539" s="120"/>
      <c r="L539" s="120"/>
      <c r="M539" s="120"/>
      <c r="N539" s="120"/>
      <c r="O539" s="120"/>
      <c r="P539" s="120"/>
      <c r="Q539" s="120"/>
    </row>
    <row r="540" spans="2:17" ht="18">
      <c r="B540" s="1063" t="s">
        <v>57</v>
      </c>
      <c r="C540" s="2695"/>
      <c r="D540" s="2695"/>
      <c r="E540" s="2695"/>
      <c r="F540" s="2695"/>
      <c r="G540" s="47">
        <f>+GETPIVOTDATA("Sum of Dr. Final 23-24",Pivot!$A$1,"Note",27,"BS Main Head","Other - Establishment Expenses","BS Sub Head","Audit Expenses")-GETPIVOTDATA("Sum of Cr. Final 23-24",Pivot!$A$1,"Note",27,"BS Main Head","Other - Establishment Expenses","BS Sub Head","Audit Expenses")</f>
        <v>7403</v>
      </c>
      <c r="H540" s="1058">
        <f>+GETPIVOTDATA("Sum of Dr. Final 22-23",Pivot!$A$1,"Note",27,"BS Main Head","Other - Establishment Expenses","BS Sub Head","Audit Expenses")-GETPIVOTDATA("Sum of Cr. Final 22-23",Pivot!$A$1,"Note",27,"BS Main Head","Other - Establishment Expenses","BS Sub Head","Audit Expenses")</f>
        <v>0</v>
      </c>
      <c r="I540" s="120"/>
      <c r="J540" s="120"/>
      <c r="K540" s="120"/>
      <c r="L540" s="120"/>
      <c r="M540" s="120"/>
      <c r="N540" s="120"/>
      <c r="O540" s="120"/>
      <c r="P540" s="120"/>
      <c r="Q540" s="120"/>
    </row>
    <row r="541" spans="2:17" ht="18">
      <c r="B541" s="1101" t="s">
        <v>62</v>
      </c>
      <c r="C541" s="85"/>
      <c r="D541" s="85"/>
      <c r="E541" s="85"/>
      <c r="F541" s="2695"/>
      <c r="G541" s="47">
        <f>+GETPIVOTDATA("Sum of Dr. Final 23-24",Pivot!$A$1,"Note",27,"BS Main Head","Other - Establishment Expenses","BS Sub Head","Bank Commission &amp; Charges")-GETPIVOTDATA("Sum of Cr. Final 23-24",Pivot!$A$1,"Note",27,"BS Main Head","Other - Establishment Expenses","BS Sub Head","Bank Commission &amp; Charges")</f>
        <v>182542.48</v>
      </c>
      <c r="H541" s="1058">
        <f>+GETPIVOTDATA("Sum of Dr. Final 22-23",Pivot!$A$1,"Note",27,"BS Main Head","Other - Establishment Expenses","BS Sub Head","Bank Commission &amp; Charges")-GETPIVOTDATA("Sum of Cr. Final 22-23",Pivot!$A$1,"Note",27,"BS Main Head","Other - Establishment Expenses","BS Sub Head","Bank Commission &amp; Charges")</f>
        <v>412603.48</v>
      </c>
      <c r="I541" s="120"/>
      <c r="J541" s="120"/>
      <c r="K541" s="120"/>
      <c r="L541" s="120"/>
      <c r="M541" s="120"/>
      <c r="N541" s="120"/>
      <c r="O541" s="120"/>
      <c r="P541" s="120"/>
      <c r="Q541" s="120"/>
    </row>
    <row r="542" spans="2:17" ht="18">
      <c r="B542" s="1063" t="s">
        <v>932</v>
      </c>
      <c r="C542" s="24"/>
      <c r="D542" s="24"/>
      <c r="E542" s="24"/>
      <c r="F542" s="24"/>
      <c r="G542" s="48">
        <f>+GETPIVOTDATA("Sum of Dr. Final 23-24",Pivot!$A$1,"Note",27,"BS Main Head","Other - Establishment Expenses","BS Sub Head","Bad Debts")-GETPIVOTDATA("Sum of Cr. Final 23-24",Pivot!$A$1,"Note",27,"BS Main Head","Other - Establishment Expenses","BS Sub Head","Bad Debts")</f>
        <v>0</v>
      </c>
      <c r="H542" s="1059">
        <f>+GETPIVOTDATA("Sum of Dr. Final 22-23",Pivot!$A$1,"Note",27,"BS Main Head","Other - Establishment Expenses","BS Sub Head","Bad Debts")-GETPIVOTDATA("Sum of Cr. Final 22-23",Pivot!$A$1,"Note",27,"BS Main Head","Other - Establishment Expenses","BS Sub Head","Bad Debts")</f>
        <v>0</v>
      </c>
      <c r="I542" s="21"/>
      <c r="J542" s="21"/>
      <c r="K542" s="21"/>
      <c r="L542" s="21"/>
      <c r="M542" s="21"/>
      <c r="N542" s="21"/>
      <c r="O542" s="21"/>
      <c r="P542" s="21"/>
      <c r="Q542" s="21"/>
    </row>
    <row r="543" spans="2:17" ht="18">
      <c r="B543" s="1063" t="s">
        <v>933</v>
      </c>
      <c r="C543" s="24"/>
      <c r="D543" s="24"/>
      <c r="E543" s="24"/>
      <c r="F543" s="24"/>
      <c r="G543" s="48">
        <f>+GETPIVOTDATA("Sum of Dr. Final 23-24",Pivot!$A$1,"Note",27,"BS Main Head","Other - Establishment Expenses","BS Sub Head","CSR Expenses")-GETPIVOTDATA("Sum of Cr. Final 23-24",Pivot!$A$1,"Note",27,"BS Main Head","Other - Establishment Expenses","BS Sub Head","CSR Expenses")</f>
        <v>0</v>
      </c>
      <c r="H543" s="1059">
        <f>+GETPIVOTDATA("Sum of Dr. Final 22-23",Pivot!$A$1,"Note",27,"BS Main Head","Other - Establishment Expenses","BS Sub Head","CSR Expenses")-GETPIVOTDATA("Sum of Cr. Final 22-23",Pivot!$A$1,"Note",27,"BS Main Head","Other - Establishment Expenses","BS Sub Head","CSR Expenses")</f>
        <v>0</v>
      </c>
      <c r="I543" s="21"/>
      <c r="J543" s="21"/>
      <c r="K543" s="21"/>
      <c r="L543" s="21"/>
      <c r="M543" s="21"/>
      <c r="N543" s="21"/>
      <c r="O543" s="21"/>
      <c r="P543" s="21"/>
      <c r="Q543" s="21"/>
    </row>
    <row r="544" spans="2:17" ht="18">
      <c r="B544" s="1063" t="s">
        <v>148</v>
      </c>
      <c r="C544" s="24"/>
      <c r="D544" s="24"/>
      <c r="E544" s="24"/>
      <c r="F544" s="2695"/>
      <c r="G544" s="47">
        <f>+GETPIVOTDATA("Sum of Dr. Final 23-24",Pivot!$A$1,"Note",27,"BS Main Head","Other - Establishment Expenses","BS Sub Head","Donation")-GETPIVOTDATA("Sum of Cr. Final 23-24",Pivot!$A$1,"Note",27,"BS Main Head","Other - Establishment Expenses","BS Sub Head","Donation")</f>
        <v>2500</v>
      </c>
      <c r="H544" s="1058">
        <f>+GETPIVOTDATA("Sum of Dr. Final 22-23",Pivot!$A$1,"Note",27,"BS Main Head","Other - Establishment Expenses","BS Sub Head","Donation")-GETPIVOTDATA("Sum of Cr. Final 22-23",Pivot!$A$1,"Note",27,"BS Main Head","Other - Establishment Expenses","BS Sub Head","Donation")</f>
        <v>37500</v>
      </c>
      <c r="I544" s="120"/>
      <c r="J544" s="120"/>
      <c r="K544" s="120"/>
      <c r="L544" s="120"/>
      <c r="M544" s="120"/>
      <c r="N544" s="120"/>
      <c r="O544" s="120"/>
      <c r="P544" s="120"/>
      <c r="Q544" s="120"/>
    </row>
    <row r="545" spans="2:17" ht="18">
      <c r="B545" s="1063" t="s">
        <v>197</v>
      </c>
      <c r="C545" s="24"/>
      <c r="D545" s="24"/>
      <c r="E545" s="24"/>
      <c r="F545" s="2695"/>
      <c r="G545" s="47">
        <f>+GETPIVOTDATA("Sum of Dr. Final 23-24",Pivot!$A$1,"Note",27,"BS Main Head","Other - Establishment Expenses","BS Sub Head","Insurance Charges")-GETPIVOTDATA("Sum of Cr. Final 23-24",Pivot!$A$1,"Note",27,"BS Main Head","Other - Establishment Expenses","BS Sub Head","Insurance Charges")</f>
        <v>1196371</v>
      </c>
      <c r="H545" s="1058">
        <f>+GETPIVOTDATA("Sum of Dr. Final 22-23",Pivot!$A$1,"Note",27,"BS Main Head","Other - Establishment Expenses","BS Sub Head","Insurance Charges")-GETPIVOTDATA("Sum of Cr. Final 22-23",Pivot!$A$1,"Note",27,"BS Main Head","Other - Establishment Expenses","BS Sub Head","Insurance Charges")</f>
        <v>1422847</v>
      </c>
      <c r="I545" s="120"/>
      <c r="J545" s="120"/>
      <c r="K545" s="120"/>
      <c r="L545" s="120"/>
      <c r="M545" s="120"/>
      <c r="N545" s="120"/>
      <c r="O545" s="120"/>
      <c r="P545" s="120"/>
      <c r="Q545" s="120"/>
    </row>
    <row r="546" spans="2:17" ht="18">
      <c r="B546" s="1063" t="s">
        <v>49</v>
      </c>
      <c r="C546" s="24"/>
      <c r="D546" s="24"/>
      <c r="E546" s="24"/>
      <c r="F546" s="2695"/>
      <c r="G546" s="47">
        <f>+GETPIVOTDATA("Sum of Dr. Final 23-24",Pivot!$A$1,"Note",27,"BS Main Head","Other - Establishment Expenses","BS Sub Head","General Expenses")-GETPIVOTDATA("Sum of Cr. Final 23-24",Pivot!$A$1,"Note",27,"BS Main Head","Other - Establishment Expenses","BS Sub Head","General Expenses")</f>
        <v>1088707.29</v>
      </c>
      <c r="H546" s="1058">
        <f>+GETPIVOTDATA("Sum of Dr. Final 22-23",Pivot!$A$1,"Note",27,"BS Main Head","Other - Establishment Expenses","BS Sub Head","General Expenses")-GETPIVOTDATA("Sum of Cr. Final 22-23",Pivot!$A$1,"Note",27,"BS Main Head","Other - Establishment Expenses","BS Sub Head","General Expenses")</f>
        <v>959429.4</v>
      </c>
      <c r="I546" s="120"/>
      <c r="J546" s="120"/>
      <c r="K546" s="120"/>
      <c r="L546" s="120"/>
      <c r="M546" s="120"/>
      <c r="N546" s="120"/>
      <c r="O546" s="120"/>
      <c r="P546" s="120"/>
      <c r="Q546" s="120"/>
    </row>
    <row r="547" spans="2:17" ht="18">
      <c r="B547" s="1063" t="s">
        <v>2255</v>
      </c>
      <c r="C547" s="2695"/>
      <c r="D547" s="2695"/>
      <c r="E547" s="2695"/>
      <c r="F547" s="2695"/>
      <c r="G547" s="47"/>
      <c r="H547" s="1058">
        <f>+GETPIVOTDATA("Sum of Dr. Final 22-23",Pivot!$A$1,"PARTICULARS","GST ANNUAL RETURN CHARGES","Note",27,"BS Main Head","Other - Establishment Expenses","BS Sub Head","Legal and Professional Charges")-GETPIVOTDATA("Sum of Cr. Final 22-23",Pivot!$A$1,"PARTICULARS","GST ANNUAL RETURN CHARGES","Note",27,"BS Main Head","Other - Establishment Expenses","BS Sub Head","Legal and Professional Charges")</f>
        <v>30000</v>
      </c>
      <c r="I547" s="120"/>
      <c r="J547" s="120"/>
      <c r="K547" s="120"/>
      <c r="L547" s="120"/>
      <c r="M547" s="120"/>
      <c r="N547" s="120"/>
      <c r="O547" s="120"/>
      <c r="P547" s="120"/>
      <c r="Q547" s="120"/>
    </row>
    <row r="548" spans="2:17" ht="18">
      <c r="B548" s="1063" t="s">
        <v>934</v>
      </c>
      <c r="C548" s="24"/>
      <c r="D548" s="24"/>
      <c r="E548" s="24"/>
      <c r="F548" s="2695"/>
      <c r="G548" s="47">
        <f>+GETPIVOTDATA("Sum of Dr. Final 23-24",Pivot!$A$1,"Note",27,"BS Main Head","Other - Establishment Expenses","BS Sub Head","Legal and Professional Charges")-GETPIVOTDATA("Sum of Cr. Final 23-24",Pivot!$A$1,"Note",27,"BS Main Head","Other - Establishment Expenses","BS Sub Head","Legal and Professional Charges")</f>
        <v>1049763</v>
      </c>
      <c r="H548" s="1058">
        <f>+GETPIVOTDATA("Sum of Dr. Final 22-23",Pivot!$A$1,"Note",27,"BS Main Head","Other - Establishment Expenses","BS Sub Head","Legal and Professional Charges")-GETPIVOTDATA("Sum of Cr. Final 22-23",Pivot!$A$1,"Note",27,"BS Main Head","Other - Establishment Expenses","BS Sub Head","Legal and Professional Charges")-GETPIVOTDATA("Sum of Dr. Final 22-23",Pivot!$A$1,"PARTICULARS","GST ANNUAL RETURN CHARGES","Note",27,"BS Main Head","Other - Establishment Expenses","BS Sub Head","Legal and Professional Charges")-GETPIVOTDATA("Sum of Cr. Final 22-23",Pivot!$A$1,"PARTICULARS","GST ANNUAL RETURN CHARGES","Note",27,"BS Main Head","Other - Establishment Expenses","BS Sub Head","Legal and Professional Charges")</f>
        <v>808784</v>
      </c>
      <c r="I548" s="120"/>
      <c r="J548" s="120"/>
      <c r="K548" s="120"/>
      <c r="L548" s="120"/>
      <c r="M548" s="120"/>
      <c r="N548" s="120"/>
      <c r="O548" s="120"/>
      <c r="P548" s="120"/>
      <c r="Q548" s="120"/>
    </row>
    <row r="549" spans="2:17" ht="18">
      <c r="B549" s="1063" t="s">
        <v>935</v>
      </c>
      <c r="C549" s="24"/>
      <c r="D549" s="24"/>
      <c r="E549" s="24"/>
      <c r="F549" s="24"/>
      <c r="G549" s="48">
        <f>+GETPIVOTDATA("Sum of Dr. Final 23-24",Pivot!$A$1,"Note",27,"BS Main Head","Other - Establishment Expenses","BS Sub Head","Listing Expenses")-GETPIVOTDATA("Sum of Cr. Final 23-24",Pivot!$A$1,"Note",27,"BS Main Head","Other - Establishment Expenses","BS Sub Head","Listing Expenses")</f>
        <v>55000</v>
      </c>
      <c r="H549" s="1059">
        <f>+GETPIVOTDATA("Sum of Dr. Final 22-23",Pivot!$A$1,"Note",27,"BS Main Head","Other - Establishment Expenses","BS Sub Head","Listing Expenses")-GETPIVOTDATA("Sum of Cr. Final 22-23",Pivot!$A$1,"Note",27,"BS Main Head","Other - Establishment Expenses","BS Sub Head","Listing Expenses")</f>
        <v>55000</v>
      </c>
      <c r="I549" s="21"/>
      <c r="J549" s="21"/>
      <c r="K549" s="21"/>
      <c r="L549" s="21"/>
      <c r="M549" s="21"/>
      <c r="N549" s="21"/>
      <c r="O549" s="21"/>
      <c r="P549" s="21"/>
      <c r="Q549" s="21"/>
    </row>
    <row r="550" spans="2:17" ht="18">
      <c r="B550" s="1063" t="s">
        <v>3093</v>
      </c>
      <c r="C550" s="24"/>
      <c r="D550" s="24"/>
      <c r="E550" s="24"/>
      <c r="F550" s="24"/>
      <c r="G550" s="48">
        <f>+GETPIVOTDATA("Sum of Dr. Final 23-24",Pivot!$A$1,"Note",27,"BS Main Head","Other - Establishment Expenses","BS Sub Head","Loss on Discardment of FA")</f>
        <v>323224</v>
      </c>
      <c r="H550" s="1059">
        <v>0</v>
      </c>
      <c r="I550" s="21"/>
      <c r="J550" s="21"/>
      <c r="K550" s="21"/>
      <c r="L550" s="21"/>
      <c r="M550" s="21"/>
      <c r="N550" s="21"/>
      <c r="O550" s="21"/>
      <c r="P550" s="21"/>
      <c r="Q550" s="21"/>
    </row>
    <row r="551" spans="2:17" ht="18">
      <c r="B551" s="1063" t="s">
        <v>3094</v>
      </c>
      <c r="C551" s="24"/>
      <c r="D551" s="24"/>
      <c r="E551" s="24"/>
      <c r="F551" s="24"/>
      <c r="G551" s="48">
        <f>+GETPIVOTDATA("Sum of Dr. Final 23-24",Pivot!$A$1,"Note",27,"BS Main Head","Other - Establishment Expenses","BS Sub Head","Profit/(Loss) on sale of Asset")</f>
        <v>84364</v>
      </c>
      <c r="H551" s="1059">
        <v>0</v>
      </c>
      <c r="I551" s="21"/>
      <c r="J551" s="21"/>
      <c r="K551" s="21"/>
      <c r="L551" s="21"/>
      <c r="M551" s="21"/>
      <c r="N551" s="21"/>
      <c r="O551" s="21"/>
      <c r="P551" s="21"/>
      <c r="Q551" s="21"/>
    </row>
    <row r="552" spans="2:17" ht="18">
      <c r="B552" s="1063" t="s">
        <v>75</v>
      </c>
      <c r="C552" s="24"/>
      <c r="D552" s="24"/>
      <c r="E552" s="24"/>
      <c r="F552" s="2695"/>
      <c r="G552" s="47">
        <f>+GETPIVOTDATA("Sum of Dr. Final 23-24",Pivot!$A$1,"Note",27,"BS Main Head","Other - Establishment Expenses","BS Sub Head","Office Expenses")-GETPIVOTDATA("Sum of Cr. Final 23-24",Pivot!$A$1,"Note",27,"BS Main Head","Other - Establishment Expenses","BS Sub Head","Office Expenses")</f>
        <v>368775.28</v>
      </c>
      <c r="H552" s="1058">
        <f>+GETPIVOTDATA("Sum of Dr. Final 22-23",Pivot!$A$1,"Note",27,"BS Main Head","Other - Establishment Expenses","BS Sub Head","Office Expenses")-GETPIVOTDATA("Sum of Cr. Final 22-23",Pivot!$A$1,"Note",27,"BS Main Head","Other - Establishment Expenses","BS Sub Head","Office Expenses")</f>
        <v>391899.9</v>
      </c>
      <c r="I552" s="120"/>
      <c r="J552" s="120"/>
      <c r="K552" s="120"/>
      <c r="L552" s="120"/>
      <c r="M552" s="120"/>
      <c r="N552" s="120"/>
      <c r="O552" s="120"/>
      <c r="P552" s="120"/>
      <c r="Q552" s="120"/>
    </row>
    <row r="553" spans="2:17" ht="18">
      <c r="B553" s="1063" t="s">
        <v>342</v>
      </c>
      <c r="C553" s="24"/>
      <c r="D553" s="24"/>
      <c r="E553" s="24"/>
      <c r="F553" s="2695"/>
      <c r="G553" s="47">
        <f>+GETPIVOTDATA("Sum of Dr. Final 23-24",Pivot!$A$1,"Note",27,"BS Main Head","Other - Establishment Expenses","BS Sub Head","Printing &amp; Stationery")-GETPIVOTDATA("Sum of Cr. Final 23-24",Pivot!$A$1,"Note",27,"BS Main Head","Other - Establishment Expenses","BS Sub Head","Printing &amp; Stationery")</f>
        <v>217506.58</v>
      </c>
      <c r="H553" s="1058">
        <f>+GETPIVOTDATA("Sum of Dr. Final 22-23",Pivot!$A$1,"Note",27,"BS Main Head","Other - Establishment Expenses","BS Sub Head","Printing &amp; Stationery")-GETPIVOTDATA("Sum of Cr. Final 22-23",Pivot!$A$1,"Note",27,"BS Main Head","Other - Establishment Expenses","BS Sub Head","Printing &amp; Stationery")</f>
        <v>269184.78000000003</v>
      </c>
      <c r="I553" s="120"/>
      <c r="J553" s="120"/>
      <c r="K553" s="120"/>
      <c r="L553" s="120"/>
      <c r="M553" s="120"/>
      <c r="N553" s="120"/>
      <c r="O553" s="120"/>
      <c r="P553" s="120"/>
      <c r="Q553" s="120"/>
    </row>
    <row r="554" spans="2:17" ht="18">
      <c r="B554" s="1063" t="s">
        <v>82</v>
      </c>
      <c r="C554" s="24"/>
      <c r="D554" s="24"/>
      <c r="E554" s="24"/>
      <c r="F554" s="2695"/>
      <c r="G554" s="47">
        <f>+GETPIVOTDATA("Sum of Dr. Final 23-24",Pivot!$A$1,"Note",27,"BS Main Head","Other - Establishment Expenses","BS Sub Head","Rates &amp; Taxes")-GETPIVOTDATA("Sum of Cr. Final 23-24",Pivot!$A$1,"Note",27,"BS Main Head","Other - Establishment Expenses","BS Sub Head","Rates &amp; Taxes")</f>
        <v>438340</v>
      </c>
      <c r="H554" s="1058">
        <f>+GETPIVOTDATA("Sum of Dr. Final 22-23",Pivot!$A$1,"Note",27,"BS Main Head","Other - Establishment Expenses","BS Sub Head","Rates &amp; Taxes")-GETPIVOTDATA("Sum of Cr. Final 22-23",Pivot!$A$1,"Note",27,"BS Main Head","Other - Establishment Expenses","BS Sub Head","Rates &amp; Taxes")</f>
        <v>714305</v>
      </c>
      <c r="I554" s="120"/>
      <c r="J554" s="120"/>
      <c r="K554" s="120"/>
      <c r="L554" s="120"/>
      <c r="M554" s="120"/>
      <c r="N554" s="120"/>
      <c r="O554" s="120"/>
      <c r="P554" s="120"/>
      <c r="Q554" s="120"/>
    </row>
    <row r="555" spans="2:17" ht="18">
      <c r="B555" s="1141" t="s">
        <v>925</v>
      </c>
      <c r="C555" s="2695"/>
      <c r="D555" s="2695"/>
      <c r="E555" s="2695"/>
      <c r="F555" s="2695"/>
      <c r="G555" s="47"/>
      <c r="H555" s="1058"/>
      <c r="I555" s="120"/>
      <c r="J555" s="120"/>
      <c r="K555" s="120"/>
      <c r="L555" s="120"/>
      <c r="M555" s="120"/>
      <c r="N555" s="120"/>
      <c r="O555" s="120"/>
      <c r="P555" s="120"/>
      <c r="Q555" s="120"/>
    </row>
    <row r="556" spans="2:17" ht="18">
      <c r="B556" s="1063" t="s">
        <v>936</v>
      </c>
      <c r="C556" s="24"/>
      <c r="D556" s="24"/>
      <c r="E556" s="24"/>
      <c r="F556" s="2875"/>
      <c r="G556" s="47">
        <f>+GETPIVOTDATA("Sum of Dr. Final 23-24",Pivot!$A$1,"Note",27,"BS Main Head","Other - Establishment Expenses","BS Sub Head","Repairs &amp; Maintainence - Vehicle")-GETPIVOTDATA("Sum of Cr. Final 23-24",Pivot!$A$1,"Note",27,"BS Main Head","Other - Establishment Expenses","BS Sub Head","Repairs &amp; Maintainence - Vehicle")</f>
        <v>1019578</v>
      </c>
      <c r="H556" s="1058">
        <f>+GETPIVOTDATA("Sum of Dr. Final 22-23",Pivot!$A$1,"Note",27,"BS Main Head","Other - Establishment Expenses","BS Sub Head","Repairs &amp; Maintainence - Vehicle")-GETPIVOTDATA("Sum of Cr. Final 22-23",Pivot!$A$1,"Note",27,"BS Main Head","Other - Establishment Expenses","BS Sub Head","Repairs &amp; Maintainence - Vehicle")</f>
        <v>996236.52</v>
      </c>
      <c r="I556" s="120"/>
      <c r="J556" s="120"/>
      <c r="K556" s="120"/>
      <c r="L556" s="120"/>
      <c r="M556" s="120"/>
      <c r="N556" s="120"/>
      <c r="O556" s="120"/>
      <c r="P556" s="120"/>
      <c r="Q556" s="120"/>
    </row>
    <row r="557" spans="2:17" ht="18">
      <c r="B557" s="1063" t="s">
        <v>937</v>
      </c>
      <c r="C557" s="24"/>
      <c r="D557" s="24"/>
      <c r="E557" s="24"/>
      <c r="F557" s="2695"/>
      <c r="G557" s="47">
        <f>+GETPIVOTDATA("Sum of Dr. Final 23-24",Pivot!$A$1,"Note",27,"BS Main Head","Other - Establishment Expenses","BS Sub Head","Repairs &amp; Maintainence - Others")-GETPIVOTDATA("Sum of Cr. Final 23-24",Pivot!$A$1,"Note",27,"BS Main Head","Other - Establishment Expenses","BS Sub Head","Repairs &amp; Maintainence - Others")</f>
        <v>357129.36</v>
      </c>
      <c r="H557" s="1058">
        <f>+GETPIVOTDATA("Sum of Dr. Final 22-23",Pivot!$A$1,"Note",27,"BS Main Head","Other - Establishment Expenses","BS Sub Head","Repairs &amp; Maintainence - Others")-GETPIVOTDATA("Sum of Cr. Final 22-23",Pivot!$A$1,"Note",27,"BS Main Head","Other - Establishment Expenses","BS Sub Head","Repairs &amp; Maintainence - Others")</f>
        <v>268584</v>
      </c>
      <c r="I557" s="120"/>
      <c r="J557" s="120"/>
      <c r="K557" s="120"/>
      <c r="L557" s="120"/>
      <c r="M557" s="120"/>
      <c r="N557" s="120"/>
      <c r="O557" s="120"/>
      <c r="P557" s="120"/>
      <c r="Q557" s="120"/>
    </row>
    <row r="558" spans="2:17" ht="18">
      <c r="B558" s="1063" t="s">
        <v>938</v>
      </c>
      <c r="C558" s="24"/>
      <c r="D558" s="24"/>
      <c r="E558" s="24"/>
      <c r="F558" s="2676"/>
      <c r="G558" s="48">
        <f>+GETPIVOTDATA("Sum of Dr. Final 23-24",Pivot!$A$1,"Note",27,"BS Main Head","Other - Establishment Expenses","BS Sub Head","Rent Expense")-GETPIVOTDATA("Sum of Cr. Final 23-24",Pivot!$A$1,"Note",27,"BS Main Head","Other - Establishment Expenses","BS Sub Head","Rent Expense")</f>
        <v>643125</v>
      </c>
      <c r="H558" s="1059">
        <f>+GETPIVOTDATA("Sum of Dr. Final 22-23",Pivot!$A$1,"Note",27,"BS Main Head","Other - Establishment Expenses","BS Sub Head","Rent Expense")-GETPIVOTDATA("Sum of Cr. Final 22-23",Pivot!$A$1,"Note",27,"BS Main Head","Other - Establishment Expenses","BS Sub Head","Rent Expense")</f>
        <v>642000</v>
      </c>
      <c r="I558" s="21"/>
      <c r="J558" s="21"/>
      <c r="K558" s="21"/>
      <c r="L558" s="21"/>
      <c r="M558" s="21"/>
      <c r="N558" s="21"/>
      <c r="O558" s="21"/>
      <c r="P558" s="21"/>
      <c r="Q558" s="21"/>
    </row>
    <row r="559" spans="2:17" ht="18">
      <c r="B559" s="1063" t="s">
        <v>939</v>
      </c>
      <c r="C559" s="24"/>
      <c r="D559" s="24"/>
      <c r="E559" s="24"/>
      <c r="F559" s="2876"/>
      <c r="G559" s="47">
        <f>+GETPIVOTDATA("Sum of Dr. Final 23-24",Pivot!$A$1,"Note",27,"BS Main Head","Other - Establishment Expenses","BS Sub Head","Travelling and Conveyance Expense")-GETPIVOTDATA("Sum of Cr. Final 23-24",Pivot!$A$1,"Note",27,"BS Main Head","Other - Establishment Expenses","BS Sub Head","Travelling and Conveyance Expense")</f>
        <v>434684</v>
      </c>
      <c r="H559" s="1058">
        <f>+GETPIVOTDATA("Sum of Dr. Final 22-23",Pivot!$A$1,"Note",27,"BS Main Head","Other - Establishment Expenses","BS Sub Head","Travelling and Conveyance Expense")-GETPIVOTDATA("Sum of Cr. Final 22-23",Pivot!$A$1,"Note",27,"BS Main Head","Other - Establishment Expenses","BS Sub Head","Travelling and Conveyance Expense")</f>
        <v>540011</v>
      </c>
      <c r="I559" s="120"/>
      <c r="J559" s="120"/>
      <c r="K559" s="120"/>
      <c r="L559" s="120"/>
      <c r="M559" s="120"/>
      <c r="N559" s="120"/>
      <c r="O559" s="120"/>
      <c r="P559" s="120"/>
      <c r="Q559" s="120"/>
    </row>
    <row r="560" spans="2:17" ht="18">
      <c r="B560" s="1063" t="s">
        <v>355</v>
      </c>
      <c r="C560" s="24"/>
      <c r="D560" s="24"/>
      <c r="E560" s="24"/>
      <c r="F560" s="2695"/>
      <c r="G560" s="47">
        <f>+GETPIVOTDATA("Sum of Dr. Final 23-24",Pivot!$A$1,"Note",27,"BS Main Head","Other - Establishment Expenses","BS Sub Head","Telephone Expenses")-GETPIVOTDATA("Sum of Cr. Final 23-24",Pivot!$A$1,"Note",27,"BS Main Head","Other - Establishment Expenses","BS Sub Head","Telephone Expenses")</f>
        <v>72945</v>
      </c>
      <c r="H560" s="1058">
        <f>+GETPIVOTDATA("Sum of Dr. Final 22-23",Pivot!$A$1,"Note",27,"BS Main Head","Other - Establishment Expenses","BS Sub Head","Telephone Expenses")-GETPIVOTDATA("Sum of Cr. Final 22-23",Pivot!$A$1,"Note",27,"BS Main Head","Other - Establishment Expenses","BS Sub Head","Telephone Expenses")</f>
        <v>67429</v>
      </c>
      <c r="I560" s="120"/>
      <c r="J560" s="120"/>
      <c r="K560" s="120"/>
      <c r="L560" s="120"/>
      <c r="M560" s="120"/>
      <c r="N560" s="120"/>
      <c r="O560" s="120"/>
      <c r="P560" s="120"/>
      <c r="Q560" s="120"/>
    </row>
    <row r="561" spans="2:19" ht="18">
      <c r="B561" s="1063"/>
      <c r="C561" s="24"/>
      <c r="D561" s="24"/>
      <c r="E561" s="24"/>
      <c r="F561" s="2700" t="s">
        <v>940</v>
      </c>
      <c r="G561" s="1268">
        <f>SUM(G537:G560)</f>
        <v>8016957.9900000002</v>
      </c>
      <c r="H561" s="1455">
        <f>+SUM(H553:H560)+SUM(H538:H552)</f>
        <v>8090814.0800000001</v>
      </c>
      <c r="I561" s="1998"/>
      <c r="J561" s="1998"/>
      <c r="K561" s="1998"/>
      <c r="L561" s="1998"/>
      <c r="M561" s="1998"/>
      <c r="N561" s="1998"/>
      <c r="O561" s="1998"/>
      <c r="P561" s="1998"/>
      <c r="Q561" s="1998"/>
      <c r="S561" s="2593"/>
    </row>
    <row r="562" spans="2:19" ht="18">
      <c r="B562" s="1049" t="s">
        <v>941</v>
      </c>
      <c r="C562" s="25"/>
      <c r="D562" s="25"/>
      <c r="E562" s="25"/>
      <c r="F562" s="2695"/>
      <c r="G562" s="47"/>
      <c r="H562" s="1058"/>
      <c r="I562" s="120"/>
      <c r="J562" s="120"/>
      <c r="K562" s="120"/>
      <c r="L562" s="120"/>
      <c r="M562" s="120"/>
      <c r="N562" s="120"/>
      <c r="O562" s="120"/>
      <c r="P562" s="120"/>
      <c r="Q562" s="120"/>
    </row>
    <row r="563" spans="2:19" ht="18">
      <c r="B563" s="1063" t="s">
        <v>942</v>
      </c>
      <c r="C563" s="24"/>
      <c r="D563" s="24"/>
      <c r="E563" s="24"/>
      <c r="F563" s="2695"/>
      <c r="G563" s="47">
        <f>+GETPIVOTDATA("Sum of Dr. Final 23-24",Pivot!$A$1,"Note",27,"BS Main Head","Other - Selling &amp; Distribution Expenses","BS Sub Head","Advertisement Expenses")-GETPIVOTDATA("Sum of Cr. Final 23-24",Pivot!$A$1,"Note",27,"BS Main Head","Other - Selling &amp; Distribution Expenses","BS Sub Head","Advertisement Expenses")</f>
        <v>156102</v>
      </c>
      <c r="H563" s="1058">
        <f>+GETPIVOTDATA("Sum of Dr. Final 22-23",Pivot!$A$1,"Note",27,"BS Main Head","Other - Selling &amp; Distribution Expenses","BS Sub Head","Advertisement Expenses")-GETPIVOTDATA("Sum of Cr. Final 22-23",Pivot!$A$1,"Note",27,"BS Main Head","Other - Selling &amp; Distribution Expenses","BS Sub Head","Advertisement Expenses")</f>
        <v>120274</v>
      </c>
      <c r="I563" s="120"/>
      <c r="J563" s="120"/>
      <c r="K563" s="120"/>
      <c r="L563" s="120"/>
      <c r="M563" s="120"/>
      <c r="N563" s="120"/>
      <c r="O563" s="120"/>
      <c r="P563" s="120"/>
      <c r="Q563" s="120"/>
    </row>
    <row r="564" spans="2:19" ht="18">
      <c r="B564" s="1063" t="s">
        <v>196</v>
      </c>
      <c r="C564" s="24"/>
      <c r="D564" s="24"/>
      <c r="E564" s="24"/>
      <c r="F564" s="2695"/>
      <c r="G564" s="47">
        <f>+GETPIVOTDATA("Sum of Dr. Final 23-24",Pivot!$A$1,"Note",27,"BS Main Head","Other - Selling &amp; Distribution Expenses","BS Sub Head","Insurance on Sales")-GETPIVOTDATA("Sum of Cr. Final 23-24",Pivot!$A$1,"Note",27,"BS Main Head","Other - Selling &amp; Distribution Expenses","BS Sub Head","Insurance on Sales")</f>
        <v>157257</v>
      </c>
      <c r="H564" s="1058">
        <f>+GETPIVOTDATA("Sum of Dr. Final 22-23",Pivot!$A$1,"Note",27,"BS Main Head","Other - Selling &amp; Distribution Expenses","BS Sub Head","Insurance on Sales")-GETPIVOTDATA("Sum of Cr. Final 22-23",Pivot!$A$1,"Note",27,"BS Main Head","Other - Selling &amp; Distribution Expenses","BS Sub Head","Insurance on Sales")</f>
        <v>250506</v>
      </c>
      <c r="I564" s="120"/>
      <c r="J564" s="120"/>
      <c r="K564" s="120"/>
      <c r="L564" s="120"/>
      <c r="M564" s="120"/>
      <c r="N564" s="120"/>
      <c r="O564" s="120"/>
      <c r="P564" s="120"/>
      <c r="Q564" s="120"/>
    </row>
    <row r="565" spans="2:19" ht="18">
      <c r="B565" s="1063" t="s">
        <v>3051</v>
      </c>
      <c r="C565" s="24"/>
      <c r="D565" s="24"/>
      <c r="E565" s="24"/>
      <c r="F565" s="2695"/>
      <c r="G565" s="47">
        <f>+GETPIVOTDATA("Sum of Dr. Final 23-24",Pivot!$A$1,"Note",27,"BS Main Head","Other - Selling &amp; Distribution Expenses","BS Sub Head","Freight on Sales")-GETPIVOTDATA("Sum of Cr. Final 23-24",Pivot!$A$1,"Note",27,"BS Main Head","Other - Selling &amp; Distribution Expenses","BS Sub Head","Freight on Sales")</f>
        <v>314100</v>
      </c>
      <c r="H565" s="1058">
        <f>+GETPIVOTDATA("Sum of Dr. Final 22-23",Pivot!$A$1,"Note",27,"BS Main Head","Other - Selling &amp; Distribution Expenses","BS Sub Head","Freight on Sales")-GETPIVOTDATA("Sum of Cr. Final 22-23",Pivot!$A$1,"Note",27,"BS Main Head","Other - Selling &amp; Distribution Expenses","BS Sub Head","Freight on Sales")</f>
        <v>67144</v>
      </c>
      <c r="I565" s="120"/>
      <c r="J565" s="120"/>
      <c r="K565" s="120"/>
      <c r="L565" s="120"/>
      <c r="M565" s="120"/>
      <c r="N565" s="120"/>
      <c r="O565" s="120"/>
      <c r="P565" s="120"/>
      <c r="Q565" s="120"/>
    </row>
    <row r="566" spans="2:19" ht="18">
      <c r="B566" s="1063" t="s">
        <v>943</v>
      </c>
      <c r="C566" s="24"/>
      <c r="D566" s="24"/>
      <c r="E566" s="24"/>
      <c r="F566" s="2695"/>
      <c r="G566" s="47">
        <f>+GETPIVOTDATA("Sum of Dr. Final 23-24",Pivot!$A$1,"Note",27,"BS Main Head","Other - Selling &amp; Distribution Expenses","BS Sub Head","Commission on Sales")-GETPIVOTDATA("Sum of Cr. Final 23-24",Pivot!$A$1,"Note",27,"BS Main Head","Other - Selling &amp; Distribution Expenses","BS Sub Head","Commission on Sales")</f>
        <v>44654</v>
      </c>
      <c r="H566" s="1058">
        <f>+GETPIVOTDATA("Sum of Dr. Final 22-23",Pivot!$A$1,"Note",27,"BS Main Head","Other - Selling &amp; Distribution Expenses","BS Sub Head","Commission on Sales")-GETPIVOTDATA("Sum of Cr. Final 22-23",Pivot!$A$1,"Note",27,"BS Main Head","Other - Selling &amp; Distribution Expenses","BS Sub Head","Commission on Sales")</f>
        <v>1585770</v>
      </c>
      <c r="I566" s="120"/>
      <c r="J566" s="120"/>
      <c r="K566" s="120"/>
      <c r="L566" s="120"/>
      <c r="M566" s="120"/>
      <c r="N566" s="120"/>
      <c r="O566" s="120"/>
      <c r="P566" s="120"/>
      <c r="Q566" s="120"/>
    </row>
    <row r="567" spans="2:19" ht="18">
      <c r="B567" s="1063"/>
      <c r="C567" s="24"/>
      <c r="D567" s="24"/>
      <c r="E567" s="24"/>
      <c r="F567" s="2700" t="s">
        <v>944</v>
      </c>
      <c r="G567" s="1268">
        <f>+SUM(G563:G566)</f>
        <v>672113</v>
      </c>
      <c r="H567" s="1455">
        <f>+SUM(H563:H566)</f>
        <v>2023694</v>
      </c>
      <c r="I567" s="1998"/>
      <c r="J567" s="1998"/>
      <c r="K567" s="1998"/>
      <c r="L567" s="1998"/>
      <c r="M567" s="1998"/>
      <c r="N567" s="1998"/>
      <c r="O567" s="1998"/>
      <c r="P567" s="1998"/>
      <c r="Q567" s="1998"/>
    </row>
    <row r="568" spans="2:19" ht="18">
      <c r="B568" s="1063"/>
      <c r="C568" s="24"/>
      <c r="D568" s="24"/>
      <c r="E568" s="24"/>
      <c r="F568" s="2877" t="s">
        <v>945</v>
      </c>
      <c r="G568" s="1268">
        <f>+G567+G561+G529</f>
        <v>176691419.37</v>
      </c>
      <c r="H568" s="1455">
        <f>+H567+H561+H529</f>
        <v>242294252.75999999</v>
      </c>
      <c r="I568" s="1998"/>
      <c r="J568" s="1998"/>
      <c r="K568" s="1998"/>
      <c r="L568" s="1998"/>
      <c r="M568" s="1998"/>
      <c r="N568" s="1998"/>
      <c r="O568" s="1998"/>
      <c r="P568" s="1998"/>
      <c r="Q568" s="1998"/>
    </row>
    <row r="569" spans="2:19" ht="18">
      <c r="B569" s="1114" t="s">
        <v>2658</v>
      </c>
      <c r="C569" s="24"/>
      <c r="D569" s="24"/>
      <c r="E569" s="24"/>
      <c r="F569" s="2615"/>
      <c r="G569" s="48"/>
      <c r="H569" s="1059"/>
      <c r="I569" s="21"/>
      <c r="J569" s="21"/>
      <c r="K569" s="21"/>
      <c r="L569" s="21"/>
      <c r="M569" s="21"/>
      <c r="N569" s="21"/>
      <c r="O569" s="21"/>
      <c r="P569" s="21"/>
      <c r="Q569" s="21"/>
    </row>
    <row r="570" spans="2:19" ht="18">
      <c r="B570" s="1049" t="s">
        <v>463</v>
      </c>
      <c r="C570" s="24"/>
      <c r="D570" s="24"/>
      <c r="E570" s="24"/>
      <c r="F570" s="2615"/>
      <c r="G570" s="48"/>
      <c r="H570" s="1059"/>
      <c r="I570" s="21"/>
      <c r="J570" s="21"/>
      <c r="K570" s="21"/>
      <c r="L570" s="21"/>
      <c r="M570" s="21"/>
      <c r="N570" s="21"/>
      <c r="O570" s="21"/>
      <c r="P570" s="21"/>
      <c r="Q570" s="21"/>
    </row>
    <row r="571" spans="2:19" ht="18">
      <c r="B571" s="1049" t="s">
        <v>946</v>
      </c>
      <c r="C571" s="24"/>
      <c r="D571" s="24"/>
      <c r="E571" s="24"/>
      <c r="F571" s="2615"/>
      <c r="G571" s="48"/>
      <c r="H571" s="1059"/>
      <c r="I571" s="21"/>
      <c r="J571" s="21"/>
      <c r="K571" s="21"/>
      <c r="L571" s="21"/>
      <c r="M571" s="21"/>
      <c r="N571" s="21"/>
      <c r="O571" s="21"/>
      <c r="P571" s="21"/>
      <c r="Q571" s="21"/>
    </row>
    <row r="572" spans="2:19" ht="18">
      <c r="B572" s="1063" t="s">
        <v>947</v>
      </c>
      <c r="C572" s="24"/>
      <c r="D572" s="24"/>
      <c r="E572" s="24"/>
      <c r="F572" s="2615"/>
      <c r="G572" s="8">
        <f>-G728</f>
        <v>1451163</v>
      </c>
      <c r="H572" s="1011">
        <f>-H728</f>
        <v>453421</v>
      </c>
      <c r="I572" s="1997"/>
      <c r="J572" s="1997"/>
      <c r="K572" s="1997"/>
      <c r="L572" s="1997"/>
      <c r="M572" s="1997"/>
      <c r="N572" s="1997"/>
      <c r="O572" s="1997"/>
      <c r="P572" s="1997"/>
      <c r="Q572" s="1997"/>
    </row>
    <row r="573" spans="2:19" ht="18">
      <c r="B573" s="1063" t="s">
        <v>2751</v>
      </c>
      <c r="C573" s="24"/>
      <c r="D573" s="24"/>
      <c r="E573" s="24"/>
      <c r="F573" s="2615"/>
      <c r="G573" s="48"/>
      <c r="H573" s="1059"/>
      <c r="I573" s="21"/>
      <c r="J573" s="21"/>
      <c r="K573" s="21"/>
      <c r="L573" s="21"/>
      <c r="M573" s="21"/>
      <c r="N573" s="21"/>
      <c r="O573" s="21"/>
      <c r="P573" s="21"/>
      <c r="Q573" s="21"/>
    </row>
    <row r="574" spans="2:19" ht="18">
      <c r="B574" s="2654" t="s">
        <v>779</v>
      </c>
      <c r="C574" s="24"/>
      <c r="D574" s="24"/>
      <c r="E574" s="24"/>
      <c r="F574" s="2615"/>
      <c r="G574" s="48"/>
      <c r="H574" s="1059"/>
      <c r="I574" s="21"/>
      <c r="J574" s="21"/>
      <c r="K574" s="21"/>
      <c r="L574" s="21"/>
      <c r="M574" s="21"/>
      <c r="N574" s="21"/>
      <c r="O574" s="21"/>
      <c r="P574" s="21"/>
      <c r="Q574" s="21"/>
    </row>
    <row r="575" spans="2:19" ht="18">
      <c r="B575" s="2654" t="s">
        <v>757</v>
      </c>
      <c r="C575" s="24"/>
      <c r="D575" s="24"/>
      <c r="E575" s="24"/>
      <c r="F575" s="2615"/>
      <c r="G575" s="48"/>
      <c r="H575" s="1059"/>
      <c r="I575" s="21"/>
      <c r="J575" s="21"/>
      <c r="K575" s="21"/>
      <c r="L575" s="21"/>
      <c r="M575" s="21"/>
      <c r="N575" s="21"/>
      <c r="O575" s="21"/>
      <c r="P575" s="21"/>
      <c r="Q575" s="21"/>
    </row>
    <row r="576" spans="2:19" ht="18">
      <c r="B576" s="1063"/>
      <c r="C576" s="24"/>
      <c r="D576" s="24"/>
      <c r="E576" s="24"/>
      <c r="F576" s="2615"/>
      <c r="G576" s="1300">
        <f>+SUM(G572:G574)</f>
        <v>1451163</v>
      </c>
      <c r="H576" s="1488">
        <f>+SUM(H572:H574)</f>
        <v>453421</v>
      </c>
      <c r="I576" s="103"/>
      <c r="J576" s="103"/>
      <c r="K576" s="103"/>
      <c r="L576" s="103"/>
      <c r="M576" s="103"/>
      <c r="N576" s="103"/>
      <c r="O576" s="103"/>
      <c r="P576" s="103"/>
      <c r="Q576" s="103"/>
    </row>
    <row r="577" spans="2:17" ht="18">
      <c r="B577" s="1049" t="s">
        <v>948</v>
      </c>
      <c r="C577" s="24"/>
      <c r="D577" s="24"/>
      <c r="E577" s="24"/>
      <c r="F577" s="2615"/>
      <c r="G577" s="48"/>
      <c r="H577" s="1059"/>
      <c r="I577" s="21"/>
      <c r="J577" s="21"/>
      <c r="K577" s="21"/>
      <c r="L577" s="21"/>
      <c r="M577" s="21"/>
      <c r="N577" s="21"/>
      <c r="O577" s="21"/>
      <c r="P577" s="21"/>
      <c r="Q577" s="21"/>
    </row>
    <row r="578" spans="2:17" ht="18">
      <c r="B578" s="2604" t="s">
        <v>949</v>
      </c>
      <c r="C578" s="24"/>
      <c r="D578" s="24"/>
      <c r="E578" s="24"/>
      <c r="F578" s="2615"/>
      <c r="G578" s="48">
        <v>0</v>
      </c>
      <c r="H578" s="1059">
        <v>0</v>
      </c>
      <c r="I578" s="21"/>
      <c r="J578" s="21"/>
      <c r="K578" s="21"/>
      <c r="L578" s="21"/>
      <c r="M578" s="21"/>
      <c r="N578" s="21"/>
      <c r="O578" s="21"/>
      <c r="P578" s="21"/>
      <c r="Q578" s="21"/>
    </row>
    <row r="579" spans="2:17" ht="18">
      <c r="B579" s="1049"/>
      <c r="C579" s="24"/>
      <c r="D579" s="24"/>
      <c r="E579" s="24"/>
      <c r="F579" s="2615"/>
      <c r="G579" s="48"/>
      <c r="H579" s="1059"/>
      <c r="I579" s="21"/>
      <c r="J579" s="21"/>
      <c r="K579" s="21"/>
      <c r="L579" s="21"/>
      <c r="M579" s="21"/>
      <c r="N579" s="21"/>
      <c r="O579" s="21"/>
      <c r="P579" s="21"/>
      <c r="Q579" s="21"/>
    </row>
    <row r="580" spans="2:17" ht="18">
      <c r="B580" s="1063"/>
      <c r="C580" s="24"/>
      <c r="D580" s="24"/>
      <c r="E580" s="24"/>
      <c r="F580" s="2615"/>
      <c r="G580" s="1300">
        <v>0</v>
      </c>
      <c r="H580" s="1488">
        <v>0</v>
      </c>
      <c r="I580" s="103"/>
      <c r="J580" s="103"/>
      <c r="K580" s="103"/>
      <c r="L580" s="103"/>
      <c r="M580" s="103"/>
      <c r="N580" s="103"/>
      <c r="O580" s="103"/>
      <c r="P580" s="103"/>
      <c r="Q580" s="103"/>
    </row>
    <row r="581" spans="2:17" ht="18.600000000000001" thickBot="1">
      <c r="B581" s="1049" t="s">
        <v>950</v>
      </c>
      <c r="C581" s="24"/>
      <c r="D581" s="24"/>
      <c r="E581" s="24"/>
      <c r="F581" s="2615"/>
      <c r="G581" s="89">
        <f>G580+G576</f>
        <v>1451163</v>
      </c>
      <c r="H581" s="1142">
        <f>H580+H576</f>
        <v>453421</v>
      </c>
      <c r="I581" s="103"/>
      <c r="J581" s="103"/>
      <c r="K581" s="103"/>
      <c r="L581" s="103"/>
      <c r="M581" s="103"/>
      <c r="N581" s="103"/>
      <c r="O581" s="103"/>
      <c r="P581" s="103"/>
      <c r="Q581" s="103"/>
    </row>
    <row r="582" spans="2:17" ht="18.600000000000001" thickTop="1">
      <c r="B582" s="1049"/>
      <c r="C582" s="24"/>
      <c r="D582" s="24"/>
      <c r="E582" s="24"/>
      <c r="F582" s="2615"/>
      <c r="G582" s="10"/>
      <c r="H582" s="1013"/>
      <c r="I582" s="103"/>
      <c r="J582" s="103"/>
      <c r="K582" s="103"/>
      <c r="L582" s="103"/>
      <c r="M582" s="103"/>
      <c r="N582" s="103"/>
      <c r="O582" s="103"/>
      <c r="P582" s="103"/>
      <c r="Q582" s="103"/>
    </row>
    <row r="583" spans="2:17" ht="18">
      <c r="B583" s="1114" t="s">
        <v>2659</v>
      </c>
      <c r="C583" s="24"/>
      <c r="D583" s="24"/>
      <c r="E583" s="24"/>
      <c r="F583" s="2615"/>
      <c r="G583" s="10"/>
      <c r="H583" s="1013"/>
      <c r="I583" s="103"/>
      <c r="J583" s="103"/>
      <c r="K583" s="103"/>
      <c r="L583" s="103"/>
      <c r="M583" s="103"/>
      <c r="N583" s="103"/>
      <c r="O583" s="103"/>
      <c r="P583" s="103"/>
      <c r="Q583" s="103"/>
    </row>
    <row r="584" spans="2:17" ht="18">
      <c r="B584" s="1063" t="s">
        <v>951</v>
      </c>
      <c r="C584" s="24"/>
      <c r="D584" s="24"/>
      <c r="E584" s="24"/>
      <c r="F584" s="2615"/>
      <c r="G584" s="8">
        <f>+G101</f>
        <v>-51111376.259682491</v>
      </c>
      <c r="H584" s="1011">
        <f>+H101</f>
        <v>-37729676.113122702</v>
      </c>
      <c r="I584" s="1997"/>
      <c r="J584" s="1997"/>
      <c r="K584" s="1997"/>
      <c r="L584" s="1997"/>
      <c r="M584" s="1997"/>
      <c r="N584" s="1997"/>
      <c r="O584" s="1997"/>
      <c r="P584" s="1997"/>
      <c r="Q584" s="1997"/>
    </row>
    <row r="585" spans="2:17" ht="18">
      <c r="B585" s="2291" t="s">
        <v>952</v>
      </c>
      <c r="C585" s="2292"/>
      <c r="D585" s="2292"/>
      <c r="E585" s="2292"/>
      <c r="F585" s="2306"/>
      <c r="G585" s="8">
        <f>+G332</f>
        <v>2692265</v>
      </c>
      <c r="H585" s="1011">
        <f>+H332</f>
        <v>2692265</v>
      </c>
      <c r="I585" s="1997"/>
      <c r="J585" s="1997"/>
      <c r="K585" s="1997"/>
      <c r="L585" s="1997"/>
      <c r="M585" s="1997"/>
      <c r="N585" s="1997"/>
      <c r="O585" s="1997"/>
      <c r="P585" s="1997"/>
      <c r="Q585" s="1997"/>
    </row>
    <row r="586" spans="2:17" ht="18">
      <c r="B586" s="1063" t="s">
        <v>953</v>
      </c>
      <c r="C586" s="24"/>
      <c r="D586" s="24"/>
      <c r="E586" s="24"/>
      <c r="F586" s="90"/>
      <c r="G586" s="91">
        <f>+G584/G585</f>
        <v>-18.984526508230985</v>
      </c>
      <c r="H586" s="1143">
        <f>+H584/H585</f>
        <v>-14.014101922776065</v>
      </c>
      <c r="I586" s="2018"/>
      <c r="J586" s="2018"/>
      <c r="K586" s="2018"/>
      <c r="L586" s="2018"/>
      <c r="M586" s="2018"/>
      <c r="N586" s="2018"/>
      <c r="O586" s="2018"/>
      <c r="P586" s="2018"/>
      <c r="Q586" s="2018"/>
    </row>
    <row r="587" spans="2:17" ht="18">
      <c r="B587" s="1063" t="s">
        <v>954</v>
      </c>
      <c r="C587" s="24"/>
      <c r="D587" s="24"/>
      <c r="E587" s="24"/>
      <c r="F587" s="92"/>
      <c r="G587" s="91">
        <f>+G584/G585</f>
        <v>-18.984526508230985</v>
      </c>
      <c r="H587" s="1143">
        <f>+H584/H585</f>
        <v>-14.014101922776065</v>
      </c>
      <c r="I587" s="2018"/>
      <c r="J587" s="2018"/>
      <c r="K587" s="2018"/>
      <c r="L587" s="2018"/>
      <c r="M587" s="2018"/>
      <c r="N587" s="2018"/>
      <c r="O587" s="2018"/>
      <c r="P587" s="2018"/>
      <c r="Q587" s="2018"/>
    </row>
    <row r="588" spans="2:17" ht="18.600000000000001" thickBot="1">
      <c r="B588" s="999"/>
      <c r="C588" s="1000"/>
      <c r="D588" s="1000"/>
      <c r="E588" s="1000"/>
      <c r="F588" s="1301"/>
      <c r="G588" s="1279"/>
      <c r="H588" s="1280"/>
      <c r="I588" s="2018"/>
      <c r="J588" s="2018"/>
      <c r="K588" s="2018"/>
      <c r="L588" s="2018"/>
      <c r="M588" s="2018"/>
      <c r="N588" s="2018"/>
      <c r="O588" s="2018"/>
      <c r="P588" s="2018"/>
      <c r="Q588" s="2018"/>
    </row>
    <row r="589" spans="2:17" ht="18">
      <c r="B589" s="2789" t="s">
        <v>702</v>
      </c>
      <c r="C589" s="2790"/>
      <c r="D589" s="2790"/>
      <c r="E589" s="2790"/>
      <c r="F589" s="2790"/>
      <c r="G589" s="2790"/>
      <c r="H589" s="2791"/>
      <c r="I589" s="2709"/>
      <c r="J589" s="2709"/>
      <c r="K589" s="2709"/>
      <c r="L589" s="2709"/>
      <c r="M589" s="2709"/>
      <c r="N589" s="2709"/>
      <c r="O589" s="2709"/>
      <c r="P589" s="2709"/>
      <c r="Q589" s="2709"/>
    </row>
    <row r="590" spans="2:17" ht="18">
      <c r="B590" s="2792" t="s">
        <v>2117</v>
      </c>
      <c r="C590" s="2793"/>
      <c r="D590" s="2793"/>
      <c r="E590" s="2793"/>
      <c r="F590" s="2793"/>
      <c r="G590" s="2793"/>
      <c r="H590" s="2794"/>
      <c r="I590" s="2709"/>
      <c r="J590" s="2709"/>
      <c r="K590" s="2709"/>
      <c r="L590" s="2709"/>
      <c r="M590" s="2709"/>
      <c r="N590" s="2709"/>
      <c r="O590" s="2709"/>
      <c r="P590" s="2709"/>
      <c r="Q590" s="2709"/>
    </row>
    <row r="591" spans="2:17" ht="18">
      <c r="B591" s="2878"/>
      <c r="C591" s="2879"/>
      <c r="D591" s="2879"/>
      <c r="E591" s="2879"/>
      <c r="F591" s="2879"/>
      <c r="G591" s="2879"/>
      <c r="H591" s="2880"/>
      <c r="I591" s="2709"/>
      <c r="J591" s="2709"/>
      <c r="K591" s="2709"/>
      <c r="L591" s="2709"/>
      <c r="M591" s="2709"/>
      <c r="N591" s="2709"/>
      <c r="O591" s="2709"/>
      <c r="P591" s="2709"/>
      <c r="Q591" s="2709"/>
    </row>
    <row r="592" spans="2:17" ht="18">
      <c r="B592" s="2690" t="s">
        <v>0</v>
      </c>
      <c r="C592" s="1054"/>
      <c r="D592" s="1054"/>
      <c r="E592" s="1054"/>
      <c r="F592" s="2650"/>
      <c r="G592" s="1004" t="s">
        <v>704</v>
      </c>
      <c r="H592" s="1005" t="s">
        <v>704</v>
      </c>
      <c r="I592" s="1996"/>
      <c r="J592" s="1996"/>
      <c r="K592" s="1996"/>
      <c r="L592" s="1996"/>
      <c r="M592" s="1996"/>
      <c r="N592" s="1996"/>
      <c r="O592" s="1996"/>
      <c r="P592" s="1996"/>
      <c r="Q592" s="1996"/>
    </row>
    <row r="593" spans="2:17" ht="18">
      <c r="B593" s="1036"/>
      <c r="C593" s="44"/>
      <c r="D593" s="44"/>
      <c r="E593" s="44"/>
      <c r="F593" s="2651"/>
      <c r="G593" s="30" t="str">
        <f>+G6</f>
        <v>March 31, 2024 (₹)</v>
      </c>
      <c r="H593" s="1038" t="str">
        <f>+H6</f>
        <v>March 31, 2023 (₹)</v>
      </c>
      <c r="I593" s="1996"/>
      <c r="J593" s="1996"/>
      <c r="K593" s="1996"/>
      <c r="L593" s="1996"/>
      <c r="M593" s="1996"/>
      <c r="N593" s="1996"/>
      <c r="O593" s="1996"/>
      <c r="P593" s="1996"/>
      <c r="Q593" s="1996"/>
    </row>
    <row r="594" spans="2:17" ht="18">
      <c r="B594" s="1049"/>
      <c r="C594" s="24"/>
      <c r="D594" s="24"/>
      <c r="E594" s="24"/>
      <c r="F594" s="2615"/>
      <c r="G594" s="1298"/>
      <c r="H594" s="1299"/>
      <c r="I594" s="2018"/>
      <c r="J594" s="2018"/>
      <c r="K594" s="2018"/>
      <c r="L594" s="2018"/>
      <c r="M594" s="2018"/>
      <c r="N594" s="2018"/>
      <c r="O594" s="2018"/>
      <c r="P594" s="2018"/>
      <c r="Q594" s="2018"/>
    </row>
    <row r="595" spans="2:17" ht="18">
      <c r="B595" s="1114" t="s">
        <v>2660</v>
      </c>
      <c r="C595" s="24"/>
      <c r="D595" s="24"/>
      <c r="E595" s="24"/>
      <c r="F595" s="2615"/>
      <c r="G595" s="22"/>
      <c r="H595" s="1032"/>
      <c r="I595" s="21"/>
      <c r="J595" s="21"/>
      <c r="K595" s="21"/>
      <c r="L595" s="21"/>
      <c r="M595" s="21"/>
      <c r="N595" s="21"/>
      <c r="O595" s="21"/>
      <c r="P595" s="21"/>
      <c r="Q595" s="21"/>
    </row>
    <row r="596" spans="2:17" ht="18">
      <c r="B596" s="1049"/>
      <c r="C596" s="24"/>
      <c r="D596" s="24"/>
      <c r="E596" s="24"/>
      <c r="F596" s="2615"/>
      <c r="G596" s="22"/>
      <c r="H596" s="1032"/>
      <c r="I596" s="21"/>
      <c r="J596" s="21"/>
      <c r="K596" s="21"/>
      <c r="L596" s="21"/>
      <c r="M596" s="21"/>
      <c r="N596" s="21"/>
      <c r="O596" s="21"/>
      <c r="P596" s="21"/>
      <c r="Q596" s="21"/>
    </row>
    <row r="597" spans="2:17" ht="18">
      <c r="B597" s="1049" t="s">
        <v>955</v>
      </c>
      <c r="C597" s="24"/>
      <c r="D597" s="24"/>
      <c r="E597" s="24"/>
      <c r="F597" s="2615"/>
      <c r="G597" s="22"/>
      <c r="H597" s="1032"/>
      <c r="I597" s="21"/>
      <c r="J597" s="21"/>
      <c r="K597" s="21"/>
      <c r="L597" s="21"/>
      <c r="M597" s="21"/>
      <c r="N597" s="21"/>
      <c r="O597" s="21"/>
      <c r="P597" s="21"/>
      <c r="Q597" s="21"/>
    </row>
    <row r="598" spans="2:17" ht="18">
      <c r="B598" s="1063" t="s">
        <v>956</v>
      </c>
      <c r="C598" s="24"/>
      <c r="D598" s="24"/>
      <c r="E598" s="24"/>
      <c r="F598" s="2615"/>
      <c r="G598" s="22">
        <f>+GETPIVOTDATA("Sum of Dr. Final 23-24",Pivot!$A$1,"PARTICULARS","Import Waste Paper Purchase","Note",23,"BS Main Head","Raw Material Consumed","BS Sub Head","Raw Material Purchase")</f>
        <v>81135916.489999995</v>
      </c>
      <c r="H598" s="1032">
        <v>253815527</v>
      </c>
      <c r="I598" s="21"/>
      <c r="J598" s="21"/>
      <c r="K598" s="21"/>
      <c r="L598" s="21"/>
      <c r="M598" s="21"/>
      <c r="N598" s="21"/>
      <c r="O598" s="21"/>
      <c r="P598" s="21"/>
      <c r="Q598" s="21"/>
    </row>
    <row r="599" spans="2:17" ht="18">
      <c r="B599" s="1063" t="s">
        <v>957</v>
      </c>
      <c r="C599" s="24"/>
      <c r="D599" s="24"/>
      <c r="E599" s="24"/>
      <c r="F599" s="2615"/>
      <c r="G599" s="22">
        <v>0</v>
      </c>
      <c r="H599" s="1032">
        <v>0</v>
      </c>
      <c r="I599" s="21"/>
      <c r="J599" s="21"/>
      <c r="K599" s="21"/>
      <c r="L599" s="21"/>
      <c r="M599" s="21"/>
      <c r="N599" s="21"/>
      <c r="O599" s="21"/>
      <c r="P599" s="21"/>
      <c r="Q599" s="21"/>
    </row>
    <row r="600" spans="2:17" ht="18">
      <c r="B600" s="1063" t="s">
        <v>958</v>
      </c>
      <c r="C600" s="24"/>
      <c r="D600" s="24"/>
      <c r="E600" s="24"/>
      <c r="F600" s="2615"/>
      <c r="G600" s="22">
        <v>0</v>
      </c>
      <c r="H600" s="1032">
        <v>626391</v>
      </c>
      <c r="I600" s="21"/>
      <c r="J600" s="21"/>
      <c r="K600" s="21"/>
      <c r="L600" s="21"/>
      <c r="M600" s="21"/>
      <c r="N600" s="21"/>
      <c r="O600" s="21"/>
      <c r="P600" s="21"/>
      <c r="Q600" s="21"/>
    </row>
    <row r="601" spans="2:17" ht="18">
      <c r="B601" s="1049"/>
      <c r="C601" s="24"/>
      <c r="D601" s="24"/>
      <c r="E601" s="24"/>
      <c r="F601" s="2615"/>
      <c r="G601" s="22"/>
      <c r="H601" s="1032"/>
      <c r="I601" s="21"/>
      <c r="J601" s="21"/>
      <c r="K601" s="21"/>
      <c r="L601" s="21"/>
      <c r="M601" s="21"/>
      <c r="N601" s="21"/>
      <c r="O601" s="21"/>
      <c r="P601" s="21"/>
      <c r="Q601" s="21"/>
    </row>
    <row r="602" spans="2:17" ht="18">
      <c r="B602" s="1049" t="s">
        <v>959</v>
      </c>
      <c r="C602" s="24"/>
      <c r="D602" s="24"/>
      <c r="E602" s="24"/>
      <c r="F602" s="2615"/>
      <c r="G602" s="22"/>
      <c r="H602" s="1032"/>
      <c r="I602" s="21"/>
      <c r="J602" s="21"/>
      <c r="K602" s="21"/>
      <c r="L602" s="21"/>
      <c r="M602" s="21"/>
      <c r="N602" s="21"/>
      <c r="O602" s="21"/>
      <c r="P602" s="21"/>
      <c r="Q602" s="21"/>
    </row>
    <row r="603" spans="2:17" ht="18">
      <c r="B603" s="1049" t="s">
        <v>960</v>
      </c>
      <c r="C603" s="24"/>
      <c r="D603" s="24"/>
      <c r="E603" s="24"/>
      <c r="F603" s="2615"/>
      <c r="G603" s="22"/>
      <c r="H603" s="1032"/>
      <c r="I603" s="21"/>
      <c r="J603" s="21"/>
      <c r="K603" s="21"/>
      <c r="L603" s="21"/>
      <c r="M603" s="21"/>
      <c r="N603" s="21"/>
      <c r="O603" s="21"/>
      <c r="P603" s="21"/>
      <c r="Q603" s="21"/>
    </row>
    <row r="604" spans="2:17" ht="18">
      <c r="B604" s="1063" t="s">
        <v>961</v>
      </c>
      <c r="C604" s="24"/>
      <c r="D604" s="24"/>
      <c r="E604" s="24"/>
      <c r="F604" s="2615"/>
      <c r="G604" s="22">
        <f>+'CLOSING STOCK 31-03-24'!P20</f>
        <v>8397838</v>
      </c>
      <c r="H604" s="1032">
        <v>33334557.8336384</v>
      </c>
      <c r="I604" s="21"/>
      <c r="J604" s="21"/>
      <c r="K604" s="21"/>
      <c r="L604" s="21"/>
      <c r="M604" s="21"/>
      <c r="N604" s="21"/>
      <c r="O604" s="21"/>
      <c r="P604" s="21"/>
      <c r="Q604" s="21"/>
    </row>
    <row r="605" spans="2:17" ht="18">
      <c r="B605" s="1063" t="s">
        <v>962</v>
      </c>
      <c r="C605" s="24"/>
      <c r="D605" s="24"/>
      <c r="E605" s="24"/>
      <c r="F605" s="2615"/>
      <c r="G605" s="22">
        <f>+'CLOSING STOCK 31-03-24'!P24</f>
        <v>3529969</v>
      </c>
      <c r="H605" s="1032">
        <v>1216175</v>
      </c>
      <c r="I605" s="21"/>
      <c r="J605" s="21"/>
      <c r="K605" s="21"/>
      <c r="L605" s="21"/>
      <c r="M605" s="21"/>
      <c r="N605" s="21"/>
      <c r="O605" s="21"/>
      <c r="P605" s="21"/>
      <c r="Q605" s="21"/>
    </row>
    <row r="606" spans="2:17" ht="18">
      <c r="B606" s="1049"/>
      <c r="C606" s="24"/>
      <c r="D606" s="24"/>
      <c r="E606" s="24"/>
      <c r="F606" s="2615"/>
      <c r="G606" s="22"/>
      <c r="H606" s="1032"/>
      <c r="I606" s="21"/>
      <c r="J606" s="21"/>
      <c r="K606" s="21"/>
      <c r="L606" s="21"/>
      <c r="M606" s="21"/>
      <c r="N606" s="21"/>
      <c r="O606" s="21"/>
      <c r="P606" s="21"/>
      <c r="Q606" s="21"/>
    </row>
    <row r="607" spans="2:17" ht="18">
      <c r="B607" s="1049" t="s">
        <v>963</v>
      </c>
      <c r="C607" s="24"/>
      <c r="D607" s="24"/>
      <c r="E607" s="24"/>
      <c r="F607" s="2615"/>
      <c r="G607" s="22"/>
      <c r="H607" s="1032"/>
      <c r="I607" s="21"/>
      <c r="J607" s="21"/>
      <c r="K607" s="21"/>
      <c r="L607" s="21"/>
      <c r="M607" s="21"/>
      <c r="N607" s="21"/>
      <c r="O607" s="21"/>
      <c r="P607" s="21"/>
      <c r="Q607" s="21"/>
    </row>
    <row r="608" spans="2:17" ht="18">
      <c r="B608" s="1063" t="s">
        <v>964</v>
      </c>
      <c r="C608" s="24"/>
      <c r="D608" s="24"/>
      <c r="E608" s="24"/>
      <c r="F608" s="2615"/>
      <c r="G608" s="22">
        <f>+'CLOSING STOCK 31-03-24'!P32</f>
        <v>3887585</v>
      </c>
      <c r="H608" s="1032">
        <v>16465227</v>
      </c>
      <c r="I608" s="21"/>
      <c r="J608" s="21"/>
      <c r="K608" s="21"/>
      <c r="L608" s="21"/>
      <c r="M608" s="21"/>
      <c r="N608" s="21"/>
      <c r="O608" s="21"/>
      <c r="P608" s="21"/>
      <c r="Q608" s="21"/>
    </row>
    <row r="609" spans="2:20" ht="18">
      <c r="B609" s="1049"/>
      <c r="C609" s="24"/>
      <c r="D609" s="24"/>
      <c r="E609" s="24"/>
      <c r="F609" s="2615"/>
      <c r="G609" s="22"/>
      <c r="H609" s="1032"/>
      <c r="I609" s="21"/>
      <c r="J609" s="21"/>
      <c r="K609" s="21"/>
      <c r="L609" s="21"/>
      <c r="M609" s="21"/>
      <c r="N609" s="21"/>
      <c r="O609" s="21"/>
      <c r="P609" s="21"/>
      <c r="Q609" s="21"/>
    </row>
    <row r="610" spans="2:20" ht="18">
      <c r="B610" s="2303" t="s">
        <v>965</v>
      </c>
      <c r="C610" s="2304"/>
      <c r="D610" s="2304"/>
      <c r="E610" s="2304"/>
      <c r="F610" s="2307"/>
      <c r="G610" s="93"/>
      <c r="H610" s="1144"/>
      <c r="I610" s="2019"/>
      <c r="J610" s="2019"/>
      <c r="K610" s="2019"/>
      <c r="L610" s="2019"/>
      <c r="M610" s="2019"/>
      <c r="N610" s="2019"/>
      <c r="O610" s="2019"/>
      <c r="P610" s="2019"/>
      <c r="Q610" s="2019"/>
    </row>
    <row r="611" spans="2:20" ht="18">
      <c r="B611" s="1145" t="s">
        <v>966</v>
      </c>
      <c r="C611" s="94"/>
      <c r="D611" s="94"/>
      <c r="E611" s="94"/>
      <c r="F611" s="95"/>
      <c r="G611" s="93"/>
      <c r="H611" s="1144"/>
      <c r="I611" s="2019"/>
      <c r="J611" s="2019"/>
      <c r="K611" s="2019"/>
      <c r="L611" s="2019"/>
      <c r="M611" s="2019"/>
      <c r="N611" s="2019"/>
      <c r="O611" s="2019"/>
      <c r="P611" s="2019"/>
      <c r="Q611" s="2019"/>
    </row>
    <row r="612" spans="2:20" ht="18">
      <c r="B612" s="1145" t="s">
        <v>967</v>
      </c>
      <c r="C612" s="94"/>
      <c r="D612" s="94"/>
      <c r="E612" s="94"/>
      <c r="F612" s="95"/>
      <c r="G612" s="93"/>
      <c r="H612" s="1144"/>
      <c r="I612" s="2019"/>
      <c r="J612" s="2019"/>
      <c r="K612" s="2019"/>
      <c r="L612" s="2019"/>
      <c r="M612" s="2019"/>
      <c r="N612" s="2019"/>
      <c r="O612" s="2019"/>
      <c r="P612" s="2019"/>
      <c r="Q612" s="2019"/>
    </row>
    <row r="613" spans="2:20" ht="18">
      <c r="B613" s="1141" t="s">
        <v>961</v>
      </c>
      <c r="C613" s="24"/>
      <c r="D613" s="24"/>
      <c r="E613" s="24"/>
      <c r="F613" s="2615"/>
      <c r="G613" s="22"/>
      <c r="H613" s="1032"/>
      <c r="I613" s="21"/>
      <c r="J613" s="21"/>
      <c r="K613" s="21"/>
      <c r="L613" s="21"/>
      <c r="M613" s="21"/>
      <c r="N613" s="21"/>
      <c r="O613" s="21"/>
      <c r="P613" s="21"/>
      <c r="Q613" s="21"/>
      <c r="S613" s="2592" t="s">
        <v>3142</v>
      </c>
    </row>
    <row r="614" spans="2:20" ht="18">
      <c r="B614" s="1063" t="s">
        <v>968</v>
      </c>
      <c r="C614" s="24"/>
      <c r="D614" s="24"/>
      <c r="E614" s="24"/>
      <c r="F614" s="2615"/>
      <c r="G614" s="22">
        <f>+T617</f>
        <v>93543859.489999995</v>
      </c>
      <c r="H614" s="1032">
        <v>254674839</v>
      </c>
      <c r="I614" s="21"/>
      <c r="J614" s="21"/>
      <c r="K614" s="21"/>
      <c r="L614" s="21"/>
      <c r="M614" s="21"/>
      <c r="N614" s="21"/>
      <c r="O614" s="21"/>
      <c r="P614" s="21"/>
      <c r="Q614" s="21"/>
      <c r="S614" s="2592" t="s">
        <v>251</v>
      </c>
      <c r="T614" s="376">
        <f>+'CLOSING STOCK 31-03-24'!F19</f>
        <v>18377393</v>
      </c>
    </row>
    <row r="615" spans="2:20" ht="18">
      <c r="B615" s="1063" t="s">
        <v>969</v>
      </c>
      <c r="C615" s="24"/>
      <c r="D615" s="24"/>
      <c r="E615" s="24"/>
      <c r="F615" s="2615"/>
      <c r="G615" s="96">
        <f>+G614/(G614+G624)</f>
        <v>0.27995070141905476</v>
      </c>
      <c r="H615" s="1146">
        <f>+H614/(H614+H624)</f>
        <v>0.33546893070860256</v>
      </c>
      <c r="I615" s="2020"/>
      <c r="J615" s="2020"/>
      <c r="K615" s="2020"/>
      <c r="L615" s="2020"/>
      <c r="M615" s="2020"/>
      <c r="N615" s="2020"/>
      <c r="O615" s="2020"/>
      <c r="P615" s="2020"/>
      <c r="Q615" s="2020"/>
      <c r="S615" s="2592" t="s">
        <v>3143</v>
      </c>
      <c r="T615" s="376">
        <f>+G598</f>
        <v>81135916.489999995</v>
      </c>
    </row>
    <row r="616" spans="2:20" ht="18">
      <c r="B616" s="1049"/>
      <c r="C616" s="24"/>
      <c r="D616" s="24"/>
      <c r="E616" s="24"/>
      <c r="F616" s="2615"/>
      <c r="G616" s="22"/>
      <c r="H616" s="1032"/>
      <c r="I616" s="21"/>
      <c r="J616" s="21"/>
      <c r="K616" s="21"/>
      <c r="L616" s="21"/>
      <c r="M616" s="21"/>
      <c r="N616" s="21"/>
      <c r="O616" s="21"/>
      <c r="P616" s="21"/>
      <c r="Q616" s="21"/>
      <c r="S616" s="2592" t="s">
        <v>920</v>
      </c>
      <c r="T616" s="376">
        <f>-'CLOSING STOCK 31-03-24'!P18</f>
        <v>-5969450</v>
      </c>
    </row>
    <row r="617" spans="2:20" ht="18">
      <c r="B617" s="1141" t="s">
        <v>958</v>
      </c>
      <c r="C617" s="24"/>
      <c r="D617" s="24"/>
      <c r="E617" s="24"/>
      <c r="F617" s="2615"/>
      <c r="G617" s="22"/>
      <c r="H617" s="1032"/>
      <c r="I617" s="21"/>
      <c r="J617" s="21"/>
      <c r="K617" s="21"/>
      <c r="L617" s="21"/>
      <c r="M617" s="21"/>
      <c r="N617" s="21"/>
      <c r="O617" s="21"/>
      <c r="P617" s="21"/>
      <c r="Q617" s="21"/>
      <c r="T617" s="376">
        <f>SUM(T614:T616)</f>
        <v>93543859.489999995</v>
      </c>
    </row>
    <row r="618" spans="2:20" ht="18">
      <c r="B618" s="1063" t="s">
        <v>968</v>
      </c>
      <c r="C618" s="24"/>
      <c r="D618" s="24"/>
      <c r="E618" s="24"/>
      <c r="F618" s="2615"/>
      <c r="G618" s="22">
        <f>+G600</f>
        <v>0</v>
      </c>
      <c r="H618" s="1032">
        <v>626391</v>
      </c>
      <c r="I618" s="21"/>
      <c r="J618" s="21"/>
      <c r="K618" s="21"/>
      <c r="L618" s="21"/>
      <c r="M618" s="21"/>
      <c r="N618" s="21"/>
      <c r="O618" s="21"/>
      <c r="P618" s="21"/>
      <c r="Q618" s="21"/>
    </row>
    <row r="619" spans="2:20" ht="18">
      <c r="B619" s="1063" t="s">
        <v>969</v>
      </c>
      <c r="C619" s="24"/>
      <c r="D619" s="24"/>
      <c r="E619" s="24"/>
      <c r="F619" s="2615"/>
      <c r="G619" s="96">
        <f>+G618/(G618+G632)</f>
        <v>0</v>
      </c>
      <c r="H619" s="1146">
        <f>+H618/(H618+H632)</f>
        <v>4.5735501367238807E-2</v>
      </c>
      <c r="I619" s="2020"/>
      <c r="J619" s="2020"/>
      <c r="K619" s="2020"/>
      <c r="L619" s="2020"/>
      <c r="M619" s="2020"/>
      <c r="N619" s="2020"/>
      <c r="O619" s="2020"/>
      <c r="P619" s="2020"/>
      <c r="Q619" s="2020"/>
    </row>
    <row r="620" spans="2:20" ht="18">
      <c r="B620" s="1049"/>
      <c r="C620" s="24"/>
      <c r="D620" s="24"/>
      <c r="E620" s="24"/>
      <c r="F620" s="2615"/>
      <c r="G620" s="22"/>
      <c r="H620" s="1032"/>
      <c r="I620" s="21"/>
      <c r="J620" s="21"/>
      <c r="K620" s="21"/>
      <c r="L620" s="21"/>
      <c r="M620" s="21"/>
      <c r="N620" s="21"/>
      <c r="O620" s="21"/>
      <c r="P620" s="21"/>
      <c r="Q620" s="21"/>
    </row>
    <row r="621" spans="2:20" ht="18">
      <c r="B621" s="1145" t="s">
        <v>970</v>
      </c>
      <c r="C621" s="94"/>
      <c r="D621" s="94"/>
      <c r="E621" s="94"/>
      <c r="F621" s="95"/>
      <c r="G621" s="93"/>
      <c r="H621" s="1144"/>
      <c r="I621" s="2019"/>
      <c r="J621" s="2019"/>
      <c r="K621" s="2019"/>
      <c r="L621" s="2019"/>
      <c r="M621" s="2019"/>
      <c r="N621" s="2019"/>
      <c r="O621" s="2019"/>
      <c r="P621" s="2019"/>
      <c r="Q621" s="2019"/>
    </row>
    <row r="622" spans="2:20" ht="18">
      <c r="B622" s="1145" t="s">
        <v>967</v>
      </c>
      <c r="C622" s="94"/>
      <c r="D622" s="94"/>
      <c r="E622" s="94"/>
      <c r="F622" s="95"/>
      <c r="G622" s="93"/>
      <c r="H622" s="1144"/>
      <c r="I622" s="2019"/>
      <c r="J622" s="2019"/>
      <c r="K622" s="2019"/>
      <c r="L622" s="2019"/>
      <c r="M622" s="2019"/>
      <c r="N622" s="2019"/>
      <c r="O622" s="2019"/>
      <c r="P622" s="2019"/>
      <c r="Q622" s="2019"/>
    </row>
    <row r="623" spans="2:20" ht="18">
      <c r="B623" s="1141" t="s">
        <v>961</v>
      </c>
      <c r="C623" s="24"/>
      <c r="D623" s="24"/>
      <c r="E623" s="24"/>
      <c r="F623" s="2615"/>
      <c r="G623" s="22"/>
      <c r="H623" s="1032"/>
      <c r="I623" s="21"/>
      <c r="J623" s="21"/>
      <c r="K623" s="21"/>
      <c r="L623" s="21"/>
      <c r="M623" s="21"/>
      <c r="N623" s="21"/>
      <c r="O623" s="21"/>
      <c r="P623" s="21"/>
      <c r="Q623" s="21"/>
    </row>
    <row r="624" spans="2:20" ht="18">
      <c r="B624" s="1063" t="s">
        <v>968</v>
      </c>
      <c r="C624" s="24"/>
      <c r="D624" s="24"/>
      <c r="E624" s="24"/>
      <c r="F624" s="2615"/>
      <c r="G624" s="22">
        <f>+T628</f>
        <v>240600184.5</v>
      </c>
      <c r="H624" s="1032">
        <v>504485893</v>
      </c>
      <c r="I624" s="21"/>
      <c r="J624" s="21"/>
      <c r="K624" s="21"/>
      <c r="L624" s="21"/>
      <c r="M624" s="21"/>
      <c r="N624" s="21"/>
      <c r="O624" s="21"/>
      <c r="P624" s="21"/>
      <c r="Q624" s="21"/>
      <c r="S624" s="2592" t="s">
        <v>3144</v>
      </c>
    </row>
    <row r="625" spans="2:20" ht="18">
      <c r="B625" s="1063" t="s">
        <v>969</v>
      </c>
      <c r="C625" s="24"/>
      <c r="D625" s="24"/>
      <c r="E625" s="24"/>
      <c r="F625" s="2615"/>
      <c r="G625" s="96">
        <f>+G624/(G614+G624)</f>
        <v>0.72004929858094524</v>
      </c>
      <c r="H625" s="1146">
        <f>+H624/(H614+H624)</f>
        <v>0.66453106929139749</v>
      </c>
      <c r="I625" s="2020"/>
      <c r="J625" s="2020"/>
      <c r="K625" s="2020"/>
      <c r="L625" s="2020"/>
      <c r="M625" s="2020"/>
      <c r="N625" s="2020"/>
      <c r="O625" s="2020"/>
      <c r="P625" s="2020"/>
      <c r="Q625" s="2020"/>
      <c r="S625" s="2592" t="s">
        <v>251</v>
      </c>
      <c r="T625" s="376">
        <f>+'CLOSING STOCK 31-03-24'!F11</f>
        <v>1738506</v>
      </c>
    </row>
    <row r="626" spans="2:20" ht="18">
      <c r="B626" s="1049"/>
      <c r="C626" s="24"/>
      <c r="D626" s="24"/>
      <c r="E626" s="24"/>
      <c r="F626" s="2615"/>
      <c r="G626" s="22"/>
      <c r="H626" s="1032"/>
      <c r="I626" s="21"/>
      <c r="J626" s="21"/>
      <c r="K626" s="21"/>
      <c r="L626" s="21"/>
      <c r="M626" s="21"/>
      <c r="N626" s="21"/>
      <c r="O626" s="21"/>
      <c r="P626" s="21"/>
      <c r="Q626" s="21"/>
      <c r="S626" s="2592" t="s">
        <v>3143</v>
      </c>
      <c r="T626" s="376">
        <f>+GETPIVOTDATA("Sum of Dr. Final 23-24",Pivot!$A$1,"PARTICULARS","Waste Paper Purchase","Note",23,"BS Main Head","Raw Material Consumed","BS Sub Head","Raw Material Purchase")+GETPIVOTDATA("Sum of Dr. Final 23-24",Pivot!$A$1,"PARTICULARS","URD Purchase  on Waste Paper","Note",23,"BS Main Head","Raw Material Consumed","BS Sub Head","Raw Material Purchase")</f>
        <v>241290066.5</v>
      </c>
    </row>
    <row r="627" spans="2:20" ht="18">
      <c r="B627" s="1141" t="s">
        <v>962</v>
      </c>
      <c r="C627" s="24"/>
      <c r="D627" s="24"/>
      <c r="E627" s="24"/>
      <c r="F627" s="2615"/>
      <c r="G627" s="22"/>
      <c r="H627" s="1032"/>
      <c r="I627" s="21"/>
      <c r="J627" s="21"/>
      <c r="K627" s="21"/>
      <c r="L627" s="21"/>
      <c r="M627" s="21"/>
      <c r="N627" s="21"/>
      <c r="O627" s="21"/>
      <c r="P627" s="21"/>
      <c r="Q627" s="21"/>
      <c r="S627" s="2592" t="s">
        <v>920</v>
      </c>
      <c r="T627" s="376">
        <f>-'CLOSING STOCK 31-03-24'!P11</f>
        <v>-2428388</v>
      </c>
    </row>
    <row r="628" spans="2:20" ht="18">
      <c r="B628" s="1063" t="s">
        <v>968</v>
      </c>
      <c r="C628" s="24"/>
      <c r="D628" s="24"/>
      <c r="E628" s="24"/>
      <c r="F628" s="2615"/>
      <c r="G628" s="8">
        <f>+T634</f>
        <v>37737996.5</v>
      </c>
      <c r="H628" s="1011">
        <v>53861149</v>
      </c>
      <c r="I628" s="1997"/>
      <c r="J628" s="1997"/>
      <c r="K628" s="1997"/>
      <c r="L628" s="1997"/>
      <c r="M628" s="1997"/>
      <c r="N628" s="1997"/>
      <c r="O628" s="1997"/>
      <c r="P628" s="1997"/>
      <c r="Q628" s="1997"/>
      <c r="T628" s="376">
        <f>SUM(T625:T627)</f>
        <v>240600184.5</v>
      </c>
    </row>
    <row r="629" spans="2:20" ht="18">
      <c r="B629" s="1063" t="s">
        <v>969</v>
      </c>
      <c r="C629" s="24"/>
      <c r="D629" s="24"/>
      <c r="E629" s="24"/>
      <c r="F629" s="2615"/>
      <c r="G629" s="96">
        <v>1</v>
      </c>
      <c r="H629" s="1146">
        <v>1</v>
      </c>
      <c r="I629" s="2020"/>
      <c r="J629" s="2020"/>
      <c r="K629" s="2020"/>
      <c r="L629" s="2020"/>
      <c r="M629" s="2020"/>
      <c r="N629" s="2020"/>
      <c r="O629" s="2020"/>
      <c r="P629" s="2020"/>
      <c r="Q629" s="2020"/>
    </row>
    <row r="630" spans="2:20" ht="18">
      <c r="B630" s="1049"/>
      <c r="C630" s="24"/>
      <c r="D630" s="24"/>
      <c r="E630" s="24"/>
      <c r="F630" s="2615"/>
      <c r="G630" s="22"/>
      <c r="H630" s="1032"/>
      <c r="I630" s="21"/>
      <c r="J630" s="21"/>
      <c r="K630" s="21"/>
      <c r="L630" s="21"/>
      <c r="M630" s="21"/>
      <c r="N630" s="21"/>
      <c r="O630" s="21"/>
      <c r="P630" s="21"/>
      <c r="Q630" s="21"/>
      <c r="S630" s="2592" t="s">
        <v>962</v>
      </c>
    </row>
    <row r="631" spans="2:20" ht="18">
      <c r="B631" s="1141" t="s">
        <v>958</v>
      </c>
      <c r="C631" s="24"/>
      <c r="D631" s="24"/>
      <c r="E631" s="24"/>
      <c r="F631" s="2615"/>
      <c r="G631" s="22"/>
      <c r="H631" s="1032"/>
      <c r="I631" s="21"/>
      <c r="J631" s="21"/>
      <c r="K631" s="21"/>
      <c r="L631" s="21"/>
      <c r="M631" s="21"/>
      <c r="N631" s="21"/>
      <c r="O631" s="21"/>
      <c r="P631" s="21"/>
      <c r="Q631" s="21"/>
      <c r="S631" s="2592" t="s">
        <v>251</v>
      </c>
      <c r="T631" s="376">
        <f>+'CLOSING STOCK 31-03-24'!F24</f>
        <v>1216175</v>
      </c>
    </row>
    <row r="632" spans="2:20" ht="18">
      <c r="B632" s="1063" t="s">
        <v>968</v>
      </c>
      <c r="C632" s="24"/>
      <c r="D632" s="24"/>
      <c r="E632" s="24"/>
      <c r="F632" s="2615"/>
      <c r="G632" s="8">
        <f>+G526</f>
        <v>11539309.399999999</v>
      </c>
      <c r="H632" s="1011">
        <v>13069555.939999998</v>
      </c>
      <c r="I632" s="1997"/>
      <c r="J632" s="1997"/>
      <c r="K632" s="1997"/>
      <c r="L632" s="1997"/>
      <c r="M632" s="1997"/>
      <c r="N632" s="1997"/>
      <c r="O632" s="1997"/>
      <c r="P632" s="1997"/>
      <c r="Q632" s="1997"/>
      <c r="S632" s="2592" t="s">
        <v>3143</v>
      </c>
      <c r="T632" s="376">
        <f>+GETPIVOTDATA("Sum of Dr. Final 23-24",Pivot!$A$1,"PARTICULARS","Chemical Purchase","Note",23,"BS Main Head","Raw Material Consumed","BS Sub Head","Raw Material Purchase")+GETPIVOTDATA("Sum of Dr. Final 23-24",Pivot!$A$1,"PARTICULARS","Purchase Expenses : Chemical","Note",23,"BS Main Head","Raw Material Consumed","BS Sub Head","Raw Material Purchase")+GETPIVOTDATA("Sum of Dr. Final 23-24",Pivot!$A$1,"PARTICULARS","Other Charges : Chemical","Note",23,"BS Main Head","Raw Material Consumed","BS Sub Head","Raw Material Purchase")</f>
        <v>40051790.5</v>
      </c>
    </row>
    <row r="633" spans="2:20" ht="18">
      <c r="B633" s="1063" t="s">
        <v>969</v>
      </c>
      <c r="C633" s="24"/>
      <c r="D633" s="24"/>
      <c r="E633" s="24"/>
      <c r="F633" s="2615"/>
      <c r="G633" s="96">
        <f>+G632/(G632+G618)</f>
        <v>1</v>
      </c>
      <c r="H633" s="1146">
        <f>+H632/(H632+H618)</f>
        <v>0.95426449863276119</v>
      </c>
      <c r="I633" s="2020"/>
      <c r="J633" s="2020"/>
      <c r="K633" s="2020"/>
      <c r="L633" s="2020"/>
      <c r="M633" s="2020"/>
      <c r="N633" s="2020"/>
      <c r="O633" s="2020"/>
      <c r="P633" s="2020"/>
      <c r="Q633" s="2020"/>
      <c r="S633" s="2592" t="s">
        <v>920</v>
      </c>
      <c r="T633" s="376">
        <f>-'CLOSING STOCK 31-03-24'!P24</f>
        <v>-3529969</v>
      </c>
    </row>
    <row r="634" spans="2:20" ht="18">
      <c r="B634" s="1049"/>
      <c r="C634" s="24"/>
      <c r="D634" s="24"/>
      <c r="E634" s="24"/>
      <c r="F634" s="2615"/>
      <c r="G634" s="22"/>
      <c r="H634" s="1032"/>
      <c r="I634" s="21"/>
      <c r="J634" s="21"/>
      <c r="K634" s="21"/>
      <c r="L634" s="21"/>
      <c r="M634" s="21"/>
      <c r="N634" s="21"/>
      <c r="O634" s="21"/>
      <c r="P634" s="21"/>
      <c r="Q634" s="21"/>
      <c r="T634" s="376">
        <f>SUM(T631:T633)</f>
        <v>37737996.5</v>
      </c>
    </row>
    <row r="635" spans="2:20" ht="18">
      <c r="B635" s="1049" t="s">
        <v>971</v>
      </c>
      <c r="C635" s="24"/>
      <c r="D635" s="24"/>
      <c r="E635" s="24"/>
      <c r="F635" s="2615"/>
      <c r="G635" s="22"/>
      <c r="H635" s="1032"/>
      <c r="I635" s="21"/>
      <c r="J635" s="21"/>
      <c r="K635" s="21"/>
      <c r="L635" s="21"/>
      <c r="M635" s="21"/>
      <c r="N635" s="21"/>
      <c r="O635" s="21"/>
      <c r="P635" s="21"/>
      <c r="Q635" s="21"/>
    </row>
    <row r="636" spans="2:20" ht="18">
      <c r="B636" s="1049" t="s">
        <v>964</v>
      </c>
      <c r="C636" s="24"/>
      <c r="D636" s="24"/>
      <c r="E636" s="24"/>
      <c r="F636" s="2615"/>
      <c r="G636" s="22"/>
      <c r="H636" s="1032"/>
      <c r="I636" s="21"/>
      <c r="J636" s="21"/>
      <c r="K636" s="21"/>
      <c r="L636" s="21"/>
      <c r="M636" s="21"/>
      <c r="N636" s="21"/>
      <c r="O636" s="21"/>
      <c r="P636" s="21"/>
      <c r="Q636" s="21"/>
    </row>
    <row r="637" spans="2:20" ht="18">
      <c r="B637" s="1141" t="s">
        <v>972</v>
      </c>
      <c r="C637" s="24"/>
      <c r="D637" s="24"/>
      <c r="E637" s="24"/>
      <c r="F637" s="2615"/>
      <c r="G637" s="22"/>
      <c r="H637" s="1032"/>
      <c r="I637" s="21"/>
      <c r="J637" s="21"/>
      <c r="K637" s="21"/>
      <c r="L637" s="21"/>
      <c r="M637" s="21"/>
      <c r="N637" s="21"/>
      <c r="O637" s="21"/>
      <c r="P637" s="21"/>
      <c r="Q637" s="21"/>
    </row>
    <row r="638" spans="2:20" ht="18">
      <c r="B638" s="1063" t="s">
        <v>964</v>
      </c>
      <c r="C638" s="24"/>
      <c r="D638" s="24"/>
      <c r="E638" s="24"/>
      <c r="F638" s="2615"/>
      <c r="G638" s="8">
        <f>+G483</f>
        <v>579738206.39999998</v>
      </c>
      <c r="H638" s="1011">
        <v>1052317702.4200001</v>
      </c>
      <c r="I638" s="1997"/>
      <c r="J638" s="1997"/>
      <c r="K638" s="1997"/>
      <c r="L638" s="1997"/>
      <c r="M638" s="1997"/>
      <c r="N638" s="1997"/>
      <c r="O638" s="1997"/>
      <c r="P638" s="1997"/>
      <c r="Q638" s="1997"/>
    </row>
    <row r="639" spans="2:20" ht="18.600000000000001" thickBot="1">
      <c r="B639" s="1200"/>
      <c r="C639" s="1000"/>
      <c r="D639" s="1000"/>
      <c r="E639" s="1000"/>
      <c r="F639" s="2881"/>
      <c r="G639" s="1202"/>
      <c r="H639" s="1197"/>
      <c r="I639" s="21"/>
      <c r="J639" s="21"/>
      <c r="K639" s="21"/>
      <c r="L639" s="21"/>
      <c r="M639" s="21"/>
      <c r="N639" s="21"/>
      <c r="O639" s="21"/>
      <c r="P639" s="21"/>
      <c r="Q639" s="21"/>
    </row>
    <row r="640" spans="2:20" ht="18">
      <c r="B640" s="2274" t="s">
        <v>702</v>
      </c>
      <c r="C640" s="2275"/>
      <c r="D640" s="2275"/>
      <c r="E640" s="2275"/>
      <c r="F640" s="2275"/>
      <c r="G640" s="2275"/>
      <c r="H640" s="2276"/>
      <c r="I640" s="1879"/>
      <c r="J640" s="1879"/>
      <c r="K640" s="1879"/>
      <c r="L640" s="1879"/>
      <c r="M640" s="1879"/>
      <c r="N640" s="1879"/>
      <c r="O640" s="1879"/>
      <c r="P640" s="1879"/>
      <c r="Q640" s="1879"/>
    </row>
    <row r="641" spans="2:17" ht="18">
      <c r="B641" s="2251" t="s">
        <v>2117</v>
      </c>
      <c r="C641" s="2252"/>
      <c r="D641" s="2252"/>
      <c r="E641" s="2252"/>
      <c r="F641" s="2252"/>
      <c r="G641" s="2252"/>
      <c r="H641" s="2253"/>
      <c r="I641" s="1879"/>
      <c r="J641" s="1879"/>
      <c r="K641" s="1879"/>
      <c r="L641" s="1879"/>
      <c r="M641" s="1879"/>
      <c r="N641" s="1879"/>
      <c r="O641" s="1879"/>
      <c r="P641" s="1879"/>
      <c r="Q641" s="1879"/>
    </row>
    <row r="642" spans="2:17" ht="18">
      <c r="B642" s="2639"/>
      <c r="C642" s="24"/>
      <c r="D642" s="24"/>
      <c r="E642" s="24"/>
      <c r="F642" s="80"/>
      <c r="G642" s="1004" t="s">
        <v>756</v>
      </c>
      <c r="H642" s="1005" t="s">
        <v>756</v>
      </c>
      <c r="I642" s="1996"/>
      <c r="J642" s="1996"/>
      <c r="K642" s="1996"/>
      <c r="L642" s="1996"/>
      <c r="M642" s="1996"/>
      <c r="N642" s="1996"/>
      <c r="O642" s="1996"/>
      <c r="P642" s="1996"/>
      <c r="Q642" s="1996"/>
    </row>
    <row r="643" spans="2:17" ht="18">
      <c r="B643" s="1076" t="s">
        <v>2661</v>
      </c>
      <c r="C643" s="24"/>
      <c r="D643" s="24"/>
      <c r="E643" s="24"/>
      <c r="F643" s="2615"/>
      <c r="G643" s="6" t="str">
        <f>+G6</f>
        <v>March 31, 2024 (₹)</v>
      </c>
      <c r="H643" s="1007" t="str">
        <f>+H6</f>
        <v>March 31, 2023 (₹)</v>
      </c>
      <c r="I643" s="103"/>
      <c r="J643" s="103"/>
      <c r="K643" s="103"/>
      <c r="L643" s="103"/>
      <c r="M643" s="103"/>
      <c r="N643" s="103"/>
      <c r="O643" s="103"/>
      <c r="P643" s="103"/>
      <c r="Q643" s="103"/>
    </row>
    <row r="644" spans="2:17" ht="18">
      <c r="B644" s="1063" t="s">
        <v>973</v>
      </c>
      <c r="C644" s="24"/>
      <c r="D644" s="24"/>
      <c r="E644" s="24"/>
      <c r="F644" s="2615"/>
      <c r="G644" s="11">
        <f>+G538</f>
        <v>275000</v>
      </c>
      <c r="H644" s="1015">
        <f>+H538</f>
        <v>275000</v>
      </c>
      <c r="I644" s="1874"/>
      <c r="J644" s="1874"/>
      <c r="K644" s="1874"/>
      <c r="L644" s="1874"/>
      <c r="M644" s="1874"/>
      <c r="N644" s="1874"/>
      <c r="O644" s="1874"/>
      <c r="P644" s="1874"/>
      <c r="Q644" s="1874"/>
    </row>
    <row r="645" spans="2:17" ht="18">
      <c r="B645" s="1063" t="s">
        <v>57</v>
      </c>
      <c r="C645" s="24"/>
      <c r="D645" s="24"/>
      <c r="E645" s="24"/>
      <c r="F645" s="2615"/>
      <c r="G645" s="72">
        <v>0</v>
      </c>
      <c r="H645" s="1093">
        <v>0</v>
      </c>
      <c r="I645" s="1874"/>
      <c r="J645" s="1874"/>
      <c r="K645" s="1874"/>
      <c r="L645" s="1874"/>
      <c r="M645" s="1874"/>
      <c r="N645" s="1874"/>
      <c r="O645" s="1874"/>
      <c r="P645" s="1874"/>
      <c r="Q645" s="1874"/>
    </row>
    <row r="646" spans="2:17" ht="18">
      <c r="B646" s="1063"/>
      <c r="C646" s="24"/>
      <c r="D646" s="24"/>
      <c r="E646" s="24"/>
      <c r="F646" s="2615"/>
      <c r="G646" s="72">
        <f>+G644+G645</f>
        <v>275000</v>
      </c>
      <c r="H646" s="1093">
        <f>+H644+H645</f>
        <v>275000</v>
      </c>
      <c r="I646" s="1874"/>
      <c r="J646" s="1874"/>
      <c r="K646" s="1874"/>
      <c r="L646" s="1874"/>
      <c r="M646" s="1874"/>
      <c r="N646" s="1874"/>
      <c r="O646" s="1874"/>
      <c r="P646" s="1874"/>
      <c r="Q646" s="1874"/>
    </row>
    <row r="647" spans="2:17" ht="18">
      <c r="B647" s="1063"/>
      <c r="C647" s="24"/>
      <c r="D647" s="24"/>
      <c r="E647" s="24"/>
      <c r="F647" s="2602"/>
      <c r="G647" s="1132"/>
      <c r="H647" s="1133"/>
      <c r="I647" s="21"/>
      <c r="J647" s="21"/>
      <c r="K647" s="21"/>
      <c r="L647" s="21"/>
      <c r="M647" s="21"/>
      <c r="N647" s="21"/>
      <c r="O647" s="21"/>
      <c r="P647" s="21"/>
      <c r="Q647" s="21"/>
    </row>
    <row r="648" spans="2:17" ht="18">
      <c r="B648" s="1114" t="s">
        <v>2662</v>
      </c>
      <c r="C648" s="24"/>
      <c r="D648" s="24"/>
      <c r="E648" s="24"/>
      <c r="F648" s="2602"/>
      <c r="G648" s="66"/>
      <c r="H648" s="1103"/>
      <c r="I648" s="21"/>
      <c r="J648" s="21"/>
      <c r="K648" s="21"/>
      <c r="L648" s="21"/>
      <c r="M648" s="21"/>
      <c r="N648" s="21"/>
      <c r="O648" s="21"/>
      <c r="P648" s="21"/>
      <c r="Q648" s="21"/>
    </row>
    <row r="649" spans="2:17" ht="18">
      <c r="B649" s="1063" t="s">
        <v>2752</v>
      </c>
      <c r="C649" s="24"/>
      <c r="D649" s="24"/>
      <c r="E649" s="24"/>
      <c r="F649" s="2602"/>
      <c r="G649" s="1004" t="s">
        <v>756</v>
      </c>
      <c r="H649" s="1005" t="s">
        <v>756</v>
      </c>
      <c r="I649" s="1996"/>
      <c r="J649" s="1996"/>
      <c r="K649" s="1996"/>
      <c r="L649" s="1996"/>
      <c r="M649" s="1996"/>
      <c r="N649" s="1996"/>
      <c r="O649" s="1996"/>
      <c r="P649" s="1996"/>
      <c r="Q649" s="1996"/>
    </row>
    <row r="650" spans="2:17" ht="18">
      <c r="B650" s="1477" t="s">
        <v>463</v>
      </c>
      <c r="C650" s="1117"/>
      <c r="D650" s="1117"/>
      <c r="E650" s="1147"/>
      <c r="F650" s="2882" t="s">
        <v>974</v>
      </c>
      <c r="G650" s="6" t="str">
        <f>+G643</f>
        <v>March 31, 2024 (₹)</v>
      </c>
      <c r="H650" s="1007" t="str">
        <f>+H643</f>
        <v>March 31, 2023 (₹)</v>
      </c>
      <c r="I650" s="103"/>
      <c r="J650" s="103"/>
      <c r="K650" s="103"/>
      <c r="L650" s="103"/>
      <c r="M650" s="103"/>
      <c r="N650" s="103"/>
      <c r="O650" s="103"/>
      <c r="P650" s="103"/>
      <c r="Q650" s="103"/>
    </row>
    <row r="651" spans="2:17" ht="18">
      <c r="B651" s="1049" t="s">
        <v>13</v>
      </c>
      <c r="C651" s="24"/>
      <c r="D651" s="24"/>
      <c r="E651" s="24"/>
      <c r="F651" s="2883"/>
      <c r="G651" s="10"/>
      <c r="H651" s="1013"/>
      <c r="I651" s="103"/>
      <c r="J651" s="103"/>
      <c r="K651" s="103"/>
      <c r="L651" s="103"/>
      <c r="M651" s="103"/>
      <c r="N651" s="103"/>
      <c r="O651" s="103"/>
      <c r="P651" s="103"/>
      <c r="Q651" s="103"/>
    </row>
    <row r="652" spans="2:17" ht="18">
      <c r="B652" s="1063" t="s">
        <v>975</v>
      </c>
      <c r="C652" s="24"/>
      <c r="D652" s="24"/>
      <c r="E652" s="24"/>
      <c r="F652" s="2884">
        <v>6</v>
      </c>
      <c r="G652" s="8">
        <f t="shared" ref="G652:H654" si="17">+G19</f>
        <v>81160771.019999996</v>
      </c>
      <c r="H652" s="1011">
        <f t="shared" si="17"/>
        <v>115802242.14</v>
      </c>
      <c r="I652" s="1997"/>
      <c r="J652" s="1997"/>
      <c r="K652" s="1997"/>
      <c r="L652" s="1997"/>
      <c r="M652" s="1997"/>
      <c r="N652" s="1997"/>
      <c r="O652" s="1997"/>
      <c r="P652" s="1997"/>
      <c r="Q652" s="1997"/>
    </row>
    <row r="653" spans="2:17" ht="18">
      <c r="B653" s="1063" t="s">
        <v>976</v>
      </c>
      <c r="C653" s="24"/>
      <c r="D653" s="24"/>
      <c r="E653" s="24"/>
      <c r="F653" s="2884">
        <v>7</v>
      </c>
      <c r="G653" s="8">
        <f t="shared" si="17"/>
        <v>279466.64</v>
      </c>
      <c r="H653" s="1011">
        <f t="shared" si="17"/>
        <v>239775.64</v>
      </c>
      <c r="I653" s="1997"/>
      <c r="J653" s="1997"/>
      <c r="K653" s="1997"/>
      <c r="L653" s="1997"/>
      <c r="M653" s="1997"/>
      <c r="N653" s="1997"/>
      <c r="O653" s="1997"/>
      <c r="P653" s="1997"/>
      <c r="Q653" s="1997"/>
    </row>
    <row r="654" spans="2:17" ht="18">
      <c r="B654" s="1063" t="s">
        <v>2894</v>
      </c>
      <c r="C654" s="24"/>
      <c r="D654" s="24"/>
      <c r="E654" s="24"/>
      <c r="F654" s="2884">
        <v>8</v>
      </c>
      <c r="G654" s="48">
        <f t="shared" si="17"/>
        <v>7407950.3599999994</v>
      </c>
      <c r="H654" s="1059">
        <f t="shared" si="17"/>
        <v>10949791.359999999</v>
      </c>
      <c r="I654" s="21"/>
      <c r="J654" s="21"/>
      <c r="K654" s="21"/>
      <c r="L654" s="21"/>
      <c r="M654" s="21"/>
      <c r="N654" s="21"/>
      <c r="O654" s="21"/>
      <c r="P654" s="21"/>
      <c r="Q654" s="21"/>
    </row>
    <row r="655" spans="2:17" ht="18">
      <c r="B655" s="1063"/>
      <c r="C655" s="24"/>
      <c r="D655" s="24"/>
      <c r="E655" s="24"/>
      <c r="F655" s="2884"/>
      <c r="G655" s="1294">
        <f>+SUM(G652:G654)</f>
        <v>88848188.019999996</v>
      </c>
      <c r="H655" s="1484">
        <f>+SUM(H652:H654)</f>
        <v>126991809.14</v>
      </c>
      <c r="I655" s="26"/>
      <c r="J655" s="26"/>
      <c r="K655" s="26"/>
      <c r="L655" s="26"/>
      <c r="M655" s="26"/>
      <c r="N655" s="26"/>
      <c r="O655" s="26"/>
      <c r="P655" s="26"/>
      <c r="Q655" s="26"/>
    </row>
    <row r="656" spans="2:17" ht="18">
      <c r="B656" s="1049" t="s">
        <v>726</v>
      </c>
      <c r="C656" s="24"/>
      <c r="D656" s="24"/>
      <c r="E656" s="24"/>
      <c r="F656" s="2884"/>
      <c r="G656" s="69"/>
      <c r="H656" s="1090"/>
      <c r="I656" s="26"/>
      <c r="J656" s="26"/>
      <c r="K656" s="26"/>
      <c r="L656" s="26"/>
      <c r="M656" s="26"/>
      <c r="N656" s="26"/>
      <c r="O656" s="26"/>
      <c r="P656" s="26"/>
      <c r="Q656" s="26"/>
    </row>
    <row r="657" spans="2:17" ht="18">
      <c r="B657" s="1063" t="s">
        <v>977</v>
      </c>
      <c r="C657" s="24"/>
      <c r="D657" s="24"/>
      <c r="E657" s="24"/>
      <c r="F657" s="2884">
        <v>15</v>
      </c>
      <c r="G657" s="48">
        <f t="shared" ref="G657:H659" si="18">+G41</f>
        <v>114945991.02</v>
      </c>
      <c r="H657" s="1059">
        <f t="shared" si="18"/>
        <v>101274693.28</v>
      </c>
      <c r="I657" s="21"/>
      <c r="J657" s="21"/>
      <c r="K657" s="21"/>
      <c r="L657" s="21"/>
      <c r="M657" s="21"/>
      <c r="N657" s="21"/>
      <c r="O657" s="21"/>
      <c r="P657" s="21"/>
      <c r="Q657" s="21"/>
    </row>
    <row r="658" spans="2:17" ht="18">
      <c r="B658" s="1063" t="s">
        <v>978</v>
      </c>
      <c r="C658" s="24"/>
      <c r="D658" s="24"/>
      <c r="E658" s="24"/>
      <c r="F658" s="2884">
        <v>16</v>
      </c>
      <c r="G658" s="48">
        <f t="shared" si="18"/>
        <v>109494915.47000001</v>
      </c>
      <c r="H658" s="1059">
        <f t="shared" si="18"/>
        <v>91597921.990151003</v>
      </c>
      <c r="I658" s="21"/>
      <c r="J658" s="21"/>
      <c r="K658" s="21"/>
      <c r="L658" s="21"/>
      <c r="M658" s="21"/>
      <c r="N658" s="21"/>
      <c r="O658" s="21"/>
      <c r="P658" s="21"/>
      <c r="Q658" s="21"/>
    </row>
    <row r="659" spans="2:17" ht="18">
      <c r="B659" s="1063" t="s">
        <v>979</v>
      </c>
      <c r="C659" s="24"/>
      <c r="D659" s="24"/>
      <c r="E659" s="24"/>
      <c r="F659" s="2884">
        <v>17</v>
      </c>
      <c r="G659" s="48">
        <f t="shared" si="18"/>
        <v>2576739</v>
      </c>
      <c r="H659" s="1059">
        <f t="shared" si="18"/>
        <v>6397608</v>
      </c>
      <c r="I659" s="21"/>
      <c r="J659" s="21"/>
      <c r="K659" s="21"/>
      <c r="L659" s="21"/>
      <c r="M659" s="21"/>
      <c r="N659" s="21"/>
      <c r="O659" s="21"/>
      <c r="P659" s="21"/>
      <c r="Q659" s="21"/>
    </row>
    <row r="660" spans="2:17" ht="18">
      <c r="B660" s="2308" t="s">
        <v>824</v>
      </c>
      <c r="C660" s="2309"/>
      <c r="D660" s="2309"/>
      <c r="E660" s="2309"/>
      <c r="F660" s="2310"/>
      <c r="G660" s="1294">
        <f>+SUM(G657:G659)</f>
        <v>227017645.49000001</v>
      </c>
      <c r="H660" s="1484">
        <f>+SUM(H657:H659)</f>
        <v>199270223.27015102</v>
      </c>
      <c r="I660" s="26"/>
      <c r="J660" s="26"/>
      <c r="K660" s="26"/>
      <c r="L660" s="26"/>
      <c r="M660" s="26"/>
      <c r="N660" s="26"/>
      <c r="O660" s="26"/>
      <c r="P660" s="26"/>
      <c r="Q660" s="26"/>
    </row>
    <row r="661" spans="2:17" ht="18">
      <c r="B661" s="1049" t="s">
        <v>980</v>
      </c>
      <c r="C661" s="24"/>
      <c r="D661" s="24"/>
      <c r="E661" s="24"/>
      <c r="F661" s="2885"/>
      <c r="G661" s="26"/>
      <c r="H661" s="1034"/>
      <c r="I661" s="26"/>
      <c r="J661" s="26"/>
      <c r="K661" s="26"/>
      <c r="L661" s="26"/>
      <c r="M661" s="26"/>
      <c r="N661" s="26"/>
      <c r="O661" s="26"/>
      <c r="P661" s="26"/>
      <c r="Q661" s="26"/>
    </row>
    <row r="662" spans="2:17" ht="35.25" customHeight="1">
      <c r="B662" s="2291" t="s">
        <v>981</v>
      </c>
      <c r="C662" s="2292"/>
      <c r="D662" s="2292"/>
      <c r="E662" s="2292"/>
      <c r="F662" s="2292"/>
      <c r="G662" s="2292"/>
      <c r="H662" s="2293"/>
      <c r="I662" s="99"/>
      <c r="J662" s="99"/>
      <c r="K662" s="99"/>
      <c r="L662" s="99"/>
      <c r="M662" s="99"/>
      <c r="N662" s="99"/>
      <c r="O662" s="99"/>
      <c r="P662" s="99"/>
      <c r="Q662" s="99"/>
    </row>
    <row r="663" spans="2:17" ht="18">
      <c r="B663" s="1049" t="s">
        <v>982</v>
      </c>
      <c r="C663" s="24"/>
      <c r="D663" s="24"/>
      <c r="E663" s="24"/>
      <c r="F663" s="2885"/>
      <c r="G663" s="26"/>
      <c r="H663" s="1034"/>
      <c r="I663" s="26"/>
      <c r="J663" s="26"/>
      <c r="K663" s="26"/>
      <c r="L663" s="26"/>
      <c r="M663" s="26"/>
      <c r="N663" s="26"/>
      <c r="O663" s="26"/>
      <c r="P663" s="26"/>
      <c r="Q663" s="26"/>
    </row>
    <row r="664" spans="2:17" ht="92.25" customHeight="1">
      <c r="B664" s="2291" t="s">
        <v>983</v>
      </c>
      <c r="C664" s="2292"/>
      <c r="D664" s="2292"/>
      <c r="E664" s="2292"/>
      <c r="F664" s="2292"/>
      <c r="G664" s="2292"/>
      <c r="H664" s="2293"/>
      <c r="I664" s="99"/>
      <c r="J664" s="99"/>
      <c r="K664" s="99"/>
      <c r="L664" s="99"/>
      <c r="M664" s="99"/>
      <c r="N664" s="99"/>
      <c r="O664" s="99"/>
      <c r="P664" s="99"/>
      <c r="Q664" s="99"/>
    </row>
    <row r="665" spans="2:17" ht="18">
      <c r="B665" s="1049" t="s">
        <v>984</v>
      </c>
      <c r="C665" s="24"/>
      <c r="D665" s="24"/>
      <c r="E665" s="24"/>
      <c r="F665" s="2885"/>
      <c r="G665" s="26"/>
      <c r="H665" s="1034"/>
      <c r="I665" s="26"/>
      <c r="J665" s="26"/>
      <c r="K665" s="26"/>
      <c r="L665" s="26"/>
      <c r="M665" s="26"/>
      <c r="N665" s="26"/>
      <c r="O665" s="26"/>
      <c r="P665" s="26"/>
      <c r="Q665" s="26"/>
    </row>
    <row r="666" spans="2:17" ht="18">
      <c r="B666" s="1063" t="s">
        <v>985</v>
      </c>
      <c r="C666" s="24"/>
      <c r="D666" s="24"/>
      <c r="E666" s="24"/>
      <c r="F666" s="2885"/>
      <c r="G666" s="26"/>
      <c r="H666" s="1034"/>
      <c r="I666" s="26"/>
      <c r="J666" s="26"/>
      <c r="K666" s="26"/>
      <c r="L666" s="26"/>
      <c r="M666" s="26"/>
      <c r="N666" s="26"/>
      <c r="O666" s="26"/>
      <c r="P666" s="26"/>
      <c r="Q666" s="26"/>
    </row>
    <row r="667" spans="2:17" ht="57" customHeight="1">
      <c r="B667" s="2291" t="s">
        <v>986</v>
      </c>
      <c r="C667" s="2292"/>
      <c r="D667" s="2292"/>
      <c r="E667" s="2292"/>
      <c r="F667" s="2292"/>
      <c r="G667" s="2292"/>
      <c r="H667" s="2293"/>
      <c r="I667" s="99"/>
      <c r="J667" s="99"/>
      <c r="K667" s="99"/>
      <c r="L667" s="99"/>
      <c r="M667" s="99"/>
      <c r="N667" s="99"/>
      <c r="O667" s="99"/>
      <c r="P667" s="99"/>
      <c r="Q667" s="99"/>
    </row>
    <row r="668" spans="2:17" ht="19.5" customHeight="1">
      <c r="B668" s="1101" t="s">
        <v>987</v>
      </c>
      <c r="C668" s="99"/>
      <c r="D668" s="99"/>
      <c r="E668" s="99"/>
      <c r="F668" s="99"/>
      <c r="G668" s="99"/>
      <c r="H668" s="1148"/>
      <c r="I668" s="99"/>
      <c r="J668" s="99"/>
      <c r="K668" s="99"/>
      <c r="L668" s="99"/>
      <c r="M668" s="99"/>
      <c r="N668" s="99"/>
      <c r="O668" s="99"/>
      <c r="P668" s="99"/>
      <c r="Q668" s="99"/>
    </row>
    <row r="669" spans="2:17" ht="54" customHeight="1">
      <c r="B669" s="2303" t="s">
        <v>988</v>
      </c>
      <c r="C669" s="2304"/>
      <c r="D669" s="2304"/>
      <c r="E669" s="2304"/>
      <c r="F669" s="2304"/>
      <c r="G669" s="2304"/>
      <c r="H669" s="2305"/>
      <c r="I669" s="94"/>
      <c r="J669" s="94"/>
      <c r="K669" s="94"/>
      <c r="L669" s="94"/>
      <c r="M669" s="94"/>
      <c r="N669" s="94"/>
      <c r="O669" s="94"/>
      <c r="P669" s="94"/>
      <c r="Q669" s="94"/>
    </row>
    <row r="670" spans="2:17" ht="37.5" customHeight="1">
      <c r="B670" s="2303" t="s">
        <v>989</v>
      </c>
      <c r="C670" s="2304"/>
      <c r="D670" s="2304"/>
      <c r="E670" s="2304"/>
      <c r="F670" s="2304"/>
      <c r="G670" s="2304"/>
      <c r="H670" s="2305"/>
      <c r="I670" s="94"/>
      <c r="J670" s="94"/>
      <c r="K670" s="94"/>
      <c r="L670" s="94"/>
      <c r="M670" s="94"/>
      <c r="N670" s="94"/>
      <c r="O670" s="94"/>
      <c r="P670" s="94"/>
      <c r="Q670" s="94"/>
    </row>
    <row r="671" spans="2:17" ht="72.75" customHeight="1">
      <c r="B671" s="2291" t="s">
        <v>2895</v>
      </c>
      <c r="C671" s="2292"/>
      <c r="D671" s="2292"/>
      <c r="E671" s="2292"/>
      <c r="F671" s="2292"/>
      <c r="G671" s="2292"/>
      <c r="H671" s="2293"/>
      <c r="I671" s="99"/>
      <c r="J671" s="99"/>
      <c r="K671" s="99"/>
      <c r="L671" s="99"/>
      <c r="M671" s="99"/>
      <c r="N671" s="99"/>
      <c r="O671" s="99"/>
      <c r="P671" s="99"/>
      <c r="Q671" s="99"/>
    </row>
    <row r="672" spans="2:17" ht="37.950000000000003" customHeight="1">
      <c r="B672" s="2291" t="s">
        <v>990</v>
      </c>
      <c r="C672" s="2292"/>
      <c r="D672" s="2292"/>
      <c r="E672" s="2292"/>
      <c r="F672" s="2292"/>
      <c r="G672" s="2292"/>
      <c r="H672" s="2293"/>
      <c r="I672" s="99"/>
      <c r="J672" s="99"/>
      <c r="K672" s="99"/>
      <c r="L672" s="99"/>
      <c r="M672" s="99"/>
      <c r="N672" s="99"/>
      <c r="O672" s="99"/>
      <c r="P672" s="99"/>
      <c r="Q672" s="99"/>
    </row>
    <row r="673" spans="2:17" ht="57.75" customHeight="1">
      <c r="B673" s="2291" t="s">
        <v>2896</v>
      </c>
      <c r="C673" s="2292"/>
      <c r="D673" s="2292"/>
      <c r="E673" s="2292"/>
      <c r="F673" s="2292"/>
      <c r="G673" s="2292"/>
      <c r="H673" s="2293"/>
      <c r="I673" s="99"/>
      <c r="J673" s="99"/>
      <c r="K673" s="99"/>
      <c r="L673" s="99"/>
      <c r="M673" s="99"/>
      <c r="N673" s="99"/>
      <c r="O673" s="99"/>
      <c r="P673" s="99"/>
      <c r="Q673" s="99"/>
    </row>
    <row r="674" spans="2:17" ht="38.25" customHeight="1">
      <c r="B674" s="2291" t="s">
        <v>991</v>
      </c>
      <c r="C674" s="2292"/>
      <c r="D674" s="2292"/>
      <c r="E674" s="2292"/>
      <c r="F674" s="2292"/>
      <c r="G674" s="2292"/>
      <c r="H674" s="2293"/>
      <c r="I674" s="99"/>
      <c r="J674" s="99"/>
      <c r="K674" s="99"/>
      <c r="L674" s="99"/>
      <c r="M674" s="99"/>
      <c r="N674" s="99"/>
      <c r="O674" s="99"/>
      <c r="P674" s="99"/>
      <c r="Q674" s="99"/>
    </row>
    <row r="675" spans="2:17" ht="56.25" customHeight="1">
      <c r="B675" s="2291" t="s">
        <v>992</v>
      </c>
      <c r="C675" s="2292"/>
      <c r="D675" s="2292"/>
      <c r="E675" s="2292"/>
      <c r="F675" s="2292"/>
      <c r="G675" s="2292"/>
      <c r="H675" s="2293"/>
      <c r="I675" s="99"/>
      <c r="J675" s="99"/>
      <c r="K675" s="99"/>
      <c r="L675" s="99"/>
      <c r="M675" s="99"/>
      <c r="N675" s="99"/>
      <c r="O675" s="99"/>
      <c r="P675" s="99"/>
      <c r="Q675" s="99"/>
    </row>
    <row r="676" spans="2:17" ht="18">
      <c r="B676" s="1145" t="s">
        <v>993</v>
      </c>
      <c r="C676" s="99"/>
      <c r="D676" s="99"/>
      <c r="E676" s="99"/>
      <c r="F676" s="99"/>
      <c r="G676" s="99"/>
      <c r="H676" s="1148"/>
      <c r="I676" s="99"/>
      <c r="J676" s="99"/>
      <c r="K676" s="99"/>
      <c r="L676" s="99"/>
      <c r="M676" s="99"/>
      <c r="N676" s="99"/>
      <c r="O676" s="99"/>
      <c r="P676" s="99"/>
      <c r="Q676" s="99"/>
    </row>
    <row r="677" spans="2:17" ht="52.5" customHeight="1">
      <c r="B677" s="2291" t="s">
        <v>994</v>
      </c>
      <c r="C677" s="2292"/>
      <c r="D677" s="2292"/>
      <c r="E677" s="2292"/>
      <c r="F677" s="2292"/>
      <c r="G677" s="2292"/>
      <c r="H677" s="2293"/>
      <c r="I677" s="99"/>
      <c r="J677" s="99"/>
      <c r="K677" s="99"/>
      <c r="L677" s="99"/>
      <c r="M677" s="99"/>
      <c r="N677" s="99"/>
      <c r="O677" s="99"/>
      <c r="P677" s="99"/>
      <c r="Q677" s="99"/>
    </row>
    <row r="678" spans="2:17" ht="18">
      <c r="B678" s="1570" t="s">
        <v>995</v>
      </c>
      <c r="C678" s="1149"/>
      <c r="D678" s="1149"/>
      <c r="E678" s="1149"/>
      <c r="F678" s="1150"/>
      <c r="G678" s="1004" t="s">
        <v>756</v>
      </c>
      <c r="H678" s="1005" t="s">
        <v>756</v>
      </c>
      <c r="I678" s="1996"/>
      <c r="J678" s="1996"/>
      <c r="K678" s="1996"/>
      <c r="L678" s="1996"/>
      <c r="M678" s="1996"/>
      <c r="N678" s="1996"/>
      <c r="O678" s="1996"/>
      <c r="P678" s="1996"/>
      <c r="Q678" s="1996"/>
    </row>
    <row r="679" spans="2:17" ht="18">
      <c r="B679" s="1036"/>
      <c r="C679" s="44"/>
      <c r="D679" s="44"/>
      <c r="E679" s="44"/>
      <c r="F679" s="2886"/>
      <c r="G679" s="6" t="str">
        <f>+G650</f>
        <v>March 31, 2024 (₹)</v>
      </c>
      <c r="H679" s="1007" t="str">
        <f>+H650</f>
        <v>March 31, 2023 (₹)</v>
      </c>
      <c r="I679" s="103"/>
      <c r="J679" s="103"/>
      <c r="K679" s="103"/>
      <c r="L679" s="103"/>
      <c r="M679" s="103"/>
      <c r="N679" s="103"/>
      <c r="O679" s="103"/>
      <c r="P679" s="103"/>
      <c r="Q679" s="103"/>
    </row>
    <row r="680" spans="2:17" ht="18">
      <c r="B680" s="1063" t="s">
        <v>996</v>
      </c>
      <c r="C680" s="24"/>
      <c r="D680" s="24"/>
      <c r="E680" s="24"/>
      <c r="F680" s="2887"/>
      <c r="G680" s="8">
        <f>+G376+G384</f>
        <v>67361089</v>
      </c>
      <c r="H680" s="1011">
        <f>+H376+H384</f>
        <v>61781526.090000004</v>
      </c>
      <c r="I680" s="1997"/>
      <c r="J680" s="1997"/>
      <c r="K680" s="1997"/>
      <c r="L680" s="1997"/>
      <c r="M680" s="1997"/>
      <c r="N680" s="1997"/>
      <c r="O680" s="1997"/>
      <c r="P680" s="1997"/>
      <c r="Q680" s="1997"/>
    </row>
    <row r="681" spans="2:17" ht="18">
      <c r="B681" s="1063" t="s">
        <v>997</v>
      </c>
      <c r="C681" s="24"/>
      <c r="D681" s="24"/>
      <c r="E681" s="24"/>
      <c r="F681" s="2887"/>
      <c r="G681" s="8">
        <f>+G424</f>
        <v>89643931.159999996</v>
      </c>
      <c r="H681" s="1011">
        <f>+H424</f>
        <v>78274677.280000001</v>
      </c>
      <c r="I681" s="1997"/>
      <c r="J681" s="1997"/>
      <c r="K681" s="1997"/>
      <c r="L681" s="1997"/>
      <c r="M681" s="1997"/>
      <c r="N681" s="1997"/>
      <c r="O681" s="1997"/>
      <c r="P681" s="1997"/>
      <c r="Q681" s="1997"/>
    </row>
    <row r="682" spans="2:17" ht="18">
      <c r="B682" s="1036" t="s">
        <v>998</v>
      </c>
      <c r="C682" s="44"/>
      <c r="D682" s="44"/>
      <c r="E682" s="44"/>
      <c r="F682" s="2886"/>
      <c r="G682" s="8">
        <f>+G420+G421</f>
        <v>25302059.859999999</v>
      </c>
      <c r="H682" s="1011">
        <f>+H420+H421</f>
        <v>23000016</v>
      </c>
      <c r="I682" s="1997"/>
      <c r="J682" s="1997"/>
      <c r="K682" s="1997"/>
      <c r="L682" s="1997"/>
      <c r="M682" s="1997"/>
      <c r="N682" s="1997"/>
      <c r="O682" s="1997"/>
      <c r="P682" s="1997"/>
      <c r="Q682" s="1997"/>
    </row>
    <row r="683" spans="2:17" ht="18.600000000000001" thickBot="1">
      <c r="B683" s="2297" t="s">
        <v>824</v>
      </c>
      <c r="C683" s="2298"/>
      <c r="D683" s="2298"/>
      <c r="E683" s="2298"/>
      <c r="F683" s="2299"/>
      <c r="G683" s="1557">
        <f>+SUM(G680:G682)</f>
        <v>182307080.01999998</v>
      </c>
      <c r="H683" s="1558">
        <f>+SUM(H680:H682)</f>
        <v>163056219.37</v>
      </c>
      <c r="I683" s="103"/>
      <c r="J683" s="103"/>
      <c r="K683" s="103"/>
      <c r="L683" s="103"/>
      <c r="M683" s="103"/>
      <c r="N683" s="103"/>
      <c r="O683" s="103"/>
      <c r="P683" s="103"/>
      <c r="Q683" s="103"/>
    </row>
    <row r="684" spans="2:17" ht="18">
      <c r="B684" s="2274" t="s">
        <v>702</v>
      </c>
      <c r="C684" s="2275"/>
      <c r="D684" s="2275"/>
      <c r="E684" s="2275"/>
      <c r="F684" s="2275"/>
      <c r="G684" s="2275"/>
      <c r="H684" s="2276"/>
      <c r="I684" s="1879"/>
      <c r="J684" s="1879"/>
      <c r="K684" s="1879"/>
      <c r="L684" s="1879"/>
      <c r="M684" s="1879"/>
      <c r="N684" s="1879"/>
      <c r="O684" s="1879"/>
      <c r="P684" s="1879"/>
      <c r="Q684" s="1879"/>
    </row>
    <row r="685" spans="2:17" ht="18">
      <c r="B685" s="2300" t="s">
        <v>2117</v>
      </c>
      <c r="C685" s="2301"/>
      <c r="D685" s="2301"/>
      <c r="E685" s="2301"/>
      <c r="F685" s="2301"/>
      <c r="G685" s="2301"/>
      <c r="H685" s="2302"/>
      <c r="I685" s="1879"/>
      <c r="J685" s="1879"/>
      <c r="K685" s="1879"/>
      <c r="L685" s="1879"/>
      <c r="M685" s="1879"/>
      <c r="N685" s="1879"/>
      <c r="O685" s="1879"/>
      <c r="P685" s="1879"/>
      <c r="Q685" s="1879"/>
    </row>
    <row r="686" spans="2:17" ht="18">
      <c r="B686" s="1302"/>
      <c r="C686" s="102"/>
      <c r="D686" s="102"/>
      <c r="E686" s="102"/>
      <c r="F686" s="102"/>
      <c r="G686" s="103"/>
      <c r="H686" s="1020"/>
      <c r="I686" s="103"/>
      <c r="J686" s="103"/>
      <c r="K686" s="103"/>
      <c r="L686" s="103"/>
      <c r="M686" s="103"/>
      <c r="N686" s="103"/>
      <c r="O686" s="103"/>
      <c r="P686" s="103"/>
      <c r="Q686" s="103"/>
    </row>
    <row r="687" spans="2:17" ht="18">
      <c r="B687" s="1076" t="s">
        <v>2663</v>
      </c>
      <c r="C687" s="102"/>
      <c r="D687" s="102"/>
      <c r="E687" s="102"/>
      <c r="F687" s="102"/>
      <c r="G687" s="103"/>
      <c r="H687" s="1020"/>
      <c r="I687" s="103"/>
      <c r="J687" s="103"/>
      <c r="K687" s="103"/>
      <c r="L687" s="103"/>
      <c r="M687" s="103"/>
      <c r="N687" s="103"/>
      <c r="O687" s="103"/>
      <c r="P687" s="103"/>
      <c r="Q687" s="103"/>
    </row>
    <row r="688" spans="2:17" ht="75" customHeight="1">
      <c r="B688" s="2291" t="s">
        <v>999</v>
      </c>
      <c r="C688" s="2292"/>
      <c r="D688" s="2292"/>
      <c r="E688" s="2292"/>
      <c r="F688" s="2292"/>
      <c r="G688" s="2292"/>
      <c r="H688" s="2293"/>
      <c r="I688" s="99"/>
      <c r="J688" s="99"/>
      <c r="K688" s="99"/>
      <c r="L688" s="99"/>
      <c r="M688" s="99"/>
      <c r="N688" s="99"/>
      <c r="O688" s="99"/>
      <c r="P688" s="99"/>
      <c r="Q688" s="99"/>
    </row>
    <row r="689" spans="2:17" ht="38.4" customHeight="1">
      <c r="B689" s="2291" t="s">
        <v>1000</v>
      </c>
      <c r="C689" s="2292"/>
      <c r="D689" s="2292"/>
      <c r="E689" s="2292"/>
      <c r="F689" s="2292"/>
      <c r="G689" s="2292"/>
      <c r="H689" s="2293"/>
      <c r="I689" s="99"/>
      <c r="J689" s="99"/>
      <c r="K689" s="99"/>
      <c r="L689" s="99"/>
      <c r="M689" s="99"/>
      <c r="N689" s="99"/>
      <c r="O689" s="99"/>
      <c r="P689" s="99"/>
      <c r="Q689" s="99"/>
    </row>
    <row r="690" spans="2:17" ht="36.6" customHeight="1">
      <c r="B690" s="2291" t="s">
        <v>1001</v>
      </c>
      <c r="C690" s="2292"/>
      <c r="D690" s="2292"/>
      <c r="E690" s="2292"/>
      <c r="F690" s="2292"/>
      <c r="G690" s="2292"/>
      <c r="H690" s="2293"/>
      <c r="I690" s="99"/>
      <c r="J690" s="99"/>
      <c r="K690" s="99"/>
      <c r="L690" s="99"/>
      <c r="M690" s="99"/>
      <c r="N690" s="99"/>
      <c r="O690" s="99"/>
      <c r="P690" s="99"/>
      <c r="Q690" s="99"/>
    </row>
    <row r="691" spans="2:17" ht="37.200000000000003" customHeight="1">
      <c r="B691" s="2294" t="s">
        <v>4709</v>
      </c>
      <c r="C691" s="2295"/>
      <c r="D691" s="2295"/>
      <c r="E691" s="2295"/>
      <c r="F691" s="2295"/>
      <c r="G691" s="2295"/>
      <c r="H691" s="2296"/>
      <c r="I691" s="852"/>
      <c r="J691" s="852"/>
      <c r="K691" s="852"/>
      <c r="L691" s="852"/>
      <c r="M691" s="852"/>
      <c r="N691" s="852"/>
      <c r="O691" s="852"/>
      <c r="P691" s="852"/>
      <c r="Q691" s="852"/>
    </row>
    <row r="692" spans="2:17" ht="18">
      <c r="B692" s="1281"/>
      <c r="C692" s="852"/>
      <c r="D692" s="852"/>
      <c r="E692" s="852"/>
      <c r="F692" s="852"/>
      <c r="G692" s="852"/>
      <c r="H692" s="1282"/>
      <c r="I692" s="852"/>
      <c r="J692" s="852"/>
      <c r="K692" s="852"/>
      <c r="L692" s="852"/>
      <c r="M692" s="852"/>
      <c r="N692" s="852"/>
      <c r="O692" s="852"/>
      <c r="P692" s="852"/>
      <c r="Q692" s="852"/>
    </row>
    <row r="693" spans="2:17" ht="18">
      <c r="B693" s="2888" t="s">
        <v>0</v>
      </c>
      <c r="C693" s="1175"/>
      <c r="D693" s="1175"/>
      <c r="E693" s="1175"/>
      <c r="F693" s="1303"/>
      <c r="G693" s="1004" t="s">
        <v>756</v>
      </c>
      <c r="H693" s="1005" t="s">
        <v>756</v>
      </c>
      <c r="I693" s="1996"/>
      <c r="J693" s="1996"/>
      <c r="K693" s="1996"/>
      <c r="L693" s="1996"/>
      <c r="M693" s="1996"/>
      <c r="N693" s="1996"/>
      <c r="O693" s="1996"/>
      <c r="P693" s="1996"/>
      <c r="Q693" s="1996"/>
    </row>
    <row r="694" spans="2:17" ht="18">
      <c r="B694" s="1304"/>
      <c r="C694" s="44"/>
      <c r="D694" s="44"/>
      <c r="E694" s="44"/>
      <c r="F694" s="2651"/>
      <c r="G694" s="6" t="str">
        <f>+G679</f>
        <v>March 31, 2024 (₹)</v>
      </c>
      <c r="H694" s="1007" t="str">
        <f>+H679</f>
        <v>March 31, 2023 (₹)</v>
      </c>
      <c r="I694" s="103"/>
      <c r="J694" s="103"/>
      <c r="K694" s="103"/>
      <c r="L694" s="103"/>
      <c r="M694" s="103"/>
      <c r="N694" s="103"/>
      <c r="O694" s="103"/>
      <c r="P694" s="103"/>
      <c r="Q694" s="103"/>
    </row>
    <row r="695" spans="2:17" ht="18">
      <c r="B695" s="1114" t="s">
        <v>2664</v>
      </c>
      <c r="C695" s="24"/>
      <c r="D695" s="24"/>
      <c r="E695" s="24"/>
      <c r="F695" s="2602"/>
      <c r="G695" s="10"/>
      <c r="H695" s="1013"/>
      <c r="I695" s="103"/>
      <c r="J695" s="103"/>
      <c r="K695" s="103"/>
      <c r="L695" s="103"/>
      <c r="M695" s="103"/>
      <c r="N695" s="103"/>
      <c r="O695" s="103"/>
      <c r="P695" s="103"/>
      <c r="Q695" s="103"/>
    </row>
    <row r="696" spans="2:17" ht="18">
      <c r="B696" s="1049" t="s">
        <v>1002</v>
      </c>
      <c r="C696" s="24"/>
      <c r="D696" s="24"/>
      <c r="E696" s="24"/>
      <c r="F696" s="103"/>
      <c r="G696" s="10"/>
      <c r="H696" s="1013"/>
      <c r="I696" s="103"/>
      <c r="J696" s="103"/>
      <c r="K696" s="103"/>
      <c r="L696" s="103"/>
      <c r="M696" s="103"/>
      <c r="N696" s="103"/>
      <c r="O696" s="103"/>
      <c r="P696" s="103"/>
      <c r="Q696" s="103"/>
    </row>
    <row r="697" spans="2:17" ht="18">
      <c r="B697" s="1049" t="s">
        <v>1003</v>
      </c>
      <c r="C697" s="24"/>
      <c r="D697" s="24"/>
      <c r="E697" s="24"/>
      <c r="F697" s="103"/>
      <c r="G697" s="1300">
        <f>+G718</f>
        <v>5661657</v>
      </c>
      <c r="H697" s="1488">
        <f>+H718</f>
        <v>5527056</v>
      </c>
      <c r="I697" s="103"/>
      <c r="J697" s="103"/>
      <c r="K697" s="103"/>
      <c r="L697" s="103"/>
      <c r="M697" s="103"/>
      <c r="N697" s="103"/>
      <c r="O697" s="103"/>
      <c r="P697" s="103"/>
      <c r="Q697" s="103"/>
    </row>
    <row r="698" spans="2:17" ht="56.4" customHeight="1">
      <c r="B698" s="2735" t="s">
        <v>1004</v>
      </c>
      <c r="C698" s="2736"/>
      <c r="D698" s="2736"/>
      <c r="E698" s="2736"/>
      <c r="F698" s="2736"/>
      <c r="G698" s="1153"/>
      <c r="H698" s="1154"/>
      <c r="I698" s="121"/>
      <c r="J698" s="121"/>
      <c r="K698" s="121"/>
      <c r="L698" s="121"/>
      <c r="M698" s="121"/>
      <c r="N698" s="121"/>
      <c r="O698" s="121"/>
      <c r="P698" s="121"/>
      <c r="Q698" s="121"/>
    </row>
    <row r="699" spans="2:17" ht="18">
      <c r="B699" s="2607"/>
      <c r="C699" s="2889"/>
      <c r="D699" s="2889"/>
      <c r="E699" s="2889"/>
      <c r="F699" s="2889"/>
      <c r="G699" s="104"/>
      <c r="H699" s="1155"/>
      <c r="I699" s="2021"/>
      <c r="J699" s="2021"/>
      <c r="K699" s="2021"/>
      <c r="L699" s="2021"/>
      <c r="M699" s="2021"/>
      <c r="N699" s="2021"/>
      <c r="O699" s="2021"/>
      <c r="P699" s="2021"/>
      <c r="Q699" s="2021"/>
    </row>
    <row r="700" spans="2:17" ht="18">
      <c r="B700" s="2890" t="s">
        <v>1005</v>
      </c>
      <c r="C700" s="2891"/>
      <c r="D700" s="2891"/>
      <c r="E700" s="2891"/>
      <c r="F700" s="2891"/>
      <c r="G700" s="106"/>
      <c r="H700" s="1157"/>
      <c r="I700" s="2022"/>
      <c r="J700" s="2022"/>
      <c r="K700" s="2022"/>
      <c r="L700" s="2022"/>
      <c r="M700" s="2022"/>
      <c r="N700" s="2022"/>
      <c r="O700" s="2022"/>
      <c r="P700" s="2022"/>
      <c r="Q700" s="2022"/>
    </row>
    <row r="701" spans="2:17" ht="18">
      <c r="B701" s="2690" t="s">
        <v>0</v>
      </c>
      <c r="C701" s="2596"/>
      <c r="D701" s="2596"/>
      <c r="E701" s="2892"/>
      <c r="F701" s="2893"/>
      <c r="G701" s="1004" t="s">
        <v>756</v>
      </c>
      <c r="H701" s="1005" t="s">
        <v>756</v>
      </c>
      <c r="I701" s="1996"/>
      <c r="J701" s="1996"/>
      <c r="K701" s="1996"/>
      <c r="L701" s="1996"/>
      <c r="M701" s="1996"/>
      <c r="N701" s="1996"/>
      <c r="O701" s="1996"/>
      <c r="P701" s="1996"/>
      <c r="Q701" s="1996"/>
    </row>
    <row r="702" spans="2:17" ht="18">
      <c r="B702" s="2894"/>
      <c r="C702" s="2599"/>
      <c r="D702" s="2599"/>
      <c r="E702" s="2692"/>
      <c r="F702" s="2895"/>
      <c r="G702" s="6" t="str">
        <f>+G6</f>
        <v>March 31, 2024 (₹)</v>
      </c>
      <c r="H702" s="1007" t="str">
        <f>+H6</f>
        <v>March 31, 2023 (₹)</v>
      </c>
      <c r="I702" s="103"/>
      <c r="J702" s="103"/>
      <c r="K702" s="103"/>
      <c r="L702" s="103"/>
      <c r="M702" s="103"/>
      <c r="N702" s="103"/>
      <c r="O702" s="103"/>
      <c r="P702" s="103"/>
      <c r="Q702" s="103"/>
    </row>
    <row r="703" spans="2:17" ht="36" customHeight="1">
      <c r="B703" s="2896" t="s">
        <v>4710</v>
      </c>
      <c r="C703" s="2897"/>
      <c r="D703" s="2897"/>
      <c r="E703" s="2897"/>
      <c r="F703" s="2898"/>
      <c r="G703" s="1162"/>
      <c r="H703" s="1163"/>
      <c r="I703" s="2019"/>
      <c r="J703" s="2019"/>
      <c r="K703" s="2019"/>
      <c r="L703" s="2019"/>
      <c r="M703" s="2019"/>
      <c r="N703" s="2019"/>
      <c r="O703" s="2019"/>
      <c r="P703" s="2019"/>
      <c r="Q703" s="2019"/>
    </row>
    <row r="704" spans="2:17" ht="18">
      <c r="B704" s="2639" t="s">
        <v>1006</v>
      </c>
      <c r="C704" s="2602"/>
      <c r="D704" s="2602"/>
      <c r="E704" s="2676"/>
      <c r="F704" s="86"/>
      <c r="G704" s="11">
        <f>+H711</f>
        <v>7646580</v>
      </c>
      <c r="H704" s="1015">
        <v>7346716</v>
      </c>
      <c r="I704" s="1874"/>
      <c r="J704" s="1874"/>
      <c r="K704" s="1874"/>
      <c r="L704" s="1874"/>
      <c r="M704" s="1874"/>
      <c r="N704" s="1874"/>
      <c r="O704" s="1874"/>
      <c r="P704" s="1874"/>
      <c r="Q704" s="1874"/>
    </row>
    <row r="705" spans="2:17" ht="18">
      <c r="B705" s="2639" t="s">
        <v>1007</v>
      </c>
      <c r="C705" s="2602"/>
      <c r="D705" s="2602"/>
      <c r="E705" s="2676"/>
      <c r="F705" s="86"/>
      <c r="G705" s="11">
        <v>729210</v>
      </c>
      <c r="H705" s="1015">
        <v>719981</v>
      </c>
      <c r="I705" s="1874"/>
      <c r="J705" s="1874"/>
      <c r="K705" s="1874"/>
      <c r="L705" s="1874"/>
      <c r="M705" s="1874"/>
      <c r="N705" s="1874"/>
      <c r="O705" s="1874"/>
      <c r="P705" s="1874"/>
      <c r="Q705" s="1874"/>
    </row>
    <row r="706" spans="2:17" ht="18">
      <c r="B706" s="2639" t="s">
        <v>1008</v>
      </c>
      <c r="C706" s="2602"/>
      <c r="D706" s="2602"/>
      <c r="E706" s="2676"/>
      <c r="F706" s="2899"/>
      <c r="G706" s="11">
        <v>0</v>
      </c>
      <c r="H706" s="1015">
        <v>0</v>
      </c>
      <c r="I706" s="1874"/>
      <c r="J706" s="1874"/>
      <c r="K706" s="1874"/>
      <c r="L706" s="1874"/>
      <c r="M706" s="1874"/>
      <c r="N706" s="1874"/>
      <c r="O706" s="1874"/>
      <c r="P706" s="1874"/>
      <c r="Q706" s="1874"/>
    </row>
    <row r="707" spans="2:17" ht="18">
      <c r="B707" s="2639" t="s">
        <v>1009</v>
      </c>
      <c r="C707" s="2602"/>
      <c r="D707" s="2602"/>
      <c r="E707" s="2676"/>
      <c r="F707" s="2899"/>
      <c r="G707" s="11">
        <v>571964</v>
      </c>
      <c r="H707" s="1015">
        <v>534106</v>
      </c>
      <c r="I707" s="1874"/>
      <c r="J707" s="1874"/>
      <c r="K707" s="1874"/>
      <c r="L707" s="1874"/>
      <c r="M707" s="1874"/>
      <c r="N707" s="1874"/>
      <c r="O707" s="1874"/>
      <c r="P707" s="1874"/>
      <c r="Q707" s="1874"/>
    </row>
    <row r="708" spans="2:17" ht="18">
      <c r="B708" s="2639" t="s">
        <v>1010</v>
      </c>
      <c r="C708" s="2602"/>
      <c r="D708" s="2602"/>
      <c r="E708" s="2676"/>
      <c r="F708" s="2899"/>
      <c r="G708" s="11">
        <f>120547</f>
        <v>120547</v>
      </c>
      <c r="H708" s="1015">
        <v>-115003</v>
      </c>
      <c r="I708" s="1874"/>
      <c r="J708" s="1874"/>
      <c r="K708" s="1874"/>
      <c r="L708" s="1874"/>
      <c r="M708" s="1874"/>
      <c r="N708" s="1874"/>
      <c r="O708" s="1874"/>
      <c r="P708" s="1874"/>
      <c r="Q708" s="1874"/>
    </row>
    <row r="709" spans="2:17" ht="18">
      <c r="B709" s="2639" t="s">
        <v>1011</v>
      </c>
      <c r="C709" s="2602"/>
      <c r="D709" s="2602"/>
      <c r="E709" s="2676"/>
      <c r="F709" s="2899"/>
      <c r="G709" s="11">
        <v>-449862</v>
      </c>
      <c r="H709" s="1015">
        <v>-448327</v>
      </c>
      <c r="I709" s="1874"/>
      <c r="J709" s="1874"/>
      <c r="K709" s="1874"/>
      <c r="L709" s="1874"/>
      <c r="M709" s="1874"/>
      <c r="N709" s="1874"/>
      <c r="O709" s="1874"/>
      <c r="P709" s="1874"/>
      <c r="Q709" s="1874"/>
    </row>
    <row r="710" spans="2:17" ht="18">
      <c r="B710" s="2639" t="s">
        <v>1012</v>
      </c>
      <c r="C710" s="2602"/>
      <c r="D710" s="2602"/>
      <c r="E710" s="2676"/>
      <c r="F710" s="2899"/>
      <c r="G710" s="11">
        <v>-1628089</v>
      </c>
      <c r="H710" s="1015">
        <v>-390893</v>
      </c>
      <c r="I710" s="1874"/>
      <c r="J710" s="1874"/>
      <c r="K710" s="1874"/>
      <c r="L710" s="1874"/>
      <c r="M710" s="1874"/>
      <c r="N710" s="1874"/>
      <c r="O710" s="1874"/>
      <c r="P710" s="1874"/>
      <c r="Q710" s="1874"/>
    </row>
    <row r="711" spans="2:17" ht="18">
      <c r="B711" s="2632" t="s">
        <v>1013</v>
      </c>
      <c r="C711" s="2602"/>
      <c r="D711" s="2602"/>
      <c r="E711" s="2676"/>
      <c r="F711" s="80"/>
      <c r="G711" s="1268">
        <f>+SUM(G704:G710)</f>
        <v>6990350</v>
      </c>
      <c r="H711" s="1455">
        <f>+SUM(H704:H710)</f>
        <v>7646580</v>
      </c>
      <c r="I711" s="1998"/>
      <c r="J711" s="1998"/>
      <c r="K711" s="1998"/>
      <c r="L711" s="1998"/>
      <c r="M711" s="1998"/>
      <c r="N711" s="1998"/>
      <c r="O711" s="1998"/>
      <c r="P711" s="1998"/>
      <c r="Q711" s="1998"/>
    </row>
    <row r="712" spans="2:17" ht="18">
      <c r="B712" s="2639" t="s">
        <v>1014</v>
      </c>
      <c r="C712" s="2602"/>
      <c r="D712" s="2602"/>
      <c r="E712" s="2676"/>
      <c r="F712" s="2899"/>
      <c r="G712" s="11"/>
      <c r="H712" s="1015"/>
      <c r="I712" s="1874"/>
      <c r="J712" s="1874"/>
      <c r="K712" s="1874"/>
      <c r="L712" s="1874"/>
      <c r="M712" s="1874"/>
      <c r="N712" s="1874"/>
      <c r="O712" s="1874"/>
      <c r="P712" s="1874"/>
      <c r="Q712" s="1874"/>
    </row>
    <row r="713" spans="2:17" ht="18">
      <c r="B713" s="2639" t="s">
        <v>1015</v>
      </c>
      <c r="C713" s="2602"/>
      <c r="D713" s="2602"/>
      <c r="E713" s="2676"/>
      <c r="F713" s="86"/>
      <c r="G713" s="11">
        <f>+H718</f>
        <v>5527056</v>
      </c>
      <c r="H713" s="1015">
        <v>5262294</v>
      </c>
      <c r="I713" s="1874"/>
      <c r="J713" s="1874"/>
      <c r="K713" s="1874"/>
      <c r="L713" s="1874"/>
      <c r="M713" s="1874"/>
      <c r="N713" s="1874"/>
      <c r="O713" s="1874"/>
      <c r="P713" s="1874"/>
      <c r="Q713" s="1874"/>
    </row>
    <row r="714" spans="2:17" ht="18">
      <c r="B714" s="2639" t="s">
        <v>1016</v>
      </c>
      <c r="C714" s="2602"/>
      <c r="D714" s="2602"/>
      <c r="E714" s="2676"/>
      <c r="F714" s="2899"/>
      <c r="G714" s="11">
        <f>413424</f>
        <v>413424</v>
      </c>
      <c r="H714" s="1015">
        <f>382569</f>
        <v>382569</v>
      </c>
      <c r="I714" s="1874"/>
      <c r="J714" s="1874"/>
      <c r="K714" s="1874"/>
      <c r="L714" s="1874"/>
      <c r="M714" s="1874"/>
      <c r="N714" s="1874"/>
      <c r="O714" s="1874"/>
      <c r="P714" s="1874"/>
      <c r="Q714" s="1874"/>
    </row>
    <row r="715" spans="2:17" ht="18">
      <c r="B715" s="2639" t="s">
        <v>1017</v>
      </c>
      <c r="C715" s="2602"/>
      <c r="D715" s="2602"/>
      <c r="E715" s="2676"/>
      <c r="F715" s="2899"/>
      <c r="G715" s="11">
        <v>-56379</v>
      </c>
      <c r="H715" s="1015">
        <v>-52475</v>
      </c>
      <c r="I715" s="1874"/>
      <c r="J715" s="1874"/>
      <c r="K715" s="1874"/>
      <c r="L715" s="1874"/>
      <c r="M715" s="1874"/>
      <c r="N715" s="1874"/>
      <c r="O715" s="1874"/>
      <c r="P715" s="1874"/>
      <c r="Q715" s="1874"/>
    </row>
    <row r="716" spans="2:17" ht="18">
      <c r="B716" s="2639" t="s">
        <v>1018</v>
      </c>
      <c r="C716" s="2602"/>
      <c r="D716" s="2602"/>
      <c r="E716" s="2676"/>
      <c r="F716" s="2899"/>
      <c r="G716" s="11">
        <v>227418</v>
      </c>
      <c r="H716" s="1015">
        <v>382995</v>
      </c>
      <c r="I716" s="1874"/>
      <c r="J716" s="1874"/>
      <c r="K716" s="1874"/>
      <c r="L716" s="1874"/>
      <c r="M716" s="1874"/>
      <c r="N716" s="1874"/>
      <c r="O716" s="1874"/>
      <c r="P716" s="1874"/>
      <c r="Q716" s="1874"/>
    </row>
    <row r="717" spans="2:17" ht="18">
      <c r="B717" s="2639" t="s">
        <v>1011</v>
      </c>
      <c r="C717" s="2602"/>
      <c r="D717" s="2602"/>
      <c r="E717" s="2676"/>
      <c r="F717" s="2899"/>
      <c r="G717" s="11">
        <v>-449862</v>
      </c>
      <c r="H717" s="1015">
        <v>-448327</v>
      </c>
      <c r="I717" s="1874"/>
      <c r="J717" s="1874"/>
      <c r="K717" s="1874"/>
      <c r="L717" s="1874"/>
      <c r="M717" s="1874"/>
      <c r="N717" s="1874"/>
      <c r="O717" s="1874"/>
      <c r="P717" s="1874"/>
      <c r="Q717" s="1874"/>
    </row>
    <row r="718" spans="2:17" ht="18">
      <c r="B718" s="2632" t="s">
        <v>1019</v>
      </c>
      <c r="C718" s="2602"/>
      <c r="D718" s="2602"/>
      <c r="E718" s="2676"/>
      <c r="F718" s="80"/>
      <c r="G718" s="1268">
        <f>+SUM(G713:G717)</f>
        <v>5661657</v>
      </c>
      <c r="H718" s="1455">
        <f>+SUM(H713:H717)</f>
        <v>5527056</v>
      </c>
      <c r="I718" s="1998"/>
      <c r="J718" s="1998"/>
      <c r="K718" s="1998"/>
      <c r="L718" s="1998"/>
      <c r="M718" s="1998"/>
      <c r="N718" s="1998"/>
      <c r="O718" s="1998"/>
      <c r="P718" s="1998"/>
      <c r="Q718" s="1998"/>
    </row>
    <row r="719" spans="2:17" ht="18">
      <c r="B719" s="2632" t="s">
        <v>1005</v>
      </c>
      <c r="C719" s="2900"/>
      <c r="D719" s="2900"/>
      <c r="E719" s="2900"/>
      <c r="F719" s="2901"/>
      <c r="G719" s="11"/>
      <c r="H719" s="1015"/>
      <c r="I719" s="1874"/>
      <c r="J719" s="1874"/>
      <c r="K719" s="1874"/>
      <c r="L719" s="1874"/>
      <c r="M719" s="1874"/>
      <c r="N719" s="1874"/>
      <c r="O719" s="1874"/>
      <c r="P719" s="1874"/>
      <c r="Q719" s="1874"/>
    </row>
    <row r="720" spans="2:17" ht="18">
      <c r="B720" s="2639" t="s">
        <v>1020</v>
      </c>
      <c r="C720" s="2602"/>
      <c r="D720" s="2602"/>
      <c r="E720" s="2676"/>
      <c r="F720" s="2899"/>
      <c r="G720" s="11">
        <f>-G718</f>
        <v>-5661657</v>
      </c>
      <c r="H720" s="1015">
        <f>-H718</f>
        <v>-5527056</v>
      </c>
      <c r="I720" s="1874"/>
      <c r="J720" s="1874"/>
      <c r="K720" s="1874"/>
      <c r="L720" s="1874"/>
      <c r="M720" s="1874"/>
      <c r="N720" s="1874"/>
      <c r="O720" s="1874"/>
      <c r="P720" s="1874"/>
      <c r="Q720" s="1874"/>
    </row>
    <row r="721" spans="2:17" ht="18">
      <c r="B721" s="2902" t="s">
        <v>1021</v>
      </c>
      <c r="C721" s="2602"/>
      <c r="D721" s="2602"/>
      <c r="E721" s="2676"/>
      <c r="F721" s="2899"/>
      <c r="G721" s="110">
        <f>+G711</f>
        <v>6990350</v>
      </c>
      <c r="H721" s="1165">
        <f>+H711</f>
        <v>7646580</v>
      </c>
      <c r="I721" s="123"/>
      <c r="J721" s="123"/>
      <c r="K721" s="123"/>
      <c r="L721" s="123"/>
      <c r="M721" s="123"/>
      <c r="N721" s="123"/>
      <c r="O721" s="123"/>
      <c r="P721" s="123"/>
      <c r="Q721" s="123"/>
    </row>
    <row r="722" spans="2:17" ht="18">
      <c r="B722" s="2903" t="s">
        <v>1022</v>
      </c>
      <c r="C722" s="2602"/>
      <c r="D722" s="2602"/>
      <c r="E722" s="2676"/>
      <c r="F722" s="111"/>
      <c r="G722" s="1489">
        <f>+SUM(G720:G721)</f>
        <v>1328693</v>
      </c>
      <c r="H722" s="1490">
        <f>+SUM(H720:H721)</f>
        <v>2119524</v>
      </c>
      <c r="I722" s="2023"/>
      <c r="J722" s="2023"/>
      <c r="K722" s="2023"/>
      <c r="L722" s="2023"/>
      <c r="M722" s="2023"/>
      <c r="N722" s="2023"/>
      <c r="O722" s="2023"/>
      <c r="P722" s="2023"/>
      <c r="Q722" s="2023"/>
    </row>
    <row r="723" spans="2:17" ht="18">
      <c r="B723" s="2639" t="s">
        <v>1023</v>
      </c>
      <c r="C723" s="2602"/>
      <c r="D723" s="2602"/>
      <c r="E723" s="2676"/>
      <c r="F723" s="2899"/>
      <c r="G723" s="11"/>
      <c r="H723" s="1015"/>
      <c r="I723" s="1874"/>
      <c r="J723" s="1874"/>
      <c r="K723" s="1874"/>
      <c r="L723" s="1874"/>
      <c r="M723" s="1874"/>
      <c r="N723" s="1874"/>
      <c r="O723" s="1874"/>
      <c r="P723" s="1874"/>
      <c r="Q723" s="1874"/>
    </row>
    <row r="724" spans="2:17" ht="18">
      <c r="B724" s="2639" t="s">
        <v>1007</v>
      </c>
      <c r="C724" s="2602"/>
      <c r="D724" s="2602"/>
      <c r="E724" s="2676"/>
      <c r="F724" s="2899"/>
      <c r="G724" s="11">
        <f t="shared" ref="G724:H726" si="19">+G705</f>
        <v>729210</v>
      </c>
      <c r="H724" s="1015">
        <f t="shared" si="19"/>
        <v>719981</v>
      </c>
      <c r="I724" s="1874"/>
      <c r="J724" s="1874"/>
      <c r="K724" s="1874"/>
      <c r="L724" s="1874"/>
      <c r="M724" s="1874"/>
      <c r="N724" s="1874"/>
      <c r="O724" s="1874"/>
      <c r="P724" s="1874"/>
      <c r="Q724" s="1874"/>
    </row>
    <row r="725" spans="2:17" ht="18">
      <c r="B725" s="2639" t="s">
        <v>1008</v>
      </c>
      <c r="C725" s="2602"/>
      <c r="D725" s="2602"/>
      <c r="E725" s="2676"/>
      <c r="F725" s="2899"/>
      <c r="G725" s="11">
        <f t="shared" si="19"/>
        <v>0</v>
      </c>
      <c r="H725" s="1015">
        <f t="shared" si="19"/>
        <v>0</v>
      </c>
      <c r="I725" s="1874"/>
      <c r="J725" s="1874"/>
      <c r="K725" s="1874"/>
      <c r="L725" s="1874"/>
      <c r="M725" s="1874"/>
      <c r="N725" s="1874"/>
      <c r="O725" s="1874"/>
      <c r="P725" s="1874"/>
      <c r="Q725" s="1874"/>
    </row>
    <row r="726" spans="2:17" ht="18">
      <c r="B726" s="2639" t="s">
        <v>1009</v>
      </c>
      <c r="C726" s="2602"/>
      <c r="D726" s="2602"/>
      <c r="E726" s="2676"/>
      <c r="F726" s="2899"/>
      <c r="G726" s="11">
        <f t="shared" si="19"/>
        <v>571964</v>
      </c>
      <c r="H726" s="1015">
        <f t="shared" si="19"/>
        <v>534106</v>
      </c>
      <c r="I726" s="1874"/>
      <c r="J726" s="1874"/>
      <c r="K726" s="1874"/>
      <c r="L726" s="1874"/>
      <c r="M726" s="1874"/>
      <c r="N726" s="1874"/>
      <c r="O726" s="1874"/>
      <c r="P726" s="1874"/>
      <c r="Q726" s="1874"/>
    </row>
    <row r="727" spans="2:17" ht="18">
      <c r="B727" s="2639" t="s">
        <v>1016</v>
      </c>
      <c r="C727" s="2602"/>
      <c r="D727" s="2602"/>
      <c r="E727" s="2676"/>
      <c r="F727" s="2899"/>
      <c r="G727" s="11">
        <f>-G714</f>
        <v>-413424</v>
      </c>
      <c r="H727" s="1015">
        <f>-H714</f>
        <v>-382569</v>
      </c>
      <c r="I727" s="1874"/>
      <c r="J727" s="1874"/>
      <c r="K727" s="1874"/>
      <c r="L727" s="1874"/>
      <c r="M727" s="1874"/>
      <c r="N727" s="1874"/>
      <c r="O727" s="1874"/>
      <c r="P727" s="1874"/>
      <c r="Q727" s="1874"/>
    </row>
    <row r="728" spans="2:17" ht="18">
      <c r="B728" s="2639" t="s">
        <v>1010</v>
      </c>
      <c r="C728" s="2602"/>
      <c r="D728" s="2602"/>
      <c r="E728" s="2676"/>
      <c r="F728" s="2899"/>
      <c r="G728" s="11">
        <f>+G710+G708-G715</f>
        <v>-1451163</v>
      </c>
      <c r="H728" s="1015">
        <f>+H710+H708-H715</f>
        <v>-453421</v>
      </c>
      <c r="I728" s="1874"/>
      <c r="J728" s="1874"/>
      <c r="K728" s="1874"/>
      <c r="L728" s="1874"/>
      <c r="M728" s="1874"/>
      <c r="N728" s="1874"/>
      <c r="O728" s="1874"/>
      <c r="P728" s="1874"/>
      <c r="Q728" s="1874"/>
    </row>
    <row r="729" spans="2:17" ht="18">
      <c r="B729" s="2632" t="s">
        <v>1024</v>
      </c>
      <c r="C729" s="2602"/>
      <c r="D729" s="2602"/>
      <c r="E729" s="2676"/>
      <c r="F729" s="80"/>
      <c r="G729" s="1268">
        <f>+SUM(G724:G728)</f>
        <v>-563413</v>
      </c>
      <c r="H729" s="1455">
        <f>+SUM(H724:H728)</f>
        <v>418097</v>
      </c>
      <c r="I729" s="1998"/>
      <c r="J729" s="1998"/>
      <c r="K729" s="1998"/>
      <c r="L729" s="1998"/>
      <c r="M729" s="1998"/>
      <c r="N729" s="1998"/>
      <c r="O729" s="1998"/>
      <c r="P729" s="1998"/>
      <c r="Q729" s="1998"/>
    </row>
    <row r="730" spans="2:17" ht="18">
      <c r="B730" s="2639" t="s">
        <v>1025</v>
      </c>
      <c r="C730" s="2602"/>
      <c r="D730" s="2602"/>
      <c r="E730" s="2676"/>
      <c r="F730" s="2899"/>
      <c r="G730" s="11"/>
      <c r="H730" s="1015"/>
      <c r="I730" s="1874"/>
      <c r="J730" s="1874"/>
      <c r="K730" s="1874"/>
      <c r="L730" s="1874"/>
      <c r="M730" s="1874"/>
      <c r="N730" s="1874"/>
      <c r="O730" s="1874"/>
      <c r="P730" s="1874"/>
      <c r="Q730" s="1874"/>
    </row>
    <row r="731" spans="2:17" ht="18">
      <c r="B731" s="2639" t="s">
        <v>1026</v>
      </c>
      <c r="C731" s="2602"/>
      <c r="D731" s="2602"/>
      <c r="E731" s="2676"/>
      <c r="F731" s="2899"/>
      <c r="G731" s="112">
        <v>7.22E-2</v>
      </c>
      <c r="H731" s="1167">
        <v>7.4800000000000005E-2</v>
      </c>
      <c r="I731" s="2024"/>
      <c r="J731" s="2024"/>
      <c r="K731" s="2024"/>
      <c r="L731" s="2024"/>
      <c r="M731" s="2024"/>
      <c r="N731" s="2024"/>
      <c r="O731" s="2024"/>
      <c r="P731" s="2024"/>
      <c r="Q731" s="2024"/>
    </row>
    <row r="732" spans="2:17" ht="18">
      <c r="B732" s="2639" t="s">
        <v>1027</v>
      </c>
      <c r="C732" s="2602"/>
      <c r="D732" s="2602"/>
      <c r="E732" s="2676"/>
      <c r="F732" s="2899"/>
      <c r="G732" s="112">
        <v>7.22E-2</v>
      </c>
      <c r="H732" s="1167">
        <v>7.4800000000000005E-2</v>
      </c>
      <c r="I732" s="2024"/>
      <c r="J732" s="2024"/>
      <c r="K732" s="2024"/>
      <c r="L732" s="2024"/>
      <c r="M732" s="2024"/>
      <c r="N732" s="2024"/>
      <c r="O732" s="2024"/>
      <c r="P732" s="2024"/>
      <c r="Q732" s="2024"/>
    </row>
    <row r="733" spans="2:17" ht="18">
      <c r="B733" s="2861" t="s">
        <v>1028</v>
      </c>
      <c r="C733" s="2599"/>
      <c r="D733" s="2599"/>
      <c r="E733" s="2692"/>
      <c r="F733" s="2895"/>
      <c r="G733" s="113">
        <v>0.06</v>
      </c>
      <c r="H733" s="1168">
        <v>0.06</v>
      </c>
      <c r="I733" s="2024"/>
      <c r="J733" s="2024"/>
      <c r="K733" s="2024"/>
      <c r="L733" s="2024"/>
      <c r="M733" s="2024"/>
      <c r="N733" s="2024"/>
      <c r="O733" s="2024"/>
      <c r="P733" s="2024"/>
      <c r="Q733" s="2024"/>
    </row>
    <row r="734" spans="2:17" ht="18">
      <c r="B734" s="2861" t="s">
        <v>1029</v>
      </c>
      <c r="C734" s="2599"/>
      <c r="D734" s="2599"/>
      <c r="E734" s="2692"/>
      <c r="F734" s="114"/>
      <c r="G734" s="113">
        <f>+SUM(G731:G733)</f>
        <v>0.2044</v>
      </c>
      <c r="H734" s="1168">
        <f>+SUM(H731:H733)</f>
        <v>0.20960000000000001</v>
      </c>
      <c r="I734" s="2024"/>
      <c r="J734" s="2024"/>
      <c r="K734" s="2024"/>
      <c r="L734" s="2024"/>
      <c r="M734" s="2024"/>
      <c r="N734" s="2024"/>
      <c r="O734" s="2024"/>
      <c r="P734" s="2024"/>
      <c r="Q734" s="2024"/>
    </row>
    <row r="735" spans="2:17" ht="18">
      <c r="B735" s="2894" t="s">
        <v>1030</v>
      </c>
      <c r="C735" s="2599"/>
      <c r="D735" s="2599"/>
      <c r="E735" s="2692"/>
      <c r="F735" s="115"/>
      <c r="G735" s="116">
        <f>G714+G715</f>
        <v>357045</v>
      </c>
      <c r="H735" s="1169">
        <f>H714+H715</f>
        <v>330094</v>
      </c>
      <c r="I735" s="2004"/>
      <c r="J735" s="2004"/>
      <c r="K735" s="2004"/>
      <c r="L735" s="2004"/>
      <c r="M735" s="2004"/>
      <c r="N735" s="2004"/>
      <c r="O735" s="2004"/>
      <c r="P735" s="2004"/>
      <c r="Q735" s="2004"/>
    </row>
    <row r="736" spans="2:17" ht="18">
      <c r="B736" s="2904"/>
      <c r="C736" s="2905"/>
      <c r="D736" s="2905"/>
      <c r="E736" s="2905"/>
      <c r="F736" s="2905"/>
      <c r="G736" s="1151"/>
      <c r="H736" s="1152"/>
      <c r="I736" s="103"/>
      <c r="J736" s="103"/>
      <c r="K736" s="103"/>
      <c r="L736" s="103"/>
      <c r="M736" s="103"/>
      <c r="N736" s="103"/>
      <c r="O736" s="103"/>
      <c r="P736" s="103"/>
      <c r="Q736" s="103"/>
    </row>
    <row r="737" spans="2:17" ht="18">
      <c r="B737" s="1049" t="s">
        <v>1031</v>
      </c>
      <c r="C737" s="24"/>
      <c r="D737" s="24"/>
      <c r="E737" s="2631"/>
      <c r="F737" s="2631"/>
      <c r="G737" s="21"/>
      <c r="H737" s="1032"/>
      <c r="I737" s="21"/>
      <c r="J737" s="21"/>
      <c r="K737" s="21"/>
      <c r="L737" s="21"/>
      <c r="M737" s="21"/>
      <c r="N737" s="21"/>
      <c r="O737" s="21"/>
      <c r="P737" s="21"/>
      <c r="Q737" s="21"/>
    </row>
    <row r="738" spans="2:17" ht="18">
      <c r="B738" s="2696" t="s">
        <v>1032</v>
      </c>
      <c r="C738" s="2695"/>
      <c r="D738" s="2695"/>
      <c r="E738" s="2695"/>
      <c r="F738" s="2695"/>
      <c r="G738" s="120"/>
      <c r="H738" s="1172"/>
      <c r="I738" s="120"/>
      <c r="J738" s="120"/>
      <c r="K738" s="120"/>
      <c r="L738" s="120"/>
      <c r="M738" s="120"/>
      <c r="N738" s="120"/>
      <c r="O738" s="120"/>
      <c r="P738" s="120"/>
      <c r="Q738" s="120"/>
    </row>
    <row r="739" spans="2:17" ht="18">
      <c r="B739" s="2693" t="s">
        <v>2665</v>
      </c>
      <c r="C739" s="2906"/>
      <c r="D739" s="2906"/>
      <c r="E739" s="2906"/>
      <c r="F739" s="2906"/>
      <c r="G739" s="117"/>
      <c r="H739" s="1173"/>
      <c r="I739" s="117"/>
      <c r="J739" s="117"/>
      <c r="K739" s="117"/>
      <c r="L739" s="117"/>
      <c r="M739" s="117"/>
      <c r="N739" s="117"/>
      <c r="O739" s="117"/>
      <c r="P739" s="117"/>
      <c r="Q739" s="117"/>
    </row>
    <row r="740" spans="2:17" ht="18">
      <c r="B740" s="2655" t="s">
        <v>2753</v>
      </c>
      <c r="C740" s="2656"/>
      <c r="D740" s="2656"/>
      <c r="E740" s="2656"/>
      <c r="F740" s="2656"/>
      <c r="G740" s="2656"/>
      <c r="H740" s="2907"/>
      <c r="I740" s="2657"/>
      <c r="J740" s="2657"/>
      <c r="K740" s="2657"/>
      <c r="L740" s="2657"/>
      <c r="M740" s="2657"/>
      <c r="N740" s="2657"/>
      <c r="O740" s="2657"/>
      <c r="P740" s="2657"/>
      <c r="Q740" s="2657"/>
    </row>
    <row r="741" spans="2:17" ht="18">
      <c r="B741" s="2655"/>
      <c r="C741" s="2656"/>
      <c r="D741" s="2656"/>
      <c r="E741" s="2656"/>
      <c r="F741" s="2656"/>
      <c r="G741" s="2656"/>
      <c r="H741" s="2907"/>
      <c r="I741" s="2657"/>
      <c r="J741" s="2657"/>
      <c r="K741" s="2657"/>
      <c r="L741" s="2657"/>
      <c r="M741" s="2657"/>
      <c r="N741" s="2657"/>
      <c r="O741" s="2657"/>
      <c r="P741" s="2657"/>
      <c r="Q741" s="2657"/>
    </row>
    <row r="742" spans="2:17" ht="18">
      <c r="B742" s="2655"/>
      <c r="C742" s="2656"/>
      <c r="D742" s="2656"/>
      <c r="E742" s="2656"/>
      <c r="F742" s="2656"/>
      <c r="G742" s="2656"/>
      <c r="H742" s="2907"/>
      <c r="I742" s="2657"/>
      <c r="J742" s="2657"/>
      <c r="K742" s="2657"/>
      <c r="L742" s="2657"/>
      <c r="M742" s="2657"/>
      <c r="N742" s="2657"/>
      <c r="O742" s="2657"/>
      <c r="P742" s="2657"/>
      <c r="Q742" s="2657"/>
    </row>
    <row r="743" spans="2:17" ht="18">
      <c r="B743" s="2655"/>
      <c r="C743" s="2656"/>
      <c r="D743" s="2656"/>
      <c r="E743" s="2656"/>
      <c r="F743" s="2656"/>
      <c r="G743" s="2656"/>
      <c r="H743" s="2907"/>
      <c r="I743" s="2657"/>
      <c r="J743" s="2657"/>
      <c r="K743" s="2657"/>
      <c r="L743" s="2657"/>
      <c r="M743" s="2657"/>
      <c r="N743" s="2657"/>
      <c r="O743" s="2657"/>
      <c r="P743" s="2657"/>
      <c r="Q743" s="2657"/>
    </row>
    <row r="744" spans="2:17" ht="19.2" customHeight="1">
      <c r="B744" s="2655"/>
      <c r="C744" s="2656"/>
      <c r="D744" s="2656"/>
      <c r="E744" s="2656"/>
      <c r="F744" s="2656"/>
      <c r="G744" s="2656"/>
      <c r="H744" s="2907"/>
      <c r="I744" s="2657"/>
      <c r="J744" s="2657"/>
      <c r="K744" s="2657"/>
      <c r="L744" s="2657"/>
      <c r="M744" s="2657"/>
      <c r="N744" s="2657"/>
      <c r="O744" s="2657"/>
      <c r="P744" s="2657"/>
      <c r="Q744" s="2657"/>
    </row>
    <row r="745" spans="2:17" ht="18">
      <c r="B745" s="1076" t="s">
        <v>1033</v>
      </c>
      <c r="C745" s="24"/>
      <c r="D745" s="24"/>
      <c r="E745" s="2616"/>
      <c r="F745" s="2616"/>
      <c r="G745" s="103"/>
      <c r="H745" s="1020"/>
      <c r="I745" s="103"/>
      <c r="J745" s="103"/>
      <c r="K745" s="103"/>
      <c r="L745" s="103"/>
      <c r="M745" s="103"/>
      <c r="N745" s="103"/>
      <c r="O745" s="103"/>
      <c r="P745" s="103"/>
      <c r="Q745" s="103"/>
    </row>
    <row r="746" spans="2:17" ht="18">
      <c r="B746" s="2757" t="s">
        <v>2897</v>
      </c>
      <c r="C746" s="2758"/>
      <c r="D746" s="2758"/>
      <c r="E746" s="2758"/>
      <c r="F746" s="2758"/>
      <c r="G746" s="2758"/>
      <c r="H746" s="2908"/>
      <c r="I746" s="2909"/>
      <c r="J746" s="2909"/>
      <c r="K746" s="2909"/>
      <c r="L746" s="2909"/>
      <c r="M746" s="2909"/>
      <c r="N746" s="2909"/>
      <c r="O746" s="2909"/>
      <c r="P746" s="2909"/>
      <c r="Q746" s="2909"/>
    </row>
    <row r="747" spans="2:17" ht="18">
      <c r="B747" s="2757"/>
      <c r="C747" s="2758"/>
      <c r="D747" s="2758"/>
      <c r="E747" s="2758"/>
      <c r="F747" s="2758"/>
      <c r="G747" s="2758"/>
      <c r="H747" s="2908"/>
      <c r="I747" s="2909"/>
      <c r="J747" s="2909"/>
      <c r="K747" s="2909"/>
      <c r="L747" s="2909"/>
      <c r="M747" s="2909"/>
      <c r="N747" s="2909"/>
      <c r="O747" s="2909"/>
      <c r="P747" s="2909"/>
      <c r="Q747" s="2909"/>
    </row>
    <row r="748" spans="2:17" ht="18">
      <c r="B748" s="2757"/>
      <c r="C748" s="2758"/>
      <c r="D748" s="2758"/>
      <c r="E748" s="2758"/>
      <c r="F748" s="2758"/>
      <c r="G748" s="2758"/>
      <c r="H748" s="2908"/>
      <c r="I748" s="2909"/>
      <c r="J748" s="2909"/>
      <c r="K748" s="2909"/>
      <c r="L748" s="2909"/>
      <c r="M748" s="2909"/>
      <c r="N748" s="2909"/>
      <c r="O748" s="2909"/>
      <c r="P748" s="2909"/>
      <c r="Q748" s="2909"/>
    </row>
    <row r="749" spans="2:17" ht="18.600000000000001" thickBot="1">
      <c r="B749" s="2910"/>
      <c r="C749" s="2911"/>
      <c r="D749" s="2911"/>
      <c r="E749" s="2911"/>
      <c r="F749" s="2911"/>
      <c r="G749" s="2911"/>
      <c r="H749" s="2912"/>
      <c r="I749" s="2909"/>
      <c r="J749" s="2909"/>
      <c r="K749" s="2909"/>
      <c r="L749" s="2909"/>
      <c r="M749" s="2909"/>
      <c r="N749" s="2909"/>
      <c r="O749" s="2909"/>
      <c r="P749" s="2909"/>
      <c r="Q749" s="2909"/>
    </row>
    <row r="750" spans="2:17" ht="18">
      <c r="B750" s="2274" t="s">
        <v>702</v>
      </c>
      <c r="C750" s="2275"/>
      <c r="D750" s="2275"/>
      <c r="E750" s="2275"/>
      <c r="F750" s="2275"/>
      <c r="G750" s="2275"/>
      <c r="H750" s="2276"/>
      <c r="I750" s="1879"/>
      <c r="J750" s="1879"/>
      <c r="K750" s="1879"/>
      <c r="L750" s="1879"/>
      <c r="M750" s="1879"/>
      <c r="N750" s="1879"/>
      <c r="O750" s="1879"/>
      <c r="P750" s="1879"/>
      <c r="Q750" s="1879"/>
    </row>
    <row r="751" spans="2:17" ht="18">
      <c r="B751" s="2251" t="s">
        <v>2117</v>
      </c>
      <c r="C751" s="2252"/>
      <c r="D751" s="2252"/>
      <c r="E751" s="2252"/>
      <c r="F751" s="2252"/>
      <c r="G751" s="2252"/>
      <c r="H751" s="2253"/>
      <c r="I751" s="1879"/>
      <c r="J751" s="1879"/>
      <c r="K751" s="1879"/>
      <c r="L751" s="1879"/>
      <c r="M751" s="1879"/>
      <c r="N751" s="1879"/>
      <c r="O751" s="1879"/>
      <c r="P751" s="1879"/>
      <c r="Q751" s="1879"/>
    </row>
    <row r="752" spans="2:17" ht="18">
      <c r="B752" s="1076" t="s">
        <v>2666</v>
      </c>
      <c r="C752" s="56"/>
      <c r="D752" s="56"/>
      <c r="E752" s="2676"/>
      <c r="F752" s="2676"/>
      <c r="G752" s="26"/>
      <c r="H752" s="1034"/>
      <c r="I752" s="26"/>
      <c r="J752" s="26"/>
      <c r="K752" s="26"/>
      <c r="L752" s="26"/>
      <c r="M752" s="26"/>
      <c r="N752" s="26"/>
      <c r="O752" s="26"/>
      <c r="P752" s="26"/>
      <c r="Q752" s="26"/>
    </row>
    <row r="753" spans="2:17" ht="18">
      <c r="B753" s="1049"/>
      <c r="C753" s="25"/>
      <c r="D753" s="25"/>
      <c r="E753" s="2676"/>
      <c r="F753" s="2676"/>
      <c r="G753" s="26"/>
      <c r="H753" s="1034"/>
      <c r="I753" s="26"/>
      <c r="J753" s="26"/>
      <c r="K753" s="26"/>
      <c r="L753" s="26"/>
      <c r="M753" s="26"/>
      <c r="N753" s="26"/>
      <c r="O753" s="26"/>
      <c r="P753" s="26"/>
      <c r="Q753" s="26"/>
    </row>
    <row r="754" spans="2:17" ht="18">
      <c r="B754" s="2693" t="s">
        <v>1034</v>
      </c>
      <c r="C754" s="2695"/>
      <c r="D754" s="2695"/>
      <c r="E754" s="2676"/>
      <c r="F754" s="2676"/>
      <c r="G754" s="26"/>
      <c r="H754" s="1034"/>
      <c r="I754" s="26"/>
      <c r="J754" s="26"/>
      <c r="K754" s="26"/>
      <c r="L754" s="26"/>
      <c r="M754" s="26"/>
      <c r="N754" s="26"/>
      <c r="O754" s="26"/>
      <c r="P754" s="26"/>
      <c r="Q754" s="26"/>
    </row>
    <row r="755" spans="2:17" ht="18">
      <c r="B755" s="2696" t="s">
        <v>1035</v>
      </c>
      <c r="C755" s="2695"/>
      <c r="D755" s="2695"/>
      <c r="E755" s="2676"/>
      <c r="F755" s="2676"/>
      <c r="G755" s="26"/>
      <c r="H755" s="1034"/>
      <c r="I755" s="26"/>
      <c r="J755" s="26"/>
      <c r="K755" s="26"/>
      <c r="L755" s="26"/>
      <c r="M755" s="26"/>
      <c r="N755" s="26"/>
      <c r="O755" s="26"/>
      <c r="P755" s="26"/>
      <c r="Q755" s="26"/>
    </row>
    <row r="756" spans="2:17" ht="18">
      <c r="B756" s="2696" t="s">
        <v>2754</v>
      </c>
      <c r="C756" s="2695"/>
      <c r="D756" s="2695"/>
      <c r="E756" s="2676"/>
      <c r="F756" s="2676"/>
      <c r="G756" s="26"/>
      <c r="H756" s="1034"/>
      <c r="I756" s="26"/>
      <c r="J756" s="26"/>
      <c r="K756" s="26"/>
      <c r="L756" s="26"/>
      <c r="M756" s="26"/>
      <c r="N756" s="26"/>
      <c r="O756" s="26"/>
      <c r="P756" s="26"/>
      <c r="Q756" s="26"/>
    </row>
    <row r="757" spans="2:17" ht="18">
      <c r="B757" s="2696" t="s">
        <v>1037</v>
      </c>
      <c r="C757" s="2695"/>
      <c r="D757" s="2695"/>
      <c r="E757" s="2676"/>
      <c r="F757" s="2676"/>
      <c r="G757" s="26"/>
      <c r="H757" s="1034"/>
      <c r="I757" s="26"/>
      <c r="J757" s="26"/>
      <c r="K757" s="26"/>
      <c r="L757" s="26"/>
      <c r="M757" s="26"/>
      <c r="N757" s="26"/>
      <c r="O757" s="26"/>
      <c r="P757" s="26"/>
      <c r="Q757" s="26"/>
    </row>
    <row r="758" spans="2:17" ht="18">
      <c r="B758" s="2696" t="s">
        <v>1038</v>
      </c>
      <c r="C758" s="2695"/>
      <c r="D758" s="2695"/>
      <c r="E758" s="2676"/>
      <c r="F758" s="2676"/>
      <c r="G758" s="26"/>
      <c r="H758" s="1034"/>
      <c r="I758" s="26"/>
      <c r="J758" s="26"/>
      <c r="K758" s="26"/>
      <c r="L758" s="26"/>
      <c r="M758" s="26"/>
      <c r="N758" s="26"/>
      <c r="O758" s="26"/>
      <c r="P758" s="26"/>
      <c r="Q758" s="26"/>
    </row>
    <row r="759" spans="2:17" ht="18">
      <c r="B759" s="2693" t="s">
        <v>1039</v>
      </c>
      <c r="C759" s="2695"/>
      <c r="D759" s="2695"/>
      <c r="E759" s="2676"/>
      <c r="F759" s="2676"/>
      <c r="G759" s="26"/>
      <c r="H759" s="1034"/>
      <c r="I759" s="26"/>
      <c r="J759" s="26"/>
      <c r="K759" s="26"/>
      <c r="L759" s="26"/>
      <c r="M759" s="26"/>
      <c r="N759" s="26"/>
      <c r="O759" s="26"/>
      <c r="P759" s="26"/>
      <c r="Q759" s="26"/>
    </row>
    <row r="760" spans="2:17" ht="18">
      <c r="B760" s="2696" t="s">
        <v>1040</v>
      </c>
      <c r="C760" s="2695"/>
      <c r="D760" s="2695"/>
      <c r="E760" s="2676"/>
      <c r="F760" s="2676"/>
      <c r="G760" s="26"/>
      <c r="H760" s="1034"/>
      <c r="I760" s="26"/>
      <c r="J760" s="26"/>
      <c r="K760" s="26"/>
      <c r="L760" s="26"/>
      <c r="M760" s="26"/>
      <c r="N760" s="26"/>
      <c r="O760" s="26"/>
      <c r="P760" s="26"/>
      <c r="Q760" s="26"/>
    </row>
    <row r="761" spans="2:17" ht="18">
      <c r="B761" s="2696" t="s">
        <v>1041</v>
      </c>
      <c r="C761" s="2695"/>
      <c r="D761" s="2695"/>
      <c r="E761" s="2676"/>
      <c r="F761" s="2676"/>
      <c r="G761" s="26"/>
      <c r="H761" s="1034"/>
      <c r="I761" s="26"/>
      <c r="J761" s="26"/>
      <c r="K761" s="26"/>
      <c r="L761" s="26"/>
      <c r="M761" s="26"/>
      <c r="N761" s="26"/>
      <c r="O761" s="26"/>
      <c r="P761" s="26"/>
      <c r="Q761" s="26"/>
    </row>
    <row r="762" spans="2:17" ht="18">
      <c r="B762" s="2696" t="s">
        <v>1042</v>
      </c>
      <c r="C762" s="2695"/>
      <c r="D762" s="2695"/>
      <c r="E762" s="2676"/>
      <c r="F762" s="2676"/>
      <c r="G762" s="26"/>
      <c r="H762" s="1034"/>
      <c r="I762" s="26"/>
      <c r="J762" s="26"/>
      <c r="K762" s="26"/>
      <c r="L762" s="26"/>
      <c r="M762" s="26"/>
      <c r="N762" s="26"/>
      <c r="O762" s="26"/>
      <c r="P762" s="26"/>
      <c r="Q762" s="26"/>
    </row>
    <row r="763" spans="2:17" ht="18">
      <c r="B763" s="2696" t="s">
        <v>1043</v>
      </c>
      <c r="C763" s="2695"/>
      <c r="D763" s="2695"/>
      <c r="E763" s="2676"/>
      <c r="F763" s="2676"/>
      <c r="G763" s="26"/>
      <c r="H763" s="1034"/>
      <c r="I763" s="26"/>
      <c r="J763" s="26"/>
      <c r="K763" s="26"/>
      <c r="L763" s="26"/>
      <c r="M763" s="26"/>
      <c r="N763" s="26"/>
      <c r="O763" s="26"/>
      <c r="P763" s="26"/>
      <c r="Q763" s="26"/>
    </row>
    <row r="764" spans="2:17" ht="18">
      <c r="B764" s="2696" t="s">
        <v>2697</v>
      </c>
      <c r="C764" s="2695"/>
      <c r="D764" s="2695"/>
      <c r="E764" s="2676"/>
      <c r="F764" s="2676"/>
      <c r="G764" s="26"/>
      <c r="H764" s="1034"/>
      <c r="I764" s="26"/>
      <c r="J764" s="26"/>
      <c r="K764" s="26"/>
      <c r="L764" s="26"/>
      <c r="M764" s="26"/>
      <c r="N764" s="26"/>
      <c r="O764" s="26"/>
      <c r="P764" s="26"/>
      <c r="Q764" s="26"/>
    </row>
    <row r="765" spans="2:17" ht="18">
      <c r="B765" s="2696" t="s">
        <v>2698</v>
      </c>
      <c r="C765" s="2695"/>
      <c r="D765" s="2695"/>
      <c r="E765" s="2676"/>
      <c r="F765" s="2676"/>
      <c r="G765" s="26"/>
      <c r="H765" s="1034"/>
      <c r="I765" s="26"/>
      <c r="J765" s="26"/>
      <c r="K765" s="26"/>
      <c r="L765" s="26"/>
      <c r="M765" s="26"/>
      <c r="N765" s="26"/>
      <c r="O765" s="26"/>
      <c r="P765" s="26"/>
      <c r="Q765" s="26"/>
    </row>
    <row r="766" spans="2:17" ht="18">
      <c r="B766" s="2696" t="s">
        <v>4762</v>
      </c>
      <c r="C766" s="2695"/>
      <c r="D766" s="2695"/>
      <c r="E766" s="2676"/>
      <c r="F766" s="2676"/>
      <c r="G766" s="26"/>
      <c r="H766" s="1034"/>
      <c r="I766" s="26"/>
      <c r="J766" s="26"/>
      <c r="K766" s="26"/>
      <c r="L766" s="26"/>
      <c r="M766" s="26"/>
      <c r="N766" s="26"/>
      <c r="O766" s="26"/>
      <c r="P766" s="26"/>
      <c r="Q766" s="26"/>
    </row>
    <row r="767" spans="2:17" ht="18">
      <c r="B767" s="2696"/>
      <c r="C767" s="2695"/>
      <c r="D767" s="2695"/>
      <c r="E767" s="2676"/>
      <c r="F767" s="2676"/>
      <c r="G767" s="26"/>
      <c r="H767" s="1034"/>
      <c r="I767" s="26"/>
      <c r="J767" s="26"/>
      <c r="K767" s="26"/>
      <c r="L767" s="26"/>
      <c r="M767" s="26"/>
      <c r="N767" s="26"/>
      <c r="O767" s="26"/>
      <c r="P767" s="26"/>
      <c r="Q767" s="26"/>
    </row>
    <row r="768" spans="2:17" ht="18">
      <c r="B768" s="1049" t="s">
        <v>1044</v>
      </c>
      <c r="C768" s="24"/>
      <c r="D768" s="24"/>
      <c r="E768" s="2676"/>
      <c r="F768" s="2676"/>
      <c r="G768" s="26"/>
      <c r="H768" s="1034"/>
      <c r="I768" s="26"/>
      <c r="J768" s="26"/>
      <c r="K768" s="26"/>
      <c r="L768" s="26"/>
      <c r="M768" s="26"/>
      <c r="N768" s="26"/>
      <c r="O768" s="26"/>
      <c r="P768" s="26"/>
      <c r="Q768" s="26"/>
    </row>
    <row r="769" spans="2:17" ht="18">
      <c r="B769" s="2693" t="s">
        <v>1045</v>
      </c>
      <c r="C769" s="2695"/>
      <c r="D769" s="2695"/>
      <c r="E769" s="2676"/>
      <c r="F769" s="2676"/>
      <c r="G769" s="26"/>
      <c r="H769" s="1034"/>
      <c r="I769" s="26"/>
      <c r="J769" s="26"/>
      <c r="K769" s="26"/>
      <c r="L769" s="26"/>
      <c r="M769" s="26"/>
      <c r="N769" s="26"/>
      <c r="O769" s="26"/>
      <c r="P769" s="26"/>
      <c r="Q769" s="26"/>
    </row>
    <row r="770" spans="2:17" ht="18">
      <c r="B770" s="2696" t="s">
        <v>1046</v>
      </c>
      <c r="C770" s="2695"/>
      <c r="D770" s="2695"/>
      <c r="E770" s="2695" t="s">
        <v>1047</v>
      </c>
      <c r="F770" s="2676"/>
      <c r="G770" s="26"/>
      <c r="H770" s="1034"/>
      <c r="I770" s="26"/>
      <c r="J770" s="26"/>
      <c r="K770" s="26"/>
      <c r="L770" s="26"/>
      <c r="M770" s="26"/>
      <c r="N770" s="26"/>
      <c r="O770" s="26"/>
      <c r="P770" s="26"/>
      <c r="Q770" s="26"/>
    </row>
    <row r="771" spans="2:17" ht="18">
      <c r="B771" s="2696" t="s">
        <v>1048</v>
      </c>
      <c r="C771" s="2695"/>
      <c r="D771" s="2695"/>
      <c r="E771" s="2695" t="s">
        <v>1049</v>
      </c>
      <c r="F771" s="2676"/>
      <c r="G771" s="26"/>
      <c r="H771" s="1034"/>
      <c r="I771" s="26"/>
      <c r="J771" s="26"/>
      <c r="K771" s="26"/>
      <c r="L771" s="26"/>
      <c r="M771" s="26"/>
      <c r="N771" s="26"/>
      <c r="O771" s="26"/>
      <c r="P771" s="26"/>
      <c r="Q771" s="26"/>
    </row>
    <row r="772" spans="2:17" ht="18">
      <c r="B772" s="2696" t="s">
        <v>1050</v>
      </c>
      <c r="C772" s="2695"/>
      <c r="D772" s="2695"/>
      <c r="E772" s="2695" t="s">
        <v>1051</v>
      </c>
      <c r="F772" s="2676"/>
      <c r="G772" s="26"/>
      <c r="H772" s="1034"/>
      <c r="I772" s="26"/>
      <c r="J772" s="26"/>
      <c r="K772" s="26"/>
      <c r="L772" s="26"/>
      <c r="M772" s="26"/>
      <c r="N772" s="26"/>
      <c r="O772" s="26"/>
      <c r="P772" s="26"/>
      <c r="Q772" s="26"/>
    </row>
    <row r="773" spans="2:17" ht="18">
      <c r="B773" s="2696" t="s">
        <v>1052</v>
      </c>
      <c r="C773" s="2695"/>
      <c r="D773" s="2695"/>
      <c r="E773" s="2695" t="s">
        <v>1053</v>
      </c>
      <c r="F773" s="2676"/>
      <c r="G773" s="26"/>
      <c r="H773" s="1034"/>
      <c r="I773" s="26"/>
      <c r="J773" s="26"/>
      <c r="K773" s="26"/>
      <c r="L773" s="26"/>
      <c r="M773" s="26"/>
      <c r="N773" s="26"/>
      <c r="O773" s="26"/>
      <c r="P773" s="26"/>
      <c r="Q773" s="26"/>
    </row>
    <row r="774" spans="2:17" ht="18">
      <c r="B774" s="2696" t="s">
        <v>1054</v>
      </c>
      <c r="C774" s="2695"/>
      <c r="D774" s="2695"/>
      <c r="E774" s="2695" t="s">
        <v>1055</v>
      </c>
      <c r="F774" s="2676"/>
      <c r="G774" s="26"/>
      <c r="H774" s="1034"/>
      <c r="I774" s="26"/>
      <c r="J774" s="26"/>
      <c r="K774" s="26"/>
      <c r="L774" s="26"/>
      <c r="M774" s="26"/>
      <c r="N774" s="26"/>
      <c r="O774" s="26"/>
      <c r="P774" s="26"/>
      <c r="Q774" s="26"/>
    </row>
    <row r="775" spans="2:17" ht="18">
      <c r="B775" s="2696" t="s">
        <v>1056</v>
      </c>
      <c r="C775" s="2695"/>
      <c r="D775" s="2695"/>
      <c r="E775" s="2695" t="s">
        <v>1057</v>
      </c>
      <c r="F775" s="2676"/>
      <c r="G775" s="26"/>
      <c r="H775" s="1034"/>
      <c r="I775" s="26"/>
      <c r="J775" s="26"/>
      <c r="K775" s="26"/>
      <c r="L775" s="26"/>
      <c r="M775" s="26"/>
      <c r="N775" s="26"/>
      <c r="O775" s="26"/>
      <c r="P775" s="26"/>
      <c r="Q775" s="26"/>
    </row>
    <row r="776" spans="2:17" ht="18">
      <c r="B776" s="2696" t="s">
        <v>1058</v>
      </c>
      <c r="C776" s="24"/>
      <c r="D776" s="24"/>
      <c r="E776" s="24" t="s">
        <v>1059</v>
      </c>
      <c r="F776" s="2676"/>
      <c r="G776" s="26"/>
      <c r="H776" s="1034"/>
      <c r="I776" s="26"/>
      <c r="J776" s="26"/>
      <c r="K776" s="26"/>
      <c r="L776" s="26"/>
      <c r="M776" s="26"/>
      <c r="N776" s="26"/>
      <c r="O776" s="26"/>
      <c r="P776" s="26"/>
      <c r="Q776" s="26"/>
    </row>
    <row r="777" spans="2:17" ht="18">
      <c r="B777" s="1063" t="s">
        <v>1060</v>
      </c>
      <c r="C777" s="24"/>
      <c r="D777" s="24"/>
      <c r="E777" s="24" t="s">
        <v>1061</v>
      </c>
      <c r="F777" s="2676"/>
      <c r="G777" s="26"/>
      <c r="H777" s="1034"/>
      <c r="I777" s="26"/>
      <c r="J777" s="26"/>
      <c r="K777" s="26"/>
      <c r="L777" s="26"/>
      <c r="M777" s="26"/>
      <c r="N777" s="26"/>
      <c r="O777" s="26"/>
      <c r="P777" s="26"/>
      <c r="Q777" s="26"/>
    </row>
    <row r="778" spans="2:17" ht="18">
      <c r="B778" s="1063" t="s">
        <v>1062</v>
      </c>
      <c r="C778" s="24"/>
      <c r="D778" s="24"/>
      <c r="E778" s="24" t="s">
        <v>1053</v>
      </c>
      <c r="F778" s="2676"/>
      <c r="G778" s="26"/>
      <c r="H778" s="1034"/>
      <c r="I778" s="26"/>
      <c r="J778" s="26"/>
      <c r="K778" s="26"/>
      <c r="L778" s="26"/>
      <c r="M778" s="26"/>
      <c r="N778" s="26"/>
      <c r="O778" s="26"/>
      <c r="P778" s="26"/>
      <c r="Q778" s="26"/>
    </row>
    <row r="779" spans="2:17" ht="18">
      <c r="B779" s="1063" t="s">
        <v>1063</v>
      </c>
      <c r="C779" s="24"/>
      <c r="D779" s="24"/>
      <c r="E779" s="24" t="s">
        <v>1064</v>
      </c>
      <c r="F779" s="2676"/>
      <c r="G779" s="26"/>
      <c r="H779" s="1034"/>
      <c r="I779" s="26"/>
      <c r="J779" s="26"/>
      <c r="K779" s="26"/>
      <c r="L779" s="26"/>
      <c r="M779" s="26"/>
      <c r="N779" s="26"/>
      <c r="O779" s="26"/>
      <c r="P779" s="26"/>
      <c r="Q779" s="26"/>
    </row>
    <row r="780" spans="2:17" ht="18">
      <c r="B780" s="1036"/>
      <c r="C780" s="44"/>
      <c r="D780" s="44"/>
      <c r="E780" s="44" t="s">
        <v>1065</v>
      </c>
      <c r="F780" s="2692"/>
      <c r="G780" s="79"/>
      <c r="H780" s="1116"/>
      <c r="I780" s="26"/>
      <c r="J780" s="26"/>
      <c r="K780" s="26"/>
      <c r="L780" s="26"/>
      <c r="M780" s="26"/>
      <c r="N780" s="26"/>
      <c r="O780" s="26"/>
      <c r="P780" s="26"/>
      <c r="Q780" s="26"/>
    </row>
    <row r="781" spans="2:17" ht="18">
      <c r="B781" s="2690" t="s">
        <v>0</v>
      </c>
      <c r="C781" s="1054"/>
      <c r="D781" s="1054"/>
      <c r="E781" s="2691"/>
      <c r="F781" s="1174"/>
      <c r="G781" s="1004" t="s">
        <v>756</v>
      </c>
      <c r="H781" s="1005" t="s">
        <v>756</v>
      </c>
      <c r="I781" s="1996"/>
      <c r="J781" s="1996"/>
      <c r="K781" s="1996"/>
      <c r="L781" s="1996"/>
      <c r="M781" s="1996"/>
      <c r="N781" s="1996"/>
      <c r="O781" s="1996"/>
      <c r="P781" s="1996"/>
      <c r="Q781" s="1996"/>
    </row>
    <row r="782" spans="2:17" ht="18">
      <c r="B782" s="1036"/>
      <c r="C782" s="44"/>
      <c r="D782" s="44"/>
      <c r="E782" s="2780"/>
      <c r="F782" s="118"/>
      <c r="G782" s="6" t="s">
        <v>3052</v>
      </c>
      <c r="H782" s="1007" t="s">
        <v>705</v>
      </c>
      <c r="I782" s="103"/>
      <c r="J782" s="103"/>
      <c r="K782" s="103"/>
      <c r="L782" s="103"/>
      <c r="M782" s="103"/>
      <c r="N782" s="103"/>
      <c r="O782" s="103"/>
      <c r="P782" s="103"/>
      <c r="Q782" s="103"/>
    </row>
    <row r="783" spans="2:17" ht="18">
      <c r="B783" s="2699" t="s">
        <v>1066</v>
      </c>
      <c r="C783" s="1175"/>
      <c r="D783" s="1175"/>
      <c r="E783" s="2788"/>
      <c r="F783" s="2913"/>
      <c r="G783" s="1177"/>
      <c r="H783" s="1108"/>
      <c r="I783" s="21"/>
      <c r="J783" s="21"/>
      <c r="K783" s="21"/>
      <c r="L783" s="21"/>
      <c r="M783" s="21"/>
      <c r="N783" s="21"/>
      <c r="O783" s="21"/>
      <c r="P783" s="21"/>
      <c r="Q783" s="21"/>
    </row>
    <row r="784" spans="2:17" ht="18">
      <c r="B784" s="1114" t="s">
        <v>1067</v>
      </c>
      <c r="C784" s="24"/>
      <c r="D784" s="24"/>
      <c r="E784" s="2631"/>
      <c r="F784" s="2860"/>
      <c r="G784" s="22"/>
      <c r="H784" s="1032"/>
      <c r="I784" s="21"/>
      <c r="J784" s="21"/>
      <c r="K784" s="21"/>
      <c r="L784" s="21"/>
      <c r="M784" s="21"/>
      <c r="N784" s="21"/>
      <c r="O784" s="21"/>
      <c r="P784" s="21"/>
      <c r="Q784" s="21"/>
    </row>
    <row r="785" spans="2:17" ht="18">
      <c r="B785" s="1114" t="s">
        <v>1068</v>
      </c>
      <c r="C785" s="24"/>
      <c r="D785" s="24"/>
      <c r="E785" s="2631"/>
      <c r="F785" s="2860"/>
      <c r="G785" s="22"/>
      <c r="H785" s="1032"/>
      <c r="I785" s="21"/>
      <c r="J785" s="21"/>
      <c r="K785" s="21"/>
      <c r="L785" s="21"/>
      <c r="M785" s="21"/>
      <c r="N785" s="21"/>
      <c r="O785" s="21"/>
      <c r="P785" s="21"/>
      <c r="Q785" s="21"/>
    </row>
    <row r="786" spans="2:17" ht="18">
      <c r="B786" s="1049" t="s">
        <v>1070</v>
      </c>
      <c r="C786" s="24"/>
      <c r="D786" s="24"/>
      <c r="E786" s="2631"/>
      <c r="F786" s="2860"/>
      <c r="G786" s="22"/>
      <c r="H786" s="1032"/>
      <c r="I786" s="21"/>
      <c r="J786" s="21"/>
      <c r="K786" s="21"/>
      <c r="L786" s="21"/>
      <c r="M786" s="21"/>
      <c r="N786" s="21"/>
      <c r="O786" s="21"/>
      <c r="P786" s="21"/>
      <c r="Q786" s="21"/>
    </row>
    <row r="787" spans="2:17" ht="18">
      <c r="B787" s="1063" t="s">
        <v>1041</v>
      </c>
      <c r="C787" s="24"/>
      <c r="D787" s="24"/>
      <c r="E787" s="2631"/>
      <c r="F787" s="2860"/>
      <c r="G787" s="22">
        <v>7145985</v>
      </c>
      <c r="H787" s="1032">
        <v>4493760</v>
      </c>
      <c r="I787" s="21"/>
      <c r="J787" s="21"/>
      <c r="K787" s="21"/>
      <c r="L787" s="21"/>
      <c r="M787" s="21"/>
      <c r="N787" s="21"/>
      <c r="O787" s="21"/>
      <c r="P787" s="21"/>
      <c r="Q787" s="21"/>
    </row>
    <row r="788" spans="2:17" ht="18">
      <c r="B788" s="1063"/>
      <c r="C788" s="24"/>
      <c r="D788" s="24"/>
      <c r="E788" s="2631"/>
      <c r="F788" s="2860"/>
      <c r="G788" s="22"/>
      <c r="H788" s="1032"/>
      <c r="I788" s="21"/>
      <c r="J788" s="21"/>
      <c r="K788" s="21"/>
      <c r="L788" s="21"/>
      <c r="M788" s="21"/>
      <c r="N788" s="21"/>
      <c r="O788" s="21"/>
      <c r="P788" s="21"/>
      <c r="Q788" s="21"/>
    </row>
    <row r="789" spans="2:17" ht="18">
      <c r="B789" s="1049" t="s">
        <v>2900</v>
      </c>
      <c r="C789" s="24"/>
      <c r="D789" s="24"/>
      <c r="E789" s="2631"/>
      <c r="F789" s="2860"/>
      <c r="G789" s="22">
        <f>+SUM(G790:G802)</f>
        <v>3071404</v>
      </c>
      <c r="H789" s="22">
        <f>+SUM(H790:H802)</f>
        <v>2607763</v>
      </c>
      <c r="I789" s="21"/>
      <c r="J789" s="21"/>
      <c r="K789" s="21"/>
      <c r="L789" s="21"/>
      <c r="M789" s="21"/>
      <c r="N789" s="21"/>
      <c r="O789" s="21"/>
      <c r="P789" s="21"/>
      <c r="Q789" s="21"/>
    </row>
    <row r="790" spans="2:17" ht="18" hidden="1">
      <c r="B790" s="1063" t="s">
        <v>1036</v>
      </c>
      <c r="C790" s="24"/>
      <c r="D790" s="24"/>
      <c r="E790" s="2631"/>
      <c r="F790" s="2860"/>
      <c r="G790" s="22">
        <v>268636</v>
      </c>
      <c r="H790" s="1032">
        <v>208411</v>
      </c>
      <c r="I790" s="21"/>
      <c r="J790" s="21"/>
      <c r="K790" s="21"/>
      <c r="L790" s="21"/>
      <c r="M790" s="21"/>
      <c r="N790" s="21"/>
      <c r="O790" s="21"/>
      <c r="P790" s="21"/>
      <c r="Q790" s="21"/>
    </row>
    <row r="791" spans="2:17" ht="18" hidden="1">
      <c r="B791" s="1063" t="s">
        <v>1071</v>
      </c>
      <c r="C791" s="24"/>
      <c r="D791" s="24"/>
      <c r="E791" s="2631"/>
      <c r="F791" s="2860"/>
      <c r="G791" s="22">
        <v>433714</v>
      </c>
      <c r="H791" s="1032">
        <v>289027</v>
      </c>
      <c r="I791" s="21"/>
      <c r="J791" s="21"/>
      <c r="K791" s="21"/>
      <c r="L791" s="21"/>
      <c r="M791" s="21"/>
      <c r="N791" s="21"/>
      <c r="O791" s="21"/>
      <c r="P791" s="21"/>
      <c r="Q791" s="21"/>
    </row>
    <row r="792" spans="2:17" ht="18" hidden="1">
      <c r="B792" s="1063" t="s">
        <v>1037</v>
      </c>
      <c r="C792" s="24"/>
      <c r="D792" s="24"/>
      <c r="E792" s="2631"/>
      <c r="F792" s="2860"/>
      <c r="G792" s="22">
        <v>592469</v>
      </c>
      <c r="H792" s="1032">
        <v>528305</v>
      </c>
      <c r="I792" s="21"/>
      <c r="J792" s="21"/>
      <c r="K792" s="21"/>
      <c r="L792" s="21"/>
      <c r="M792" s="21"/>
      <c r="N792" s="21"/>
      <c r="O792" s="21"/>
      <c r="P792" s="21"/>
      <c r="Q792" s="21"/>
    </row>
    <row r="793" spans="2:17" ht="18" hidden="1">
      <c r="B793" s="1063" t="s">
        <v>1046</v>
      </c>
      <c r="C793" s="24"/>
      <c r="D793" s="24"/>
      <c r="E793" s="2631"/>
      <c r="F793" s="2860"/>
      <c r="G793" s="22">
        <v>168715</v>
      </c>
      <c r="H793" s="1032">
        <v>155769</v>
      </c>
      <c r="I793" s="21"/>
      <c r="J793" s="21"/>
      <c r="K793" s="21"/>
      <c r="L793" s="21"/>
      <c r="M793" s="21"/>
      <c r="N793" s="21"/>
      <c r="O793" s="21"/>
      <c r="P793" s="21"/>
      <c r="Q793" s="21"/>
    </row>
    <row r="794" spans="2:17" ht="18" hidden="1">
      <c r="B794" s="1063" t="s">
        <v>1072</v>
      </c>
      <c r="C794" s="24"/>
      <c r="D794" s="24"/>
      <c r="E794" s="2631"/>
      <c r="F794" s="2860"/>
      <c r="G794" s="22">
        <v>32390</v>
      </c>
      <c r="H794" s="1032">
        <v>100339</v>
      </c>
      <c r="I794" s="21"/>
      <c r="J794" s="21"/>
      <c r="K794" s="21"/>
      <c r="L794" s="21"/>
      <c r="M794" s="21"/>
      <c r="N794" s="21"/>
      <c r="O794" s="21"/>
      <c r="P794" s="21"/>
      <c r="Q794" s="21"/>
    </row>
    <row r="795" spans="2:17" ht="18" hidden="1">
      <c r="B795" s="1063" t="s">
        <v>1047</v>
      </c>
      <c r="C795" s="24"/>
      <c r="D795" s="24"/>
      <c r="E795" s="2631"/>
      <c r="F795" s="2860"/>
      <c r="G795" s="22">
        <v>58292</v>
      </c>
      <c r="H795" s="1032">
        <v>83076</v>
      </c>
      <c r="I795" s="21"/>
      <c r="J795" s="21"/>
      <c r="K795" s="21"/>
      <c r="L795" s="21"/>
      <c r="M795" s="21"/>
      <c r="N795" s="21"/>
      <c r="O795" s="21"/>
      <c r="P795" s="21"/>
      <c r="Q795" s="21"/>
    </row>
    <row r="796" spans="2:17" ht="18" hidden="1">
      <c r="B796" s="1063" t="s">
        <v>1073</v>
      </c>
      <c r="C796" s="24"/>
      <c r="D796" s="24"/>
      <c r="E796" s="2631"/>
      <c r="F796" s="2860"/>
      <c r="G796" s="22">
        <v>337425</v>
      </c>
      <c r="H796" s="1032">
        <v>311538</v>
      </c>
      <c r="I796" s="21"/>
      <c r="J796" s="21"/>
      <c r="K796" s="21"/>
      <c r="L796" s="21"/>
      <c r="M796" s="21"/>
      <c r="N796" s="21"/>
      <c r="O796" s="21"/>
      <c r="P796" s="21"/>
      <c r="Q796" s="21"/>
    </row>
    <row r="797" spans="2:17" ht="18" hidden="1">
      <c r="B797" s="1063" t="s">
        <v>1055</v>
      </c>
      <c r="C797" s="24"/>
      <c r="D797" s="24"/>
      <c r="E797" s="2631"/>
      <c r="F797" s="2860"/>
      <c r="G797" s="22">
        <v>117568</v>
      </c>
      <c r="H797" s="1032">
        <v>108550</v>
      </c>
      <c r="I797" s="21"/>
      <c r="J797" s="21"/>
      <c r="K797" s="21"/>
      <c r="L797" s="21"/>
      <c r="M797" s="21"/>
      <c r="N797" s="21"/>
      <c r="O797" s="21"/>
      <c r="P797" s="21"/>
      <c r="Q797" s="21"/>
    </row>
    <row r="798" spans="2:17" ht="18" hidden="1">
      <c r="B798" s="1063" t="s">
        <v>1057</v>
      </c>
      <c r="C798" s="24"/>
      <c r="D798" s="24"/>
      <c r="E798" s="2631"/>
      <c r="F798" s="2860"/>
      <c r="G798" s="22">
        <v>108462</v>
      </c>
      <c r="H798" s="1032">
        <v>100140</v>
      </c>
      <c r="I798" s="21"/>
      <c r="J798" s="21"/>
      <c r="K798" s="21"/>
      <c r="L798" s="21"/>
      <c r="M798" s="21"/>
      <c r="N798" s="21"/>
      <c r="O798" s="21"/>
      <c r="P798" s="21"/>
      <c r="Q798" s="21"/>
    </row>
    <row r="799" spans="2:17" ht="18" hidden="1">
      <c r="B799" s="1063" t="s">
        <v>1053</v>
      </c>
      <c r="C799" s="24"/>
      <c r="D799" s="24"/>
      <c r="E799" s="2631"/>
      <c r="F799" s="2860"/>
      <c r="G799" s="22">
        <v>162776</v>
      </c>
      <c r="H799" s="1032">
        <v>240277</v>
      </c>
      <c r="I799" s="21"/>
      <c r="J799" s="21"/>
      <c r="K799" s="21"/>
      <c r="L799" s="21"/>
      <c r="M799" s="21"/>
      <c r="N799" s="21"/>
      <c r="O799" s="21"/>
      <c r="P799" s="21"/>
      <c r="Q799" s="21"/>
    </row>
    <row r="800" spans="2:17" ht="18" hidden="1">
      <c r="B800" s="1063" t="s">
        <v>1074</v>
      </c>
      <c r="C800" s="24"/>
      <c r="D800" s="24"/>
      <c r="E800" s="2631"/>
      <c r="F800" s="2860"/>
      <c r="G800" s="48">
        <v>136544</v>
      </c>
      <c r="H800" s="1032">
        <v>173189</v>
      </c>
      <c r="I800" s="21"/>
      <c r="J800" s="21"/>
      <c r="K800" s="21"/>
      <c r="L800" s="21"/>
      <c r="M800" s="21"/>
      <c r="N800" s="21"/>
      <c r="O800" s="21"/>
      <c r="P800" s="21"/>
      <c r="Q800" s="21"/>
    </row>
    <row r="801" spans="2:17" ht="18" hidden="1">
      <c r="B801" s="1063" t="s">
        <v>2118</v>
      </c>
      <c r="C801" s="24"/>
      <c r="D801" s="24"/>
      <c r="E801" s="2631"/>
      <c r="F801" s="2860"/>
      <c r="G801" s="48">
        <v>97319</v>
      </c>
      <c r="H801" s="1032">
        <v>33249</v>
      </c>
      <c r="I801" s="21"/>
      <c r="J801" s="21"/>
      <c r="K801" s="21"/>
      <c r="L801" s="21"/>
      <c r="M801" s="21"/>
      <c r="N801" s="21"/>
      <c r="O801" s="21"/>
      <c r="P801" s="21"/>
      <c r="Q801" s="21"/>
    </row>
    <row r="802" spans="2:17" ht="18" hidden="1">
      <c r="B802" s="1063" t="s">
        <v>1035</v>
      </c>
      <c r="C802" s="24"/>
      <c r="D802" s="24"/>
      <c r="E802" s="2631"/>
      <c r="F802" s="2860"/>
      <c r="G802" s="22">
        <v>557094</v>
      </c>
      <c r="H802" s="1032">
        <v>275893</v>
      </c>
      <c r="I802" s="21"/>
      <c r="J802" s="21"/>
      <c r="K802" s="21"/>
      <c r="L802" s="21"/>
      <c r="M802" s="21"/>
      <c r="N802" s="21"/>
      <c r="O802" s="21"/>
      <c r="P802" s="21"/>
      <c r="Q802" s="21"/>
    </row>
    <row r="803" spans="2:17" ht="18">
      <c r="B803" s="1063"/>
      <c r="C803" s="24"/>
      <c r="D803" s="24"/>
      <c r="E803" s="2631"/>
      <c r="F803" s="2860"/>
      <c r="G803" s="22"/>
      <c r="H803" s="1032"/>
      <c r="I803" s="21"/>
      <c r="J803" s="21"/>
      <c r="K803" s="21"/>
      <c r="L803" s="21"/>
      <c r="M803" s="21"/>
      <c r="N803" s="21"/>
      <c r="O803" s="21"/>
      <c r="P803" s="21"/>
      <c r="Q803" s="21"/>
    </row>
    <row r="804" spans="2:17" ht="18">
      <c r="B804" s="1049" t="s">
        <v>1075</v>
      </c>
      <c r="C804" s="24"/>
      <c r="D804" s="24"/>
      <c r="E804" s="2631"/>
      <c r="F804" s="2860"/>
      <c r="G804" s="22"/>
      <c r="H804" s="1032"/>
      <c r="I804" s="21"/>
      <c r="J804" s="21"/>
      <c r="K804" s="21"/>
      <c r="L804" s="21"/>
      <c r="M804" s="21"/>
      <c r="N804" s="21"/>
      <c r="O804" s="21"/>
      <c r="P804" s="21"/>
      <c r="Q804" s="21"/>
    </row>
    <row r="805" spans="2:17" ht="18">
      <c r="B805" s="1063" t="s">
        <v>1035</v>
      </c>
      <c r="C805" s="24"/>
      <c r="D805" s="24"/>
      <c r="E805" s="2631"/>
      <c r="G805" s="48">
        <v>360000</v>
      </c>
      <c r="H805" s="1032">
        <v>960000</v>
      </c>
      <c r="I805" s="21"/>
      <c r="J805" s="21"/>
      <c r="K805" s="21"/>
      <c r="L805" s="21"/>
      <c r="M805" s="21"/>
      <c r="N805" s="21"/>
      <c r="O805" s="21"/>
      <c r="P805" s="21"/>
      <c r="Q805" s="21"/>
    </row>
    <row r="806" spans="2:17" ht="18">
      <c r="B806" s="1063" t="s">
        <v>1036</v>
      </c>
      <c r="C806" s="24"/>
      <c r="D806" s="24"/>
      <c r="E806" s="2631"/>
      <c r="G806" s="48">
        <v>1320000</v>
      </c>
      <c r="H806" s="1032">
        <v>1920000</v>
      </c>
      <c r="I806" s="21"/>
      <c r="J806" s="21"/>
      <c r="K806" s="21"/>
      <c r="L806" s="21"/>
      <c r="M806" s="21"/>
      <c r="N806" s="21"/>
      <c r="O806" s="21"/>
      <c r="P806" s="21"/>
      <c r="Q806" s="21"/>
    </row>
    <row r="807" spans="2:17" ht="18">
      <c r="B807" s="1063" t="s">
        <v>1037</v>
      </c>
      <c r="C807" s="24"/>
      <c r="D807" s="24"/>
      <c r="E807" s="2631"/>
      <c r="G807" s="48">
        <v>360000</v>
      </c>
      <c r="H807" s="1032">
        <v>960000</v>
      </c>
      <c r="I807" s="21"/>
      <c r="J807" s="21"/>
      <c r="K807" s="21"/>
      <c r="L807" s="21"/>
      <c r="M807" s="21"/>
      <c r="N807" s="21"/>
      <c r="O807" s="21"/>
      <c r="P807" s="21"/>
      <c r="Q807" s="21"/>
    </row>
    <row r="808" spans="2:17" ht="18">
      <c r="B808" s="1063" t="s">
        <v>1038</v>
      </c>
      <c r="C808" s="24"/>
      <c r="D808" s="24"/>
      <c r="E808" s="2631"/>
      <c r="G808" s="48">
        <v>360000</v>
      </c>
      <c r="H808" s="1032">
        <v>960000</v>
      </c>
      <c r="I808" s="21"/>
      <c r="J808" s="21"/>
      <c r="K808" s="21"/>
      <c r="L808" s="21"/>
      <c r="M808" s="21"/>
      <c r="N808" s="21"/>
      <c r="O808" s="21"/>
      <c r="P808" s="21"/>
      <c r="Q808" s="21"/>
    </row>
    <row r="809" spans="2:17" ht="18">
      <c r="B809" s="1063"/>
      <c r="C809" s="24"/>
      <c r="D809" s="24"/>
      <c r="E809" s="2631"/>
      <c r="F809" s="2631"/>
      <c r="G809" s="48"/>
      <c r="H809" s="1059"/>
      <c r="I809" s="21"/>
      <c r="J809" s="21"/>
      <c r="K809" s="21"/>
      <c r="L809" s="21"/>
      <c r="M809" s="21"/>
      <c r="N809" s="21"/>
      <c r="O809" s="21"/>
      <c r="P809" s="21"/>
      <c r="Q809" s="21"/>
    </row>
    <row r="810" spans="2:17" ht="18">
      <c r="B810" s="1049" t="s">
        <v>2901</v>
      </c>
      <c r="C810" s="24"/>
      <c r="D810" s="24"/>
      <c r="E810" s="2631"/>
      <c r="F810" s="2631"/>
      <c r="G810" s="48"/>
      <c r="H810" s="1059"/>
      <c r="I810" s="21"/>
      <c r="J810" s="21"/>
      <c r="K810" s="21"/>
      <c r="L810" s="21"/>
      <c r="M810" s="21"/>
      <c r="N810" s="21"/>
      <c r="O810" s="21"/>
      <c r="P810" s="21"/>
      <c r="Q810" s="21"/>
    </row>
    <row r="811" spans="2:17" ht="18.600000000000001" thickBot="1">
      <c r="B811" s="999" t="s">
        <v>1074</v>
      </c>
      <c r="C811" s="1000"/>
      <c r="D811" s="1000"/>
      <c r="E811" s="2641"/>
      <c r="F811" s="2641"/>
      <c r="G811" s="1203">
        <v>11213</v>
      </c>
      <c r="H811" s="1204">
        <v>840000</v>
      </c>
      <c r="I811" s="21"/>
      <c r="J811" s="21"/>
      <c r="K811" s="21"/>
      <c r="L811" s="21"/>
      <c r="M811" s="21"/>
      <c r="N811" s="21"/>
      <c r="O811" s="21"/>
      <c r="P811" s="21"/>
      <c r="Q811" s="21"/>
    </row>
    <row r="812" spans="2:17" ht="18" hidden="1">
      <c r="B812" s="2789" t="s">
        <v>702</v>
      </c>
      <c r="C812" s="2790"/>
      <c r="D812" s="2790"/>
      <c r="E812" s="2790"/>
      <c r="F812" s="2790"/>
      <c r="G812" s="2790"/>
      <c r="H812" s="2791"/>
      <c r="I812" s="2709"/>
      <c r="J812" s="2709"/>
      <c r="K812" s="2709"/>
      <c r="L812" s="2709"/>
      <c r="M812" s="2709"/>
      <c r="N812" s="2709"/>
      <c r="O812" s="2709"/>
      <c r="P812" s="2709"/>
      <c r="Q812" s="2709"/>
    </row>
    <row r="813" spans="2:17" ht="18" hidden="1">
      <c r="B813" s="2706" t="s">
        <v>2117</v>
      </c>
      <c r="C813" s="2707"/>
      <c r="D813" s="2707"/>
      <c r="E813" s="2707"/>
      <c r="F813" s="2707"/>
      <c r="G813" s="2707"/>
      <c r="H813" s="2708"/>
      <c r="I813" s="2709"/>
      <c r="J813" s="2709"/>
      <c r="K813" s="2709"/>
      <c r="L813" s="2709"/>
      <c r="M813" s="2709"/>
      <c r="N813" s="2709"/>
      <c r="O813" s="2709"/>
      <c r="P813" s="2709"/>
      <c r="Q813" s="2709"/>
    </row>
    <row r="814" spans="2:17" ht="18" hidden="1">
      <c r="B814" s="2690" t="s">
        <v>0</v>
      </c>
      <c r="C814" s="1054"/>
      <c r="D814" s="1054"/>
      <c r="E814" s="2691"/>
      <c r="F814" s="1174"/>
      <c r="G814" s="1004" t="s">
        <v>756</v>
      </c>
      <c r="H814" s="1005" t="s">
        <v>756</v>
      </c>
      <c r="I814" s="1996"/>
      <c r="J814" s="1996"/>
      <c r="K814" s="1996"/>
      <c r="L814" s="1996"/>
      <c r="M814" s="1996"/>
      <c r="N814" s="1996"/>
      <c r="O814" s="1996"/>
      <c r="P814" s="1996"/>
      <c r="Q814" s="1996"/>
    </row>
    <row r="815" spans="2:17" ht="18" hidden="1">
      <c r="B815" s="1036"/>
      <c r="C815" s="44"/>
      <c r="D815" s="44"/>
      <c r="E815" s="2780"/>
      <c r="F815" s="118"/>
      <c r="G815" s="6" t="s">
        <v>705</v>
      </c>
      <c r="H815" s="1007" t="s">
        <v>706</v>
      </c>
      <c r="I815" s="103"/>
      <c r="J815" s="103"/>
      <c r="K815" s="103"/>
      <c r="L815" s="103"/>
      <c r="M815" s="103"/>
      <c r="N815" s="103"/>
      <c r="O815" s="103"/>
      <c r="P815" s="103"/>
      <c r="Q815" s="103"/>
    </row>
    <row r="816" spans="2:17" ht="18">
      <c r="B816" s="1063"/>
      <c r="C816" s="24"/>
      <c r="D816" s="24"/>
      <c r="E816" s="2631"/>
      <c r="F816" s="2860"/>
      <c r="G816" s="22"/>
      <c r="H816" s="1032"/>
      <c r="I816" s="21"/>
      <c r="J816" s="21"/>
      <c r="K816" s="21"/>
      <c r="L816" s="21"/>
      <c r="M816" s="21"/>
      <c r="N816" s="21"/>
      <c r="O816" s="21"/>
      <c r="P816" s="21"/>
      <c r="Q816" s="21"/>
    </row>
    <row r="817" spans="2:17" ht="18">
      <c r="B817" s="1863" t="s">
        <v>1076</v>
      </c>
      <c r="C817" s="24"/>
      <c r="D817" s="24"/>
      <c r="E817" s="2631"/>
      <c r="F817" s="2860"/>
      <c r="G817" s="22"/>
      <c r="H817" s="1032"/>
      <c r="I817" s="21"/>
      <c r="J817" s="21"/>
      <c r="K817" s="21"/>
      <c r="L817" s="21"/>
      <c r="M817" s="21"/>
      <c r="N817" s="21"/>
      <c r="O817" s="21"/>
      <c r="P817" s="21"/>
      <c r="Q817" s="21"/>
    </row>
    <row r="818" spans="2:17" ht="18">
      <c r="B818" s="1864" t="s">
        <v>1077</v>
      </c>
      <c r="C818" s="24"/>
      <c r="D818" s="24"/>
      <c r="E818" s="2631"/>
      <c r="F818" s="2860"/>
      <c r="G818" s="22">
        <v>0</v>
      </c>
      <c r="H818" s="1032">
        <v>395594</v>
      </c>
      <c r="I818" s="21"/>
      <c r="J818" s="21"/>
      <c r="K818" s="21"/>
      <c r="L818" s="21"/>
      <c r="M818" s="21"/>
      <c r="N818" s="21"/>
      <c r="O818" s="21"/>
      <c r="P818" s="21"/>
      <c r="Q818" s="21"/>
    </row>
    <row r="819" spans="2:17" ht="18">
      <c r="B819" s="1864"/>
      <c r="C819" s="24"/>
      <c r="D819" s="24"/>
      <c r="E819" s="2631"/>
      <c r="F819" s="2860"/>
      <c r="G819" s="22"/>
      <c r="H819" s="1032"/>
      <c r="I819" s="21"/>
      <c r="J819" s="21"/>
      <c r="K819" s="21"/>
      <c r="L819" s="21"/>
      <c r="M819" s="21"/>
      <c r="N819" s="21"/>
      <c r="O819" s="21"/>
      <c r="P819" s="21"/>
      <c r="Q819" s="21"/>
    </row>
    <row r="820" spans="2:17" ht="18">
      <c r="B820" s="1863" t="s">
        <v>2119</v>
      </c>
      <c r="C820" s="24"/>
      <c r="D820" s="24"/>
      <c r="E820" s="2631"/>
      <c r="F820" s="2860"/>
      <c r="G820" s="22"/>
      <c r="H820" s="1032"/>
      <c r="I820" s="21"/>
      <c r="J820" s="21"/>
      <c r="K820" s="21"/>
      <c r="L820" s="21"/>
      <c r="M820" s="21"/>
      <c r="N820" s="21"/>
      <c r="O820" s="21"/>
      <c r="P820" s="21"/>
      <c r="Q820" s="21"/>
    </row>
    <row r="821" spans="2:17" ht="18">
      <c r="B821" s="1864" t="s">
        <v>1088</v>
      </c>
      <c r="C821" s="24"/>
      <c r="D821" s="24"/>
      <c r="E821" s="2631"/>
      <c r="F821" s="2860"/>
      <c r="G821" s="22">
        <v>0</v>
      </c>
      <c r="H821" s="1032">
        <v>2391600</v>
      </c>
      <c r="I821" s="21"/>
      <c r="J821" s="21"/>
      <c r="K821" s="21"/>
      <c r="L821" s="21"/>
      <c r="M821" s="21"/>
      <c r="N821" s="21"/>
      <c r="O821" s="21"/>
      <c r="P821" s="21"/>
      <c r="Q821" s="21"/>
    </row>
    <row r="822" spans="2:17" ht="18">
      <c r="B822" s="1864"/>
      <c r="C822" s="24"/>
      <c r="D822" s="24"/>
      <c r="E822" s="2631"/>
      <c r="F822" s="2860"/>
      <c r="G822" s="22"/>
      <c r="H822" s="1032"/>
      <c r="I822" s="21"/>
      <c r="J822" s="21"/>
      <c r="K822" s="21"/>
      <c r="L822" s="21"/>
      <c r="M822" s="21"/>
      <c r="N822" s="21"/>
      <c r="O822" s="21"/>
      <c r="P822" s="21"/>
      <c r="Q822" s="21"/>
    </row>
    <row r="823" spans="2:17" ht="18">
      <c r="B823" s="1863" t="s">
        <v>1078</v>
      </c>
      <c r="C823" s="24"/>
      <c r="D823" s="24"/>
      <c r="E823" s="2631"/>
      <c r="F823" s="2860"/>
      <c r="G823" s="22"/>
      <c r="H823" s="1032"/>
      <c r="I823" s="21"/>
      <c r="J823" s="21"/>
      <c r="K823" s="21"/>
      <c r="L823" s="21"/>
      <c r="M823" s="21"/>
      <c r="N823" s="21"/>
      <c r="O823" s="21"/>
      <c r="P823" s="21"/>
      <c r="Q823" s="21"/>
    </row>
    <row r="824" spans="2:17" ht="18">
      <c r="B824" s="1864" t="s">
        <v>2697</v>
      </c>
      <c r="C824" s="24"/>
      <c r="D824" s="24"/>
      <c r="E824" s="2631"/>
      <c r="F824" s="2860"/>
      <c r="G824" s="22">
        <v>0</v>
      </c>
      <c r="H824" s="1032">
        <v>3858557</v>
      </c>
      <c r="I824" s="21"/>
      <c r="J824" s="21"/>
      <c r="K824" s="21"/>
      <c r="L824" s="21"/>
      <c r="M824" s="21"/>
      <c r="N824" s="21"/>
      <c r="O824" s="21"/>
      <c r="P824" s="21"/>
      <c r="Q824" s="21"/>
    </row>
    <row r="825" spans="2:17" ht="18">
      <c r="B825" s="1864" t="s">
        <v>2698</v>
      </c>
      <c r="C825" s="24"/>
      <c r="D825" s="24"/>
      <c r="E825" s="2631"/>
      <c r="F825" s="2860"/>
      <c r="G825" s="22">
        <v>13919919</v>
      </c>
      <c r="H825" s="1032">
        <v>19470315</v>
      </c>
      <c r="I825" s="21"/>
      <c r="J825" s="21"/>
      <c r="K825" s="21"/>
      <c r="L825" s="21"/>
      <c r="M825" s="21"/>
      <c r="N825" s="21"/>
      <c r="O825" s="21"/>
      <c r="P825" s="21"/>
      <c r="Q825" s="21"/>
    </row>
    <row r="826" spans="2:17" ht="18">
      <c r="B826" s="1864" t="s">
        <v>4762</v>
      </c>
      <c r="C826" s="24"/>
      <c r="D826" s="24"/>
      <c r="E826" s="2631"/>
      <c r="F826" s="2860"/>
      <c r="G826" s="22">
        <v>1405352</v>
      </c>
      <c r="H826" s="1032">
        <v>0</v>
      </c>
      <c r="I826" s="21"/>
      <c r="J826" s="21"/>
      <c r="K826" s="21"/>
      <c r="L826" s="21"/>
      <c r="M826" s="21"/>
      <c r="N826" s="21"/>
      <c r="O826" s="21"/>
      <c r="P826" s="21"/>
      <c r="Q826" s="21"/>
    </row>
    <row r="827" spans="2:17" ht="18">
      <c r="B827" s="1864"/>
      <c r="C827" s="24"/>
      <c r="D827" s="24"/>
      <c r="E827" s="2631"/>
      <c r="F827" s="2860"/>
      <c r="G827" s="22"/>
      <c r="H827" s="1032"/>
      <c r="I827" s="21"/>
      <c r="J827" s="21"/>
      <c r="K827" s="21"/>
      <c r="L827" s="21"/>
      <c r="M827" s="21"/>
      <c r="N827" s="21"/>
      <c r="O827" s="21"/>
      <c r="P827" s="21"/>
      <c r="Q827" s="21"/>
    </row>
    <row r="828" spans="2:17" ht="18">
      <c r="B828" s="1863" t="s">
        <v>943</v>
      </c>
      <c r="C828" s="24"/>
      <c r="D828" s="24"/>
      <c r="E828" s="2631"/>
      <c r="F828" s="2860"/>
      <c r="G828" s="22"/>
      <c r="H828" s="1032"/>
      <c r="I828" s="21"/>
      <c r="J828" s="21"/>
      <c r="K828" s="21"/>
      <c r="L828" s="21"/>
      <c r="M828" s="21"/>
      <c r="N828" s="21"/>
      <c r="O828" s="21"/>
      <c r="P828" s="21"/>
      <c r="Q828" s="21"/>
    </row>
    <row r="829" spans="2:17" ht="18">
      <c r="B829" s="1864" t="s">
        <v>2697</v>
      </c>
      <c r="C829" s="24"/>
      <c r="D829" s="24"/>
      <c r="E829" s="2631"/>
      <c r="F829" s="2860"/>
      <c r="G829" s="22">
        <v>0</v>
      </c>
      <c r="H829" s="1032">
        <v>54438</v>
      </c>
      <c r="I829" s="21"/>
      <c r="J829" s="21"/>
      <c r="K829" s="21"/>
      <c r="L829" s="21"/>
      <c r="M829" s="21"/>
      <c r="N829" s="21"/>
      <c r="O829" s="21"/>
      <c r="P829" s="21"/>
      <c r="Q829" s="21"/>
    </row>
    <row r="830" spans="2:17" ht="18">
      <c r="B830" s="1864"/>
      <c r="C830" s="24"/>
      <c r="D830" s="24"/>
      <c r="E830" s="2631"/>
      <c r="F830" s="2860"/>
      <c r="G830" s="22"/>
      <c r="H830" s="1032"/>
      <c r="I830" s="21"/>
      <c r="J830" s="21"/>
      <c r="K830" s="21"/>
      <c r="L830" s="21"/>
      <c r="M830" s="21"/>
      <c r="N830" s="21"/>
      <c r="O830" s="21"/>
      <c r="P830" s="21"/>
      <c r="Q830" s="21"/>
    </row>
    <row r="831" spans="2:17" ht="18">
      <c r="B831" s="1863" t="s">
        <v>1079</v>
      </c>
      <c r="C831" s="24"/>
      <c r="D831" s="24"/>
      <c r="E831" s="2631"/>
      <c r="F831" s="2860"/>
      <c r="G831" s="22"/>
      <c r="H831" s="1032"/>
      <c r="I831" s="21"/>
      <c r="J831" s="21"/>
      <c r="K831" s="21"/>
      <c r="L831" s="21"/>
      <c r="M831" s="21"/>
      <c r="N831" s="21"/>
      <c r="O831" s="21"/>
      <c r="P831" s="21"/>
      <c r="Q831" s="21"/>
    </row>
    <row r="832" spans="2:17" ht="18">
      <c r="B832" s="1864" t="s">
        <v>1042</v>
      </c>
      <c r="C832" s="24"/>
      <c r="D832" s="24"/>
      <c r="E832" s="2631"/>
      <c r="F832" s="2860"/>
      <c r="G832" s="22">
        <f>231700-5369</f>
        <v>226331</v>
      </c>
      <c r="H832" s="1032">
        <v>10325176</v>
      </c>
      <c r="I832" s="21"/>
      <c r="J832" s="21"/>
      <c r="K832" s="21"/>
      <c r="L832" s="21"/>
      <c r="M832" s="21"/>
      <c r="N832" s="21"/>
      <c r="O832" s="21"/>
      <c r="P832" s="21"/>
      <c r="Q832" s="21"/>
    </row>
    <row r="833" spans="2:17" ht="18">
      <c r="B833" s="1864" t="s">
        <v>1043</v>
      </c>
      <c r="C833" s="24"/>
      <c r="D833" s="24"/>
      <c r="E833" s="2631"/>
      <c r="F833" s="2860"/>
      <c r="G833" s="22">
        <v>0</v>
      </c>
      <c r="H833" s="1032">
        <v>115495605</v>
      </c>
      <c r="I833" s="21"/>
      <c r="J833" s="21"/>
      <c r="K833" s="21"/>
      <c r="L833" s="21"/>
      <c r="M833" s="21"/>
      <c r="N833" s="21"/>
      <c r="O833" s="21"/>
      <c r="P833" s="21"/>
      <c r="Q833" s="21"/>
    </row>
    <row r="834" spans="2:17" ht="18">
      <c r="B834" s="1864" t="s">
        <v>2697</v>
      </c>
      <c r="C834" s="24"/>
      <c r="D834" s="24"/>
      <c r="E834" s="2631"/>
      <c r="F834" s="2860"/>
      <c r="G834" s="22">
        <v>0</v>
      </c>
      <c r="H834" s="1032">
        <v>13459689</v>
      </c>
      <c r="I834" s="21"/>
      <c r="J834" s="21"/>
      <c r="K834" s="21"/>
      <c r="L834" s="21"/>
      <c r="M834" s="21"/>
      <c r="N834" s="21"/>
      <c r="O834" s="21"/>
      <c r="P834" s="21"/>
      <c r="Q834" s="21"/>
    </row>
    <row r="835" spans="2:17" ht="18">
      <c r="B835" s="1864" t="s">
        <v>4762</v>
      </c>
      <c r="C835" s="24"/>
      <c r="D835" s="24"/>
      <c r="E835" s="2631"/>
      <c r="F835" s="2860"/>
      <c r="G835" s="22">
        <v>82414120</v>
      </c>
      <c r="H835" s="1032">
        <v>0</v>
      </c>
      <c r="I835" s="21"/>
      <c r="J835" s="21"/>
      <c r="K835" s="21"/>
      <c r="L835" s="21"/>
      <c r="M835" s="21"/>
      <c r="N835" s="21"/>
      <c r="O835" s="21"/>
      <c r="P835" s="21"/>
      <c r="Q835" s="21"/>
    </row>
    <row r="836" spans="2:17" ht="18">
      <c r="B836" s="1865"/>
      <c r="C836" s="44"/>
      <c r="D836" s="44"/>
      <c r="E836" s="2780"/>
      <c r="F836" s="2862"/>
      <c r="G836" s="1866"/>
      <c r="H836" s="1867"/>
      <c r="I836" s="21"/>
      <c r="J836" s="21"/>
      <c r="K836" s="21"/>
      <c r="L836" s="21"/>
      <c r="M836" s="21"/>
      <c r="N836" s="21"/>
      <c r="O836" s="21"/>
      <c r="P836" s="21"/>
      <c r="Q836" s="21"/>
    </row>
    <row r="837" spans="2:17" ht="18">
      <c r="B837" s="1868" t="s">
        <v>1080</v>
      </c>
      <c r="C837" s="1175"/>
      <c r="D837" s="1175"/>
      <c r="E837" s="2788"/>
      <c r="F837" s="2913"/>
      <c r="G837" s="1177"/>
      <c r="H837" s="1108"/>
      <c r="I837" s="21"/>
      <c r="J837" s="21"/>
      <c r="K837" s="21"/>
      <c r="L837" s="21"/>
      <c r="M837" s="21"/>
      <c r="N837" s="21"/>
      <c r="O837" s="21"/>
      <c r="P837" s="21"/>
      <c r="Q837" s="21"/>
    </row>
    <row r="838" spans="2:17" ht="18">
      <c r="B838" s="2696" t="s">
        <v>2902</v>
      </c>
      <c r="C838" s="24"/>
      <c r="D838" s="24"/>
      <c r="E838" s="2631"/>
      <c r="F838" s="2860"/>
      <c r="G838" s="22">
        <f>+SUM(G839:G851)</f>
        <v>3800000</v>
      </c>
      <c r="H838" s="22">
        <f>+SUM(H839:H851)</f>
        <v>14400000</v>
      </c>
      <c r="I838" s="21"/>
      <c r="J838" s="21"/>
      <c r="K838" s="21"/>
      <c r="L838" s="21"/>
      <c r="M838" s="21"/>
      <c r="N838" s="21"/>
      <c r="O838" s="21"/>
      <c r="P838" s="21"/>
      <c r="Q838" s="21"/>
    </row>
    <row r="839" spans="2:17" ht="18" hidden="1">
      <c r="B839" s="1063" t="s">
        <v>1081</v>
      </c>
      <c r="C839" s="24"/>
      <c r="D839" s="24"/>
      <c r="E839" s="2631"/>
      <c r="F839" s="2860"/>
      <c r="G839" s="22">
        <v>2100000</v>
      </c>
      <c r="H839" s="1032">
        <v>0</v>
      </c>
      <c r="I839" s="21"/>
      <c r="J839" s="21"/>
      <c r="K839" s="21"/>
      <c r="L839" s="21"/>
      <c r="M839" s="21"/>
      <c r="N839" s="21"/>
      <c r="O839" s="21"/>
      <c r="P839" s="21"/>
      <c r="Q839" s="21"/>
    </row>
    <row r="840" spans="2:17" ht="18" hidden="1">
      <c r="B840" s="1063" t="s">
        <v>1047</v>
      </c>
      <c r="C840" s="24"/>
      <c r="D840" s="24"/>
      <c r="E840" s="2631"/>
      <c r="F840" s="2860"/>
      <c r="G840" s="22">
        <v>0</v>
      </c>
      <c r="H840" s="1032">
        <v>0</v>
      </c>
      <c r="I840" s="21"/>
      <c r="J840" s="21"/>
      <c r="K840" s="21"/>
      <c r="L840" s="21"/>
      <c r="M840" s="21"/>
      <c r="N840" s="21"/>
      <c r="O840" s="21"/>
      <c r="P840" s="21"/>
      <c r="Q840" s="21"/>
    </row>
    <row r="841" spans="2:17" ht="18" hidden="1">
      <c r="B841" s="1063" t="s">
        <v>1055</v>
      </c>
      <c r="C841" s="24"/>
      <c r="D841" s="24"/>
      <c r="E841" s="2631"/>
      <c r="F841" s="2860"/>
      <c r="G841" s="22">
        <v>0</v>
      </c>
      <c r="H841" s="1032">
        <v>0</v>
      </c>
      <c r="I841" s="21"/>
      <c r="J841" s="21"/>
      <c r="K841" s="21"/>
      <c r="L841" s="21"/>
      <c r="M841" s="21"/>
      <c r="N841" s="21"/>
      <c r="O841" s="21"/>
      <c r="P841" s="21"/>
      <c r="Q841" s="21"/>
    </row>
    <row r="842" spans="2:17" ht="18" hidden="1">
      <c r="B842" s="1063" t="s">
        <v>1046</v>
      </c>
      <c r="C842" s="24"/>
      <c r="D842" s="24"/>
      <c r="E842" s="2631"/>
      <c r="F842" s="2860"/>
      <c r="G842" s="22">
        <v>0</v>
      </c>
      <c r="H842" s="1032">
        <v>0</v>
      </c>
      <c r="I842" s="21"/>
      <c r="J842" s="21"/>
      <c r="K842" s="21"/>
      <c r="L842" s="21"/>
      <c r="M842" s="21"/>
      <c r="N842" s="21"/>
      <c r="O842" s="21"/>
      <c r="P842" s="21"/>
      <c r="Q842" s="21"/>
    </row>
    <row r="843" spans="2:17" ht="18" hidden="1">
      <c r="B843" s="1063" t="s">
        <v>325</v>
      </c>
      <c r="C843" s="24"/>
      <c r="D843" s="24"/>
      <c r="E843" s="2631"/>
      <c r="F843" s="2860"/>
      <c r="G843" s="22">
        <v>0</v>
      </c>
      <c r="H843" s="1032">
        <v>0</v>
      </c>
      <c r="I843" s="21"/>
      <c r="J843" s="21"/>
      <c r="K843" s="21"/>
      <c r="L843" s="21"/>
      <c r="M843" s="21"/>
      <c r="N843" s="21"/>
      <c r="O843" s="21"/>
      <c r="P843" s="21"/>
      <c r="Q843" s="21"/>
    </row>
    <row r="844" spans="2:17" ht="18" hidden="1">
      <c r="B844" s="1063" t="s">
        <v>1073</v>
      </c>
      <c r="C844" s="24"/>
      <c r="D844" s="24"/>
      <c r="E844" s="2631"/>
      <c r="F844" s="2860"/>
      <c r="G844" s="22">
        <v>0</v>
      </c>
      <c r="H844" s="1032">
        <v>0</v>
      </c>
      <c r="I844" s="21"/>
      <c r="J844" s="21"/>
      <c r="K844" s="21"/>
      <c r="L844" s="21"/>
      <c r="M844" s="21"/>
      <c r="N844" s="21"/>
      <c r="O844" s="21"/>
      <c r="P844" s="21"/>
      <c r="Q844" s="21"/>
    </row>
    <row r="845" spans="2:17" ht="18" hidden="1">
      <c r="B845" s="1063" t="s">
        <v>1082</v>
      </c>
      <c r="C845" s="24"/>
      <c r="D845" s="24"/>
      <c r="E845" s="2631"/>
      <c r="F845" s="2860"/>
      <c r="G845" s="22">
        <v>0</v>
      </c>
      <c r="H845" s="1032">
        <v>0</v>
      </c>
      <c r="I845" s="21"/>
      <c r="J845" s="21"/>
      <c r="K845" s="21"/>
      <c r="L845" s="21"/>
      <c r="M845" s="21"/>
      <c r="N845" s="21"/>
      <c r="O845" s="21"/>
      <c r="P845" s="21"/>
      <c r="Q845" s="21"/>
    </row>
    <row r="846" spans="2:17" ht="18" hidden="1">
      <c r="B846" s="1063" t="s">
        <v>1053</v>
      </c>
      <c r="C846" s="24"/>
      <c r="D846" s="24"/>
      <c r="E846" s="2631"/>
      <c r="F846" s="2860"/>
      <c r="G846" s="22">
        <v>0</v>
      </c>
      <c r="H846" s="1032">
        <v>0</v>
      </c>
      <c r="I846" s="21"/>
      <c r="J846" s="21"/>
      <c r="K846" s="21"/>
      <c r="L846" s="21"/>
      <c r="M846" s="21"/>
      <c r="N846" s="21"/>
      <c r="O846" s="21"/>
      <c r="P846" s="21"/>
      <c r="Q846" s="21"/>
    </row>
    <row r="847" spans="2:17" ht="18" hidden="1">
      <c r="B847" s="1063" t="s">
        <v>1083</v>
      </c>
      <c r="C847" s="24"/>
      <c r="D847" s="24"/>
      <c r="E847" s="2631"/>
      <c r="F847" s="2860"/>
      <c r="G847" s="22">
        <v>600000</v>
      </c>
      <c r="H847" s="1032">
        <v>1000000</v>
      </c>
      <c r="I847" s="21"/>
      <c r="J847" s="21"/>
      <c r="K847" s="21"/>
      <c r="L847" s="21"/>
      <c r="M847" s="21"/>
      <c r="N847" s="21"/>
      <c r="O847" s="21"/>
      <c r="P847" s="21"/>
      <c r="Q847" s="21"/>
    </row>
    <row r="848" spans="2:17" ht="18" hidden="1">
      <c r="B848" s="1063" t="s">
        <v>1084</v>
      </c>
      <c r="C848" s="24"/>
      <c r="D848" s="24"/>
      <c r="E848" s="2631"/>
      <c r="F848" s="2860"/>
      <c r="G848" s="22"/>
      <c r="H848" s="1032">
        <v>400000</v>
      </c>
      <c r="I848" s="21"/>
      <c r="J848" s="21"/>
      <c r="K848" s="21"/>
      <c r="L848" s="21"/>
      <c r="M848" s="21"/>
      <c r="N848" s="21"/>
      <c r="O848" s="21"/>
      <c r="P848" s="21"/>
      <c r="Q848" s="21"/>
    </row>
    <row r="849" spans="2:19" ht="18" hidden="1">
      <c r="B849" s="1063" t="s">
        <v>2120</v>
      </c>
      <c r="C849" s="24"/>
      <c r="D849" s="24"/>
      <c r="E849" s="2631"/>
      <c r="F849" s="2860"/>
      <c r="G849" s="22"/>
      <c r="H849" s="1032">
        <v>2500000</v>
      </c>
      <c r="I849" s="21"/>
      <c r="J849" s="21"/>
      <c r="K849" s="21"/>
      <c r="L849" s="21"/>
      <c r="M849" s="21"/>
      <c r="N849" s="21"/>
      <c r="O849" s="21"/>
      <c r="P849" s="21"/>
      <c r="Q849" s="21"/>
    </row>
    <row r="850" spans="2:19" ht="18" hidden="1">
      <c r="B850" s="1063" t="s">
        <v>1038</v>
      </c>
      <c r="C850" s="24"/>
      <c r="D850" s="24"/>
      <c r="E850" s="2631"/>
      <c r="F850" s="2860"/>
      <c r="G850" s="22">
        <v>550000</v>
      </c>
      <c r="H850" s="1032">
        <v>4500000</v>
      </c>
      <c r="I850" s="21"/>
      <c r="J850" s="21"/>
      <c r="K850" s="21"/>
      <c r="L850" s="21"/>
      <c r="M850" s="21"/>
      <c r="N850" s="21"/>
      <c r="O850" s="21"/>
      <c r="P850" s="21"/>
      <c r="Q850" s="21"/>
    </row>
    <row r="851" spans="2:19" ht="18" hidden="1">
      <c r="B851" s="1063" t="s">
        <v>1035</v>
      </c>
      <c r="C851" s="24"/>
      <c r="D851" s="24"/>
      <c r="E851" s="2631"/>
      <c r="F851" s="2860"/>
      <c r="G851" s="22">
        <v>550000</v>
      </c>
      <c r="H851" s="1032">
        <v>6000000</v>
      </c>
      <c r="I851" s="21"/>
      <c r="J851" s="21"/>
      <c r="K851" s="21"/>
      <c r="L851" s="21"/>
      <c r="M851" s="21"/>
      <c r="N851" s="21"/>
      <c r="O851" s="21"/>
      <c r="P851" s="21"/>
      <c r="Q851" s="21"/>
    </row>
    <row r="852" spans="2:19" ht="18">
      <c r="B852" s="1063"/>
      <c r="C852" s="24"/>
      <c r="D852" s="24"/>
      <c r="E852" s="2631"/>
      <c r="F852" s="2860"/>
      <c r="G852" s="22"/>
      <c r="H852" s="1032"/>
      <c r="I852" s="21"/>
      <c r="J852" s="21"/>
      <c r="K852" s="21"/>
      <c r="L852" s="21"/>
      <c r="M852" s="21"/>
      <c r="N852" s="21"/>
      <c r="O852" s="21"/>
      <c r="P852" s="21"/>
      <c r="Q852" s="21"/>
    </row>
    <row r="853" spans="2:19" ht="18">
      <c r="B853" s="2696" t="s">
        <v>2903</v>
      </c>
      <c r="C853" s="24"/>
      <c r="D853" s="24"/>
      <c r="E853" s="2631"/>
      <c r="F853" s="2860"/>
      <c r="G853" s="22">
        <f>+SUM(G854:G860)</f>
        <v>7151953</v>
      </c>
      <c r="H853" s="22">
        <f>+SUM(H854:H860)</f>
        <v>2960388</v>
      </c>
      <c r="I853" s="21"/>
      <c r="J853" s="21"/>
      <c r="K853" s="21"/>
      <c r="L853" s="21"/>
      <c r="M853" s="21"/>
      <c r="N853" s="21"/>
      <c r="O853" s="21"/>
      <c r="P853" s="21"/>
      <c r="Q853" s="21"/>
    </row>
    <row r="854" spans="2:19" ht="18" hidden="1">
      <c r="B854" s="1063" t="s">
        <v>1083</v>
      </c>
      <c r="C854" s="24"/>
      <c r="D854" s="24"/>
      <c r="E854" s="2631"/>
      <c r="F854" s="2860"/>
      <c r="G854" s="22">
        <v>0</v>
      </c>
      <c r="H854" s="1032">
        <v>600000</v>
      </c>
      <c r="I854" s="21"/>
      <c r="J854" s="21"/>
      <c r="K854" s="21"/>
      <c r="L854" s="21"/>
      <c r="M854" s="21"/>
      <c r="N854" s="21"/>
      <c r="O854" s="21"/>
      <c r="P854" s="21"/>
      <c r="Q854" s="21"/>
    </row>
    <row r="855" spans="2:19" ht="18" hidden="1">
      <c r="B855" s="1063" t="s">
        <v>1081</v>
      </c>
      <c r="C855" s="24"/>
      <c r="D855" s="24"/>
      <c r="E855" s="2631"/>
      <c r="F855" s="2860"/>
      <c r="G855" s="22">
        <v>600000</v>
      </c>
      <c r="H855" s="1032">
        <v>0</v>
      </c>
      <c r="I855" s="21"/>
      <c r="J855" s="21"/>
      <c r="K855" s="21"/>
      <c r="L855" s="21"/>
      <c r="M855" s="21"/>
      <c r="N855" s="21"/>
      <c r="O855" s="21"/>
      <c r="P855" s="21"/>
      <c r="Q855" s="21"/>
    </row>
    <row r="856" spans="2:19" ht="18" hidden="1">
      <c r="B856" s="1063" t="s">
        <v>1082</v>
      </c>
      <c r="C856" s="24"/>
      <c r="D856" s="24"/>
      <c r="E856" s="2631"/>
      <c r="F856" s="2860"/>
      <c r="G856" s="22">
        <v>500000</v>
      </c>
      <c r="H856" s="1032">
        <v>500000</v>
      </c>
      <c r="I856" s="21"/>
      <c r="J856" s="21"/>
      <c r="K856" s="21"/>
      <c r="L856" s="21"/>
      <c r="M856" s="21"/>
      <c r="N856" s="21"/>
      <c r="O856" s="21"/>
      <c r="P856" s="21"/>
      <c r="Q856" s="21"/>
    </row>
    <row r="857" spans="2:19" ht="18" hidden="1">
      <c r="B857" s="1063" t="s">
        <v>1053</v>
      </c>
      <c r="C857" s="24"/>
      <c r="D857" s="24"/>
      <c r="E857" s="2631"/>
      <c r="F857" s="2860"/>
      <c r="G857" s="22">
        <v>1839987</v>
      </c>
      <c r="H857" s="1032">
        <v>1035388</v>
      </c>
      <c r="I857" s="21"/>
      <c r="J857" s="21"/>
      <c r="K857" s="21"/>
      <c r="L857" s="21"/>
      <c r="M857" s="21"/>
      <c r="N857" s="21"/>
      <c r="O857" s="21"/>
      <c r="P857" s="21"/>
      <c r="Q857" s="21"/>
    </row>
    <row r="858" spans="2:19" ht="18" hidden="1">
      <c r="B858" s="1063" t="s">
        <v>1084</v>
      </c>
      <c r="C858" s="24"/>
      <c r="D858" s="24"/>
      <c r="E858" s="2631"/>
      <c r="F858" s="2860"/>
      <c r="G858" s="22">
        <v>456381</v>
      </c>
      <c r="H858" s="1032">
        <v>825000</v>
      </c>
      <c r="I858" s="21"/>
      <c r="J858" s="21"/>
      <c r="K858" s="21"/>
      <c r="L858" s="21"/>
      <c r="M858" s="21"/>
      <c r="N858" s="21"/>
      <c r="O858" s="21"/>
      <c r="P858" s="21"/>
      <c r="Q858" s="21"/>
    </row>
    <row r="859" spans="2:19" ht="18">
      <c r="B859" s="1063" t="s">
        <v>46</v>
      </c>
      <c r="C859" s="24"/>
      <c r="D859" s="24"/>
      <c r="E859" s="2631"/>
      <c r="F859" s="2860"/>
      <c r="G859" s="22">
        <v>1138072</v>
      </c>
      <c r="H859" s="1032">
        <v>0</v>
      </c>
      <c r="I859" s="21"/>
      <c r="J859" s="21"/>
      <c r="K859" s="21"/>
      <c r="L859" s="21"/>
      <c r="M859" s="21"/>
      <c r="N859" s="21"/>
      <c r="O859" s="21"/>
      <c r="P859" s="21"/>
      <c r="Q859" s="21"/>
    </row>
    <row r="860" spans="2:19" ht="18">
      <c r="B860" s="1063" t="s">
        <v>496</v>
      </c>
      <c r="C860" s="24"/>
      <c r="D860" s="24"/>
      <c r="E860" s="2631"/>
      <c r="F860" s="2860"/>
      <c r="G860" s="22">
        <v>2617513</v>
      </c>
      <c r="H860" s="1032">
        <v>0</v>
      </c>
      <c r="I860" s="21"/>
      <c r="J860" s="21"/>
      <c r="K860" s="21"/>
      <c r="L860" s="21"/>
      <c r="M860" s="21"/>
      <c r="N860" s="21"/>
      <c r="O860" s="21"/>
      <c r="P860" s="21"/>
      <c r="Q860" s="21"/>
    </row>
    <row r="861" spans="2:19" ht="18" hidden="1">
      <c r="B861" s="2690" t="s">
        <v>0</v>
      </c>
      <c r="C861" s="1054"/>
      <c r="D861" s="1054"/>
      <c r="E861" s="2691"/>
      <c r="F861" s="1174"/>
      <c r="G861" s="1004" t="s">
        <v>756</v>
      </c>
      <c r="H861" s="1005" t="s">
        <v>756</v>
      </c>
      <c r="I861" s="1996"/>
      <c r="J861" s="1996"/>
      <c r="K861" s="1996"/>
      <c r="L861" s="1996"/>
      <c r="M861" s="1996"/>
      <c r="N861" s="1996"/>
      <c r="O861" s="1996"/>
      <c r="P861" s="1996"/>
      <c r="Q861" s="1996"/>
    </row>
    <row r="862" spans="2:19" ht="18" hidden="1">
      <c r="B862" s="1036"/>
      <c r="C862" s="44"/>
      <c r="D862" s="44"/>
      <c r="E862" s="2780"/>
      <c r="F862" s="118"/>
      <c r="G862" s="6" t="s">
        <v>3052</v>
      </c>
      <c r="H862" s="1007" t="s">
        <v>705</v>
      </c>
      <c r="I862" s="103"/>
      <c r="J862" s="103"/>
      <c r="K862" s="103"/>
      <c r="L862" s="103"/>
      <c r="M862" s="103"/>
      <c r="N862" s="103"/>
      <c r="O862" s="103"/>
      <c r="P862" s="103"/>
      <c r="Q862" s="103"/>
    </row>
    <row r="863" spans="2:19" ht="18">
      <c r="B863" s="2755" t="s">
        <v>2905</v>
      </c>
      <c r="F863" s="2659"/>
      <c r="G863" s="1869"/>
      <c r="H863" s="1870"/>
      <c r="I863" s="1999"/>
      <c r="J863" s="1999"/>
      <c r="K863" s="1999"/>
      <c r="L863" s="1999"/>
      <c r="M863" s="1999"/>
      <c r="N863" s="1999"/>
      <c r="O863" s="1999"/>
      <c r="P863" s="1999"/>
      <c r="Q863" s="1999"/>
      <c r="S863" s="2914"/>
    </row>
    <row r="864" spans="2:19" ht="18">
      <c r="B864" s="1063"/>
      <c r="D864" s="2915" t="s">
        <v>1085</v>
      </c>
      <c r="E864" s="2915"/>
      <c r="F864" s="2916"/>
      <c r="G864" s="13"/>
      <c r="H864" s="1018"/>
      <c r="I864" s="1998"/>
      <c r="J864" s="1998"/>
      <c r="K864" s="1998"/>
      <c r="L864" s="1998"/>
      <c r="M864" s="1998"/>
      <c r="N864" s="1998"/>
      <c r="O864" s="1998"/>
      <c r="P864" s="1998"/>
      <c r="Q864" s="1998"/>
    </row>
    <row r="865" spans="2:17" ht="18">
      <c r="B865" s="2750"/>
      <c r="D865" s="2916" t="s">
        <v>4711</v>
      </c>
      <c r="E865" s="2916" t="s">
        <v>2259</v>
      </c>
      <c r="F865" s="1872"/>
      <c r="G865" s="2917"/>
      <c r="H865" s="2918"/>
    </row>
    <row r="866" spans="2:17" ht="18">
      <c r="B866" s="1049" t="s">
        <v>2904</v>
      </c>
      <c r="D866" s="1873">
        <f>+SUM(D867:D879)</f>
        <v>43286690</v>
      </c>
      <c r="E866" s="1873">
        <f>+SUM(E867:E879)</f>
        <v>42581809</v>
      </c>
      <c r="F866" s="1874"/>
      <c r="G866" s="11">
        <f>SUM(G867:G879)</f>
        <v>37219886</v>
      </c>
      <c r="H866" s="11">
        <f>SUM(H867:H879)</f>
        <v>37803245</v>
      </c>
      <c r="I866" s="1874"/>
      <c r="J866" s="1874"/>
      <c r="K866" s="1874"/>
      <c r="L866" s="1874"/>
      <c r="M866" s="1874"/>
      <c r="N866" s="1874"/>
      <c r="O866" s="1874"/>
      <c r="P866" s="1874"/>
      <c r="Q866" s="1874"/>
    </row>
    <row r="867" spans="2:17" ht="18" hidden="1">
      <c r="B867" s="1063" t="s">
        <v>1081</v>
      </c>
      <c r="D867" s="21">
        <v>4440664</v>
      </c>
      <c r="E867" s="21">
        <v>3290010</v>
      </c>
      <c r="F867" s="1874"/>
      <c r="G867" s="48">
        <v>4465191</v>
      </c>
      <c r="H867" s="1059">
        <v>2718431</v>
      </c>
      <c r="I867" s="21"/>
      <c r="J867" s="21"/>
      <c r="K867" s="21"/>
      <c r="L867" s="21"/>
      <c r="M867" s="21"/>
      <c r="N867" s="21"/>
      <c r="O867" s="21"/>
      <c r="P867" s="21"/>
      <c r="Q867" s="21"/>
    </row>
    <row r="868" spans="2:17" ht="18" hidden="1">
      <c r="B868" s="1063" t="s">
        <v>1046</v>
      </c>
      <c r="D868" s="21">
        <v>2174069</v>
      </c>
      <c r="E868" s="21">
        <v>2035251</v>
      </c>
      <c r="F868" s="1874"/>
      <c r="G868" s="48">
        <v>2187364</v>
      </c>
      <c r="H868" s="1059">
        <v>2035521</v>
      </c>
      <c r="I868" s="21"/>
      <c r="J868" s="21"/>
      <c r="K868" s="21"/>
      <c r="L868" s="21"/>
      <c r="M868" s="21"/>
      <c r="N868" s="21"/>
      <c r="O868" s="21"/>
      <c r="P868" s="21"/>
      <c r="Q868" s="21"/>
    </row>
    <row r="869" spans="2:17" ht="18" hidden="1">
      <c r="B869" s="1063" t="s">
        <v>1086</v>
      </c>
      <c r="D869" s="21">
        <v>858235</v>
      </c>
      <c r="E869" s="21">
        <v>1348334</v>
      </c>
      <c r="F869" s="1874"/>
      <c r="G869" s="48">
        <v>383005</v>
      </c>
      <c r="H869" s="1059">
        <v>853856</v>
      </c>
      <c r="I869" s="21"/>
      <c r="J869" s="21"/>
      <c r="K869" s="21"/>
      <c r="L869" s="21"/>
      <c r="M869" s="21"/>
      <c r="N869" s="21"/>
      <c r="O869" s="21"/>
      <c r="P869" s="21"/>
      <c r="Q869" s="21"/>
    </row>
    <row r="870" spans="2:17" ht="18" hidden="1">
      <c r="B870" s="1063" t="s">
        <v>1047</v>
      </c>
      <c r="D870" s="21">
        <v>1089679</v>
      </c>
      <c r="E870" s="21">
        <v>1085610</v>
      </c>
      <c r="F870" s="1874"/>
      <c r="G870" s="48">
        <v>0</v>
      </c>
      <c r="H870" s="1059">
        <v>1085610</v>
      </c>
      <c r="I870" s="21"/>
      <c r="J870" s="21"/>
      <c r="K870" s="21"/>
      <c r="L870" s="21"/>
      <c r="M870" s="21"/>
      <c r="N870" s="21"/>
      <c r="O870" s="21"/>
      <c r="P870" s="21"/>
      <c r="Q870" s="21"/>
    </row>
    <row r="871" spans="2:17" ht="18" hidden="1">
      <c r="B871" s="1063" t="s">
        <v>1073</v>
      </c>
      <c r="D871" s="21">
        <v>4348133</v>
      </c>
      <c r="E871" s="21">
        <v>4071040</v>
      </c>
      <c r="F871" s="1874"/>
      <c r="G871" s="48">
        <v>4374722</v>
      </c>
      <c r="H871" s="1059">
        <v>4071040</v>
      </c>
      <c r="I871" s="21"/>
      <c r="J871" s="21"/>
      <c r="K871" s="21"/>
      <c r="L871" s="21"/>
      <c r="M871" s="21"/>
      <c r="N871" s="21"/>
      <c r="O871" s="21"/>
      <c r="P871" s="21"/>
      <c r="Q871" s="21"/>
    </row>
    <row r="872" spans="2:17" ht="18" hidden="1">
      <c r="B872" s="1063" t="s">
        <v>1037</v>
      </c>
      <c r="D872" s="21">
        <v>7709117</v>
      </c>
      <c r="E872" s="21">
        <v>7544039</v>
      </c>
      <c r="F872" s="1874"/>
      <c r="G872" s="48">
        <v>7756259</v>
      </c>
      <c r="H872" s="1059">
        <v>6626309</v>
      </c>
      <c r="I872" s="21"/>
      <c r="J872" s="21"/>
      <c r="K872" s="21"/>
      <c r="L872" s="21"/>
      <c r="M872" s="21"/>
      <c r="N872" s="21"/>
      <c r="O872" s="21"/>
      <c r="P872" s="21"/>
      <c r="Q872" s="21"/>
    </row>
    <row r="873" spans="2:17" ht="18" hidden="1">
      <c r="B873" s="1063" t="s">
        <v>1055</v>
      </c>
      <c r="D873" s="21">
        <v>1515012</v>
      </c>
      <c r="E873" s="21">
        <v>1418464</v>
      </c>
      <c r="F873" s="1874"/>
      <c r="G873" s="48">
        <v>1524277</v>
      </c>
      <c r="H873" s="1059">
        <v>1418464</v>
      </c>
      <c r="I873" s="21"/>
      <c r="J873" s="21"/>
      <c r="K873" s="21"/>
      <c r="L873" s="21"/>
      <c r="M873" s="21"/>
      <c r="N873" s="21"/>
      <c r="O873" s="21"/>
      <c r="P873" s="21"/>
      <c r="Q873" s="21"/>
    </row>
    <row r="874" spans="2:17" ht="18" hidden="1">
      <c r="B874" s="1063" t="s">
        <v>325</v>
      </c>
      <c r="D874" s="21">
        <v>1397657</v>
      </c>
      <c r="E874" s="21">
        <v>1308589</v>
      </c>
      <c r="F874" s="1874"/>
      <c r="G874" s="48">
        <v>1406203</v>
      </c>
      <c r="H874" s="1059">
        <v>1308589</v>
      </c>
      <c r="I874" s="21"/>
      <c r="J874" s="21"/>
      <c r="K874" s="21"/>
      <c r="L874" s="21"/>
      <c r="M874" s="21"/>
      <c r="N874" s="21"/>
      <c r="O874" s="21"/>
      <c r="P874" s="21"/>
      <c r="Q874" s="21"/>
    </row>
    <row r="875" spans="2:17" ht="18" hidden="1">
      <c r="B875" s="1063" t="s">
        <v>1053</v>
      </c>
      <c r="D875" s="21">
        <v>2369216</v>
      </c>
      <c r="E875" s="21">
        <v>3229650</v>
      </c>
      <c r="F875" s="1874"/>
      <c r="G875" s="48">
        <v>559911</v>
      </c>
      <c r="H875" s="1059">
        <v>2253400</v>
      </c>
      <c r="I875" s="21"/>
      <c r="J875" s="21"/>
      <c r="K875" s="21"/>
      <c r="L875" s="21"/>
      <c r="M875" s="21"/>
      <c r="N875" s="21"/>
      <c r="O875" s="21"/>
      <c r="P875" s="21"/>
      <c r="Q875" s="21"/>
    </row>
    <row r="876" spans="2:17" ht="18" hidden="1">
      <c r="B876" s="1063" t="s">
        <v>1084</v>
      </c>
      <c r="D876" s="21">
        <v>1903397</v>
      </c>
      <c r="E876" s="21">
        <v>2607458</v>
      </c>
      <c r="F876" s="1874"/>
      <c r="G876" s="48">
        <v>1562798</v>
      </c>
      <c r="H876" s="1059">
        <v>1896290</v>
      </c>
      <c r="I876" s="21"/>
      <c r="J876" s="21"/>
      <c r="K876" s="21"/>
      <c r="L876" s="21"/>
      <c r="M876" s="21"/>
      <c r="N876" s="21"/>
      <c r="O876" s="21"/>
      <c r="P876" s="21"/>
      <c r="Q876" s="21"/>
    </row>
    <row r="877" spans="2:17" ht="18" hidden="1">
      <c r="B877" s="1063" t="s">
        <v>2260</v>
      </c>
      <c r="D877" s="21">
        <v>5665821</v>
      </c>
      <c r="E877" s="21">
        <v>5310124</v>
      </c>
      <c r="F877" s="1874"/>
      <c r="G877" s="48">
        <v>5700468</v>
      </c>
      <c r="H877" s="1059">
        <v>4760312</v>
      </c>
      <c r="I877" s="21"/>
      <c r="J877" s="21"/>
      <c r="K877" s="21"/>
      <c r="L877" s="21"/>
      <c r="M877" s="21"/>
      <c r="N877" s="21"/>
      <c r="O877" s="21"/>
      <c r="P877" s="21"/>
      <c r="Q877" s="21"/>
    </row>
    <row r="878" spans="2:17" ht="18" hidden="1">
      <c r="B878" s="1063" t="s">
        <v>2118</v>
      </c>
      <c r="D878" s="21">
        <v>2560368</v>
      </c>
      <c r="E878" s="21">
        <v>2529925</v>
      </c>
      <c r="F878" s="1874"/>
      <c r="G878" s="48">
        <v>0</v>
      </c>
      <c r="H878" s="1059">
        <v>2529925</v>
      </c>
      <c r="I878" s="21"/>
      <c r="J878" s="21"/>
      <c r="K878" s="21"/>
      <c r="L878" s="21"/>
      <c r="M878" s="21"/>
      <c r="N878" s="21"/>
      <c r="O878" s="21"/>
      <c r="P878" s="21"/>
      <c r="Q878" s="21"/>
    </row>
    <row r="879" spans="2:17" ht="18" hidden="1">
      <c r="B879" s="1063" t="s">
        <v>1035</v>
      </c>
      <c r="C879" s="21"/>
      <c r="D879" s="21">
        <v>7255322</v>
      </c>
      <c r="E879" s="21">
        <v>6803315</v>
      </c>
      <c r="F879" s="1874"/>
      <c r="G879" s="48">
        <v>7299688</v>
      </c>
      <c r="H879" s="1059">
        <v>6245498</v>
      </c>
      <c r="I879" s="21"/>
      <c r="J879" s="21"/>
      <c r="K879" s="21"/>
      <c r="L879" s="21"/>
      <c r="M879" s="21"/>
      <c r="N879" s="21"/>
      <c r="O879" s="21"/>
      <c r="P879" s="21"/>
      <c r="Q879" s="21"/>
    </row>
    <row r="880" spans="2:17" ht="18">
      <c r="B880" s="1063"/>
      <c r="C880" s="21"/>
      <c r="D880" s="21"/>
      <c r="E880" s="21"/>
      <c r="F880" s="1874"/>
      <c r="G880" s="48"/>
      <c r="H880" s="1059"/>
      <c r="I880" s="21"/>
      <c r="J880" s="21"/>
      <c r="K880" s="21"/>
      <c r="L880" s="21"/>
      <c r="M880" s="21"/>
      <c r="N880" s="21"/>
      <c r="O880" s="21"/>
      <c r="P880" s="21"/>
      <c r="Q880" s="21"/>
    </row>
    <row r="881" spans="2:17" ht="18">
      <c r="B881" s="1049" t="s">
        <v>1087</v>
      </c>
      <c r="C881" s="1874"/>
      <c r="D881" s="1874"/>
      <c r="E881" s="1875"/>
      <c r="F881" s="1875"/>
      <c r="G881" s="1876"/>
      <c r="H881" s="1877"/>
      <c r="I881" s="1875"/>
      <c r="J881" s="1875"/>
      <c r="K881" s="1875"/>
      <c r="L881" s="1875"/>
      <c r="M881" s="1875"/>
      <c r="N881" s="1875"/>
      <c r="O881" s="1875"/>
      <c r="P881" s="1875"/>
      <c r="Q881" s="1875"/>
    </row>
    <row r="882" spans="2:17" ht="18">
      <c r="B882" s="1864" t="s">
        <v>1089</v>
      </c>
      <c r="C882" s="120"/>
      <c r="D882" s="120"/>
      <c r="E882" s="2695"/>
      <c r="F882" s="2695"/>
      <c r="G882" s="47">
        <v>2400131</v>
      </c>
      <c r="H882" s="1058">
        <v>1561707</v>
      </c>
      <c r="I882" s="120"/>
      <c r="J882" s="120"/>
      <c r="K882" s="120"/>
      <c r="L882" s="120"/>
      <c r="M882" s="120"/>
      <c r="N882" s="120"/>
      <c r="O882" s="120"/>
      <c r="P882" s="120"/>
      <c r="Q882" s="120"/>
    </row>
    <row r="883" spans="2:17" ht="18">
      <c r="B883" s="1864" t="s">
        <v>2697</v>
      </c>
      <c r="C883" s="120"/>
      <c r="D883" s="120"/>
      <c r="E883" s="2695"/>
      <c r="F883" s="2695"/>
      <c r="G883" s="47">
        <v>0</v>
      </c>
      <c r="H883" s="1058">
        <v>146832</v>
      </c>
      <c r="I883" s="120"/>
      <c r="J883" s="120"/>
      <c r="K883" s="120"/>
      <c r="L883" s="120"/>
      <c r="M883" s="120"/>
      <c r="N883" s="120"/>
      <c r="O883" s="120"/>
      <c r="P883" s="120"/>
      <c r="Q883" s="120"/>
    </row>
    <row r="884" spans="2:17" ht="18">
      <c r="B884" s="1864" t="s">
        <v>2698</v>
      </c>
      <c r="C884" s="120"/>
      <c r="D884" s="120"/>
      <c r="E884" s="2695"/>
      <c r="F884" s="2695"/>
      <c r="G884" s="47">
        <v>474189</v>
      </c>
      <c r="H884" s="1058">
        <v>2129493</v>
      </c>
      <c r="I884" s="120"/>
      <c r="J884" s="120"/>
      <c r="K884" s="120"/>
      <c r="L884" s="120"/>
      <c r="M884" s="120"/>
      <c r="N884" s="120"/>
      <c r="O884" s="120"/>
      <c r="P884" s="120"/>
      <c r="Q884" s="120"/>
    </row>
    <row r="885" spans="2:17" ht="18">
      <c r="B885" s="1864" t="s">
        <v>4762</v>
      </c>
      <c r="C885" s="120"/>
      <c r="D885" s="120"/>
      <c r="E885" s="2695"/>
      <c r="F885" s="2695"/>
      <c r="G885" s="47">
        <f>+GETPIVOTDATA("Sum of Cr. Final 23-24",Pivot!$A$1,"PARTICULARS","RADHIKA SALES CORPORATION [ WP]","Note",17,"BS Main Head","Trade Payables","BS Sub Head","Trade Payables")</f>
        <v>328373</v>
      </c>
      <c r="H885" s="1058"/>
      <c r="I885" s="120"/>
      <c r="J885" s="120"/>
      <c r="K885" s="120"/>
      <c r="L885" s="120"/>
      <c r="M885" s="120"/>
      <c r="N885" s="120"/>
      <c r="O885" s="120"/>
      <c r="P885" s="120"/>
      <c r="Q885" s="120"/>
    </row>
    <row r="886" spans="2:17" ht="18">
      <c r="B886" s="1864"/>
      <c r="C886" s="120"/>
      <c r="D886" s="120"/>
      <c r="E886" s="2695"/>
      <c r="F886" s="2695"/>
      <c r="G886" s="47"/>
      <c r="H886" s="1058"/>
      <c r="I886" s="120"/>
      <c r="J886" s="120"/>
      <c r="K886" s="120"/>
      <c r="L886" s="120"/>
      <c r="M886" s="120"/>
      <c r="N886" s="120"/>
      <c r="O886" s="120"/>
      <c r="P886" s="120"/>
      <c r="Q886" s="120"/>
    </row>
    <row r="887" spans="2:17" ht="18">
      <c r="B887" s="1863" t="s">
        <v>14</v>
      </c>
      <c r="C887" s="120"/>
      <c r="D887" s="120"/>
      <c r="E887" s="2695"/>
      <c r="F887" s="2695"/>
      <c r="G887" s="47"/>
      <c r="H887" s="1058"/>
      <c r="I887" s="120"/>
      <c r="J887" s="120"/>
      <c r="K887" s="120"/>
      <c r="L887" s="120"/>
      <c r="M887" s="120"/>
      <c r="N887" s="120"/>
      <c r="O887" s="120"/>
      <c r="P887" s="120"/>
      <c r="Q887" s="120"/>
    </row>
    <row r="888" spans="2:17" ht="18">
      <c r="B888" s="1864" t="s">
        <v>1042</v>
      </c>
      <c r="C888" s="1874"/>
      <c r="D888" s="1874"/>
      <c r="E888" s="1875"/>
      <c r="F888" s="1875"/>
      <c r="G888" s="1876">
        <v>0</v>
      </c>
      <c r="H888" s="1877">
        <v>305863</v>
      </c>
      <c r="I888" s="1875"/>
      <c r="J888" s="1875"/>
      <c r="K888" s="1875"/>
      <c r="L888" s="1875"/>
      <c r="M888" s="1875"/>
      <c r="N888" s="1875"/>
      <c r="O888" s="1875"/>
      <c r="P888" s="1875"/>
      <c r="Q888" s="1875"/>
    </row>
    <row r="889" spans="2:17" ht="18">
      <c r="B889" s="1864" t="s">
        <v>1088</v>
      </c>
      <c r="C889" s="1874"/>
      <c r="D889" s="1874"/>
      <c r="E889" s="1875"/>
      <c r="F889" s="1875"/>
      <c r="G889" s="1876">
        <v>0</v>
      </c>
      <c r="H889" s="1877">
        <v>10899010</v>
      </c>
      <c r="I889" s="1875"/>
      <c r="J889" s="1875"/>
      <c r="K889" s="1875"/>
      <c r="L889" s="1875"/>
      <c r="M889" s="1875"/>
      <c r="N889" s="1875"/>
      <c r="O889" s="1875"/>
      <c r="P889" s="1875"/>
      <c r="Q889" s="1875"/>
    </row>
    <row r="890" spans="2:17" ht="18">
      <c r="B890" s="1864" t="s">
        <v>4762</v>
      </c>
      <c r="C890" s="1874"/>
      <c r="D890" s="1874"/>
      <c r="E890" s="1875"/>
      <c r="F890" s="1875"/>
      <c r="G890" s="1876">
        <f>+GETPIVOTDATA("Sum of Dr. Final 23-24",Pivot!$A$1,"PARTICULARS","RADHIKA SALES CORPORATION","Note",6,"BS Main Head","Financial Assets","BS Sub Head","Trade Receivables")</f>
        <v>11449790</v>
      </c>
      <c r="H890" s="1877"/>
      <c r="I890" s="1875"/>
      <c r="J890" s="1875"/>
      <c r="K890" s="1875"/>
      <c r="L890" s="1875"/>
      <c r="M890" s="1875"/>
      <c r="N890" s="1875"/>
      <c r="O890" s="1875"/>
      <c r="P890" s="1875"/>
      <c r="Q890" s="1875"/>
    </row>
    <row r="891" spans="2:17" ht="18.600000000000001" thickBot="1">
      <c r="B891" s="999"/>
      <c r="C891" s="1196"/>
      <c r="D891" s="1196"/>
      <c r="E891" s="2641"/>
      <c r="F891" s="2641"/>
      <c r="G891" s="1203"/>
      <c r="H891" s="1204"/>
      <c r="I891" s="21"/>
      <c r="J891" s="21"/>
      <c r="K891" s="21"/>
      <c r="L891" s="21"/>
      <c r="M891" s="21"/>
      <c r="N891" s="21"/>
      <c r="O891" s="21"/>
      <c r="P891" s="21"/>
      <c r="Q891" s="21"/>
    </row>
    <row r="892" spans="2:17" ht="18">
      <c r="B892" s="2789" t="s">
        <v>702</v>
      </c>
      <c r="C892" s="2790"/>
      <c r="D892" s="2790"/>
      <c r="E892" s="2790"/>
      <c r="F892" s="2790"/>
      <c r="G892" s="2790"/>
      <c r="H892" s="2791"/>
      <c r="I892" s="2709"/>
      <c r="J892" s="2709"/>
      <c r="K892" s="2709"/>
      <c r="L892" s="2709"/>
      <c r="M892" s="2709"/>
      <c r="N892" s="2709"/>
      <c r="O892" s="2709"/>
      <c r="P892" s="2709"/>
      <c r="Q892" s="2709"/>
    </row>
    <row r="893" spans="2:17" ht="18">
      <c r="B893" s="2792" t="s">
        <v>3056</v>
      </c>
      <c r="C893" s="2793"/>
      <c r="D893" s="2793"/>
      <c r="E893" s="2793"/>
      <c r="F893" s="2793"/>
      <c r="G893" s="2793"/>
      <c r="H893" s="2794"/>
      <c r="I893" s="2709"/>
      <c r="J893" s="2709"/>
      <c r="K893" s="2709"/>
      <c r="L893" s="2709"/>
      <c r="M893" s="2709"/>
      <c r="N893" s="2709"/>
      <c r="O893" s="2709"/>
      <c r="P893" s="2709"/>
      <c r="Q893" s="2709"/>
    </row>
    <row r="894" spans="2:17" ht="18">
      <c r="B894" s="2878"/>
      <c r="C894" s="2879"/>
      <c r="D894" s="2879"/>
      <c r="E894" s="2879"/>
      <c r="F894" s="2879"/>
      <c r="G894" s="2879"/>
      <c r="H894" s="2880"/>
      <c r="I894" s="2709"/>
      <c r="J894" s="2709"/>
      <c r="K894" s="2709"/>
      <c r="L894" s="2709"/>
      <c r="M894" s="2709"/>
      <c r="N894" s="2709"/>
      <c r="O894" s="2709"/>
      <c r="P894" s="2709"/>
      <c r="Q894" s="2709"/>
    </row>
    <row r="895" spans="2:17" ht="18">
      <c r="B895" s="2690" t="s">
        <v>0</v>
      </c>
      <c r="C895" s="1054"/>
      <c r="D895" s="1054"/>
      <c r="E895" s="2691"/>
      <c r="F895" s="2691"/>
      <c r="G895" s="1004" t="s">
        <v>756</v>
      </c>
      <c r="H895" s="1005" t="s">
        <v>756</v>
      </c>
      <c r="I895" s="1996"/>
      <c r="J895" s="1996"/>
      <c r="K895" s="1996"/>
      <c r="L895" s="1996"/>
      <c r="M895" s="1996"/>
      <c r="N895" s="1996"/>
      <c r="O895" s="1996"/>
      <c r="P895" s="1996"/>
      <c r="Q895" s="1996"/>
    </row>
    <row r="896" spans="2:17" ht="18">
      <c r="B896" s="1036"/>
      <c r="C896" s="44"/>
      <c r="D896" s="44"/>
      <c r="E896" s="2780"/>
      <c r="F896" s="2780"/>
      <c r="G896" s="6" t="s">
        <v>3052</v>
      </c>
      <c r="H896" s="1007" t="s">
        <v>705</v>
      </c>
      <c r="I896" s="103"/>
      <c r="J896" s="103"/>
      <c r="K896" s="103"/>
      <c r="L896" s="103"/>
      <c r="M896" s="103"/>
      <c r="N896" s="103"/>
      <c r="O896" s="103"/>
      <c r="P896" s="103"/>
      <c r="Q896" s="103"/>
    </row>
    <row r="897" spans="2:17" ht="18">
      <c r="B897" s="1178"/>
      <c r="C897" s="1175"/>
      <c r="D897" s="1175"/>
      <c r="E897" s="2704"/>
      <c r="F897" s="2704"/>
      <c r="G897" s="1064"/>
      <c r="H897" s="1065"/>
      <c r="I897" s="120"/>
      <c r="J897" s="120"/>
      <c r="K897" s="120"/>
      <c r="L897" s="120"/>
      <c r="M897" s="120"/>
      <c r="N897" s="120"/>
      <c r="O897" s="120"/>
      <c r="P897" s="120"/>
      <c r="Q897" s="120"/>
    </row>
    <row r="898" spans="2:17" ht="18">
      <c r="B898" s="1076" t="s">
        <v>2667</v>
      </c>
      <c r="C898" s="56"/>
      <c r="D898" s="56"/>
      <c r="E898" s="2676"/>
      <c r="F898" s="2676"/>
      <c r="G898" s="69"/>
      <c r="H898" s="1090"/>
      <c r="I898" s="26"/>
      <c r="J898" s="26"/>
      <c r="K898" s="26"/>
      <c r="L898" s="26"/>
      <c r="M898" s="26"/>
      <c r="N898" s="26"/>
      <c r="O898" s="26"/>
      <c r="P898" s="26"/>
      <c r="Q898" s="26"/>
    </row>
    <row r="899" spans="2:17" ht="18">
      <c r="B899" s="1063"/>
      <c r="C899" s="24"/>
      <c r="D899" s="24"/>
      <c r="E899" s="2676"/>
      <c r="F899" s="2676"/>
      <c r="G899" s="69"/>
      <c r="H899" s="1090"/>
      <c r="I899" s="26"/>
      <c r="J899" s="26"/>
      <c r="K899" s="26"/>
      <c r="L899" s="26"/>
      <c r="M899" s="26"/>
      <c r="N899" s="26"/>
      <c r="O899" s="26"/>
      <c r="P899" s="26"/>
      <c r="Q899" s="26"/>
    </row>
    <row r="900" spans="2:17" ht="18">
      <c r="B900" s="1077" t="s">
        <v>1090</v>
      </c>
      <c r="C900" s="2695"/>
      <c r="D900" s="2695"/>
      <c r="E900" s="2676"/>
      <c r="F900" s="2676"/>
      <c r="G900" s="69"/>
      <c r="H900" s="1090"/>
      <c r="I900" s="26"/>
      <c r="J900" s="26"/>
      <c r="K900" s="26"/>
      <c r="L900" s="26"/>
      <c r="M900" s="26"/>
      <c r="N900" s="26"/>
      <c r="O900" s="26"/>
      <c r="P900" s="26"/>
      <c r="Q900" s="26"/>
    </row>
    <row r="901" spans="2:17" ht="18">
      <c r="B901" s="2696" t="s">
        <v>1091</v>
      </c>
      <c r="C901" s="2695"/>
      <c r="D901" s="2695"/>
      <c r="E901" s="2676"/>
      <c r="F901" s="120"/>
      <c r="G901" s="47">
        <v>5000000</v>
      </c>
      <c r="H901" s="1058">
        <v>5000000</v>
      </c>
      <c r="I901" s="120"/>
      <c r="J901" s="120"/>
      <c r="K901" s="120"/>
      <c r="L901" s="120"/>
      <c r="M901" s="120"/>
      <c r="N901" s="120"/>
      <c r="O901" s="120"/>
      <c r="P901" s="120"/>
      <c r="Q901" s="120"/>
    </row>
    <row r="902" spans="2:17" ht="18">
      <c r="B902" s="2696" t="s">
        <v>2755</v>
      </c>
      <c r="C902" s="24"/>
      <c r="D902" s="24"/>
      <c r="E902" s="2676"/>
      <c r="F902" s="120"/>
      <c r="G902" s="11">
        <v>825000</v>
      </c>
      <c r="H902" s="1015">
        <v>825000</v>
      </c>
      <c r="I902" s="1874"/>
      <c r="J902" s="1874"/>
      <c r="K902" s="1874"/>
      <c r="L902" s="1874"/>
      <c r="M902" s="1874"/>
      <c r="N902" s="1874"/>
      <c r="O902" s="1874"/>
      <c r="P902" s="1874"/>
      <c r="Q902" s="1874"/>
    </row>
    <row r="903" spans="2:17" ht="18">
      <c r="B903" s="2696" t="s">
        <v>1092</v>
      </c>
      <c r="C903" s="24"/>
      <c r="D903" s="24"/>
      <c r="E903" s="2676"/>
      <c r="F903" s="120"/>
      <c r="G903" s="11">
        <v>500000</v>
      </c>
      <c r="H903" s="1015">
        <v>500000</v>
      </c>
      <c r="I903" s="1874"/>
      <c r="J903" s="1874"/>
      <c r="K903" s="1874"/>
      <c r="L903" s="1874"/>
      <c r="M903" s="1874"/>
      <c r="N903" s="1874"/>
      <c r="O903" s="1874"/>
      <c r="P903" s="1874"/>
      <c r="Q903" s="1874"/>
    </row>
    <row r="904" spans="2:17" ht="18">
      <c r="B904" s="2696"/>
      <c r="C904" s="24"/>
      <c r="D904" s="24"/>
      <c r="E904" s="2676"/>
      <c r="F904" s="120"/>
      <c r="G904" s="11"/>
      <c r="H904" s="1015"/>
      <c r="I904" s="1874"/>
      <c r="J904" s="1874"/>
      <c r="K904" s="1874"/>
      <c r="L904" s="1874"/>
      <c r="M904" s="1874"/>
      <c r="N904" s="1874"/>
      <c r="O904" s="1874"/>
      <c r="P904" s="1874"/>
      <c r="Q904" s="1874"/>
    </row>
    <row r="905" spans="2:17" ht="18">
      <c r="B905" s="2699" t="s">
        <v>1093</v>
      </c>
      <c r="C905" s="24"/>
      <c r="D905" s="24"/>
      <c r="E905" s="2676"/>
      <c r="F905" s="2676"/>
      <c r="G905" s="11">
        <f>+'MSME Intt'!P1</f>
        <v>3260275.3854138013</v>
      </c>
      <c r="H905" s="1015">
        <v>47689</v>
      </c>
      <c r="I905" s="1874"/>
      <c r="J905" s="1874"/>
      <c r="K905" s="1874"/>
      <c r="L905" s="1874"/>
      <c r="M905" s="1874"/>
      <c r="N905" s="1874"/>
      <c r="O905" s="1874"/>
      <c r="P905" s="1874"/>
      <c r="Q905" s="1874"/>
    </row>
    <row r="906" spans="2:17" ht="18">
      <c r="B906" s="2639" t="s">
        <v>757</v>
      </c>
      <c r="C906" s="2695"/>
      <c r="D906" s="2695"/>
      <c r="E906" s="2676"/>
      <c r="F906" s="2676"/>
      <c r="G906" s="11" t="s">
        <v>757</v>
      </c>
      <c r="H906" s="1015" t="s">
        <v>757</v>
      </c>
      <c r="I906" s="1874"/>
      <c r="J906" s="1874"/>
      <c r="K906" s="1874"/>
      <c r="L906" s="1874"/>
      <c r="M906" s="1874"/>
      <c r="N906" s="1874"/>
      <c r="O906" s="1874"/>
      <c r="P906" s="1874"/>
      <c r="Q906" s="1874"/>
    </row>
    <row r="907" spans="2:17" ht="18">
      <c r="B907" s="2699" t="s">
        <v>1094</v>
      </c>
      <c r="C907" s="2695"/>
      <c r="D907" s="2695"/>
      <c r="E907" s="2676"/>
      <c r="F907" s="2676"/>
      <c r="G907" s="11">
        <v>0</v>
      </c>
      <c r="H907" s="1015">
        <v>43930</v>
      </c>
      <c r="I907" s="1874"/>
      <c r="J907" s="1874"/>
      <c r="K907" s="1874"/>
      <c r="L907" s="1874"/>
      <c r="M907" s="1874"/>
      <c r="N907" s="1874"/>
      <c r="O907" s="1874"/>
      <c r="P907" s="1874"/>
      <c r="Q907" s="1874"/>
    </row>
    <row r="908" spans="2:17" ht="18">
      <c r="B908" s="2639"/>
      <c r="C908" s="2695"/>
      <c r="D908" s="2695"/>
      <c r="E908" s="2676"/>
      <c r="F908" s="2676"/>
      <c r="G908" s="11"/>
      <c r="H908" s="1015"/>
      <c r="I908" s="1874"/>
      <c r="J908" s="1874"/>
      <c r="K908" s="1874"/>
      <c r="L908" s="1874"/>
      <c r="M908" s="1874"/>
      <c r="N908" s="1874"/>
      <c r="O908" s="1874"/>
      <c r="P908" s="1874"/>
      <c r="Q908" s="1874"/>
    </row>
    <row r="909" spans="2:17" ht="18">
      <c r="B909" s="2699" t="s">
        <v>1095</v>
      </c>
      <c r="C909" s="2695"/>
      <c r="D909" s="2695"/>
      <c r="E909" s="2676"/>
      <c r="F909" s="2676"/>
      <c r="G909" s="11"/>
      <c r="H909" s="1015"/>
      <c r="I909" s="1874"/>
      <c r="J909" s="1874"/>
      <c r="K909" s="1874"/>
      <c r="L909" s="1874"/>
      <c r="M909" s="1874"/>
      <c r="N909" s="1874"/>
      <c r="O909" s="1874"/>
      <c r="P909" s="1874"/>
      <c r="Q909" s="1874"/>
    </row>
    <row r="910" spans="2:17" ht="18">
      <c r="B910" s="2696" t="s">
        <v>1096</v>
      </c>
      <c r="C910" s="2695"/>
      <c r="D910" s="2695"/>
      <c r="E910" s="2676"/>
      <c r="F910" s="2676"/>
      <c r="G910" s="11">
        <v>0</v>
      </c>
      <c r="H910" s="1015">
        <v>0</v>
      </c>
      <c r="I910" s="1874"/>
      <c r="J910" s="1874"/>
      <c r="K910" s="1874"/>
      <c r="L910" s="1874"/>
      <c r="M910" s="1874"/>
      <c r="N910" s="1874"/>
      <c r="O910" s="1874"/>
      <c r="P910" s="1874"/>
      <c r="Q910" s="1874"/>
    </row>
    <row r="911" spans="2:17" ht="18">
      <c r="B911" s="2696" t="s">
        <v>1097</v>
      </c>
      <c r="C911" s="2695"/>
      <c r="D911" s="2695"/>
      <c r="E911" s="2676"/>
      <c r="F911" s="2676"/>
      <c r="G911" s="11">
        <v>0</v>
      </c>
      <c r="H911" s="1015">
        <v>0</v>
      </c>
      <c r="I911" s="1874"/>
      <c r="J911" s="1874"/>
      <c r="K911" s="1874"/>
      <c r="L911" s="1874"/>
      <c r="M911" s="1874"/>
      <c r="N911" s="1874"/>
      <c r="O911" s="1874"/>
      <c r="P911" s="1874"/>
      <c r="Q911" s="1874"/>
    </row>
    <row r="912" spans="2:17" ht="97.8" customHeight="1">
      <c r="B912" s="2655" t="s">
        <v>2878</v>
      </c>
      <c r="C912" s="2656"/>
      <c r="D912" s="2656"/>
      <c r="E912" s="2656"/>
      <c r="F912" s="2656"/>
      <c r="G912" s="11"/>
      <c r="H912" s="1015"/>
      <c r="I912" s="1874"/>
      <c r="J912" s="1874"/>
      <c r="K912" s="1874"/>
      <c r="L912" s="1874"/>
      <c r="M912" s="1874"/>
      <c r="N912" s="1874"/>
      <c r="O912" s="1874"/>
      <c r="P912" s="1874"/>
      <c r="Q912" s="1874"/>
    </row>
    <row r="913" spans="2:17" ht="18">
      <c r="B913" s="2607"/>
      <c r="C913" s="2889"/>
      <c r="D913" s="2889"/>
      <c r="E913" s="2889"/>
      <c r="F913" s="2919"/>
      <c r="G913" s="11"/>
      <c r="H913" s="1015"/>
      <c r="I913" s="1874"/>
      <c r="J913" s="1874"/>
      <c r="K913" s="1874"/>
      <c r="L913" s="1874"/>
      <c r="M913" s="1874"/>
      <c r="N913" s="1874"/>
      <c r="O913" s="1874"/>
      <c r="P913" s="1874"/>
      <c r="Q913" s="1874"/>
    </row>
    <row r="914" spans="2:17" ht="18">
      <c r="B914" s="2699" t="s">
        <v>1098</v>
      </c>
      <c r="C914" s="2919"/>
      <c r="D914" s="2919"/>
      <c r="E914" s="2919"/>
      <c r="F914" s="2919"/>
      <c r="G914" s="11"/>
      <c r="H914" s="1015"/>
      <c r="I914" s="1874"/>
      <c r="J914" s="1874"/>
      <c r="K914" s="1874"/>
      <c r="L914" s="1874"/>
      <c r="M914" s="1874"/>
      <c r="N914" s="1874"/>
      <c r="O914" s="1874"/>
      <c r="P914" s="1874"/>
      <c r="Q914" s="1874"/>
    </row>
    <row r="915" spans="2:17" ht="18">
      <c r="B915" s="2696" t="s">
        <v>1096</v>
      </c>
      <c r="C915" s="2919"/>
      <c r="D915" s="2919"/>
      <c r="E915" s="2919"/>
      <c r="F915" s="2919"/>
      <c r="G915" s="11">
        <v>0</v>
      </c>
      <c r="H915" s="1015">
        <v>0</v>
      </c>
      <c r="I915" s="1874"/>
      <c r="J915" s="1874"/>
      <c r="K915" s="1874"/>
      <c r="L915" s="1874"/>
      <c r="M915" s="1874"/>
      <c r="N915" s="1874"/>
      <c r="O915" s="1874"/>
      <c r="P915" s="1874"/>
      <c r="Q915" s="1874"/>
    </row>
    <row r="916" spans="2:17" ht="18">
      <c r="B916" s="2696" t="s">
        <v>1097</v>
      </c>
      <c r="C916" s="2919"/>
      <c r="D916" s="2919"/>
      <c r="E916" s="2919"/>
      <c r="F916" s="2919"/>
      <c r="G916" s="11">
        <v>667226</v>
      </c>
      <c r="H916" s="1015">
        <v>667226</v>
      </c>
      <c r="I916" s="1874"/>
      <c r="J916" s="1874"/>
      <c r="K916" s="1874"/>
      <c r="L916" s="1874"/>
      <c r="M916" s="1874"/>
      <c r="N916" s="1874"/>
      <c r="O916" s="1874"/>
      <c r="P916" s="1874"/>
      <c r="Q916" s="1874"/>
    </row>
    <row r="917" spans="2:17" ht="18">
      <c r="B917" s="2699" t="s">
        <v>1099</v>
      </c>
      <c r="C917" s="2919"/>
      <c r="D917" s="2919"/>
      <c r="E917" s="2919"/>
      <c r="F917" s="2919"/>
      <c r="G917" s="11"/>
      <c r="H917" s="1015"/>
      <c r="I917" s="1874"/>
      <c r="J917" s="1874"/>
      <c r="K917" s="1874"/>
      <c r="L917" s="1874"/>
      <c r="M917" s="1874"/>
      <c r="N917" s="1874"/>
      <c r="O917" s="1874"/>
      <c r="P917" s="1874"/>
      <c r="Q917" s="1874"/>
    </row>
    <row r="918" spans="2:17" ht="18">
      <c r="B918" s="2696" t="s">
        <v>1096</v>
      </c>
      <c r="C918" s="2919"/>
      <c r="D918" s="2919"/>
      <c r="E918" s="2919"/>
      <c r="F918" s="2919"/>
      <c r="G918" s="11">
        <v>0</v>
      </c>
      <c r="H918" s="1015">
        <v>0</v>
      </c>
      <c r="I918" s="1874"/>
      <c r="J918" s="1874"/>
      <c r="K918" s="1874"/>
      <c r="L918" s="1874"/>
      <c r="M918" s="1874"/>
      <c r="N918" s="1874"/>
      <c r="O918" s="1874"/>
      <c r="P918" s="1874"/>
      <c r="Q918" s="1874"/>
    </row>
    <row r="919" spans="2:17" ht="18">
      <c r="B919" s="2696" t="s">
        <v>1097</v>
      </c>
      <c r="C919" s="2919"/>
      <c r="D919" s="2919"/>
      <c r="E919" s="2919"/>
      <c r="F919" s="2919"/>
      <c r="G919" s="11">
        <v>627223</v>
      </c>
      <c r="H919" s="1015">
        <v>627223</v>
      </c>
      <c r="I919" s="1874"/>
      <c r="J919" s="1874"/>
      <c r="K919" s="1874"/>
      <c r="L919" s="1874"/>
      <c r="M919" s="1874"/>
      <c r="N919" s="1874"/>
      <c r="O919" s="1874"/>
      <c r="P919" s="1874"/>
      <c r="Q919" s="1874"/>
    </row>
    <row r="920" spans="2:17" ht="128.4" customHeight="1">
      <c r="B920" s="2920" t="s">
        <v>2871</v>
      </c>
      <c r="C920" s="2921"/>
      <c r="D920" s="2921"/>
      <c r="E920" s="2921"/>
      <c r="F920" s="2921"/>
      <c r="G920" s="73"/>
      <c r="H920" s="1096"/>
      <c r="I920" s="2009"/>
      <c r="J920" s="2009"/>
      <c r="K920" s="2009"/>
      <c r="L920" s="2009"/>
      <c r="M920" s="2009"/>
      <c r="N920" s="2009"/>
      <c r="O920" s="2009"/>
      <c r="P920" s="2009"/>
      <c r="Q920" s="2009"/>
    </row>
    <row r="921" spans="2:17" ht="18">
      <c r="B921" s="2922"/>
      <c r="C921" s="2923"/>
      <c r="D921" s="2923"/>
      <c r="E921" s="2923"/>
      <c r="F921" s="2923"/>
      <c r="G921" s="73"/>
      <c r="H921" s="1096"/>
      <c r="I921" s="2009"/>
      <c r="J921" s="2009"/>
      <c r="K921" s="2009"/>
      <c r="L921" s="2009"/>
      <c r="M921" s="2009"/>
      <c r="N921" s="2009"/>
      <c r="O921" s="2009"/>
      <c r="P921" s="2009"/>
      <c r="Q921" s="2009"/>
    </row>
    <row r="922" spans="2:17" ht="18">
      <c r="B922" s="2924" t="s">
        <v>1100</v>
      </c>
      <c r="C922" s="2923"/>
      <c r="D922" s="2923"/>
      <c r="E922" s="2923"/>
      <c r="F922" s="2923"/>
      <c r="G922" s="73"/>
      <c r="H922" s="1096"/>
      <c r="I922" s="2009"/>
      <c r="J922" s="2009"/>
      <c r="K922" s="2009"/>
      <c r="L922" s="2009"/>
      <c r="M922" s="2009"/>
      <c r="N922" s="2009"/>
      <c r="O922" s="2009"/>
      <c r="P922" s="2009"/>
      <c r="Q922" s="2009"/>
    </row>
    <row r="923" spans="2:17" ht="18">
      <c r="B923" s="2925" t="s">
        <v>1101</v>
      </c>
      <c r="C923" s="2926"/>
      <c r="D923" s="2926"/>
      <c r="E923" s="2926"/>
      <c r="F923" s="2927"/>
      <c r="G923" s="1462"/>
      <c r="H923" s="1463">
        <v>0</v>
      </c>
      <c r="I923" s="2027"/>
      <c r="J923" s="2027"/>
      <c r="K923" s="2027"/>
      <c r="L923" s="2027"/>
      <c r="M923" s="2027"/>
      <c r="N923" s="2027"/>
      <c r="O923" s="2027"/>
      <c r="P923" s="2027"/>
      <c r="Q923" s="2027"/>
    </row>
    <row r="924" spans="2:17" ht="18">
      <c r="B924" s="2928"/>
      <c r="C924" s="2627"/>
      <c r="D924" s="2627"/>
      <c r="E924" s="2627"/>
      <c r="F924" s="2627"/>
      <c r="G924" s="19"/>
      <c r="H924" s="1030"/>
      <c r="I924" s="19"/>
      <c r="J924" s="19"/>
      <c r="K924" s="19"/>
      <c r="L924" s="19"/>
      <c r="M924" s="19"/>
      <c r="N924" s="19"/>
      <c r="O924" s="19"/>
      <c r="P924" s="19"/>
      <c r="Q924" s="19"/>
    </row>
    <row r="925" spans="2:17" ht="18">
      <c r="B925" s="1076" t="s">
        <v>2668</v>
      </c>
      <c r="C925" s="2695"/>
      <c r="D925" s="2695"/>
      <c r="E925" s="2676"/>
      <c r="F925" s="2676"/>
      <c r="G925" s="26"/>
      <c r="H925" s="1034"/>
      <c r="I925" s="26"/>
      <c r="J925" s="26"/>
      <c r="K925" s="26"/>
      <c r="L925" s="26"/>
      <c r="M925" s="26"/>
      <c r="N925" s="26"/>
      <c r="O925" s="26"/>
      <c r="P925" s="26"/>
      <c r="Q925" s="26"/>
    </row>
    <row r="926" spans="2:17" ht="18">
      <c r="B926" s="2655" t="s">
        <v>1103</v>
      </c>
      <c r="C926" s="2656"/>
      <c r="D926" s="2656"/>
      <c r="E926" s="2656"/>
      <c r="F926" s="2656"/>
      <c r="G926" s="2656"/>
      <c r="H926" s="2907"/>
      <c r="I926" s="2657"/>
      <c r="J926" s="2657"/>
      <c r="K926" s="2657"/>
      <c r="L926" s="2657"/>
      <c r="M926" s="2657"/>
      <c r="N926" s="2657"/>
      <c r="O926" s="2657"/>
      <c r="P926" s="2657"/>
      <c r="Q926" s="2657"/>
    </row>
    <row r="927" spans="2:17" ht="18">
      <c r="B927" s="2845"/>
      <c r="C927" s="2709"/>
      <c r="D927" s="2709"/>
      <c r="E927" s="2709"/>
      <c r="F927" s="2709"/>
      <c r="G927" s="103"/>
      <c r="H927" s="1020"/>
      <c r="I927" s="103"/>
      <c r="J927" s="103"/>
      <c r="K927" s="103"/>
      <c r="L927" s="103"/>
      <c r="M927" s="103"/>
      <c r="N927" s="103"/>
      <c r="O927" s="103"/>
      <c r="P927" s="103"/>
      <c r="Q927" s="103"/>
    </row>
    <row r="928" spans="2:17" ht="18">
      <c r="B928" s="1076" t="s">
        <v>2631</v>
      </c>
      <c r="C928" s="2695"/>
      <c r="D928" s="2695"/>
      <c r="E928" s="2676"/>
      <c r="F928" s="2676"/>
      <c r="G928" s="26"/>
      <c r="H928" s="1034"/>
      <c r="I928" s="26"/>
      <c r="J928" s="26"/>
      <c r="K928" s="26"/>
      <c r="L928" s="26"/>
      <c r="M928" s="26"/>
      <c r="N928" s="26"/>
      <c r="O928" s="26"/>
      <c r="P928" s="26"/>
      <c r="Q928" s="26"/>
    </row>
    <row r="929" spans="2:17" ht="23.4" customHeight="1">
      <c r="B929" s="2655" t="s">
        <v>1104</v>
      </c>
      <c r="C929" s="2656"/>
      <c r="D929" s="2656"/>
      <c r="E929" s="2656"/>
      <c r="F929" s="2656"/>
      <c r="G929" s="2656"/>
      <c r="H929" s="2907"/>
      <c r="I929" s="2657"/>
      <c r="J929" s="2657"/>
      <c r="K929" s="2657"/>
      <c r="L929" s="2657"/>
      <c r="M929" s="2657"/>
      <c r="N929" s="2657"/>
      <c r="O929" s="2657"/>
      <c r="P929" s="2657"/>
      <c r="Q929" s="2657"/>
    </row>
    <row r="930" spans="2:17" ht="18">
      <c r="B930" s="2929"/>
      <c r="C930" s="2919"/>
      <c r="D930" s="2919"/>
      <c r="E930" s="2919"/>
      <c r="F930" s="2919"/>
      <c r="G930" s="54"/>
      <c r="H930" s="1074"/>
      <c r="I930" s="54"/>
      <c r="J930" s="54"/>
      <c r="K930" s="54"/>
      <c r="L930" s="54"/>
      <c r="M930" s="54"/>
      <c r="N930" s="54"/>
      <c r="O930" s="54"/>
      <c r="P930" s="54"/>
      <c r="Q930" s="54"/>
    </row>
    <row r="931" spans="2:17" ht="18">
      <c r="B931" s="1076" t="s">
        <v>1102</v>
      </c>
      <c r="C931" s="2919"/>
      <c r="D931" s="2919"/>
      <c r="E931" s="2919"/>
      <c r="F931" s="2919"/>
      <c r="G931" s="54"/>
      <c r="H931" s="1074"/>
      <c r="I931" s="54"/>
      <c r="J931" s="54"/>
      <c r="K931" s="54"/>
      <c r="L931" s="54"/>
      <c r="M931" s="54"/>
      <c r="N931" s="54"/>
      <c r="O931" s="54"/>
      <c r="P931" s="54"/>
      <c r="Q931" s="54"/>
    </row>
    <row r="932" spans="2:17" ht="18">
      <c r="B932" s="2655" t="s">
        <v>1105</v>
      </c>
      <c r="C932" s="2656"/>
      <c r="D932" s="2656"/>
      <c r="E932" s="2656"/>
      <c r="F932" s="2656"/>
      <c r="G932" s="2656"/>
      <c r="H932" s="2907"/>
      <c r="I932" s="2657"/>
      <c r="J932" s="2657"/>
      <c r="K932" s="2657"/>
      <c r="L932" s="2657"/>
      <c r="M932" s="2657"/>
      <c r="N932" s="2657"/>
      <c r="O932" s="2657"/>
      <c r="P932" s="2657"/>
      <c r="Q932" s="2657"/>
    </row>
    <row r="933" spans="2:17" ht="18">
      <c r="B933" s="2655"/>
      <c r="C933" s="2656"/>
      <c r="D933" s="2656"/>
      <c r="E933" s="2656"/>
      <c r="F933" s="2656"/>
      <c r="G933" s="2656"/>
      <c r="H933" s="2907"/>
      <c r="I933" s="2657"/>
      <c r="J933" s="2657"/>
      <c r="K933" s="2657"/>
      <c r="L933" s="2657"/>
      <c r="M933" s="2657"/>
      <c r="N933" s="2657"/>
      <c r="O933" s="2657"/>
      <c r="P933" s="2657"/>
      <c r="Q933" s="2657"/>
    </row>
    <row r="934" spans="2:17" ht="21.6" customHeight="1">
      <c r="B934" s="2655"/>
      <c r="C934" s="2656"/>
      <c r="D934" s="2656"/>
      <c r="E934" s="2656"/>
      <c r="F934" s="2656"/>
      <c r="G934" s="2656"/>
      <c r="H934" s="2907"/>
      <c r="I934" s="2657"/>
      <c r="J934" s="2657"/>
      <c r="K934" s="2657"/>
      <c r="L934" s="2657"/>
      <c r="M934" s="2657"/>
      <c r="N934" s="2657"/>
      <c r="O934" s="2657"/>
      <c r="P934" s="2657"/>
      <c r="Q934" s="2657"/>
    </row>
    <row r="935" spans="2:17" ht="18">
      <c r="B935" s="2611"/>
      <c r="C935" s="2657"/>
      <c r="D935" s="2657"/>
      <c r="E935" s="2657"/>
      <c r="F935" s="2657"/>
      <c r="G935" s="2657"/>
      <c r="H935" s="2930"/>
      <c r="I935" s="2657"/>
      <c r="J935" s="2657"/>
      <c r="K935" s="2657"/>
      <c r="L935" s="2657"/>
      <c r="M935" s="2657"/>
      <c r="N935" s="2657"/>
      <c r="O935" s="2657"/>
      <c r="P935" s="2657"/>
      <c r="Q935" s="2657"/>
    </row>
    <row r="936" spans="2:17" ht="18">
      <c r="B936" s="1076" t="s">
        <v>2768</v>
      </c>
      <c r="C936" s="2657"/>
      <c r="D936" s="2657"/>
      <c r="E936" s="2657"/>
      <c r="F936" s="2657"/>
      <c r="G936" s="2657"/>
      <c r="H936" s="2930"/>
      <c r="I936" s="2657"/>
      <c r="J936" s="2657"/>
      <c r="K936" s="2657"/>
      <c r="L936" s="2657"/>
      <c r="M936" s="2657"/>
      <c r="N936" s="2657"/>
      <c r="O936" s="2657"/>
      <c r="P936" s="2657"/>
      <c r="Q936" s="2657"/>
    </row>
    <row r="937" spans="2:17" ht="40.950000000000003" customHeight="1">
      <c r="B937" s="2655" t="s">
        <v>2769</v>
      </c>
      <c r="C937" s="2656"/>
      <c r="D937" s="2656"/>
      <c r="E937" s="2656"/>
      <c r="F937" s="2656"/>
      <c r="G937" s="2656"/>
      <c r="H937" s="2907"/>
      <c r="I937" s="2657"/>
      <c r="J937" s="2657"/>
      <c r="K937" s="2657"/>
      <c r="L937" s="2657"/>
      <c r="M937" s="2657"/>
      <c r="N937" s="2657"/>
      <c r="O937" s="2657"/>
      <c r="P937" s="2657"/>
      <c r="Q937" s="2657"/>
    </row>
    <row r="938" spans="2:17" ht="18">
      <c r="B938" s="2611"/>
      <c r="C938" s="2657"/>
      <c r="D938" s="2657"/>
      <c r="E938" s="2657"/>
      <c r="F938" s="2657"/>
      <c r="G938" s="2657"/>
      <c r="H938" s="2930"/>
      <c r="I938" s="2657"/>
      <c r="J938" s="2657"/>
      <c r="K938" s="2657"/>
      <c r="L938" s="2657"/>
      <c r="M938" s="2657"/>
      <c r="N938" s="2657"/>
      <c r="O938" s="2657"/>
      <c r="P938" s="2657"/>
      <c r="Q938" s="2657"/>
    </row>
    <row r="939" spans="2:17" ht="18">
      <c r="B939" s="1076" t="s">
        <v>2770</v>
      </c>
      <c r="C939" s="2657"/>
      <c r="D939" s="2657"/>
      <c r="E939" s="2657"/>
      <c r="F939" s="2657"/>
      <c r="G939" s="121"/>
      <c r="H939" s="1182"/>
      <c r="I939" s="121"/>
      <c r="J939" s="121"/>
      <c r="K939" s="121"/>
      <c r="L939" s="121"/>
      <c r="M939" s="121"/>
      <c r="N939" s="121"/>
      <c r="O939" s="121"/>
      <c r="P939" s="121"/>
      <c r="Q939" s="121"/>
    </row>
    <row r="940" spans="2:17" ht="18">
      <c r="B940" s="2655" t="s">
        <v>4727</v>
      </c>
      <c r="C940" s="2656"/>
      <c r="D940" s="2656"/>
      <c r="E940" s="2656"/>
      <c r="F940" s="2656"/>
      <c r="G940" s="2656"/>
      <c r="H940" s="2907"/>
      <c r="I940" s="2657"/>
      <c r="J940" s="2657"/>
      <c r="K940" s="2657"/>
      <c r="L940" s="2657"/>
      <c r="M940" s="2657"/>
      <c r="N940" s="2657"/>
      <c r="O940" s="2657"/>
      <c r="P940" s="2657"/>
      <c r="Q940" s="2657"/>
    </row>
    <row r="941" spans="2:17" ht="18">
      <c r="B941" s="2611"/>
      <c r="C941" s="2657"/>
      <c r="D941" s="2657"/>
      <c r="E941" s="2657"/>
      <c r="F941" s="2657"/>
      <c r="G941" s="2657"/>
      <c r="H941" s="2930"/>
      <c r="I941" s="2657"/>
      <c r="J941" s="2657"/>
      <c r="K941" s="2657"/>
      <c r="L941" s="2657"/>
      <c r="M941" s="2657"/>
      <c r="N941" s="2657"/>
      <c r="O941" s="2657"/>
      <c r="P941" s="2657"/>
      <c r="Q941" s="2657"/>
    </row>
    <row r="942" spans="2:17" ht="18">
      <c r="B942" s="2931" t="s">
        <v>2876</v>
      </c>
      <c r="C942" s="2657"/>
      <c r="D942" s="2657"/>
      <c r="E942" s="2657"/>
      <c r="F942" s="2657"/>
      <c r="G942" s="2657"/>
      <c r="H942" s="2930"/>
      <c r="I942" s="2657"/>
      <c r="J942" s="2657"/>
      <c r="K942" s="2657"/>
      <c r="L942" s="2657"/>
      <c r="M942" s="2657"/>
      <c r="N942" s="2657"/>
      <c r="O942" s="2657"/>
      <c r="P942" s="2657"/>
      <c r="Q942" s="2657"/>
    </row>
    <row r="943" spans="2:17" ht="39" customHeight="1">
      <c r="B943" s="2655" t="s">
        <v>2875</v>
      </c>
      <c r="C943" s="2656"/>
      <c r="D943" s="2656"/>
      <c r="E943" s="2656"/>
      <c r="F943" s="2656"/>
      <c r="G943" s="2656"/>
      <c r="H943" s="2907"/>
      <c r="I943" s="2657"/>
      <c r="J943" s="2657"/>
      <c r="K943" s="2657"/>
      <c r="L943" s="2657"/>
      <c r="M943" s="2657"/>
      <c r="N943" s="2657"/>
      <c r="O943" s="2657"/>
      <c r="P943" s="2657"/>
      <c r="Q943" s="2657"/>
    </row>
    <row r="944" spans="2:17" ht="18">
      <c r="B944" s="2611"/>
      <c r="C944" s="2657"/>
      <c r="D944" s="2657"/>
      <c r="E944" s="2657"/>
      <c r="F944" s="2657"/>
      <c r="G944" s="2657"/>
      <c r="H944" s="2930"/>
      <c r="I944" s="2657"/>
      <c r="J944" s="2657"/>
      <c r="K944" s="2657"/>
      <c r="L944" s="2657"/>
      <c r="M944" s="2657"/>
      <c r="N944" s="2657"/>
      <c r="O944" s="2657"/>
      <c r="P944" s="2657"/>
      <c r="Q944" s="2657"/>
    </row>
    <row r="945" spans="2:26" ht="18">
      <c r="B945" s="2931" t="s">
        <v>2884</v>
      </c>
      <c r="C945" s="2657"/>
      <c r="D945" s="2657"/>
      <c r="E945" s="2657"/>
      <c r="F945" s="2657"/>
      <c r="G945" s="2657"/>
      <c r="H945" s="2930"/>
      <c r="I945" s="2657"/>
      <c r="J945" s="2657"/>
      <c r="K945" s="2657"/>
      <c r="L945" s="2657"/>
      <c r="M945" s="2657"/>
      <c r="N945" s="2657"/>
      <c r="O945" s="2657"/>
      <c r="P945" s="2657"/>
      <c r="Q945" s="2657"/>
    </row>
    <row r="946" spans="2:26" ht="39" customHeight="1">
      <c r="B946" s="2655" t="s">
        <v>2885</v>
      </c>
      <c r="C946" s="2656"/>
      <c r="D946" s="2656"/>
      <c r="E946" s="2656"/>
      <c r="F946" s="2656"/>
      <c r="G946" s="2656"/>
      <c r="H946" s="2907"/>
      <c r="I946" s="2657"/>
      <c r="J946" s="2657"/>
      <c r="K946" s="2657"/>
      <c r="L946" s="2657"/>
      <c r="M946" s="2657"/>
      <c r="N946" s="2657"/>
      <c r="O946" s="2657"/>
      <c r="P946" s="2657"/>
      <c r="Q946" s="2657"/>
    </row>
    <row r="947" spans="2:26" ht="18">
      <c r="B947" s="2611"/>
      <c r="C947" s="2657"/>
      <c r="D947" s="2657"/>
      <c r="E947" s="2657"/>
      <c r="F947" s="2657"/>
      <c r="G947" s="2657"/>
      <c r="H947" s="2930"/>
      <c r="I947" s="2657"/>
      <c r="J947" s="2657"/>
      <c r="K947" s="2657"/>
      <c r="L947" s="2657"/>
      <c r="M947" s="2657"/>
      <c r="N947" s="2657"/>
      <c r="O947" s="2657"/>
      <c r="P947" s="2657"/>
      <c r="Q947" s="2657"/>
    </row>
    <row r="948" spans="2:26" ht="18">
      <c r="B948" s="1076" t="s">
        <v>2886</v>
      </c>
      <c r="C948" s="2602"/>
      <c r="D948" s="2602"/>
      <c r="E948" s="2676"/>
      <c r="F948" s="2676" t="s">
        <v>757</v>
      </c>
      <c r="G948" s="26"/>
      <c r="H948" s="1034"/>
      <c r="I948" s="26"/>
      <c r="J948" s="26"/>
      <c r="K948" s="26"/>
      <c r="L948" s="26"/>
      <c r="M948" s="26"/>
      <c r="N948" s="26"/>
      <c r="O948" s="26"/>
      <c r="P948" s="26"/>
      <c r="Q948" s="26"/>
    </row>
    <row r="949" spans="2:26" ht="18">
      <c r="B949" s="2932" t="s">
        <v>1106</v>
      </c>
      <c r="C949" s="2602"/>
      <c r="D949" s="2602"/>
      <c r="E949" s="2676"/>
      <c r="F949" s="2676"/>
      <c r="G949" s="26"/>
      <c r="H949" s="1034"/>
      <c r="I949" s="26"/>
      <c r="J949" s="26"/>
      <c r="K949" s="26"/>
      <c r="L949" s="26"/>
      <c r="M949" s="26"/>
      <c r="N949" s="26"/>
      <c r="O949" s="26"/>
      <c r="P949" s="26"/>
      <c r="Q949" s="26"/>
    </row>
    <row r="950" spans="2:26" ht="18">
      <c r="B950" s="2932"/>
      <c r="C950" s="2602"/>
      <c r="D950" s="2602"/>
      <c r="E950" s="2676"/>
      <c r="F950" s="2676"/>
      <c r="G950" s="26"/>
      <c r="H950" s="1034"/>
      <c r="I950" s="26"/>
      <c r="J950" s="26"/>
      <c r="K950" s="26"/>
      <c r="L950" s="26"/>
      <c r="M950" s="26"/>
      <c r="N950" s="26"/>
      <c r="O950" s="26"/>
      <c r="P950" s="26"/>
      <c r="Q950" s="26"/>
    </row>
    <row r="951" spans="2:26" ht="36">
      <c r="B951" s="2888" t="s">
        <v>463</v>
      </c>
      <c r="C951" s="2933"/>
      <c r="D951" s="2934"/>
      <c r="E951" s="1564" t="s">
        <v>2880</v>
      </c>
      <c r="F951" s="1565" t="s">
        <v>1107</v>
      </c>
      <c r="G951" s="1564" t="s">
        <v>2880</v>
      </c>
      <c r="H951" s="1569" t="s">
        <v>1107</v>
      </c>
      <c r="I951" s="2028"/>
      <c r="J951" s="2028"/>
      <c r="K951" s="2028"/>
      <c r="L951" s="2028"/>
      <c r="M951" s="2028"/>
      <c r="N951" s="2028"/>
      <c r="O951" s="2028"/>
      <c r="P951" s="2028"/>
      <c r="Q951" s="2028"/>
    </row>
    <row r="952" spans="2:26" ht="18">
      <c r="B952" s="2935"/>
      <c r="C952" s="2936"/>
      <c r="D952" s="2937"/>
      <c r="E952" s="1566" t="s">
        <v>2488</v>
      </c>
      <c r="F952" s="1567" t="s">
        <v>2488</v>
      </c>
      <c r="G952" s="1566" t="s">
        <v>900</v>
      </c>
      <c r="H952" s="1568" t="s">
        <v>900</v>
      </c>
      <c r="I952" s="2028"/>
      <c r="J952" s="2028"/>
      <c r="K952" s="2028"/>
      <c r="L952" s="2028"/>
      <c r="M952" s="2028"/>
      <c r="N952" s="2028"/>
      <c r="O952" s="2028"/>
      <c r="P952" s="2028"/>
      <c r="Q952" s="2028"/>
      <c r="T952" s="535" t="s">
        <v>2261</v>
      </c>
      <c r="U952" s="535" t="s">
        <v>2036</v>
      </c>
      <c r="V952" s="376" t="s">
        <v>2572</v>
      </c>
      <c r="W952" s="376" t="s">
        <v>2575</v>
      </c>
      <c r="X952" s="2592" t="s">
        <v>2579</v>
      </c>
      <c r="Y952" s="2592" t="s">
        <v>2576</v>
      </c>
      <c r="Z952" s="2592" t="s">
        <v>2577</v>
      </c>
    </row>
    <row r="953" spans="2:26" ht="35.4" customHeight="1">
      <c r="B953" s="2938" t="s">
        <v>1108</v>
      </c>
      <c r="C953" s="2939"/>
      <c r="D953" s="2940"/>
      <c r="E953" s="726">
        <v>0</v>
      </c>
      <c r="F953" s="11">
        <v>0</v>
      </c>
      <c r="G953" s="726">
        <v>0</v>
      </c>
      <c r="H953" s="1184">
        <v>0</v>
      </c>
      <c r="I953" s="2029"/>
      <c r="J953" s="2029"/>
      <c r="K953" s="2029"/>
      <c r="L953" s="2029"/>
      <c r="M953" s="2029"/>
      <c r="N953" s="2029"/>
      <c r="O953" s="2029"/>
      <c r="P953" s="2029"/>
      <c r="Q953" s="2029"/>
      <c r="T953" s="376" t="s">
        <v>40</v>
      </c>
      <c r="U953" s="376" t="e">
        <f>+GETPIVOTDATA("Sum of Cr. Final 22-23",#REF!,"PARTICULARS","Cellmark Netherlands B.V.","Note",17,"BS Main Head","Trade Payables","BS Sub Head","Trade Payables")</f>
        <v>#REF!</v>
      </c>
      <c r="V953" s="376">
        <v>264.95</v>
      </c>
      <c r="W953" s="376">
        <v>46366.25</v>
      </c>
      <c r="X953" s="2592">
        <v>82.216899999999995</v>
      </c>
      <c r="Y953" s="807">
        <f>+W953*X953</f>
        <v>3812089.3396249996</v>
      </c>
      <c r="Z953" s="2941">
        <v>45019</v>
      </c>
    </row>
    <row r="954" spans="2:26" ht="18">
      <c r="B954" s="2639"/>
      <c r="C954" s="2602"/>
      <c r="D954" s="2615"/>
      <c r="E954" s="726" t="s">
        <v>1109</v>
      </c>
      <c r="F954" s="11" t="s">
        <v>1109</v>
      </c>
      <c r="G954" s="726" t="s">
        <v>1109</v>
      </c>
      <c r="H954" s="1184" t="s">
        <v>1109</v>
      </c>
      <c r="I954" s="2029"/>
      <c r="J954" s="2029"/>
      <c r="K954" s="2029"/>
      <c r="L954" s="2029"/>
      <c r="M954" s="2029"/>
      <c r="N954" s="2029"/>
      <c r="O954" s="2029"/>
      <c r="P954" s="2029"/>
      <c r="Q954" s="2029"/>
      <c r="T954" s="376" t="s">
        <v>39</v>
      </c>
      <c r="U954" s="376" t="e">
        <f>+GETPIVOTDATA("Sum of Cr. Final 22-23",#REF!,"PARTICULARS","CANUSA HERSHMAN RECYCLING CO.","Note",17,"BS Main Head","Trade Payables","BS Sub Head","Trade Payables")</f>
        <v>#REF!</v>
      </c>
      <c r="V954" s="376" t="s">
        <v>2574</v>
      </c>
      <c r="W954" s="376">
        <f>4364.82+8698.42</f>
        <v>13063.24</v>
      </c>
      <c r="X954" s="2592">
        <f>+X953</f>
        <v>82.216899999999995</v>
      </c>
      <c r="Y954" s="807">
        <f t="shared" ref="Y954:Y956" si="20">+W954*X954</f>
        <v>1074019.0967559998</v>
      </c>
      <c r="Z954" s="2941" t="s">
        <v>2578</v>
      </c>
    </row>
    <row r="955" spans="2:26" ht="18">
      <c r="B955" s="2639" t="s">
        <v>1110</v>
      </c>
      <c r="C955" s="2602"/>
      <c r="D955" s="2615"/>
      <c r="E955" s="726" t="s">
        <v>1109</v>
      </c>
      <c r="F955" s="11" t="s">
        <v>1109</v>
      </c>
      <c r="G955" s="726">
        <v>129052.79</v>
      </c>
      <c r="H955" s="1184">
        <v>10610320.330150999</v>
      </c>
      <c r="I955" s="2029"/>
      <c r="J955" s="2029"/>
      <c r="K955" s="2029"/>
      <c r="L955" s="2029"/>
      <c r="M955" s="2029"/>
      <c r="N955" s="2029"/>
      <c r="O955" s="2029"/>
      <c r="P955" s="2029"/>
      <c r="Q955" s="2029"/>
      <c r="T955" s="376" t="s">
        <v>468</v>
      </c>
      <c r="U955" s="376" t="e">
        <f>+GETPIVOTDATA("Sum of Cr. Final 22-23",#REF!,"PARTICULARS","AMASHA LTD","Note",17,"BS Main Head","Trade Payables","BS Sub Head","Trade Payables")</f>
        <v>#REF!</v>
      </c>
      <c r="V955" s="376" t="s">
        <v>2573</v>
      </c>
      <c r="W955" s="376">
        <f>7738.5+16552.8</f>
        <v>24291.3</v>
      </c>
      <c r="X955" s="2592">
        <f t="shared" ref="X955:X956" si="21">+X954</f>
        <v>82.216899999999995</v>
      </c>
      <c r="Y955" s="807">
        <f t="shared" si="20"/>
        <v>1997155.3829699999</v>
      </c>
      <c r="Z955" s="2941" t="s">
        <v>2578</v>
      </c>
    </row>
    <row r="956" spans="2:26" ht="18">
      <c r="B956" s="2935"/>
      <c r="C956" s="2936"/>
      <c r="D956" s="2937"/>
      <c r="E956" s="727" t="s">
        <v>1109</v>
      </c>
      <c r="F956" s="72" t="s">
        <v>1109</v>
      </c>
      <c r="G956" s="727" t="s">
        <v>1109</v>
      </c>
      <c r="H956" s="1185" t="s">
        <v>1109</v>
      </c>
      <c r="I956" s="2029"/>
      <c r="J956" s="2029"/>
      <c r="K956" s="2029"/>
      <c r="L956" s="2029"/>
      <c r="M956" s="2029"/>
      <c r="N956" s="2029"/>
      <c r="O956" s="2029"/>
      <c r="P956" s="2029"/>
      <c r="Q956" s="2029"/>
      <c r="T956" s="376" t="s">
        <v>544</v>
      </c>
      <c r="U956" s="376" t="e">
        <f>+GETPIVOTDATA("Sum of Cr. Final 22-23",#REF!,"PARTICULARS","REMONDIS TRADE &amp; SALES GMBH","Note",17,"BS Main Head","Trade Payables","BS Sub Head","Trade Payables")</f>
        <v>#REF!</v>
      </c>
      <c r="V956" s="376">
        <v>259.04000000000002</v>
      </c>
      <c r="W956" s="376">
        <f>259.04*175</f>
        <v>45332</v>
      </c>
      <c r="X956" s="2592">
        <f t="shared" si="21"/>
        <v>82.216899999999995</v>
      </c>
      <c r="Y956" s="807">
        <f t="shared" si="20"/>
        <v>3727056.5107999998</v>
      </c>
      <c r="Z956" s="2941"/>
    </row>
    <row r="957" spans="2:26" ht="18">
      <c r="B957" s="2942"/>
      <c r="C957" s="2943"/>
      <c r="D957" s="2943"/>
      <c r="E957" s="2943"/>
      <c r="F957" s="2943"/>
      <c r="G957" s="122"/>
      <c r="H957" s="1187"/>
      <c r="I957" s="122"/>
      <c r="J957" s="122"/>
      <c r="K957" s="122"/>
      <c r="L957" s="122"/>
      <c r="M957" s="122"/>
      <c r="N957" s="122"/>
      <c r="O957" s="122"/>
      <c r="P957" s="122"/>
      <c r="Q957" s="122"/>
      <c r="U957" s="376" t="e">
        <f>SUM(U953:U956)</f>
        <v>#REF!</v>
      </c>
      <c r="W957" s="376">
        <f>SUM(W953:W956)</f>
        <v>129052.79</v>
      </c>
      <c r="Y957" s="807">
        <f>SUM(Y953:Y956)</f>
        <v>10610320.330150999</v>
      </c>
    </row>
    <row r="958" spans="2:26" ht="18">
      <c r="B958" s="2944" t="s">
        <v>2887</v>
      </c>
      <c r="C958" s="2943"/>
      <c r="D958" s="2943"/>
      <c r="E958" s="2943"/>
      <c r="F958" s="2943"/>
      <c r="G958" s="122"/>
      <c r="H958" s="1187"/>
      <c r="I958" s="122"/>
      <c r="J958" s="122"/>
      <c r="K958" s="122"/>
      <c r="L958" s="122"/>
      <c r="M958" s="122"/>
      <c r="N958" s="122"/>
      <c r="O958" s="122"/>
      <c r="P958" s="122"/>
      <c r="Q958" s="122"/>
      <c r="Y958" s="807"/>
    </row>
    <row r="959" spans="2:26" ht="18">
      <c r="B959" s="2932" t="s">
        <v>2866</v>
      </c>
      <c r="C959" s="2943"/>
      <c r="D959" s="2943"/>
      <c r="E959" s="2943"/>
      <c r="F959" s="2943"/>
      <c r="G959" s="122"/>
      <c r="H959" s="1187"/>
      <c r="I959" s="122"/>
      <c r="J959" s="122"/>
      <c r="K959" s="122"/>
      <c r="L959" s="122"/>
      <c r="M959" s="122"/>
      <c r="N959" s="122"/>
      <c r="O959" s="122"/>
      <c r="P959" s="122"/>
      <c r="Q959" s="122"/>
      <c r="Y959" s="807"/>
    </row>
    <row r="960" spans="2:26" ht="18">
      <c r="B960" s="2942"/>
      <c r="C960" s="2943"/>
      <c r="D960" s="2943"/>
      <c r="E960" s="2943"/>
      <c r="F960" s="2943"/>
      <c r="G960" s="122"/>
      <c r="H960" s="1187"/>
      <c r="I960" s="122"/>
      <c r="J960" s="122"/>
      <c r="K960" s="122"/>
      <c r="L960" s="122"/>
      <c r="M960" s="122"/>
      <c r="N960" s="122"/>
      <c r="O960" s="122"/>
      <c r="P960" s="122"/>
      <c r="Q960" s="122"/>
      <c r="Y960" s="807"/>
    </row>
    <row r="961" spans="2:25" ht="18">
      <c r="B961" s="2690" t="s">
        <v>0</v>
      </c>
      <c r="C961" s="1054"/>
      <c r="D961" s="1054"/>
      <c r="E961" s="2691"/>
      <c r="F961" s="2691"/>
      <c r="G961" s="1004" t="s">
        <v>756</v>
      </c>
      <c r="H961" s="1400" t="s">
        <v>756</v>
      </c>
      <c r="I961" s="1996"/>
      <c r="J961" s="1996"/>
      <c r="K961" s="1996"/>
      <c r="L961" s="1996"/>
      <c r="M961" s="1996"/>
      <c r="N961" s="1996"/>
      <c r="O961" s="1996"/>
      <c r="P961" s="1996"/>
      <c r="Q961" s="1996"/>
      <c r="Y961" s="807"/>
    </row>
    <row r="962" spans="2:25" ht="18">
      <c r="B962" s="1036"/>
      <c r="C962" s="44"/>
      <c r="D962" s="44"/>
      <c r="E962" s="2780"/>
      <c r="F962" s="2780"/>
      <c r="G962" s="6" t="s">
        <v>3052</v>
      </c>
      <c r="H962" s="1392" t="s">
        <v>705</v>
      </c>
      <c r="I962" s="103"/>
      <c r="J962" s="103"/>
      <c r="K962" s="103"/>
      <c r="L962" s="103"/>
      <c r="M962" s="103"/>
      <c r="N962" s="103"/>
      <c r="O962" s="103"/>
      <c r="P962" s="103"/>
      <c r="Q962" s="103"/>
      <c r="Y962" s="807"/>
    </row>
    <row r="963" spans="2:25" ht="18">
      <c r="B963" s="2945" t="s">
        <v>2867</v>
      </c>
      <c r="C963" s="2946"/>
      <c r="D963" s="2946"/>
      <c r="E963" s="2946"/>
      <c r="F963" s="2946"/>
      <c r="G963" s="1401">
        <f>+K963+K964</f>
        <v>5219862</v>
      </c>
      <c r="H963" s="1403">
        <v>2816004.5</v>
      </c>
      <c r="I963" s="2030"/>
      <c r="J963" s="21" t="s">
        <v>4728</v>
      </c>
      <c r="K963" s="2030">
        <v>343900</v>
      </c>
      <c r="L963" s="2030"/>
      <c r="M963" s="2030"/>
      <c r="N963" s="2030"/>
      <c r="O963" s="2030"/>
      <c r="P963" s="2030"/>
      <c r="Q963" s="2030"/>
      <c r="Y963" s="807"/>
    </row>
    <row r="964" spans="2:25" ht="18">
      <c r="B964" s="2947" t="s">
        <v>2868</v>
      </c>
      <c r="C964" s="2943"/>
      <c r="D964" s="2943"/>
      <c r="E964" s="2943"/>
      <c r="F964" s="2943"/>
      <c r="G964" s="1402">
        <f>+K965+K966</f>
        <v>1602280.74</v>
      </c>
      <c r="H964" s="1404">
        <v>4690524.25</v>
      </c>
      <c r="I964" s="2030"/>
      <c r="J964" s="21" t="s">
        <v>4729</v>
      </c>
      <c r="K964" s="2030">
        <v>4875962</v>
      </c>
      <c r="L964" s="2030"/>
      <c r="M964" s="2030"/>
      <c r="N964" s="2030"/>
      <c r="O964" s="2030"/>
      <c r="P964" s="2030"/>
      <c r="Q964" s="2030"/>
      <c r="Y964" s="807"/>
    </row>
    <row r="965" spans="2:25" ht="18">
      <c r="B965" s="2947" t="s">
        <v>2869</v>
      </c>
      <c r="C965" s="2943"/>
      <c r="D965" s="2943"/>
      <c r="E965" s="2943"/>
      <c r="F965" s="2943"/>
      <c r="G965" s="1402">
        <f>+K967</f>
        <v>484000</v>
      </c>
      <c r="H965" s="1404">
        <v>1728000</v>
      </c>
      <c r="I965" s="2030"/>
      <c r="J965" s="21" t="s">
        <v>4730</v>
      </c>
      <c r="K965" s="2030">
        <v>825995.62</v>
      </c>
      <c r="L965" s="2030"/>
      <c r="M965" s="2030"/>
      <c r="N965" s="2030"/>
      <c r="O965" s="2030"/>
      <c r="P965" s="2030"/>
      <c r="Q965" s="2030"/>
      <c r="Y965" s="807"/>
    </row>
    <row r="966" spans="2:25" ht="18">
      <c r="B966" s="2947" t="s">
        <v>2870</v>
      </c>
      <c r="C966" s="2943"/>
      <c r="D966" s="2943"/>
      <c r="E966" s="2943"/>
      <c r="F966" s="2943"/>
      <c r="G966" s="1402">
        <f>+K968+K969</f>
        <v>7147907</v>
      </c>
      <c r="H966" s="1404">
        <v>7827242.6799999997</v>
      </c>
      <c r="I966" s="2030"/>
      <c r="J966" s="21" t="s">
        <v>4731</v>
      </c>
      <c r="K966" s="2030">
        <v>776285.12</v>
      </c>
      <c r="L966" s="2030"/>
      <c r="M966" s="2030"/>
      <c r="N966" s="2030"/>
      <c r="O966" s="2030"/>
      <c r="P966" s="2030"/>
      <c r="Q966" s="2030"/>
      <c r="R966" s="2594" t="s">
        <v>3145</v>
      </c>
      <c r="Y966" s="807"/>
    </row>
    <row r="967" spans="2:25" ht="18.600000000000001" thickBot="1">
      <c r="B967" s="2948" t="s">
        <v>824</v>
      </c>
      <c r="C967" s="2949"/>
      <c r="D967" s="2949"/>
      <c r="E967" s="2949"/>
      <c r="F967" s="2949"/>
      <c r="G967" s="1521">
        <f>SUM(G963:G966)</f>
        <v>14454049.74</v>
      </c>
      <c r="H967" s="1522">
        <f>SUM(H963:H966)</f>
        <v>17061771.43</v>
      </c>
      <c r="I967" s="1422"/>
      <c r="J967" s="2030" t="s">
        <v>4732</v>
      </c>
      <c r="K967" s="2030">
        <v>484000</v>
      </c>
      <c r="L967" s="1422"/>
      <c r="M967" s="1422"/>
      <c r="N967" s="1422"/>
      <c r="O967" s="1422"/>
      <c r="P967" s="1422"/>
      <c r="Q967" s="1422"/>
      <c r="Y967" s="807"/>
    </row>
    <row r="968" spans="2:25" ht="18">
      <c r="B968" s="2789" t="s">
        <v>702</v>
      </c>
      <c r="C968" s="2790"/>
      <c r="D968" s="2790"/>
      <c r="E968" s="2790"/>
      <c r="F968" s="2790"/>
      <c r="G968" s="2790"/>
      <c r="H968" s="2791"/>
      <c r="I968" s="2709"/>
      <c r="J968" s="2030" t="s">
        <v>4733</v>
      </c>
      <c r="K968" s="2950">
        <v>5348282</v>
      </c>
      <c r="L968" s="2709"/>
      <c r="M968" s="2709"/>
      <c r="N968" s="2709"/>
      <c r="O968" s="2709"/>
      <c r="P968" s="2709"/>
      <c r="Q968" s="2709"/>
      <c r="Y968" s="807"/>
    </row>
    <row r="969" spans="2:25" ht="18">
      <c r="B969" s="2792" t="s">
        <v>2117</v>
      </c>
      <c r="C969" s="2793"/>
      <c r="D969" s="2793"/>
      <c r="E969" s="2793"/>
      <c r="F969" s="2793"/>
      <c r="G969" s="2793"/>
      <c r="H969" s="2794"/>
      <c r="I969" s="2709"/>
      <c r="J969" s="21" t="s">
        <v>4734</v>
      </c>
      <c r="K969" s="2950">
        <v>1799625</v>
      </c>
      <c r="L969" s="2709"/>
      <c r="M969" s="2709"/>
      <c r="N969" s="2709"/>
      <c r="O969" s="2709"/>
      <c r="P969" s="2709"/>
      <c r="Q969" s="2709"/>
      <c r="Y969" s="807"/>
    </row>
    <row r="970" spans="2:25" ht="18">
      <c r="B970" s="2951"/>
      <c r="C970" s="2943"/>
      <c r="D970" s="2943"/>
      <c r="E970" s="2943"/>
      <c r="F970" s="2943"/>
      <c r="G970" s="1422"/>
      <c r="H970" s="1423"/>
      <c r="I970" s="1422"/>
      <c r="J970" s="1422"/>
      <c r="K970" s="1422"/>
      <c r="L970" s="1422"/>
      <c r="M970" s="1422"/>
      <c r="N970" s="1422"/>
      <c r="O970" s="1422"/>
      <c r="P970" s="1422"/>
      <c r="Q970" s="1422"/>
      <c r="Y970" s="807"/>
    </row>
    <row r="971" spans="2:25" ht="18">
      <c r="B971" s="2944" t="s">
        <v>2888</v>
      </c>
      <c r="C971" s="2943"/>
      <c r="D971" s="2943"/>
      <c r="E971" s="2943"/>
      <c r="F971" s="2943"/>
      <c r="G971" s="1422"/>
      <c r="H971" s="1423"/>
      <c r="I971" s="1422"/>
      <c r="J971" s="1422"/>
      <c r="K971" s="1422"/>
      <c r="L971" s="1422"/>
      <c r="M971" s="1422"/>
      <c r="N971" s="1422"/>
      <c r="O971" s="1422"/>
      <c r="P971" s="1422"/>
      <c r="Q971" s="1422"/>
      <c r="Y971" s="807"/>
    </row>
    <row r="972" spans="2:25" s="2959" customFormat="1" ht="54">
      <c r="B972" s="2952" t="s">
        <v>2877</v>
      </c>
      <c r="C972" s="2953">
        <v>45016</v>
      </c>
      <c r="D972" s="2953">
        <v>44651</v>
      </c>
      <c r="E972" s="2954" t="s">
        <v>2863</v>
      </c>
      <c r="F972" s="2955" t="s">
        <v>2864</v>
      </c>
      <c r="G972" s="2954" t="s">
        <v>2780</v>
      </c>
      <c r="H972" s="2956" t="s">
        <v>2782</v>
      </c>
      <c r="I972" s="2957"/>
      <c r="J972" s="2957"/>
      <c r="K972" s="2957"/>
      <c r="L972" s="2957"/>
      <c r="M972" s="2957"/>
      <c r="N972" s="2957"/>
      <c r="O972" s="2957"/>
      <c r="P972" s="2957"/>
      <c r="Q972" s="2957"/>
      <c r="R972" s="2958"/>
      <c r="T972" s="507"/>
      <c r="U972" s="507"/>
      <c r="V972" s="507"/>
      <c r="W972" s="507"/>
      <c r="Y972" s="2960"/>
    </row>
    <row r="973" spans="2:25" ht="18">
      <c r="B973" s="2961"/>
      <c r="C973" s="2962"/>
      <c r="D973" s="2963"/>
      <c r="E973" s="2964"/>
      <c r="F973" s="2965"/>
      <c r="G973" s="2966"/>
      <c r="H973" s="2967"/>
      <c r="I973" s="2968"/>
      <c r="J973" s="2968"/>
      <c r="K973" s="2968"/>
      <c r="L973" s="2968"/>
      <c r="M973" s="2968"/>
      <c r="N973" s="2968"/>
      <c r="O973" s="2968"/>
      <c r="P973" s="2968"/>
      <c r="Q973" s="2968"/>
      <c r="Y973" s="807"/>
    </row>
    <row r="974" spans="2:25" ht="324">
      <c r="B974" s="2969" t="s">
        <v>2783</v>
      </c>
      <c r="C974" s="1444">
        <f>+'Ratio Analysis'!J7</f>
        <v>0.53359504242562594</v>
      </c>
      <c r="D974" s="1445">
        <f>+'Ratio Analysis'!K7</f>
        <v>0.98084085000816357</v>
      </c>
      <c r="E974" s="2970">
        <f>+(D974-C974)/D974</f>
        <v>0.45598203580001301</v>
      </c>
      <c r="F974" s="2971" t="s">
        <v>4759</v>
      </c>
      <c r="G974" s="2972" t="s">
        <v>2063</v>
      </c>
      <c r="H974" s="2973" t="s">
        <v>2064</v>
      </c>
      <c r="I974" s="2974"/>
      <c r="J974" s="2974"/>
      <c r="K974" s="2974"/>
      <c r="L974" s="2974"/>
      <c r="M974" s="2974"/>
      <c r="N974" s="2974"/>
      <c r="O974" s="2974"/>
      <c r="P974" s="2974"/>
      <c r="Q974" s="2974"/>
      <c r="Y974" s="807"/>
    </row>
    <row r="975" spans="2:25" ht="18">
      <c r="B975" s="2975"/>
      <c r="C975" s="2976"/>
      <c r="D975" s="2964"/>
      <c r="E975" s="2977"/>
      <c r="F975" s="2965"/>
      <c r="G975" s="2972"/>
      <c r="H975" s="2973"/>
      <c r="I975" s="2974"/>
      <c r="J975" s="2974"/>
      <c r="K975" s="2974"/>
      <c r="L975" s="2974"/>
      <c r="M975" s="2974"/>
      <c r="N975" s="2974"/>
      <c r="O975" s="2974"/>
      <c r="P975" s="2974"/>
      <c r="Q975" s="2974"/>
      <c r="Y975" s="807"/>
    </row>
    <row r="976" spans="2:25" ht="126">
      <c r="B976" s="2969" t="s">
        <v>2798</v>
      </c>
      <c r="C976" s="1444">
        <f>+'Ratio Analysis'!J19</f>
        <v>1.8462362700234536</v>
      </c>
      <c r="D976" s="1444">
        <f>+'Ratio Analysis'!K19</f>
        <v>1.3694811140491938</v>
      </c>
      <c r="E976" s="2970">
        <f>+(D976-C976)/D976</f>
        <v>-0.34812831742134853</v>
      </c>
      <c r="F976" s="2978" t="s">
        <v>2873</v>
      </c>
      <c r="G976" s="2972" t="s">
        <v>2799</v>
      </c>
      <c r="H976" s="2973" t="s">
        <v>2800</v>
      </c>
      <c r="I976" s="2974"/>
      <c r="J976" s="2974"/>
      <c r="K976" s="2974"/>
      <c r="L976" s="2974"/>
      <c r="M976" s="2974"/>
      <c r="N976" s="2974"/>
      <c r="O976" s="2974"/>
      <c r="P976" s="2974"/>
      <c r="Q976" s="2974"/>
      <c r="Y976" s="807"/>
    </row>
    <row r="977" spans="2:25" ht="18">
      <c r="B977" s="2969"/>
      <c r="C977" s="2979"/>
      <c r="D977" s="2964"/>
      <c r="E977" s="2977"/>
      <c r="F977" s="2965"/>
      <c r="G977" s="2972"/>
      <c r="H977" s="2973"/>
      <c r="I977" s="2974"/>
      <c r="J977" s="2974"/>
      <c r="K977" s="2974"/>
      <c r="L977" s="2974"/>
      <c r="M977" s="2974"/>
      <c r="N977" s="2974"/>
      <c r="O977" s="2974"/>
      <c r="P977" s="2974"/>
      <c r="Q977" s="2974"/>
      <c r="Y977" s="807"/>
    </row>
    <row r="978" spans="2:25" ht="18">
      <c r="B978" s="2969"/>
      <c r="C978" s="2976"/>
      <c r="D978" s="2964"/>
      <c r="E978" s="2977"/>
      <c r="F978" s="2965"/>
      <c r="G978" s="2972"/>
      <c r="H978" s="2973"/>
      <c r="I978" s="2974"/>
      <c r="J978" s="2974"/>
      <c r="K978" s="2974"/>
      <c r="L978" s="2974"/>
      <c r="M978" s="2974"/>
      <c r="N978" s="2974"/>
      <c r="O978" s="2974"/>
      <c r="P978" s="2974"/>
      <c r="Q978" s="2974"/>
      <c r="Y978" s="807"/>
    </row>
    <row r="979" spans="2:25" ht="90">
      <c r="B979" s="2969" t="s">
        <v>2803</v>
      </c>
      <c r="C979" s="1444">
        <f>+'Ratio Analysis'!J23</f>
        <v>-0.6116081989097979</v>
      </c>
      <c r="D979" s="1444">
        <f>+'Ratio Analysis'!K23</f>
        <v>-0.94359741017447119</v>
      </c>
      <c r="E979" s="2970">
        <f>+(D979-C979)/D979</f>
        <v>0.35183353375597809</v>
      </c>
      <c r="F979" s="2971" t="s">
        <v>2874</v>
      </c>
      <c r="G979" s="2972" t="s">
        <v>2804</v>
      </c>
      <c r="H979" s="2973" t="s">
        <v>2805</v>
      </c>
      <c r="I979" s="2974"/>
      <c r="J979" s="2974"/>
      <c r="K979" s="2974"/>
      <c r="L979" s="2974"/>
      <c r="M979" s="2974"/>
      <c r="N979" s="2974"/>
      <c r="O979" s="2974"/>
      <c r="P979" s="2974"/>
      <c r="Q979" s="2974"/>
      <c r="Y979" s="807"/>
    </row>
    <row r="980" spans="2:25" ht="18">
      <c r="B980" s="2969"/>
      <c r="C980" s="2979"/>
      <c r="D980" s="2964"/>
      <c r="E980" s="2977"/>
      <c r="F980" s="2965"/>
      <c r="G980" s="2972"/>
      <c r="H980" s="2973"/>
      <c r="I980" s="2974"/>
      <c r="J980" s="2974"/>
      <c r="K980" s="2974"/>
      <c r="L980" s="2974"/>
      <c r="M980" s="2974"/>
      <c r="N980" s="2974"/>
      <c r="O980" s="2974"/>
      <c r="P980" s="2974"/>
      <c r="Q980" s="2974"/>
      <c r="Y980" s="807"/>
    </row>
    <row r="981" spans="2:25" ht="90">
      <c r="B981" s="2969" t="s">
        <v>2809</v>
      </c>
      <c r="C981" s="1452">
        <f>+'Ratio Analysis'!J27</f>
        <v>-0.24209886532039143</v>
      </c>
      <c r="D981" s="1452">
        <f>+'Ratio Analysis'!K27</f>
        <v>-0.14820011005453718</v>
      </c>
      <c r="E981" s="2970">
        <f>+(D981-C981)/D981</f>
        <v>-0.63359436933818614</v>
      </c>
      <c r="F981" s="2971" t="s">
        <v>2874</v>
      </c>
      <c r="G981" s="2972" t="s">
        <v>2810</v>
      </c>
      <c r="H981" s="2973" t="s">
        <v>2811</v>
      </c>
      <c r="I981" s="2974"/>
      <c r="J981" s="2974"/>
      <c r="K981" s="2974"/>
      <c r="L981" s="2974"/>
      <c r="M981" s="2974"/>
      <c r="N981" s="2974"/>
      <c r="O981" s="2974"/>
      <c r="P981" s="2974"/>
      <c r="Q981" s="2974"/>
      <c r="Y981" s="807"/>
    </row>
    <row r="982" spans="2:25" ht="18">
      <c r="B982" s="2969"/>
      <c r="C982" s="2976"/>
      <c r="D982" s="2964"/>
      <c r="E982" s="2977"/>
      <c r="F982" s="2965"/>
      <c r="G982" s="2972"/>
      <c r="H982" s="2973"/>
      <c r="I982" s="2974"/>
      <c r="J982" s="2974"/>
      <c r="K982" s="2974"/>
      <c r="L982" s="2974"/>
      <c r="M982" s="2974"/>
      <c r="N982" s="2974"/>
      <c r="O982" s="2974"/>
      <c r="P982" s="2974"/>
      <c r="Q982" s="2974"/>
      <c r="Y982" s="807"/>
    </row>
    <row r="983" spans="2:25" ht="18">
      <c r="B983" s="2969" t="s">
        <v>2814</v>
      </c>
      <c r="C983" s="1444">
        <f>+'Ratio Analysis'!J32</f>
        <v>17.811651893110241</v>
      </c>
      <c r="D983" s="1444">
        <f>+'Ratio Analysis'!K32</f>
        <v>28.083283543405411</v>
      </c>
      <c r="E983" s="2970">
        <f>+(D983-C983)/D983</f>
        <v>0.36575607814589689</v>
      </c>
      <c r="F983" s="2980">
        <v>0</v>
      </c>
      <c r="G983" s="2972" t="s">
        <v>2815</v>
      </c>
      <c r="H983" s="2973" t="s">
        <v>2816</v>
      </c>
      <c r="I983" s="2974"/>
      <c r="J983" s="2974"/>
      <c r="K983" s="2974"/>
      <c r="L983" s="2974"/>
      <c r="M983" s="2974"/>
      <c r="N983" s="2974"/>
      <c r="O983" s="2974"/>
      <c r="P983" s="2974"/>
      <c r="Q983" s="2974"/>
      <c r="Y983" s="807"/>
    </row>
    <row r="984" spans="2:25" ht="18">
      <c r="B984" s="2969"/>
      <c r="C984" s="2976"/>
      <c r="D984" s="2964"/>
      <c r="E984" s="2977"/>
      <c r="F984" s="2980"/>
      <c r="G984" s="2972"/>
      <c r="H984" s="2973"/>
      <c r="I984" s="2974"/>
      <c r="J984" s="2974"/>
      <c r="K984" s="2974"/>
      <c r="L984" s="2974"/>
      <c r="M984" s="2974"/>
      <c r="N984" s="2974"/>
      <c r="O984" s="2974"/>
      <c r="P984" s="2974"/>
      <c r="Q984" s="2974"/>
      <c r="Y984" s="807"/>
    </row>
    <row r="985" spans="2:25" ht="36">
      <c r="B985" s="2969" t="s">
        <v>2819</v>
      </c>
      <c r="C985" s="1444">
        <f>+'Ratio Analysis'!J36</f>
        <v>5.9826684913820491</v>
      </c>
      <c r="D985" s="1444">
        <f>+'Ratio Analysis'!K36</f>
        <v>7.4538102120260907</v>
      </c>
      <c r="E985" s="2970">
        <f>+(D985-C985)/D985</f>
        <v>0.19736774599794332</v>
      </c>
      <c r="F985" s="2980">
        <v>0</v>
      </c>
      <c r="G985" s="2972" t="s">
        <v>2820</v>
      </c>
      <c r="H985" s="2973" t="s">
        <v>2821</v>
      </c>
      <c r="I985" s="2974"/>
      <c r="J985" s="2974"/>
      <c r="K985" s="2974"/>
      <c r="L985" s="2974"/>
      <c r="M985" s="2974"/>
      <c r="N985" s="2974"/>
      <c r="O985" s="2974"/>
      <c r="P985" s="2974"/>
      <c r="Q985" s="2974"/>
      <c r="Y985" s="807"/>
    </row>
    <row r="986" spans="2:25" ht="18">
      <c r="B986" s="2969"/>
      <c r="C986" s="2976"/>
      <c r="D986" s="2964"/>
      <c r="E986" s="2977"/>
      <c r="F986" s="2980"/>
      <c r="G986" s="2972"/>
      <c r="H986" s="2973"/>
      <c r="I986" s="2974"/>
      <c r="J986" s="2974"/>
      <c r="K986" s="2974"/>
      <c r="L986" s="2974"/>
      <c r="M986" s="2974"/>
      <c r="N986" s="2974"/>
      <c r="O986" s="2974"/>
      <c r="P986" s="2974"/>
      <c r="Q986" s="2974"/>
      <c r="Y986" s="807"/>
    </row>
    <row r="987" spans="2:25" ht="36">
      <c r="B987" s="2969" t="s">
        <v>2825</v>
      </c>
      <c r="C987" s="1444">
        <f>+'Ratio Analysis'!J40</f>
        <v>3.8918030739661944</v>
      </c>
      <c r="D987" s="1444">
        <f>+'Ratio Analysis'!K40</f>
        <v>9.2333545491752176</v>
      </c>
      <c r="E987" s="2970">
        <f>+(D987-C987)/D987</f>
        <v>0.57850605072737782</v>
      </c>
      <c r="F987" s="2980">
        <v>0</v>
      </c>
      <c r="G987" s="2972" t="s">
        <v>2826</v>
      </c>
      <c r="H987" s="2973" t="s">
        <v>2827</v>
      </c>
      <c r="I987" s="2974"/>
      <c r="J987" s="2974"/>
      <c r="K987" s="2974"/>
      <c r="L987" s="2974"/>
      <c r="M987" s="2974"/>
      <c r="N987" s="2974"/>
      <c r="O987" s="2974"/>
      <c r="P987" s="2974"/>
      <c r="Q987" s="2974"/>
      <c r="Y987" s="807"/>
    </row>
    <row r="988" spans="2:25" ht="18">
      <c r="B988" s="2969"/>
      <c r="C988" s="2976"/>
      <c r="D988" s="2964"/>
      <c r="E988" s="2977"/>
      <c r="F988" s="2965"/>
      <c r="G988" s="2972"/>
      <c r="H988" s="2973"/>
      <c r="I988" s="2974"/>
      <c r="J988" s="2974"/>
      <c r="K988" s="2974"/>
      <c r="L988" s="2974"/>
      <c r="M988" s="2974"/>
      <c r="N988" s="2974"/>
      <c r="O988" s="2974"/>
      <c r="P988" s="2974"/>
      <c r="Q988" s="2974"/>
      <c r="Y988" s="807"/>
    </row>
    <row r="989" spans="2:25" ht="126">
      <c r="B989" s="2969" t="s">
        <v>2830</v>
      </c>
      <c r="C989" s="1444">
        <f>+'Ratio Analysis'!J44</f>
        <v>-5.4630857050982105</v>
      </c>
      <c r="D989" s="1444">
        <f>+'Ratio Analysis'!K44</f>
        <v>-141.7559294491187</v>
      </c>
      <c r="E989" s="2970">
        <f>+(D989-C989)/D989</f>
        <v>0.96146132492426628</v>
      </c>
      <c r="F989" s="2971" t="s">
        <v>2872</v>
      </c>
      <c r="G989" s="2972" t="s">
        <v>2831</v>
      </c>
      <c r="H989" s="2973" t="s">
        <v>2832</v>
      </c>
      <c r="I989" s="2974"/>
      <c r="J989" s="2974"/>
      <c r="K989" s="2974"/>
      <c r="L989" s="2974"/>
      <c r="M989" s="2974"/>
      <c r="N989" s="2974"/>
      <c r="O989" s="2974"/>
      <c r="P989" s="2974"/>
      <c r="Q989" s="2974"/>
      <c r="Y989" s="807"/>
    </row>
    <row r="990" spans="2:25" ht="18">
      <c r="B990" s="2969"/>
      <c r="C990" s="2976"/>
      <c r="D990" s="2981"/>
      <c r="E990" s="2977"/>
      <c r="F990" s="2965"/>
      <c r="G990" s="2972"/>
      <c r="H990" s="2973"/>
      <c r="I990" s="2974"/>
      <c r="J990" s="2974"/>
      <c r="K990" s="2974"/>
      <c r="L990" s="2974"/>
      <c r="M990" s="2974"/>
      <c r="N990" s="2974"/>
      <c r="O990" s="2974"/>
      <c r="P990" s="2974"/>
      <c r="Q990" s="2974"/>
      <c r="Y990" s="807"/>
    </row>
    <row r="991" spans="2:25" ht="90">
      <c r="B991" s="2969" t="s">
        <v>2835</v>
      </c>
      <c r="C991" s="1452">
        <f>+'Ratio Analysis'!J48</f>
        <v>-8.6749694244809925E-2</v>
      </c>
      <c r="D991" s="1452">
        <f>+'Ratio Analysis'!K48</f>
        <v>-3.5853883315234841E-2</v>
      </c>
      <c r="E991" s="2970">
        <f>+(D991-C991)/D991</f>
        <v>-1.4195341263898382</v>
      </c>
      <c r="F991" s="2971" t="s">
        <v>2874</v>
      </c>
      <c r="G991" s="2972" t="s">
        <v>2836</v>
      </c>
      <c r="H991" s="2973" t="s">
        <v>2831</v>
      </c>
      <c r="I991" s="2974"/>
      <c r="J991" s="2974"/>
      <c r="K991" s="2974"/>
      <c r="L991" s="2974"/>
      <c r="M991" s="2974"/>
      <c r="N991" s="2974"/>
      <c r="O991" s="2974"/>
      <c r="P991" s="2974"/>
      <c r="Q991" s="2974"/>
      <c r="Y991" s="807"/>
    </row>
    <row r="992" spans="2:25" ht="18">
      <c r="B992" s="2969"/>
      <c r="C992" s="2976"/>
      <c r="D992" s="2981"/>
      <c r="E992" s="2977"/>
      <c r="F992" s="2965"/>
      <c r="G992" s="2972"/>
      <c r="H992" s="2973"/>
      <c r="I992" s="2974"/>
      <c r="J992" s="2974"/>
      <c r="K992" s="2974"/>
      <c r="L992" s="2974"/>
      <c r="M992" s="2974"/>
      <c r="N992" s="2974"/>
      <c r="O992" s="2974"/>
      <c r="P992" s="2974"/>
      <c r="Q992" s="2974"/>
      <c r="Y992" s="807"/>
    </row>
    <row r="993" spans="2:25" ht="90">
      <c r="B993" s="2982" t="s">
        <v>2838</v>
      </c>
      <c r="C993" s="1464">
        <f>+'Ratio Analysis'!J52</f>
        <v>-0.17781224128766732</v>
      </c>
      <c r="D993" s="1464">
        <f>+'Ratio Analysis'!K52</f>
        <v>-0.11613773774292681</v>
      </c>
      <c r="E993" s="2983">
        <f>+(D993-C993)/D993</f>
        <v>-0.53104619345400239</v>
      </c>
      <c r="F993" s="2984" t="s">
        <v>2874</v>
      </c>
      <c r="G993" s="2985" t="s">
        <v>2839</v>
      </c>
      <c r="H993" s="2986" t="s">
        <v>2879</v>
      </c>
      <c r="I993" s="2974"/>
      <c r="J993" s="2974"/>
      <c r="K993" s="2974"/>
      <c r="L993" s="2974"/>
      <c r="M993" s="2974"/>
      <c r="N993" s="2974"/>
      <c r="O993" s="2974"/>
      <c r="P993" s="2974"/>
      <c r="Q993" s="2974"/>
      <c r="Y993" s="807"/>
    </row>
    <row r="994" spans="2:25" ht="18">
      <c r="B994" s="2987"/>
      <c r="C994" s="2988"/>
      <c r="D994" s="2989"/>
      <c r="E994" s="2990"/>
      <c r="F994" s="2990"/>
      <c r="G994" s="2991"/>
      <c r="H994" s="2992"/>
      <c r="I994" s="2993"/>
      <c r="J994" s="2993"/>
      <c r="K994" s="2993"/>
      <c r="L994" s="2993"/>
      <c r="M994" s="2993"/>
      <c r="N994" s="2993"/>
      <c r="O994" s="2993"/>
      <c r="P994" s="2993"/>
      <c r="Q994" s="2993"/>
      <c r="Y994" s="807"/>
    </row>
    <row r="995" spans="2:25" ht="18">
      <c r="B995" s="1076" t="s">
        <v>2889</v>
      </c>
      <c r="C995" s="2602"/>
      <c r="D995" s="2602"/>
      <c r="E995" s="2676"/>
      <c r="F995" s="2676"/>
      <c r="G995" s="26"/>
      <c r="H995" s="1034"/>
      <c r="I995" s="26"/>
      <c r="J995" s="26"/>
      <c r="K995" s="26"/>
      <c r="L995" s="26"/>
      <c r="M995" s="26"/>
      <c r="N995" s="26"/>
      <c r="O995" s="26"/>
      <c r="P995" s="26"/>
      <c r="Q995" s="26"/>
    </row>
    <row r="996" spans="2:25" ht="18">
      <c r="B996" s="2902" t="s">
        <v>1111</v>
      </c>
      <c r="C996" s="2994"/>
      <c r="D996" s="2994"/>
      <c r="E996" s="2994"/>
      <c r="F996" s="2994"/>
      <c r="G996" s="123"/>
      <c r="H996" s="1188"/>
      <c r="I996" s="123"/>
      <c r="J996" s="123"/>
      <c r="K996" s="123"/>
      <c r="L996" s="123"/>
      <c r="M996" s="123"/>
      <c r="N996" s="123"/>
      <c r="O996" s="123"/>
      <c r="P996" s="123"/>
      <c r="Q996" s="123"/>
    </row>
    <row r="997" spans="2:25" ht="18">
      <c r="B997" s="2620"/>
      <c r="C997" s="2602"/>
      <c r="D997" s="2602"/>
      <c r="E997" s="2628"/>
      <c r="F997" s="2628"/>
      <c r="G997" s="20"/>
      <c r="H997" s="1031"/>
      <c r="I997" s="20"/>
      <c r="J997" s="20"/>
      <c r="K997" s="20"/>
      <c r="L997" s="20"/>
      <c r="M997" s="20"/>
      <c r="N997" s="20"/>
      <c r="O997" s="20"/>
      <c r="P997" s="20"/>
      <c r="Q997" s="20"/>
    </row>
    <row r="998" spans="2:25" ht="18">
      <c r="B998" s="2629" t="s">
        <v>739</v>
      </c>
      <c r="C998" s="2630"/>
      <c r="D998" s="2630"/>
      <c r="E998" s="2631" t="s">
        <v>740</v>
      </c>
      <c r="F998" s="2631"/>
      <c r="G998" s="21"/>
      <c r="H998" s="1032"/>
      <c r="I998" s="21"/>
      <c r="J998" s="21"/>
      <c r="K998" s="21"/>
      <c r="L998" s="21"/>
      <c r="M998" s="21"/>
      <c r="N998" s="21"/>
      <c r="O998" s="21"/>
      <c r="P998" s="21"/>
      <c r="Q998" s="21"/>
    </row>
    <row r="999" spans="2:25" ht="18">
      <c r="B999" s="2629"/>
      <c r="C999" s="2630"/>
      <c r="D999" s="2630"/>
      <c r="E999" s="2631"/>
      <c r="F999" s="2631"/>
      <c r="G999" s="21"/>
      <c r="H999" s="1032"/>
      <c r="I999" s="21"/>
      <c r="J999" s="21"/>
      <c r="K999" s="21"/>
      <c r="L999" s="21"/>
      <c r="M999" s="21"/>
      <c r="N999" s="21"/>
      <c r="O999" s="21"/>
      <c r="P999" s="21"/>
      <c r="Q999" s="21"/>
    </row>
    <row r="1000" spans="2:25" ht="18">
      <c r="B1000" s="2632" t="s">
        <v>741</v>
      </c>
      <c r="C1000" s="2602"/>
      <c r="D1000" s="2602"/>
      <c r="E1000" s="2676" t="str">
        <f>+F53</f>
        <v>ANIL KUMAR LAKHOTIYA - MANAGING  DIRECTOR</v>
      </c>
      <c r="F1000" s="2631"/>
      <c r="G1000" s="21"/>
      <c r="H1000" s="1032"/>
      <c r="I1000" s="21"/>
      <c r="J1000" s="21"/>
      <c r="K1000" s="21"/>
      <c r="L1000" s="21"/>
      <c r="M1000" s="21"/>
      <c r="N1000" s="21"/>
      <c r="O1000" s="21"/>
      <c r="P1000" s="21"/>
      <c r="Q1000" s="21"/>
    </row>
    <row r="1001" spans="2:25" ht="18">
      <c r="B1001" s="2632" t="s">
        <v>743</v>
      </c>
      <c r="C1001" s="2633"/>
      <c r="D1001" s="2633"/>
      <c r="E1001" s="2631" t="str">
        <f>+F54</f>
        <v>(DIN:00367361)</v>
      </c>
      <c r="F1001" s="2631"/>
      <c r="G1001" s="21"/>
      <c r="H1001" s="1032"/>
      <c r="I1001" s="21"/>
      <c r="J1001" s="21"/>
      <c r="K1001" s="21"/>
      <c r="L1001" s="21"/>
      <c r="M1001" s="21"/>
      <c r="N1001" s="21"/>
      <c r="O1001" s="21"/>
      <c r="P1001" s="21"/>
      <c r="Q1001" s="21"/>
    </row>
    <row r="1002" spans="2:25" ht="18">
      <c r="B1002" s="2632" t="s">
        <v>1112</v>
      </c>
      <c r="C1002" s="2633"/>
      <c r="D1002" s="2633"/>
      <c r="E1002" s="2631"/>
      <c r="F1002" s="2631"/>
      <c r="G1002" s="21"/>
      <c r="H1002" s="1032"/>
      <c r="I1002" s="21"/>
      <c r="J1002" s="21"/>
      <c r="K1002" s="21"/>
      <c r="L1002" s="21"/>
      <c r="M1002" s="21"/>
      <c r="N1002" s="21"/>
      <c r="O1002" s="21"/>
      <c r="P1002" s="21"/>
      <c r="Q1002" s="21"/>
    </row>
    <row r="1003" spans="2:25" ht="18">
      <c r="B1003" s="2632"/>
      <c r="C1003" s="2602"/>
      <c r="D1003" s="2602"/>
      <c r="E1003" s="2634"/>
      <c r="F1003" s="2634"/>
      <c r="G1003" s="23"/>
      <c r="H1003" s="1033"/>
      <c r="I1003" s="23"/>
      <c r="J1003" s="23"/>
      <c r="K1003" s="23"/>
      <c r="L1003" s="23"/>
      <c r="M1003" s="23"/>
      <c r="N1003" s="23"/>
      <c r="O1003" s="23"/>
      <c r="P1003" s="23"/>
      <c r="Q1003" s="23"/>
    </row>
    <row r="1004" spans="2:25" ht="18">
      <c r="B1004" s="1063"/>
      <c r="C1004" s="2633"/>
      <c r="D1004" s="2633"/>
      <c r="E1004" s="2631"/>
      <c r="F1004" s="2602"/>
      <c r="G1004" s="21"/>
      <c r="H1004" s="1032"/>
      <c r="I1004" s="21"/>
      <c r="J1004" s="21"/>
      <c r="K1004" s="21"/>
      <c r="L1004" s="21"/>
      <c r="M1004" s="21"/>
      <c r="N1004" s="21"/>
      <c r="O1004" s="21"/>
      <c r="P1004" s="21"/>
      <c r="Q1004" s="21"/>
    </row>
    <row r="1005" spans="2:25" ht="18">
      <c r="B1005" s="1063"/>
      <c r="C1005" s="2633"/>
      <c r="D1005" s="2633"/>
      <c r="E1005" s="2676" t="str">
        <f>+F58</f>
        <v>KAILASH AGARWAL - WHOLE TIME DIRECTOR</v>
      </c>
      <c r="F1005" s="2602"/>
      <c r="G1005" s="21"/>
      <c r="H1005" s="1032"/>
      <c r="I1005" s="21"/>
      <c r="J1005" s="21"/>
      <c r="K1005" s="21"/>
      <c r="L1005" s="21"/>
      <c r="M1005" s="21"/>
      <c r="N1005" s="21"/>
      <c r="O1005" s="21"/>
      <c r="P1005" s="21"/>
      <c r="Q1005" s="21"/>
    </row>
    <row r="1006" spans="2:25" ht="18">
      <c r="B1006" s="2632" t="s">
        <v>2626</v>
      </c>
      <c r="C1006" s="2633"/>
      <c r="D1006" s="2633"/>
      <c r="E1006" s="2631" t="str">
        <f>+F59</f>
        <v>(DIN:00367292)</v>
      </c>
      <c r="F1006" s="2602"/>
      <c r="G1006" s="21"/>
      <c r="H1006" s="1032"/>
      <c r="I1006" s="21"/>
      <c r="J1006" s="21"/>
      <c r="K1006" s="21"/>
      <c r="L1006" s="21"/>
      <c r="M1006" s="21"/>
      <c r="N1006" s="21"/>
      <c r="O1006" s="21"/>
      <c r="P1006" s="21"/>
      <c r="Q1006" s="21"/>
    </row>
    <row r="1007" spans="2:25" ht="18">
      <c r="B1007" s="2632" t="s">
        <v>748</v>
      </c>
      <c r="C1007" s="2633"/>
      <c r="D1007" s="2633"/>
      <c r="E1007" s="2634"/>
      <c r="F1007" s="2634"/>
      <c r="G1007" s="23"/>
      <c r="H1007" s="1033"/>
      <c r="I1007" s="23"/>
      <c r="J1007" s="23"/>
      <c r="K1007" s="23"/>
      <c r="L1007" s="23"/>
      <c r="M1007" s="23"/>
      <c r="N1007" s="23"/>
      <c r="O1007" s="23"/>
      <c r="P1007" s="23"/>
      <c r="Q1007" s="23"/>
    </row>
    <row r="1008" spans="2:25" ht="18">
      <c r="B1008" s="2632" t="s">
        <v>2629</v>
      </c>
      <c r="C1008" s="24"/>
      <c r="D1008" s="24"/>
      <c r="E1008" s="2634"/>
      <c r="F1008" s="2602"/>
      <c r="G1008" s="21"/>
      <c r="H1008" s="1032"/>
      <c r="I1008" s="21"/>
      <c r="J1008" s="21"/>
      <c r="K1008" s="21"/>
      <c r="L1008" s="21"/>
      <c r="M1008" s="21"/>
      <c r="N1008" s="21"/>
      <c r="O1008" s="21"/>
      <c r="P1008" s="21"/>
      <c r="Q1008" s="21"/>
    </row>
    <row r="1009" spans="2:17" ht="18">
      <c r="B1009" s="2639" t="str">
        <f>+B208</f>
        <v>Date: 29/05/2024</v>
      </c>
      <c r="C1009" s="25"/>
      <c r="D1009" s="25"/>
      <c r="E1009" s="2634"/>
      <c r="F1009" s="2631"/>
      <c r="G1009" s="21"/>
      <c r="H1009" s="1032"/>
      <c r="I1009" s="21"/>
      <c r="J1009" s="21"/>
      <c r="K1009" s="21"/>
      <c r="L1009" s="21"/>
      <c r="M1009" s="21"/>
      <c r="N1009" s="21"/>
      <c r="O1009" s="21"/>
      <c r="P1009" s="21"/>
      <c r="Q1009" s="21"/>
    </row>
    <row r="1010" spans="2:17" ht="18">
      <c r="B1010" s="2639" t="s">
        <v>750</v>
      </c>
      <c r="C1010" s="25"/>
      <c r="D1010" s="25"/>
      <c r="E1010" s="2676" t="str">
        <f>+F62</f>
        <v>JARNAIL SINGH SAINI - CHIEF FINANCIAL OFFICER &amp; EXECUTIVE DIRECTOR</v>
      </c>
      <c r="F1010" s="2631"/>
      <c r="G1010" s="21"/>
      <c r="H1010" s="1032"/>
      <c r="I1010" s="21"/>
      <c r="J1010" s="21"/>
      <c r="K1010" s="21"/>
      <c r="L1010" s="21"/>
      <c r="M1010" s="21"/>
      <c r="N1010" s="21"/>
      <c r="O1010" s="21"/>
      <c r="P1010" s="21"/>
      <c r="Q1010" s="21"/>
    </row>
    <row r="1011" spans="2:17" ht="18">
      <c r="B1011" s="2639" t="str">
        <f>+B132</f>
        <v xml:space="preserve">UDIN: </v>
      </c>
      <c r="C1011" s="25"/>
      <c r="D1011" s="25"/>
      <c r="E1011" s="2631" t="str">
        <f>+F63</f>
        <v>(DIN:00367656)</v>
      </c>
      <c r="F1011" s="2634"/>
      <c r="G1011" s="23"/>
      <c r="H1011" s="1033"/>
      <c r="I1011" s="23"/>
      <c r="J1011" s="23"/>
      <c r="K1011" s="23"/>
      <c r="L1011" s="23"/>
      <c r="M1011" s="23"/>
      <c r="N1011" s="23"/>
      <c r="O1011" s="23"/>
      <c r="P1011" s="23"/>
      <c r="Q1011" s="23"/>
    </row>
    <row r="1012" spans="2:17" ht="18">
      <c r="B1012" s="2639"/>
      <c r="C1012" s="25"/>
      <c r="D1012" s="25"/>
      <c r="E1012" s="2634"/>
      <c r="F1012" s="2602"/>
      <c r="G1012" s="21"/>
      <c r="H1012" s="1032"/>
      <c r="I1012" s="21"/>
      <c r="J1012" s="21"/>
      <c r="K1012" s="21"/>
      <c r="L1012" s="21"/>
      <c r="M1012" s="21"/>
      <c r="N1012" s="21"/>
      <c r="O1012" s="21"/>
      <c r="P1012" s="21"/>
      <c r="Q1012" s="21"/>
    </row>
    <row r="1013" spans="2:17" ht="18">
      <c r="B1013" s="2632"/>
      <c r="C1013" s="25"/>
      <c r="D1013" s="25"/>
      <c r="E1013" s="2634"/>
      <c r="F1013" s="2602"/>
      <c r="G1013" s="21"/>
      <c r="H1013" s="1032"/>
      <c r="I1013" s="21"/>
      <c r="J1013" s="21"/>
      <c r="K1013" s="21"/>
      <c r="L1013" s="21"/>
      <c r="M1013" s="21"/>
      <c r="N1013" s="21"/>
      <c r="O1013" s="21"/>
      <c r="P1013" s="21"/>
      <c r="Q1013" s="21"/>
    </row>
    <row r="1014" spans="2:17" ht="18">
      <c r="B1014" s="2632"/>
      <c r="C1014" s="25"/>
      <c r="D1014" s="25"/>
      <c r="E1014" s="2634"/>
      <c r="F1014" s="2602"/>
      <c r="G1014" s="21"/>
      <c r="H1014" s="1032"/>
      <c r="I1014" s="21"/>
      <c r="J1014" s="21"/>
      <c r="K1014" s="21"/>
      <c r="L1014" s="21"/>
      <c r="M1014" s="21"/>
      <c r="N1014" s="21"/>
      <c r="O1014" s="21"/>
      <c r="P1014" s="21"/>
      <c r="Q1014" s="21"/>
    </row>
    <row r="1015" spans="2:17" ht="18">
      <c r="B1015" s="2632"/>
      <c r="C1015" s="25"/>
      <c r="D1015" s="25"/>
      <c r="E1015" s="2676" t="str">
        <f>+F67</f>
        <v>OMPRAKASH RATHI - WHOLE TIME DIRECTOR</v>
      </c>
      <c r="F1015" s="2634"/>
      <c r="G1015" s="23"/>
      <c r="H1015" s="1033"/>
      <c r="I1015" s="23"/>
      <c r="J1015" s="23"/>
      <c r="K1015" s="23"/>
      <c r="L1015" s="23"/>
      <c r="M1015" s="23"/>
      <c r="N1015" s="23"/>
      <c r="O1015" s="23"/>
      <c r="P1015" s="23"/>
      <c r="Q1015" s="23"/>
    </row>
    <row r="1016" spans="2:17" ht="18">
      <c r="B1016" s="2632"/>
      <c r="C1016" s="25"/>
      <c r="D1016" s="25"/>
      <c r="E1016" s="2631" t="str">
        <f>+F68</f>
        <v>(DIN:00895316)</v>
      </c>
      <c r="F1016" s="2640"/>
      <c r="G1016" s="27"/>
      <c r="H1016" s="1035"/>
      <c r="I1016" s="27"/>
      <c r="J1016" s="27"/>
      <c r="K1016" s="27"/>
      <c r="L1016" s="27"/>
      <c r="M1016" s="27"/>
      <c r="N1016" s="27"/>
      <c r="O1016" s="27"/>
      <c r="P1016" s="27"/>
      <c r="Q1016" s="27"/>
    </row>
    <row r="1017" spans="2:17" ht="18">
      <c r="B1017" s="2632"/>
      <c r="C1017" s="25"/>
      <c r="D1017" s="25"/>
      <c r="E1017" s="2634"/>
      <c r="F1017" s="2640"/>
      <c r="G1017" s="27"/>
      <c r="H1017" s="1035"/>
      <c r="I1017" s="27"/>
      <c r="J1017" s="27"/>
      <c r="K1017" s="27"/>
      <c r="L1017" s="27"/>
      <c r="M1017" s="27"/>
      <c r="N1017" s="27"/>
      <c r="O1017" s="27"/>
      <c r="P1017" s="27"/>
      <c r="Q1017" s="27"/>
    </row>
    <row r="1018" spans="2:17" ht="18">
      <c r="B1018" s="2632"/>
      <c r="C1018" s="25"/>
      <c r="D1018" s="25"/>
      <c r="E1018" s="2634"/>
      <c r="F1018" s="2640"/>
      <c r="G1018" s="27"/>
      <c r="H1018" s="1035"/>
      <c r="I1018" s="27"/>
      <c r="J1018" s="27"/>
      <c r="K1018" s="27"/>
      <c r="L1018" s="27"/>
      <c r="M1018" s="27"/>
      <c r="N1018" s="27"/>
      <c r="O1018" s="27"/>
      <c r="P1018" s="27"/>
      <c r="Q1018" s="27"/>
    </row>
    <row r="1019" spans="2:17" ht="18">
      <c r="B1019" s="2632"/>
      <c r="C1019" s="25"/>
      <c r="D1019" s="25"/>
      <c r="E1019" s="2634"/>
      <c r="F1019" s="2640"/>
      <c r="G1019" s="27"/>
      <c r="H1019" s="1035"/>
      <c r="I1019" s="27"/>
      <c r="J1019" s="27"/>
      <c r="K1019" s="27"/>
      <c r="L1019" s="27"/>
      <c r="M1019" s="27"/>
      <c r="N1019" s="27"/>
      <c r="O1019" s="27"/>
      <c r="P1019" s="27"/>
      <c r="Q1019" s="27"/>
    </row>
    <row r="1020" spans="2:17" ht="18">
      <c r="B1020" s="2632"/>
      <c r="C1020" s="25"/>
      <c r="D1020" s="25"/>
      <c r="E1020" s="2676" t="str">
        <f>+F72</f>
        <v>MAYANK LUNIYA - COMPANY SECRETARY</v>
      </c>
      <c r="F1020" s="2634"/>
      <c r="G1020" s="23"/>
      <c r="H1020" s="1033"/>
      <c r="I1020" s="23"/>
      <c r="J1020" s="23"/>
      <c r="K1020" s="23"/>
      <c r="L1020" s="23"/>
      <c r="M1020" s="23"/>
      <c r="N1020" s="23"/>
      <c r="O1020" s="23"/>
      <c r="P1020" s="23"/>
      <c r="Q1020" s="23"/>
    </row>
    <row r="1021" spans="2:17" ht="18">
      <c r="B1021" s="2632"/>
      <c r="C1021" s="25"/>
      <c r="D1021" s="25"/>
      <c r="E1021" s="2631"/>
      <c r="F1021" s="2640"/>
      <c r="G1021" s="27"/>
      <c r="H1021" s="1035"/>
      <c r="I1021" s="27"/>
      <c r="J1021" s="27"/>
      <c r="K1021" s="27"/>
      <c r="L1021" s="27"/>
      <c r="M1021" s="27"/>
      <c r="N1021" s="27"/>
      <c r="O1021" s="27"/>
      <c r="P1021" s="27"/>
      <c r="Q1021" s="27"/>
    </row>
    <row r="1022" spans="2:17" ht="18">
      <c r="B1022" s="2632"/>
      <c r="C1022" s="25"/>
      <c r="D1022" s="25"/>
      <c r="E1022" s="2631" t="str">
        <f>+F73</f>
        <v>Place: Nagpur</v>
      </c>
      <c r="F1022" s="2640"/>
      <c r="G1022" s="27"/>
      <c r="H1022" s="1035"/>
      <c r="I1022" s="27"/>
      <c r="J1022" s="27"/>
      <c r="K1022" s="27"/>
      <c r="L1022" s="27"/>
      <c r="M1022" s="27"/>
      <c r="N1022" s="27"/>
      <c r="O1022" s="27"/>
      <c r="P1022" s="27"/>
      <c r="Q1022" s="27"/>
    </row>
    <row r="1023" spans="2:17" ht="18.600000000000001" thickBot="1">
      <c r="B1023" s="2995"/>
      <c r="C1023" s="1190"/>
      <c r="D1023" s="1190"/>
      <c r="E1023" s="2641" t="s">
        <v>4724</v>
      </c>
      <c r="F1023" s="2996"/>
      <c r="G1023" s="1193"/>
      <c r="H1023" s="1194"/>
      <c r="I1023" s="27"/>
      <c r="J1023" s="27"/>
      <c r="K1023" s="27"/>
      <c r="L1023" s="27"/>
      <c r="M1023" s="27"/>
      <c r="N1023" s="27"/>
      <c r="O1023" s="27"/>
      <c r="P1023" s="27"/>
      <c r="Q1023" s="27"/>
    </row>
  </sheetData>
  <customSheetViews>
    <customSheetView guid="{ADEA4918-0326-423A-8D00-FB47A486004B}" scale="80" showPageBreaks="1" printArea="1" hiddenRows="1" view="pageBreakPreview" topLeftCell="A1001">
      <selection activeCell="G1028" sqref="G1028"/>
      <rowBreaks count="1" manualBreakCount="1">
        <brk id="292" min="1" max="7" man="1"/>
      </rowBreaks>
      <pageMargins left="0.19685039370078741" right="3.937007874015748E-2" top="0.43307086614173229" bottom="0.31496062992125984" header="0.31496062992125984" footer="0.19685039370078741"/>
      <printOptions horizontalCentered="1"/>
      <pageSetup paperSize="9" scale="14" fitToHeight="20" orientation="portrait" horizontalDpi="4294967293" r:id="rId1"/>
    </customSheetView>
    <customSheetView guid="{2A78E287-3113-4387-BB62-BE98FA5C13C2}" scale="80" showPageBreaks="1" printArea="1" hiddenRows="1" view="pageBreakPreview" topLeftCell="A616">
      <selection activeCell="G728" sqref="G728"/>
      <rowBreaks count="15" manualBreakCount="15">
        <brk id="73" min="1" max="7" man="1"/>
        <brk id="138" min="1" max="7" man="1"/>
        <brk id="217" min="1" max="7" man="1"/>
        <brk id="270" min="1" max="7" man="1"/>
        <brk id="340" min="1" max="7" man="1"/>
        <brk id="390" min="1" max="7" man="1"/>
        <brk id="456" min="1" max="7" man="1"/>
        <brk id="529" min="1" max="7" man="1"/>
        <brk id="588" min="1" max="7" man="1"/>
        <brk id="639" min="1" max="7" man="1"/>
        <brk id="683" min="1" max="7" man="1"/>
        <brk id="749" min="1" max="7" man="1"/>
        <brk id="833" min="1" max="7" man="1"/>
        <brk id="886" min="1" max="7" man="1"/>
        <brk id="962" min="1" max="7" man="1"/>
      </rowBreaks>
      <pageMargins left="0.19685039370078741" right="3.937007874015748E-2" top="0.43307086614173229" bottom="0.31496062992125984" header="0.31496062992125984" footer="0.19685039370078741"/>
      <printOptions horizontalCentered="1"/>
      <pageSetup paperSize="9" scale="43" fitToHeight="20" orientation="portrait" horizontalDpi="4294967293" r:id="rId2"/>
    </customSheetView>
    <customSheetView guid="{DC5DA12B-0FA6-4F41-A983-6E433AD4604D}" scale="80" showPageBreaks="1" printArea="1" hiddenRows="1" view="pageBreakPreview">
      <pane ySplit="2" topLeftCell="A34" activePane="bottomLeft" state="frozen"/>
      <selection pane="bottomLeft" activeCell="A3" sqref="A3:XFD3"/>
      <rowBreaks count="15" manualBreakCount="15">
        <brk id="73" min="1" max="7" man="1"/>
        <brk id="138" min="1" max="7" man="1"/>
        <brk id="217" min="1" max="7" man="1"/>
        <brk id="270" min="1" max="7" man="1"/>
        <brk id="340" min="1" max="7" man="1"/>
        <brk id="390" min="1" max="7" man="1"/>
        <brk id="456" min="1" max="7" man="1"/>
        <brk id="529" min="1" max="7" man="1"/>
        <brk id="588" min="1" max="7" man="1"/>
        <brk id="639" min="1" max="7" man="1"/>
        <brk id="683" min="1" max="7" man="1"/>
        <brk id="749" min="1" max="7" man="1"/>
        <brk id="833" min="1" max="7" man="1"/>
        <brk id="886" min="1" max="7" man="1"/>
        <brk id="962" min="1" max="7" man="1"/>
      </rowBreaks>
      <pageMargins left="0.19685039370078741" right="3.937007874015748E-2" top="0.43307086614173229" bottom="0.31496062992125984" header="0.31496062992125984" footer="0.19685039370078741"/>
      <printOptions horizontalCentered="1"/>
      <pageSetup paperSize="9" scale="43" fitToHeight="20" orientation="portrait" horizontalDpi="4294967293" r:id="rId3"/>
    </customSheetView>
  </customSheetViews>
  <mergeCells count="154">
    <mergeCell ref="B235:F235"/>
    <mergeCell ref="B968:H968"/>
    <mergeCell ref="B969:H969"/>
    <mergeCell ref="C261:H261"/>
    <mergeCell ref="C359:D359"/>
    <mergeCell ref="C360:D360"/>
    <mergeCell ref="C362:D362"/>
    <mergeCell ref="C361:D361"/>
    <mergeCell ref="C363:D363"/>
    <mergeCell ref="C364:D364"/>
    <mergeCell ref="C262:D262"/>
    <mergeCell ref="B328:F328"/>
    <mergeCell ref="B334:H334"/>
    <mergeCell ref="B336:F336"/>
    <mergeCell ref="B338:H341"/>
    <mergeCell ref="B378:F378"/>
    <mergeCell ref="B318:C319"/>
    <mergeCell ref="B392:H392"/>
    <mergeCell ref="B393:H393"/>
    <mergeCell ref="B272:H272"/>
    <mergeCell ref="B273:H273"/>
    <mergeCell ref="B342:H342"/>
    <mergeCell ref="B343:H343"/>
    <mergeCell ref="B314:F315"/>
    <mergeCell ref="C347:D347"/>
    <mergeCell ref="C255:D255"/>
    <mergeCell ref="C256:D256"/>
    <mergeCell ref="C257:D257"/>
    <mergeCell ref="C258:D258"/>
    <mergeCell ref="C259:D259"/>
    <mergeCell ref="C263:D263"/>
    <mergeCell ref="C264:D264"/>
    <mergeCell ref="C265:D265"/>
    <mergeCell ref="C266:D266"/>
    <mergeCell ref="V326:W326"/>
    <mergeCell ref="B76:H76"/>
    <mergeCell ref="F77:F78"/>
    <mergeCell ref="B88:C88"/>
    <mergeCell ref="B92:C92"/>
    <mergeCell ref="B102:C102"/>
    <mergeCell ref="B103:C103"/>
    <mergeCell ref="B219:H219"/>
    <mergeCell ref="B220:H220"/>
    <mergeCell ref="B226:F226"/>
    <mergeCell ref="B269:H271"/>
    <mergeCell ref="B284:C284"/>
    <mergeCell ref="B285:F285"/>
    <mergeCell ref="B261:B262"/>
    <mergeCell ref="B268:H268"/>
    <mergeCell ref="V319:W320"/>
    <mergeCell ref="V321:W321"/>
    <mergeCell ref="V322:W322"/>
    <mergeCell ref="V323:W323"/>
    <mergeCell ref="V324:W324"/>
    <mergeCell ref="V325:W325"/>
    <mergeCell ref="B227:F227"/>
    <mergeCell ref="B254:B255"/>
    <mergeCell ref="C254:H254"/>
    <mergeCell ref="B3:H3"/>
    <mergeCell ref="B4:H4"/>
    <mergeCell ref="F5:F6"/>
    <mergeCell ref="F9:F10"/>
    <mergeCell ref="F62:H62"/>
    <mergeCell ref="B75:H75"/>
    <mergeCell ref="B141:H141"/>
    <mergeCell ref="F207:H207"/>
    <mergeCell ref="F208:H208"/>
    <mergeCell ref="B109:E109"/>
    <mergeCell ref="B111:C111"/>
    <mergeCell ref="B112:C112"/>
    <mergeCell ref="F128:H128"/>
    <mergeCell ref="F129:H129"/>
    <mergeCell ref="B140:H140"/>
    <mergeCell ref="C348:D348"/>
    <mergeCell ref="C349:D349"/>
    <mergeCell ref="C350:D350"/>
    <mergeCell ref="C351:D351"/>
    <mergeCell ref="C352:D352"/>
    <mergeCell ref="C353:D353"/>
    <mergeCell ref="C354:D354"/>
    <mergeCell ref="C357:D357"/>
    <mergeCell ref="C358:D358"/>
    <mergeCell ref="B401:E401"/>
    <mergeCell ref="B425:F426"/>
    <mergeCell ref="B433:H435"/>
    <mergeCell ref="B443:B444"/>
    <mergeCell ref="B379:F379"/>
    <mergeCell ref="B381:F381"/>
    <mergeCell ref="B385:F385"/>
    <mergeCell ref="B386:F386"/>
    <mergeCell ref="B436:C437"/>
    <mergeCell ref="C443:C444"/>
    <mergeCell ref="D436:H436"/>
    <mergeCell ref="D443:H443"/>
    <mergeCell ref="B380:F380"/>
    <mergeCell ref="B382:F382"/>
    <mergeCell ref="B458:H458"/>
    <mergeCell ref="B459:H459"/>
    <mergeCell ref="B457:F457"/>
    <mergeCell ref="B531:H531"/>
    <mergeCell ref="B532:H532"/>
    <mergeCell ref="B589:H589"/>
    <mergeCell ref="B450:F450"/>
    <mergeCell ref="B451:F451"/>
    <mergeCell ref="B452:F452"/>
    <mergeCell ref="B454:F454"/>
    <mergeCell ref="B455:F455"/>
    <mergeCell ref="B456:F456"/>
    <mergeCell ref="B662:H662"/>
    <mergeCell ref="B664:H664"/>
    <mergeCell ref="B667:H667"/>
    <mergeCell ref="B669:H669"/>
    <mergeCell ref="B670:H670"/>
    <mergeCell ref="B671:H671"/>
    <mergeCell ref="B590:H590"/>
    <mergeCell ref="B585:F585"/>
    <mergeCell ref="B610:F610"/>
    <mergeCell ref="B640:H640"/>
    <mergeCell ref="B641:H641"/>
    <mergeCell ref="B660:F660"/>
    <mergeCell ref="B688:H688"/>
    <mergeCell ref="B689:H689"/>
    <mergeCell ref="B690:H690"/>
    <mergeCell ref="B691:H691"/>
    <mergeCell ref="B672:H672"/>
    <mergeCell ref="B673:H673"/>
    <mergeCell ref="B674:H674"/>
    <mergeCell ref="B675:H675"/>
    <mergeCell ref="B677:H677"/>
    <mergeCell ref="B683:F683"/>
    <mergeCell ref="B684:H684"/>
    <mergeCell ref="B685:H685"/>
    <mergeCell ref="B751:H751"/>
    <mergeCell ref="B812:H812"/>
    <mergeCell ref="B813:H813"/>
    <mergeCell ref="B892:H892"/>
    <mergeCell ref="B698:F698"/>
    <mergeCell ref="B740:H744"/>
    <mergeCell ref="B746:H749"/>
    <mergeCell ref="B750:H750"/>
    <mergeCell ref="B953:C953"/>
    <mergeCell ref="B932:H934"/>
    <mergeCell ref="B940:H940"/>
    <mergeCell ref="B893:H893"/>
    <mergeCell ref="B912:F912"/>
    <mergeCell ref="B920:F920"/>
    <mergeCell ref="B926:H926"/>
    <mergeCell ref="B929:H929"/>
    <mergeCell ref="B923:F923"/>
    <mergeCell ref="B937:H937"/>
    <mergeCell ref="B943:H943"/>
    <mergeCell ref="B946:H946"/>
    <mergeCell ref="D864:E864"/>
    <mergeCell ref="B703:F703"/>
  </mergeCells>
  <printOptions horizontalCentered="1"/>
  <pageMargins left="0.19685039370078741" right="3.937007874015748E-2" top="0.43307086614173229" bottom="0.31496062992125984" header="0.31496062992125984" footer="0.19685039370078741"/>
  <pageSetup paperSize="9" scale="14" fitToHeight="20" orientation="portrait" horizontalDpi="4294967293" r:id="rId4"/>
  <rowBreaks count="1" manualBreakCount="1">
    <brk id="293" min="1" max="7" man="1"/>
  </rowBreaks>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427"/>
  <sheetViews>
    <sheetView workbookViewId="0">
      <pane ySplit="3" topLeftCell="A421" activePane="bottomLeft" state="frozen"/>
      <selection pane="bottomLeft" activeCell="H46" sqref="H46"/>
    </sheetView>
  </sheetViews>
  <sheetFormatPr defaultRowHeight="14.4"/>
  <cols>
    <col min="1" max="1" width="18.109375" bestFit="1" customWidth="1"/>
    <col min="2" max="2" width="41.6640625" bestFit="1" customWidth="1"/>
    <col min="3" max="3" width="12.5546875" customWidth="1"/>
    <col min="4" max="5" width="11.5546875" customWidth="1"/>
    <col min="6" max="6" width="12.5546875" bestFit="1" customWidth="1"/>
  </cols>
  <sheetData>
    <row r="1" spans="1:8">
      <c r="A1" s="139" t="s">
        <v>702</v>
      </c>
    </row>
    <row r="2" spans="1:8">
      <c r="A2" s="2224" t="s">
        <v>2169</v>
      </c>
      <c r="B2" s="2224"/>
      <c r="C2" s="2224"/>
      <c r="D2" s="2224"/>
      <c r="E2" s="2224"/>
      <c r="F2" s="2224"/>
      <c r="G2" s="2224"/>
    </row>
    <row r="3" spans="1:8" ht="43.2">
      <c r="A3" s="413" t="s">
        <v>2171</v>
      </c>
      <c r="B3" s="413" t="s">
        <v>2170</v>
      </c>
      <c r="C3" s="414" t="s">
        <v>2168</v>
      </c>
      <c r="D3" s="413" t="s">
        <v>1120</v>
      </c>
      <c r="E3" s="413" t="s">
        <v>1069</v>
      </c>
      <c r="F3" s="414" t="s">
        <v>2172</v>
      </c>
      <c r="G3" s="505" t="s">
        <v>2130</v>
      </c>
    </row>
    <row r="4" spans="1:8">
      <c r="A4" s="411" t="s">
        <v>1259</v>
      </c>
      <c r="B4" s="140" t="s">
        <v>1211</v>
      </c>
      <c r="C4" s="140">
        <v>154400</v>
      </c>
      <c r="D4" s="140">
        <v>169578</v>
      </c>
      <c r="E4" s="140">
        <v>0</v>
      </c>
      <c r="F4" s="140">
        <v>323978</v>
      </c>
      <c r="G4" s="434">
        <f t="shared" ref="G4:G67" si="0">+F4/$F$427</f>
        <v>0.12033659390884627</v>
      </c>
      <c r="H4" s="434">
        <f>+C4/C427</f>
        <v>5.7349480827481696E-2</v>
      </c>
    </row>
    <row r="5" spans="1:8">
      <c r="A5" s="411" t="s">
        <v>1210</v>
      </c>
      <c r="B5" s="140" t="s">
        <v>1211</v>
      </c>
      <c r="C5" s="140">
        <v>13005</v>
      </c>
      <c r="D5" s="140"/>
      <c r="E5" s="140">
        <f t="shared" ref="E5:E33" si="1">C5-F5</f>
        <v>0</v>
      </c>
      <c r="F5" s="140">
        <v>13005</v>
      </c>
      <c r="G5" s="434">
        <f t="shared" si="0"/>
        <v>4.8305051694391152E-3</v>
      </c>
    </row>
    <row r="6" spans="1:8">
      <c r="A6" s="411" t="s">
        <v>1235</v>
      </c>
      <c r="B6" s="140" t="s">
        <v>1211</v>
      </c>
      <c r="C6" s="140">
        <v>75</v>
      </c>
      <c r="D6" s="140"/>
      <c r="E6" s="140">
        <f t="shared" si="1"/>
        <v>0</v>
      </c>
      <c r="F6" s="140">
        <v>75</v>
      </c>
      <c r="G6" s="434">
        <f t="shared" si="0"/>
        <v>2.7857584598841494E-5</v>
      </c>
    </row>
    <row r="7" spans="1:8">
      <c r="A7" s="411" t="s">
        <v>1180</v>
      </c>
      <c r="B7" s="140" t="s">
        <v>1181</v>
      </c>
      <c r="C7" s="140">
        <v>267360</v>
      </c>
      <c r="D7" s="140"/>
      <c r="E7" s="140">
        <f t="shared" si="1"/>
        <v>0</v>
      </c>
      <c r="F7" s="140">
        <v>267360</v>
      </c>
      <c r="G7" s="434">
        <f t="shared" si="0"/>
        <v>9.9306717577950163E-2</v>
      </c>
    </row>
    <row r="8" spans="1:8">
      <c r="A8" s="411" t="s">
        <v>1174</v>
      </c>
      <c r="B8" s="140" t="s">
        <v>1175</v>
      </c>
      <c r="C8" s="140">
        <v>241995</v>
      </c>
      <c r="D8" s="140"/>
      <c r="E8" s="140">
        <f t="shared" si="1"/>
        <v>0</v>
      </c>
      <c r="F8" s="140">
        <v>241995</v>
      </c>
      <c r="G8" s="434">
        <f t="shared" si="0"/>
        <v>8.9885282466621974E-2</v>
      </c>
    </row>
    <row r="9" spans="1:8">
      <c r="A9" s="411" t="s">
        <v>1500</v>
      </c>
      <c r="B9" s="140" t="s">
        <v>1501</v>
      </c>
      <c r="C9" s="140">
        <v>224905</v>
      </c>
      <c r="D9" s="140"/>
      <c r="E9" s="140">
        <f t="shared" si="1"/>
        <v>0</v>
      </c>
      <c r="F9" s="140">
        <v>224905</v>
      </c>
      <c r="G9" s="434">
        <f t="shared" si="0"/>
        <v>8.3537467522699291E-2</v>
      </c>
    </row>
    <row r="10" spans="1:8">
      <c r="A10" s="411" t="s">
        <v>1467</v>
      </c>
      <c r="B10" s="140" t="s">
        <v>1468</v>
      </c>
      <c r="C10" s="140">
        <v>3500</v>
      </c>
      <c r="D10" s="140"/>
      <c r="E10" s="140">
        <f t="shared" si="1"/>
        <v>0</v>
      </c>
      <c r="F10" s="140">
        <v>3500</v>
      </c>
      <c r="G10" s="434">
        <f t="shared" si="0"/>
        <v>1.300020614612603E-3</v>
      </c>
    </row>
    <row r="11" spans="1:8">
      <c r="A11" s="411" t="s">
        <v>1176</v>
      </c>
      <c r="B11" s="140" t="s">
        <v>1177</v>
      </c>
      <c r="C11" s="140">
        <v>186295</v>
      </c>
      <c r="D11" s="140"/>
      <c r="E11" s="140">
        <f t="shared" si="1"/>
        <v>0</v>
      </c>
      <c r="F11" s="140">
        <v>186295</v>
      </c>
      <c r="G11" s="434">
        <f t="shared" si="0"/>
        <v>6.9196382971215692E-2</v>
      </c>
    </row>
    <row r="12" spans="1:8">
      <c r="A12" s="411" t="s">
        <v>1502</v>
      </c>
      <c r="B12" s="140" t="s">
        <v>1503</v>
      </c>
      <c r="C12" s="140">
        <v>150945</v>
      </c>
      <c r="D12" s="140"/>
      <c r="E12" s="140">
        <f t="shared" si="1"/>
        <v>0</v>
      </c>
      <c r="F12" s="140">
        <v>150945</v>
      </c>
      <c r="G12" s="434">
        <f t="shared" si="0"/>
        <v>5.6066174763628393E-2</v>
      </c>
    </row>
    <row r="13" spans="1:8">
      <c r="A13" s="411" t="s">
        <v>1170</v>
      </c>
      <c r="B13" s="140" t="s">
        <v>1171</v>
      </c>
      <c r="C13" s="140">
        <v>112805</v>
      </c>
      <c r="D13" s="140"/>
      <c r="E13" s="140">
        <f t="shared" si="1"/>
        <v>0</v>
      </c>
      <c r="F13" s="140">
        <v>112805</v>
      </c>
      <c r="G13" s="434">
        <f t="shared" si="0"/>
        <v>4.1899664408964199E-2</v>
      </c>
    </row>
    <row r="14" spans="1:8">
      <c r="A14" s="411" t="s">
        <v>1504</v>
      </c>
      <c r="B14" s="140" t="s">
        <v>1505</v>
      </c>
      <c r="C14" s="140">
        <v>111800</v>
      </c>
      <c r="D14" s="140"/>
      <c r="E14" s="140">
        <f t="shared" si="1"/>
        <v>0</v>
      </c>
      <c r="F14" s="140">
        <v>111800</v>
      </c>
      <c r="G14" s="434">
        <f t="shared" si="0"/>
        <v>4.1526372775339722E-2</v>
      </c>
    </row>
    <row r="15" spans="1:8">
      <c r="A15" s="411" t="s">
        <v>1267</v>
      </c>
      <c r="B15" s="140" t="s">
        <v>1268</v>
      </c>
      <c r="C15" s="140">
        <v>77900</v>
      </c>
      <c r="D15" s="140"/>
      <c r="E15" s="140">
        <f t="shared" si="1"/>
        <v>0</v>
      </c>
      <c r="F15" s="140">
        <v>77900</v>
      </c>
      <c r="G15" s="434">
        <f t="shared" si="0"/>
        <v>2.8934744536663368E-2</v>
      </c>
    </row>
    <row r="16" spans="1:8">
      <c r="A16" s="411" t="s">
        <v>1257</v>
      </c>
      <c r="B16" s="140" t="s">
        <v>1258</v>
      </c>
      <c r="C16" s="140">
        <v>62790</v>
      </c>
      <c r="D16" s="140"/>
      <c r="E16" s="140">
        <f t="shared" si="1"/>
        <v>0</v>
      </c>
      <c r="F16" s="140">
        <v>62790</v>
      </c>
      <c r="G16" s="434">
        <f t="shared" si="0"/>
        <v>2.3322369826150099E-2</v>
      </c>
    </row>
    <row r="17" spans="1:7">
      <c r="A17" s="411" t="s">
        <v>1243</v>
      </c>
      <c r="B17" s="140" t="s">
        <v>1244</v>
      </c>
      <c r="C17" s="140">
        <v>47460</v>
      </c>
      <c r="D17" s="140"/>
      <c r="E17" s="140">
        <f t="shared" si="1"/>
        <v>0</v>
      </c>
      <c r="F17" s="140">
        <v>47460</v>
      </c>
      <c r="G17" s="434">
        <f t="shared" si="0"/>
        <v>1.7628279534146897E-2</v>
      </c>
    </row>
    <row r="18" spans="1:7">
      <c r="A18" s="411" t="s">
        <v>1168</v>
      </c>
      <c r="B18" s="140" t="s">
        <v>1169</v>
      </c>
      <c r="C18" s="140">
        <v>38815</v>
      </c>
      <c r="D18" s="140"/>
      <c r="E18" s="140">
        <f t="shared" si="1"/>
        <v>0</v>
      </c>
      <c r="F18" s="140">
        <v>38815</v>
      </c>
      <c r="G18" s="434">
        <f t="shared" si="0"/>
        <v>1.4417228616053769E-2</v>
      </c>
    </row>
    <row r="19" spans="1:7">
      <c r="A19" s="411" t="s">
        <v>1279</v>
      </c>
      <c r="B19" s="140" t="s">
        <v>1280</v>
      </c>
      <c r="C19" s="140">
        <v>35770</v>
      </c>
      <c r="D19" s="140"/>
      <c r="E19" s="140">
        <f t="shared" si="1"/>
        <v>0</v>
      </c>
      <c r="F19" s="140">
        <v>35770</v>
      </c>
      <c r="G19" s="434">
        <f t="shared" si="0"/>
        <v>1.3286210681340805E-2</v>
      </c>
    </row>
    <row r="20" spans="1:7">
      <c r="A20" s="411" t="s">
        <v>1524</v>
      </c>
      <c r="B20" s="140" t="s">
        <v>1525</v>
      </c>
      <c r="C20" s="140">
        <v>35000</v>
      </c>
      <c r="D20" s="140"/>
      <c r="E20" s="140">
        <f t="shared" si="1"/>
        <v>0</v>
      </c>
      <c r="F20" s="140">
        <v>35000</v>
      </c>
      <c r="G20" s="434">
        <f t="shared" si="0"/>
        <v>1.3000206146126032E-2</v>
      </c>
    </row>
    <row r="21" spans="1:7">
      <c r="A21" s="411" t="s">
        <v>1255</v>
      </c>
      <c r="B21" s="140" t="s">
        <v>1256</v>
      </c>
      <c r="C21" s="140">
        <v>33235</v>
      </c>
      <c r="D21" s="140"/>
      <c r="E21" s="140">
        <f t="shared" si="1"/>
        <v>0</v>
      </c>
      <c r="F21" s="140">
        <v>33235</v>
      </c>
      <c r="G21" s="434">
        <f t="shared" si="0"/>
        <v>1.2344624321899962E-2</v>
      </c>
    </row>
    <row r="22" spans="1:7">
      <c r="A22" s="411" t="s">
        <v>1281</v>
      </c>
      <c r="B22" s="140" t="s">
        <v>1282</v>
      </c>
      <c r="C22" s="140">
        <v>29095</v>
      </c>
      <c r="D22" s="140"/>
      <c r="E22" s="140">
        <f t="shared" si="1"/>
        <v>0</v>
      </c>
      <c r="F22" s="140">
        <v>29095</v>
      </c>
      <c r="G22" s="434">
        <f t="shared" si="0"/>
        <v>1.0806885652043911E-2</v>
      </c>
    </row>
    <row r="23" spans="1:7">
      <c r="A23" s="411" t="s">
        <v>1275</v>
      </c>
      <c r="B23" s="140" t="s">
        <v>1276</v>
      </c>
      <c r="C23" s="140">
        <v>28462</v>
      </c>
      <c r="D23" s="140"/>
      <c r="E23" s="140">
        <f t="shared" si="1"/>
        <v>0</v>
      </c>
      <c r="F23" s="140">
        <v>28462</v>
      </c>
      <c r="G23" s="434">
        <f t="shared" si="0"/>
        <v>1.0571767638029689E-2</v>
      </c>
    </row>
    <row r="24" spans="1:7">
      <c r="A24" s="411" t="s">
        <v>1277</v>
      </c>
      <c r="B24" s="140" t="s">
        <v>1278</v>
      </c>
      <c r="C24" s="140">
        <v>25265</v>
      </c>
      <c r="D24" s="140"/>
      <c r="E24" s="140">
        <f t="shared" si="1"/>
        <v>0</v>
      </c>
      <c r="F24" s="140">
        <v>25265</v>
      </c>
      <c r="G24" s="434">
        <f t="shared" si="0"/>
        <v>9.3842916651964061E-3</v>
      </c>
    </row>
    <row r="25" spans="1:7">
      <c r="A25" s="411" t="s">
        <v>1202</v>
      </c>
      <c r="B25" s="140" t="s">
        <v>1203</v>
      </c>
      <c r="C25" s="140">
        <v>19735</v>
      </c>
      <c r="D25" s="140"/>
      <c r="E25" s="140">
        <f t="shared" si="1"/>
        <v>0</v>
      </c>
      <c r="F25" s="140">
        <v>19735</v>
      </c>
      <c r="G25" s="434">
        <f t="shared" si="0"/>
        <v>7.3302590941084923E-3</v>
      </c>
    </row>
    <row r="26" spans="1:7">
      <c r="A26" s="411" t="s">
        <v>1555</v>
      </c>
      <c r="B26" s="140" t="s">
        <v>1556</v>
      </c>
      <c r="C26" s="140">
        <v>17700</v>
      </c>
      <c r="D26" s="140"/>
      <c r="E26" s="140">
        <f t="shared" si="1"/>
        <v>0</v>
      </c>
      <c r="F26" s="140">
        <v>17700</v>
      </c>
      <c r="G26" s="434">
        <f t="shared" si="0"/>
        <v>6.5743899653265929E-3</v>
      </c>
    </row>
    <row r="27" spans="1:7">
      <c r="A27" s="411" t="s">
        <v>1516</v>
      </c>
      <c r="B27" s="140" t="s">
        <v>1517</v>
      </c>
      <c r="C27" s="140">
        <v>14200</v>
      </c>
      <c r="D27" s="140"/>
      <c r="E27" s="140">
        <f t="shared" si="1"/>
        <v>0</v>
      </c>
      <c r="F27" s="140">
        <v>14200</v>
      </c>
      <c r="G27" s="434">
        <f t="shared" si="0"/>
        <v>5.2743693507139901E-3</v>
      </c>
    </row>
    <row r="28" spans="1:7">
      <c r="A28" s="411" t="s">
        <v>1200</v>
      </c>
      <c r="B28" s="140" t="s">
        <v>1201</v>
      </c>
      <c r="C28" s="140">
        <v>13350</v>
      </c>
      <c r="D28" s="140"/>
      <c r="E28" s="140">
        <f t="shared" si="1"/>
        <v>0</v>
      </c>
      <c r="F28" s="140">
        <v>13350</v>
      </c>
      <c r="G28" s="434">
        <f t="shared" si="0"/>
        <v>4.9586500585937863E-3</v>
      </c>
    </row>
    <row r="29" spans="1:7">
      <c r="A29" s="411" t="s">
        <v>1327</v>
      </c>
      <c r="B29" s="140" t="s">
        <v>1326</v>
      </c>
      <c r="C29" s="140">
        <v>12600</v>
      </c>
      <c r="D29" s="140"/>
      <c r="E29" s="140">
        <f t="shared" si="1"/>
        <v>0</v>
      </c>
      <c r="F29" s="140">
        <v>12600</v>
      </c>
      <c r="G29" s="434">
        <f t="shared" si="0"/>
        <v>4.680074212605371E-3</v>
      </c>
    </row>
    <row r="30" spans="1:7">
      <c r="A30" s="411" t="s">
        <v>1198</v>
      </c>
      <c r="B30" s="140" t="s">
        <v>1199</v>
      </c>
      <c r="C30" s="140">
        <v>11855</v>
      </c>
      <c r="D30" s="140"/>
      <c r="E30" s="140">
        <f t="shared" si="1"/>
        <v>0</v>
      </c>
      <c r="F30" s="140">
        <v>11855</v>
      </c>
      <c r="G30" s="434">
        <f t="shared" si="0"/>
        <v>4.4033555389235458E-3</v>
      </c>
    </row>
    <row r="31" spans="1:7">
      <c r="A31" s="411" t="s">
        <v>1194</v>
      </c>
      <c r="B31" s="140" t="s">
        <v>1195</v>
      </c>
      <c r="C31" s="140">
        <v>11150</v>
      </c>
      <c r="D31" s="140"/>
      <c r="E31" s="140">
        <f t="shared" si="1"/>
        <v>0</v>
      </c>
      <c r="F31" s="140">
        <v>11150</v>
      </c>
      <c r="G31" s="434">
        <f t="shared" si="0"/>
        <v>4.1414942436944361E-3</v>
      </c>
    </row>
    <row r="32" spans="1:7">
      <c r="A32" s="411" t="s">
        <v>1206</v>
      </c>
      <c r="B32" s="140" t="s">
        <v>1207</v>
      </c>
      <c r="C32" s="140">
        <v>10700</v>
      </c>
      <c r="D32" s="140"/>
      <c r="E32" s="140">
        <f t="shared" si="1"/>
        <v>0</v>
      </c>
      <c r="F32" s="140">
        <v>10700</v>
      </c>
      <c r="G32" s="434">
        <f t="shared" si="0"/>
        <v>3.9743487361013864E-3</v>
      </c>
    </row>
    <row r="33" spans="1:7">
      <c r="A33" s="411" t="s">
        <v>1260</v>
      </c>
      <c r="B33" s="140" t="s">
        <v>1209</v>
      </c>
      <c r="C33" s="140">
        <v>10500</v>
      </c>
      <c r="D33" s="140"/>
      <c r="E33" s="140">
        <f t="shared" si="1"/>
        <v>0</v>
      </c>
      <c r="F33" s="140">
        <v>10500</v>
      </c>
      <c r="G33" s="434">
        <f t="shared" si="0"/>
        <v>3.9000618438378093E-3</v>
      </c>
    </row>
    <row r="34" spans="1:7">
      <c r="A34" s="411" t="s">
        <v>2146</v>
      </c>
      <c r="B34" s="140" t="s">
        <v>2145</v>
      </c>
      <c r="C34" s="140">
        <v>0</v>
      </c>
      <c r="D34" s="140">
        <v>10000</v>
      </c>
      <c r="E34" s="140">
        <v>0</v>
      </c>
      <c r="F34" s="140">
        <v>10000</v>
      </c>
      <c r="G34" s="434">
        <f t="shared" si="0"/>
        <v>3.7143446131788663E-3</v>
      </c>
    </row>
    <row r="35" spans="1:7">
      <c r="A35" s="411" t="s">
        <v>1522</v>
      </c>
      <c r="B35" s="140" t="s">
        <v>1523</v>
      </c>
      <c r="C35" s="140">
        <v>10000</v>
      </c>
      <c r="D35" s="140"/>
      <c r="E35" s="140">
        <f t="shared" ref="E35:E50" si="2">C35-F35</f>
        <v>0</v>
      </c>
      <c r="F35" s="140">
        <v>10000</v>
      </c>
      <c r="G35" s="434">
        <f t="shared" si="0"/>
        <v>3.7143446131788663E-3</v>
      </c>
    </row>
    <row r="36" spans="1:7">
      <c r="A36" s="411" t="s">
        <v>1549</v>
      </c>
      <c r="B36" s="140" t="s">
        <v>1550</v>
      </c>
      <c r="C36" s="140">
        <v>10000</v>
      </c>
      <c r="D36" s="140"/>
      <c r="E36" s="140">
        <f t="shared" si="2"/>
        <v>0</v>
      </c>
      <c r="F36" s="140">
        <v>10000</v>
      </c>
      <c r="G36" s="434">
        <f t="shared" si="0"/>
        <v>3.7143446131788663E-3</v>
      </c>
    </row>
    <row r="37" spans="1:7">
      <c r="A37" s="411" t="s">
        <v>1196</v>
      </c>
      <c r="B37" s="140" t="s">
        <v>1197</v>
      </c>
      <c r="C37" s="140">
        <v>9200</v>
      </c>
      <c r="D37" s="140"/>
      <c r="E37" s="140">
        <f t="shared" si="2"/>
        <v>0</v>
      </c>
      <c r="F37" s="140">
        <v>9200</v>
      </c>
      <c r="G37" s="434">
        <f t="shared" si="0"/>
        <v>3.4171970441245567E-3</v>
      </c>
    </row>
    <row r="38" spans="1:7">
      <c r="A38" s="411" t="s">
        <v>1545</v>
      </c>
      <c r="B38" s="140" t="s">
        <v>1546</v>
      </c>
      <c r="C38" s="140">
        <v>7705</v>
      </c>
      <c r="D38" s="140"/>
      <c r="E38" s="140">
        <f t="shared" si="2"/>
        <v>0</v>
      </c>
      <c r="F38" s="140">
        <v>7705</v>
      </c>
      <c r="G38" s="434">
        <f t="shared" si="0"/>
        <v>2.8619025244543163E-3</v>
      </c>
    </row>
    <row r="39" spans="1:7">
      <c r="A39" s="411" t="s">
        <v>1953</v>
      </c>
      <c r="B39" s="140" t="s">
        <v>1954</v>
      </c>
      <c r="C39" s="140">
        <v>7705</v>
      </c>
      <c r="D39" s="140"/>
      <c r="E39" s="140">
        <f t="shared" si="2"/>
        <v>0</v>
      </c>
      <c r="F39" s="140">
        <v>7705</v>
      </c>
      <c r="G39" s="434">
        <f t="shared" si="0"/>
        <v>2.8619025244543163E-3</v>
      </c>
    </row>
    <row r="40" spans="1:7">
      <c r="A40" s="411" t="s">
        <v>1792</v>
      </c>
      <c r="B40" s="140" t="s">
        <v>1793</v>
      </c>
      <c r="C40" s="140">
        <v>7500</v>
      </c>
      <c r="D40" s="140"/>
      <c r="E40" s="140">
        <f t="shared" si="2"/>
        <v>0</v>
      </c>
      <c r="F40" s="140">
        <v>7500</v>
      </c>
      <c r="G40" s="434">
        <f t="shared" si="0"/>
        <v>2.7857584598841496E-3</v>
      </c>
    </row>
    <row r="41" spans="1:7">
      <c r="A41" s="411" t="s">
        <v>1383</v>
      </c>
      <c r="B41" s="140" t="s">
        <v>1384</v>
      </c>
      <c r="C41" s="140">
        <v>6900</v>
      </c>
      <c r="D41" s="140"/>
      <c r="E41" s="140">
        <f t="shared" si="2"/>
        <v>0</v>
      </c>
      <c r="F41" s="140">
        <v>6900</v>
      </c>
      <c r="G41" s="434">
        <f t="shared" si="0"/>
        <v>2.5628977830934175E-3</v>
      </c>
    </row>
    <row r="42" spans="1:7">
      <c r="A42" s="411" t="s">
        <v>1564</v>
      </c>
      <c r="B42" s="140" t="s">
        <v>1565</v>
      </c>
      <c r="C42" s="140">
        <v>6800</v>
      </c>
      <c r="D42" s="140"/>
      <c r="E42" s="140">
        <f t="shared" si="2"/>
        <v>0</v>
      </c>
      <c r="F42" s="140">
        <v>6800</v>
      </c>
      <c r="G42" s="434">
        <f t="shared" si="0"/>
        <v>2.525754336961629E-3</v>
      </c>
    </row>
    <row r="43" spans="1:7">
      <c r="A43" s="411" t="s">
        <v>1636</v>
      </c>
      <c r="B43" s="140" t="s">
        <v>1637</v>
      </c>
      <c r="C43" s="140">
        <v>6700</v>
      </c>
      <c r="D43" s="140"/>
      <c r="E43" s="140">
        <f t="shared" si="2"/>
        <v>0</v>
      </c>
      <c r="F43" s="140">
        <v>6700</v>
      </c>
      <c r="G43" s="434">
        <f t="shared" si="0"/>
        <v>2.4886108908298405E-3</v>
      </c>
    </row>
    <row r="44" spans="1:7">
      <c r="A44" s="411" t="s">
        <v>1508</v>
      </c>
      <c r="B44" s="140" t="s">
        <v>1509</v>
      </c>
      <c r="C44" s="140">
        <v>6000</v>
      </c>
      <c r="D44" s="140"/>
      <c r="E44" s="140">
        <f t="shared" si="2"/>
        <v>0</v>
      </c>
      <c r="F44" s="140">
        <v>6000</v>
      </c>
      <c r="G44" s="434">
        <f t="shared" si="0"/>
        <v>2.2286067679073195E-3</v>
      </c>
    </row>
    <row r="45" spans="1:7">
      <c r="A45" s="411" t="s">
        <v>1562</v>
      </c>
      <c r="B45" s="140" t="s">
        <v>1563</v>
      </c>
      <c r="C45" s="140">
        <v>5750</v>
      </c>
      <c r="D45" s="140"/>
      <c r="E45" s="140">
        <f t="shared" si="2"/>
        <v>0</v>
      </c>
      <c r="F45" s="140">
        <v>5750</v>
      </c>
      <c r="G45" s="434">
        <f t="shared" si="0"/>
        <v>2.1357481525778482E-3</v>
      </c>
    </row>
    <row r="46" spans="1:7">
      <c r="A46" s="411" t="s">
        <v>1366</v>
      </c>
      <c r="B46" s="140" t="s">
        <v>1367</v>
      </c>
      <c r="C46" s="140">
        <v>5000</v>
      </c>
      <c r="D46" s="140"/>
      <c r="E46" s="140">
        <f t="shared" si="2"/>
        <v>0</v>
      </c>
      <c r="F46" s="140">
        <v>5000</v>
      </c>
      <c r="G46" s="434">
        <f t="shared" si="0"/>
        <v>1.8571723065894331E-3</v>
      </c>
    </row>
    <row r="47" spans="1:7">
      <c r="A47" s="411" t="s">
        <v>1498</v>
      </c>
      <c r="B47" s="140" t="s">
        <v>1499</v>
      </c>
      <c r="C47" s="140">
        <v>5000</v>
      </c>
      <c r="D47" s="140"/>
      <c r="E47" s="140">
        <f t="shared" si="2"/>
        <v>0</v>
      </c>
      <c r="F47" s="140">
        <v>5000</v>
      </c>
      <c r="G47" s="434">
        <f t="shared" si="0"/>
        <v>1.8571723065894331E-3</v>
      </c>
    </row>
    <row r="48" spans="1:7">
      <c r="A48" s="411" t="s">
        <v>1526</v>
      </c>
      <c r="B48" s="140" t="s">
        <v>1527</v>
      </c>
      <c r="C48" s="140">
        <v>5000</v>
      </c>
      <c r="D48" s="140"/>
      <c r="E48" s="140">
        <f t="shared" si="2"/>
        <v>0</v>
      </c>
      <c r="F48" s="140">
        <v>5000</v>
      </c>
      <c r="G48" s="434">
        <f t="shared" si="0"/>
        <v>1.8571723065894331E-3</v>
      </c>
    </row>
    <row r="49" spans="1:7">
      <c r="A49" s="411" t="s">
        <v>1251</v>
      </c>
      <c r="B49" s="140" t="s">
        <v>1252</v>
      </c>
      <c r="C49" s="140">
        <v>4500</v>
      </c>
      <c r="D49" s="140"/>
      <c r="E49" s="140">
        <f t="shared" si="2"/>
        <v>0</v>
      </c>
      <c r="F49" s="140">
        <v>4500</v>
      </c>
      <c r="G49" s="434">
        <f t="shared" si="0"/>
        <v>1.6714550759304898E-3</v>
      </c>
    </row>
    <row r="50" spans="1:7">
      <c r="A50" s="411" t="s">
        <v>1204</v>
      </c>
      <c r="B50" s="140" t="s">
        <v>1205</v>
      </c>
      <c r="C50" s="140">
        <v>12200</v>
      </c>
      <c r="D50" s="140"/>
      <c r="E50" s="140">
        <f t="shared" si="2"/>
        <v>8000</v>
      </c>
      <c r="F50" s="140">
        <v>4200</v>
      </c>
      <c r="G50" s="434">
        <f t="shared" si="0"/>
        <v>1.5600247375351238E-3</v>
      </c>
    </row>
    <row r="51" spans="1:7">
      <c r="A51" s="411" t="s">
        <v>2147</v>
      </c>
      <c r="B51" s="140" t="s">
        <v>2148</v>
      </c>
      <c r="C51" s="140">
        <v>0</v>
      </c>
      <c r="D51" s="140">
        <v>4200</v>
      </c>
      <c r="E51" s="140">
        <v>0</v>
      </c>
      <c r="F51" s="140">
        <v>4200</v>
      </c>
      <c r="G51" s="434">
        <f t="shared" si="0"/>
        <v>1.5600247375351238E-3</v>
      </c>
    </row>
    <row r="52" spans="1:7">
      <c r="A52" s="411" t="s">
        <v>2151</v>
      </c>
      <c r="B52" s="140" t="s">
        <v>2152</v>
      </c>
      <c r="C52" s="140">
        <v>0</v>
      </c>
      <c r="D52" s="140">
        <v>4200</v>
      </c>
      <c r="E52" s="140">
        <v>0</v>
      </c>
      <c r="F52" s="140">
        <v>4200</v>
      </c>
      <c r="G52" s="434">
        <f t="shared" si="0"/>
        <v>1.5600247375351238E-3</v>
      </c>
    </row>
    <row r="53" spans="1:7">
      <c r="A53" s="411" t="s">
        <v>1295</v>
      </c>
      <c r="B53" s="140" t="s">
        <v>1296</v>
      </c>
      <c r="C53" s="140">
        <v>4200</v>
      </c>
      <c r="D53" s="140"/>
      <c r="E53" s="140">
        <f>C53-F53</f>
        <v>0</v>
      </c>
      <c r="F53" s="140">
        <v>4200</v>
      </c>
      <c r="G53" s="434">
        <f t="shared" si="0"/>
        <v>1.5600247375351238E-3</v>
      </c>
    </row>
    <row r="54" spans="1:7">
      <c r="A54" s="411" t="s">
        <v>2157</v>
      </c>
      <c r="B54" s="140" t="s">
        <v>2158</v>
      </c>
      <c r="C54" s="140">
        <v>0</v>
      </c>
      <c r="D54" s="140">
        <v>4200</v>
      </c>
      <c r="E54" s="140">
        <v>0</v>
      </c>
      <c r="F54" s="140">
        <v>4200</v>
      </c>
      <c r="G54" s="434">
        <f t="shared" si="0"/>
        <v>1.5600247375351238E-3</v>
      </c>
    </row>
    <row r="55" spans="1:7">
      <c r="A55" s="411" t="s">
        <v>1457</v>
      </c>
      <c r="B55" s="140" t="s">
        <v>1458</v>
      </c>
      <c r="C55" s="140">
        <v>4200</v>
      </c>
      <c r="D55" s="140"/>
      <c r="E55" s="140">
        <f t="shared" ref="E55:E97" si="3">C55-F55</f>
        <v>0</v>
      </c>
      <c r="F55" s="140">
        <v>4200</v>
      </c>
      <c r="G55" s="434">
        <f t="shared" si="0"/>
        <v>1.5600247375351238E-3</v>
      </c>
    </row>
    <row r="56" spans="1:7">
      <c r="A56" s="411" t="s">
        <v>1485</v>
      </c>
      <c r="B56" s="140" t="s">
        <v>1486</v>
      </c>
      <c r="C56" s="140">
        <v>4200</v>
      </c>
      <c r="D56" s="140"/>
      <c r="E56" s="140">
        <f t="shared" si="3"/>
        <v>0</v>
      </c>
      <c r="F56" s="140">
        <v>4200</v>
      </c>
      <c r="G56" s="434">
        <f t="shared" si="0"/>
        <v>1.5600247375351238E-3</v>
      </c>
    </row>
    <row r="57" spans="1:7">
      <c r="A57" s="411" t="s">
        <v>1569</v>
      </c>
      <c r="B57" s="140" t="s">
        <v>1570</v>
      </c>
      <c r="C57" s="140">
        <v>4200</v>
      </c>
      <c r="D57" s="140"/>
      <c r="E57" s="140">
        <f t="shared" si="3"/>
        <v>0</v>
      </c>
      <c r="F57" s="140">
        <v>4200</v>
      </c>
      <c r="G57" s="434">
        <f t="shared" si="0"/>
        <v>1.5600247375351238E-3</v>
      </c>
    </row>
    <row r="58" spans="1:7">
      <c r="A58" s="411" t="s">
        <v>1648</v>
      </c>
      <c r="B58" s="140" t="s">
        <v>1649</v>
      </c>
      <c r="C58" s="140">
        <v>4200</v>
      </c>
      <c r="D58" s="140"/>
      <c r="E58" s="140">
        <f t="shared" si="3"/>
        <v>0</v>
      </c>
      <c r="F58" s="140">
        <v>4200</v>
      </c>
      <c r="G58" s="434">
        <f t="shared" si="0"/>
        <v>1.5600247375351238E-3</v>
      </c>
    </row>
    <row r="59" spans="1:7">
      <c r="A59" s="411" t="s">
        <v>1901</v>
      </c>
      <c r="B59" s="140" t="s">
        <v>1902</v>
      </c>
      <c r="C59" s="140">
        <v>4200</v>
      </c>
      <c r="D59" s="140"/>
      <c r="E59" s="140">
        <f t="shared" si="3"/>
        <v>0</v>
      </c>
      <c r="F59" s="140">
        <v>4200</v>
      </c>
      <c r="G59" s="434">
        <f t="shared" si="0"/>
        <v>1.5600247375351238E-3</v>
      </c>
    </row>
    <row r="60" spans="1:7">
      <c r="A60" s="411" t="s">
        <v>1650</v>
      </c>
      <c r="B60" s="140" t="s">
        <v>1651</v>
      </c>
      <c r="C60" s="140">
        <v>3795</v>
      </c>
      <c r="D60" s="140"/>
      <c r="E60" s="140">
        <f t="shared" si="3"/>
        <v>0</v>
      </c>
      <c r="F60" s="140">
        <v>3795</v>
      </c>
      <c r="G60" s="434">
        <f t="shared" si="0"/>
        <v>1.4095937807013796E-3</v>
      </c>
    </row>
    <row r="61" spans="1:7">
      <c r="A61" s="411" t="s">
        <v>1172</v>
      </c>
      <c r="B61" s="140" t="s">
        <v>1173</v>
      </c>
      <c r="C61" s="140">
        <v>3600</v>
      </c>
      <c r="D61" s="140"/>
      <c r="E61" s="140">
        <f t="shared" si="3"/>
        <v>0</v>
      </c>
      <c r="F61" s="140">
        <v>3600</v>
      </c>
      <c r="G61" s="434">
        <f t="shared" si="0"/>
        <v>1.3371640607443918E-3</v>
      </c>
    </row>
    <row r="62" spans="1:7">
      <c r="A62" s="411" t="s">
        <v>1233</v>
      </c>
      <c r="B62" s="140" t="s">
        <v>1234</v>
      </c>
      <c r="C62" s="140">
        <v>3300</v>
      </c>
      <c r="D62" s="140"/>
      <c r="E62" s="140">
        <f t="shared" si="3"/>
        <v>0</v>
      </c>
      <c r="F62" s="140">
        <v>3300</v>
      </c>
      <c r="G62" s="434">
        <f t="shared" si="0"/>
        <v>1.2257337223490258E-3</v>
      </c>
    </row>
    <row r="63" spans="1:7">
      <c r="A63" s="411" t="s">
        <v>1245</v>
      </c>
      <c r="B63" s="140" t="s">
        <v>1246</v>
      </c>
      <c r="C63" s="140">
        <v>3300</v>
      </c>
      <c r="D63" s="140"/>
      <c r="E63" s="140">
        <f t="shared" si="3"/>
        <v>0</v>
      </c>
      <c r="F63" s="140">
        <v>3300</v>
      </c>
      <c r="G63" s="434">
        <f t="shared" si="0"/>
        <v>1.2257337223490258E-3</v>
      </c>
    </row>
    <row r="64" spans="1:7">
      <c r="A64" s="411" t="s">
        <v>1247</v>
      </c>
      <c r="B64" s="140" t="s">
        <v>1248</v>
      </c>
      <c r="C64" s="140">
        <v>3300</v>
      </c>
      <c r="D64" s="140"/>
      <c r="E64" s="140">
        <f t="shared" si="3"/>
        <v>0</v>
      </c>
      <c r="F64" s="140">
        <v>3300</v>
      </c>
      <c r="G64" s="434">
        <f t="shared" si="0"/>
        <v>1.2257337223490258E-3</v>
      </c>
    </row>
    <row r="65" spans="1:7">
      <c r="A65" s="411" t="s">
        <v>1253</v>
      </c>
      <c r="B65" s="140" t="s">
        <v>1254</v>
      </c>
      <c r="C65" s="140">
        <v>3300</v>
      </c>
      <c r="D65" s="140"/>
      <c r="E65" s="140">
        <f t="shared" si="3"/>
        <v>0</v>
      </c>
      <c r="F65" s="140">
        <v>3300</v>
      </c>
      <c r="G65" s="434">
        <f t="shared" si="0"/>
        <v>1.2257337223490258E-3</v>
      </c>
    </row>
    <row r="66" spans="1:7">
      <c r="A66" s="411" t="s">
        <v>1283</v>
      </c>
      <c r="B66" s="140" t="s">
        <v>1284</v>
      </c>
      <c r="C66" s="140">
        <v>3300</v>
      </c>
      <c r="D66" s="140"/>
      <c r="E66" s="140">
        <f t="shared" si="3"/>
        <v>0</v>
      </c>
      <c r="F66" s="140">
        <v>3300</v>
      </c>
      <c r="G66" s="434">
        <f t="shared" si="0"/>
        <v>1.2257337223490258E-3</v>
      </c>
    </row>
    <row r="67" spans="1:7">
      <c r="A67" s="411" t="s">
        <v>1535</v>
      </c>
      <c r="B67" s="140" t="s">
        <v>1536</v>
      </c>
      <c r="C67" s="140">
        <v>3300</v>
      </c>
      <c r="D67" s="140"/>
      <c r="E67" s="140">
        <f t="shared" si="3"/>
        <v>0</v>
      </c>
      <c r="F67" s="140">
        <v>3300</v>
      </c>
      <c r="G67" s="434">
        <f t="shared" si="0"/>
        <v>1.2257337223490258E-3</v>
      </c>
    </row>
    <row r="68" spans="1:7">
      <c r="A68" s="411" t="s">
        <v>1573</v>
      </c>
      <c r="B68" s="140" t="s">
        <v>1574</v>
      </c>
      <c r="C68" s="140">
        <v>3300</v>
      </c>
      <c r="D68" s="140"/>
      <c r="E68" s="140">
        <f t="shared" si="3"/>
        <v>0</v>
      </c>
      <c r="F68" s="140">
        <v>3300</v>
      </c>
      <c r="G68" s="434">
        <f t="shared" ref="G68:G131" si="4">+F68/$F$427</f>
        <v>1.2257337223490258E-3</v>
      </c>
    </row>
    <row r="69" spans="1:7">
      <c r="A69" s="411" t="s">
        <v>1941</v>
      </c>
      <c r="B69" s="140" t="s">
        <v>1942</v>
      </c>
      <c r="C69" s="140">
        <v>3300</v>
      </c>
      <c r="D69" s="140"/>
      <c r="E69" s="140">
        <f t="shared" si="3"/>
        <v>0</v>
      </c>
      <c r="F69" s="140">
        <v>3300</v>
      </c>
      <c r="G69" s="434">
        <f t="shared" si="4"/>
        <v>1.2257337223490258E-3</v>
      </c>
    </row>
    <row r="70" spans="1:7">
      <c r="A70" s="411" t="s">
        <v>1231</v>
      </c>
      <c r="B70" s="140" t="s">
        <v>1232</v>
      </c>
      <c r="C70" s="140">
        <v>3090</v>
      </c>
      <c r="D70" s="140"/>
      <c r="E70" s="140">
        <f t="shared" si="3"/>
        <v>0</v>
      </c>
      <c r="F70" s="140">
        <v>3090</v>
      </c>
      <c r="G70" s="434">
        <f t="shared" si="4"/>
        <v>1.1477324854722696E-3</v>
      </c>
    </row>
    <row r="71" spans="1:7">
      <c r="A71" s="411" t="s">
        <v>1238</v>
      </c>
      <c r="B71" s="140" t="s">
        <v>1239</v>
      </c>
      <c r="C71" s="140">
        <v>3025</v>
      </c>
      <c r="D71" s="140"/>
      <c r="E71" s="140">
        <f t="shared" si="3"/>
        <v>0</v>
      </c>
      <c r="F71" s="140">
        <v>3025</v>
      </c>
      <c r="G71" s="434">
        <f t="shared" si="4"/>
        <v>1.1235892454866071E-3</v>
      </c>
    </row>
    <row r="72" spans="1:7">
      <c r="A72" s="411" t="s">
        <v>1325</v>
      </c>
      <c r="B72" s="140" t="s">
        <v>1326</v>
      </c>
      <c r="C72" s="140">
        <v>3000</v>
      </c>
      <c r="D72" s="140"/>
      <c r="E72" s="140">
        <f t="shared" si="3"/>
        <v>0</v>
      </c>
      <c r="F72" s="140">
        <v>3000</v>
      </c>
      <c r="G72" s="434">
        <f t="shared" si="4"/>
        <v>1.1143033839536597E-3</v>
      </c>
    </row>
    <row r="73" spans="1:7">
      <c r="A73" s="411" t="s">
        <v>1376</v>
      </c>
      <c r="B73" s="140" t="s">
        <v>1377</v>
      </c>
      <c r="C73" s="140">
        <v>3000</v>
      </c>
      <c r="D73" s="140"/>
      <c r="E73" s="140">
        <f t="shared" si="3"/>
        <v>0</v>
      </c>
      <c r="F73" s="140">
        <v>3000</v>
      </c>
      <c r="G73" s="434">
        <f t="shared" si="4"/>
        <v>1.1143033839536597E-3</v>
      </c>
    </row>
    <row r="74" spans="1:7">
      <c r="A74" s="411" t="s">
        <v>1531</v>
      </c>
      <c r="B74" s="140" t="s">
        <v>1532</v>
      </c>
      <c r="C74" s="140">
        <v>3000</v>
      </c>
      <c r="D74" s="140"/>
      <c r="E74" s="140">
        <f t="shared" si="3"/>
        <v>0</v>
      </c>
      <c r="F74" s="140">
        <v>3000</v>
      </c>
      <c r="G74" s="434">
        <f t="shared" si="4"/>
        <v>1.1143033839536597E-3</v>
      </c>
    </row>
    <row r="75" spans="1:7">
      <c r="A75" s="411" t="s">
        <v>1561</v>
      </c>
      <c r="B75" s="140" t="s">
        <v>1550</v>
      </c>
      <c r="C75" s="140">
        <v>3000</v>
      </c>
      <c r="D75" s="140"/>
      <c r="E75" s="140">
        <f t="shared" si="3"/>
        <v>0</v>
      </c>
      <c r="F75" s="140">
        <v>3000</v>
      </c>
      <c r="G75" s="434">
        <f t="shared" si="4"/>
        <v>1.1143033839536597E-3</v>
      </c>
    </row>
    <row r="76" spans="1:7">
      <c r="A76" s="411" t="s">
        <v>1808</v>
      </c>
      <c r="B76" s="140" t="s">
        <v>1809</v>
      </c>
      <c r="C76" s="140">
        <v>2875</v>
      </c>
      <c r="D76" s="140"/>
      <c r="E76" s="140">
        <f t="shared" si="3"/>
        <v>0</v>
      </c>
      <c r="F76" s="140">
        <v>2875</v>
      </c>
      <c r="G76" s="434">
        <f t="shared" si="4"/>
        <v>1.0678740762889241E-3</v>
      </c>
    </row>
    <row r="77" spans="1:7">
      <c r="A77" s="411" t="s">
        <v>1240</v>
      </c>
      <c r="B77" s="140" t="s">
        <v>1219</v>
      </c>
      <c r="C77" s="140">
        <v>2500</v>
      </c>
      <c r="D77" s="140"/>
      <c r="E77" s="140">
        <f t="shared" si="3"/>
        <v>0</v>
      </c>
      <c r="F77" s="140">
        <v>2500</v>
      </c>
      <c r="G77" s="434">
        <f t="shared" si="4"/>
        <v>9.2858615329471656E-4</v>
      </c>
    </row>
    <row r="78" spans="1:7">
      <c r="A78" s="411" t="s">
        <v>1249</v>
      </c>
      <c r="B78" s="140" t="s">
        <v>1250</v>
      </c>
      <c r="C78" s="140">
        <v>2500</v>
      </c>
      <c r="D78" s="140"/>
      <c r="E78" s="140">
        <f t="shared" si="3"/>
        <v>0</v>
      </c>
      <c r="F78" s="140">
        <v>2500</v>
      </c>
      <c r="G78" s="434">
        <f t="shared" si="4"/>
        <v>9.2858615329471656E-4</v>
      </c>
    </row>
    <row r="79" spans="1:7">
      <c r="A79" s="411" t="s">
        <v>1307</v>
      </c>
      <c r="B79" s="140" t="s">
        <v>1308</v>
      </c>
      <c r="C79" s="140">
        <v>2500</v>
      </c>
      <c r="D79" s="140"/>
      <c r="E79" s="140">
        <f t="shared" si="3"/>
        <v>0</v>
      </c>
      <c r="F79" s="140">
        <v>2500</v>
      </c>
      <c r="G79" s="434">
        <f t="shared" si="4"/>
        <v>9.2858615329471656E-4</v>
      </c>
    </row>
    <row r="80" spans="1:7">
      <c r="A80" s="411" t="s">
        <v>1309</v>
      </c>
      <c r="B80" s="140" t="s">
        <v>1310</v>
      </c>
      <c r="C80" s="140">
        <v>2500</v>
      </c>
      <c r="D80" s="140"/>
      <c r="E80" s="140">
        <f t="shared" si="3"/>
        <v>0</v>
      </c>
      <c r="F80" s="140">
        <v>2500</v>
      </c>
      <c r="G80" s="434">
        <f t="shared" si="4"/>
        <v>9.2858615329471656E-4</v>
      </c>
    </row>
    <row r="81" spans="1:7">
      <c r="A81" s="411" t="s">
        <v>1401</v>
      </c>
      <c r="B81" s="140" t="s">
        <v>1402</v>
      </c>
      <c r="C81" s="140">
        <v>2500</v>
      </c>
      <c r="D81" s="140"/>
      <c r="E81" s="140">
        <f t="shared" si="3"/>
        <v>0</v>
      </c>
      <c r="F81" s="140">
        <v>2500</v>
      </c>
      <c r="G81" s="434">
        <f t="shared" si="4"/>
        <v>9.2858615329471656E-4</v>
      </c>
    </row>
    <row r="82" spans="1:7">
      <c r="A82" s="411" t="s">
        <v>1417</v>
      </c>
      <c r="B82" s="140" t="s">
        <v>1418</v>
      </c>
      <c r="C82" s="140">
        <v>2500</v>
      </c>
      <c r="D82" s="140"/>
      <c r="E82" s="140">
        <f t="shared" si="3"/>
        <v>0</v>
      </c>
      <c r="F82" s="140">
        <v>2500</v>
      </c>
      <c r="G82" s="434">
        <f t="shared" si="4"/>
        <v>9.2858615329471656E-4</v>
      </c>
    </row>
    <row r="83" spans="1:7">
      <c r="A83" s="411" t="s">
        <v>1465</v>
      </c>
      <c r="B83" s="140" t="s">
        <v>1466</v>
      </c>
      <c r="C83" s="140">
        <v>2500</v>
      </c>
      <c r="D83" s="140"/>
      <c r="E83" s="140">
        <f t="shared" si="3"/>
        <v>0</v>
      </c>
      <c r="F83" s="140">
        <v>2500</v>
      </c>
      <c r="G83" s="434">
        <f t="shared" si="4"/>
        <v>9.2858615329471656E-4</v>
      </c>
    </row>
    <row r="84" spans="1:7">
      <c r="A84" s="411" t="s">
        <v>1528</v>
      </c>
      <c r="B84" s="140" t="s">
        <v>1523</v>
      </c>
      <c r="C84" s="140">
        <v>2500</v>
      </c>
      <c r="D84" s="140"/>
      <c r="E84" s="140">
        <f t="shared" si="3"/>
        <v>0</v>
      </c>
      <c r="F84" s="140">
        <v>2500</v>
      </c>
      <c r="G84" s="434">
        <f t="shared" si="4"/>
        <v>9.2858615329471656E-4</v>
      </c>
    </row>
    <row r="85" spans="1:7">
      <c r="A85" s="411" t="s">
        <v>1529</v>
      </c>
      <c r="B85" s="140" t="s">
        <v>1523</v>
      </c>
      <c r="C85" s="140">
        <v>2500</v>
      </c>
      <c r="D85" s="140"/>
      <c r="E85" s="140">
        <f t="shared" si="3"/>
        <v>0</v>
      </c>
      <c r="F85" s="140">
        <v>2500</v>
      </c>
      <c r="G85" s="434">
        <f t="shared" si="4"/>
        <v>9.2858615329471656E-4</v>
      </c>
    </row>
    <row r="86" spans="1:7">
      <c r="A86" s="411" t="s">
        <v>1609</v>
      </c>
      <c r="B86" s="140" t="s">
        <v>1610</v>
      </c>
      <c r="C86" s="140">
        <v>2500</v>
      </c>
      <c r="D86" s="140"/>
      <c r="E86" s="140">
        <f t="shared" si="3"/>
        <v>0</v>
      </c>
      <c r="F86" s="140">
        <v>2500</v>
      </c>
      <c r="G86" s="434">
        <f t="shared" si="4"/>
        <v>9.2858615329471656E-4</v>
      </c>
    </row>
    <row r="87" spans="1:7">
      <c r="A87" s="411" t="s">
        <v>1619</v>
      </c>
      <c r="B87" s="140" t="s">
        <v>1620</v>
      </c>
      <c r="C87" s="140">
        <v>2500</v>
      </c>
      <c r="D87" s="140"/>
      <c r="E87" s="140">
        <f t="shared" si="3"/>
        <v>0</v>
      </c>
      <c r="F87" s="140">
        <v>2500</v>
      </c>
      <c r="G87" s="434">
        <f t="shared" si="4"/>
        <v>9.2858615329471656E-4</v>
      </c>
    </row>
    <row r="88" spans="1:7">
      <c r="A88" s="411" t="s">
        <v>1676</v>
      </c>
      <c r="B88" s="140" t="s">
        <v>1677</v>
      </c>
      <c r="C88" s="140">
        <v>2500</v>
      </c>
      <c r="D88" s="140"/>
      <c r="E88" s="140">
        <f t="shared" si="3"/>
        <v>0</v>
      </c>
      <c r="F88" s="140">
        <v>2500</v>
      </c>
      <c r="G88" s="434">
        <f t="shared" si="4"/>
        <v>9.2858615329471656E-4</v>
      </c>
    </row>
    <row r="89" spans="1:7">
      <c r="A89" s="411" t="s">
        <v>1782</v>
      </c>
      <c r="B89" s="140" t="s">
        <v>1783</v>
      </c>
      <c r="C89" s="140">
        <v>2500</v>
      </c>
      <c r="D89" s="140"/>
      <c r="E89" s="140">
        <f t="shared" si="3"/>
        <v>0</v>
      </c>
      <c r="F89" s="140">
        <v>2500</v>
      </c>
      <c r="G89" s="434">
        <f t="shared" si="4"/>
        <v>9.2858615329471656E-4</v>
      </c>
    </row>
    <row r="90" spans="1:7">
      <c r="A90" s="411" t="s">
        <v>1798</v>
      </c>
      <c r="B90" s="140" t="s">
        <v>1799</v>
      </c>
      <c r="C90" s="140">
        <v>2500</v>
      </c>
      <c r="D90" s="140"/>
      <c r="E90" s="140">
        <f t="shared" si="3"/>
        <v>0</v>
      </c>
      <c r="F90" s="140">
        <v>2500</v>
      </c>
      <c r="G90" s="434">
        <f t="shared" si="4"/>
        <v>9.2858615329471656E-4</v>
      </c>
    </row>
    <row r="91" spans="1:7">
      <c r="A91" s="411" t="s">
        <v>1824</v>
      </c>
      <c r="B91" s="140" t="s">
        <v>1825</v>
      </c>
      <c r="C91" s="140">
        <v>2500</v>
      </c>
      <c r="D91" s="140"/>
      <c r="E91" s="140">
        <f t="shared" si="3"/>
        <v>0</v>
      </c>
      <c r="F91" s="140">
        <v>2500</v>
      </c>
      <c r="G91" s="434">
        <f t="shared" si="4"/>
        <v>9.2858615329471656E-4</v>
      </c>
    </row>
    <row r="92" spans="1:7">
      <c r="A92" s="411" t="s">
        <v>1826</v>
      </c>
      <c r="B92" s="140" t="s">
        <v>1827</v>
      </c>
      <c r="C92" s="140">
        <v>2500</v>
      </c>
      <c r="D92" s="140"/>
      <c r="E92" s="140">
        <f t="shared" si="3"/>
        <v>0</v>
      </c>
      <c r="F92" s="140">
        <v>2500</v>
      </c>
      <c r="G92" s="434">
        <f t="shared" si="4"/>
        <v>9.2858615329471656E-4</v>
      </c>
    </row>
    <row r="93" spans="1:7">
      <c r="A93" s="411" t="s">
        <v>1907</v>
      </c>
      <c r="B93" s="140" t="s">
        <v>1908</v>
      </c>
      <c r="C93" s="140">
        <v>2500</v>
      </c>
      <c r="D93" s="140"/>
      <c r="E93" s="140">
        <f t="shared" si="3"/>
        <v>0</v>
      </c>
      <c r="F93" s="140">
        <v>2500</v>
      </c>
      <c r="G93" s="434">
        <f t="shared" si="4"/>
        <v>9.2858615329471656E-4</v>
      </c>
    </row>
    <row r="94" spans="1:7">
      <c r="A94" s="411" t="s">
        <v>1957</v>
      </c>
      <c r="B94" s="140" t="s">
        <v>1958</v>
      </c>
      <c r="C94" s="140">
        <v>2500</v>
      </c>
      <c r="D94" s="140"/>
      <c r="E94" s="140">
        <f t="shared" si="3"/>
        <v>0</v>
      </c>
      <c r="F94" s="140">
        <v>2500</v>
      </c>
      <c r="G94" s="434">
        <f t="shared" si="4"/>
        <v>9.2858615329471656E-4</v>
      </c>
    </row>
    <row r="95" spans="1:7">
      <c r="A95" s="411" t="s">
        <v>1212</v>
      </c>
      <c r="B95" s="140" t="s">
        <v>1213</v>
      </c>
      <c r="C95" s="140">
        <v>2190</v>
      </c>
      <c r="D95" s="140"/>
      <c r="E95" s="140">
        <f t="shared" si="3"/>
        <v>0</v>
      </c>
      <c r="F95" s="140">
        <v>2190</v>
      </c>
      <c r="G95" s="434">
        <f t="shared" si="4"/>
        <v>8.1344147028617169E-4</v>
      </c>
    </row>
    <row r="96" spans="1:7">
      <c r="A96" s="411" t="s">
        <v>1730</v>
      </c>
      <c r="B96" s="140" t="s">
        <v>1731</v>
      </c>
      <c r="C96" s="140">
        <v>2100</v>
      </c>
      <c r="D96" s="140"/>
      <c r="E96" s="140">
        <f t="shared" si="3"/>
        <v>0</v>
      </c>
      <c r="F96" s="140">
        <v>2100</v>
      </c>
      <c r="G96" s="434">
        <f t="shared" si="4"/>
        <v>7.8001236876756191E-4</v>
      </c>
    </row>
    <row r="97" spans="1:7">
      <c r="A97" s="411" t="s">
        <v>1837</v>
      </c>
      <c r="B97" s="140" t="s">
        <v>1838</v>
      </c>
      <c r="C97" s="140">
        <v>2100</v>
      </c>
      <c r="D97" s="140"/>
      <c r="E97" s="140">
        <f t="shared" si="3"/>
        <v>0</v>
      </c>
      <c r="F97" s="140">
        <v>2100</v>
      </c>
      <c r="G97" s="434">
        <f t="shared" si="4"/>
        <v>7.8001236876756191E-4</v>
      </c>
    </row>
    <row r="98" spans="1:7">
      <c r="A98" s="411" t="s">
        <v>2149</v>
      </c>
      <c r="B98" s="140" t="s">
        <v>2150</v>
      </c>
      <c r="C98" s="140">
        <v>0</v>
      </c>
      <c r="D98" s="140">
        <v>2000</v>
      </c>
      <c r="E98" s="140">
        <v>0</v>
      </c>
      <c r="F98" s="140">
        <v>2000</v>
      </c>
      <c r="G98" s="434">
        <f t="shared" si="4"/>
        <v>7.4286892263577327E-4</v>
      </c>
    </row>
    <row r="99" spans="1:7">
      <c r="A99" s="411" t="s">
        <v>1297</v>
      </c>
      <c r="B99" s="140" t="s">
        <v>1298</v>
      </c>
      <c r="C99" s="140">
        <v>2000</v>
      </c>
      <c r="D99" s="140"/>
      <c r="E99" s="140">
        <f>C99-F99</f>
        <v>0</v>
      </c>
      <c r="F99" s="140">
        <v>2000</v>
      </c>
      <c r="G99" s="434">
        <f t="shared" si="4"/>
        <v>7.4286892263577327E-4</v>
      </c>
    </row>
    <row r="100" spans="1:7">
      <c r="A100" s="411" t="s">
        <v>2166</v>
      </c>
      <c r="B100" s="140" t="s">
        <v>2167</v>
      </c>
      <c r="C100" s="140">
        <v>0</v>
      </c>
      <c r="D100" s="140">
        <v>2000</v>
      </c>
      <c r="E100" s="140">
        <v>0</v>
      </c>
      <c r="F100" s="140">
        <v>2000</v>
      </c>
      <c r="G100" s="434">
        <f t="shared" si="4"/>
        <v>7.4286892263577327E-4</v>
      </c>
    </row>
    <row r="101" spans="1:7">
      <c r="A101" s="411" t="s">
        <v>1287</v>
      </c>
      <c r="B101" s="140" t="s">
        <v>1288</v>
      </c>
      <c r="C101" s="140">
        <v>1800</v>
      </c>
      <c r="D101" s="140"/>
      <c r="E101" s="140">
        <f t="shared" ref="E101:E110" si="5">C101-F101</f>
        <v>0</v>
      </c>
      <c r="F101" s="140">
        <v>1800</v>
      </c>
      <c r="G101" s="434">
        <f t="shared" si="4"/>
        <v>6.6858203037219589E-4</v>
      </c>
    </row>
    <row r="102" spans="1:7">
      <c r="A102" s="411" t="s">
        <v>1271</v>
      </c>
      <c r="B102" s="140" t="s">
        <v>1272</v>
      </c>
      <c r="C102" s="140">
        <v>1700</v>
      </c>
      <c r="D102" s="140"/>
      <c r="E102" s="140">
        <f t="shared" si="5"/>
        <v>0</v>
      </c>
      <c r="F102" s="140">
        <v>1700</v>
      </c>
      <c r="G102" s="434">
        <f t="shared" si="4"/>
        <v>6.3143858424040725E-4</v>
      </c>
    </row>
    <row r="103" spans="1:7">
      <c r="A103" s="411" t="s">
        <v>1338</v>
      </c>
      <c r="B103" s="140" t="s">
        <v>1339</v>
      </c>
      <c r="C103" s="140">
        <v>1700</v>
      </c>
      <c r="D103" s="140"/>
      <c r="E103" s="140">
        <f t="shared" si="5"/>
        <v>0</v>
      </c>
      <c r="F103" s="140">
        <v>1700</v>
      </c>
      <c r="G103" s="434">
        <f t="shared" si="4"/>
        <v>6.3143858424040725E-4</v>
      </c>
    </row>
    <row r="104" spans="1:7">
      <c r="A104" s="411" t="s">
        <v>1340</v>
      </c>
      <c r="B104" s="140" t="s">
        <v>1341</v>
      </c>
      <c r="C104" s="140">
        <v>1700</v>
      </c>
      <c r="D104" s="140"/>
      <c r="E104" s="140">
        <f t="shared" si="5"/>
        <v>0</v>
      </c>
      <c r="F104" s="140">
        <v>1700</v>
      </c>
      <c r="G104" s="434">
        <f t="shared" si="4"/>
        <v>6.3143858424040725E-4</v>
      </c>
    </row>
    <row r="105" spans="1:7">
      <c r="A105" s="411" t="s">
        <v>1350</v>
      </c>
      <c r="B105" s="140" t="s">
        <v>1351</v>
      </c>
      <c r="C105" s="140">
        <v>1700</v>
      </c>
      <c r="D105" s="140"/>
      <c r="E105" s="140">
        <f t="shared" si="5"/>
        <v>0</v>
      </c>
      <c r="F105" s="140">
        <v>1700</v>
      </c>
      <c r="G105" s="434">
        <f t="shared" si="4"/>
        <v>6.3143858424040725E-4</v>
      </c>
    </row>
    <row r="106" spans="1:7">
      <c r="A106" s="411" t="s">
        <v>1362</v>
      </c>
      <c r="B106" s="140" t="s">
        <v>1363</v>
      </c>
      <c r="C106" s="140">
        <v>1700</v>
      </c>
      <c r="D106" s="140"/>
      <c r="E106" s="140">
        <f t="shared" si="5"/>
        <v>0</v>
      </c>
      <c r="F106" s="140">
        <v>1700</v>
      </c>
      <c r="G106" s="434">
        <f t="shared" si="4"/>
        <v>6.3143858424040725E-4</v>
      </c>
    </row>
    <row r="107" spans="1:7">
      <c r="A107" s="411" t="s">
        <v>1387</v>
      </c>
      <c r="B107" s="140" t="s">
        <v>1388</v>
      </c>
      <c r="C107" s="140">
        <v>1700</v>
      </c>
      <c r="D107" s="140"/>
      <c r="E107" s="140">
        <f t="shared" si="5"/>
        <v>0</v>
      </c>
      <c r="F107" s="140">
        <v>1700</v>
      </c>
      <c r="G107" s="434">
        <f t="shared" si="4"/>
        <v>6.3143858424040725E-4</v>
      </c>
    </row>
    <row r="108" spans="1:7">
      <c r="A108" s="411" t="s">
        <v>1409</v>
      </c>
      <c r="B108" s="140" t="s">
        <v>1410</v>
      </c>
      <c r="C108" s="140">
        <v>1700</v>
      </c>
      <c r="D108" s="140"/>
      <c r="E108" s="140">
        <f t="shared" si="5"/>
        <v>0</v>
      </c>
      <c r="F108" s="140">
        <v>1700</v>
      </c>
      <c r="G108" s="434">
        <f t="shared" si="4"/>
        <v>6.3143858424040725E-4</v>
      </c>
    </row>
    <row r="109" spans="1:7">
      <c r="A109" s="411" t="s">
        <v>1443</v>
      </c>
      <c r="B109" s="140" t="s">
        <v>1444</v>
      </c>
      <c r="C109" s="140">
        <v>1700</v>
      </c>
      <c r="D109" s="140"/>
      <c r="E109" s="140">
        <f t="shared" si="5"/>
        <v>0</v>
      </c>
      <c r="F109" s="140">
        <v>1700</v>
      </c>
      <c r="G109" s="434">
        <f t="shared" si="4"/>
        <v>6.3143858424040725E-4</v>
      </c>
    </row>
    <row r="110" spans="1:7">
      <c r="A110" s="411" t="s">
        <v>1469</v>
      </c>
      <c r="B110" s="140" t="s">
        <v>1470</v>
      </c>
      <c r="C110" s="140">
        <v>1700</v>
      </c>
      <c r="D110" s="140"/>
      <c r="E110" s="140">
        <f t="shared" si="5"/>
        <v>0</v>
      </c>
      <c r="F110" s="140">
        <v>1700</v>
      </c>
      <c r="G110" s="434">
        <f t="shared" si="4"/>
        <v>6.3143858424040725E-4</v>
      </c>
    </row>
    <row r="111" spans="1:7">
      <c r="A111" s="411" t="s">
        <v>2159</v>
      </c>
      <c r="B111" s="140" t="s">
        <v>2160</v>
      </c>
      <c r="C111" s="140">
        <v>0</v>
      </c>
      <c r="D111" s="140">
        <v>1700</v>
      </c>
      <c r="E111" s="140">
        <v>0</v>
      </c>
      <c r="F111" s="140">
        <v>1700</v>
      </c>
      <c r="G111" s="434">
        <f t="shared" si="4"/>
        <v>6.3143858424040725E-4</v>
      </c>
    </row>
    <row r="112" spans="1:7">
      <c r="A112" s="411" t="s">
        <v>1585</v>
      </c>
      <c r="B112" s="140" t="s">
        <v>1586</v>
      </c>
      <c r="C112" s="140">
        <v>1700</v>
      </c>
      <c r="D112" s="140"/>
      <c r="E112" s="140">
        <f t="shared" ref="E112:E126" si="6">C112-F112</f>
        <v>0</v>
      </c>
      <c r="F112" s="140">
        <v>1700</v>
      </c>
      <c r="G112" s="434">
        <f t="shared" si="4"/>
        <v>6.3143858424040725E-4</v>
      </c>
    </row>
    <row r="113" spans="1:7">
      <c r="A113" s="411" t="s">
        <v>1601</v>
      </c>
      <c r="B113" s="140" t="s">
        <v>1602</v>
      </c>
      <c r="C113" s="140">
        <v>1700</v>
      </c>
      <c r="D113" s="140"/>
      <c r="E113" s="140">
        <f t="shared" si="6"/>
        <v>0</v>
      </c>
      <c r="F113" s="140">
        <v>1700</v>
      </c>
      <c r="G113" s="434">
        <f t="shared" si="4"/>
        <v>6.3143858424040725E-4</v>
      </c>
    </row>
    <row r="114" spans="1:7">
      <c r="A114" s="411" t="s">
        <v>1654</v>
      </c>
      <c r="B114" s="140" t="s">
        <v>1655</v>
      </c>
      <c r="C114" s="140">
        <v>1700</v>
      </c>
      <c r="D114" s="140"/>
      <c r="E114" s="140">
        <f t="shared" si="6"/>
        <v>0</v>
      </c>
      <c r="F114" s="140">
        <v>1700</v>
      </c>
      <c r="G114" s="434">
        <f t="shared" si="4"/>
        <v>6.3143858424040725E-4</v>
      </c>
    </row>
    <row r="115" spans="1:7">
      <c r="A115" s="411" t="s">
        <v>1670</v>
      </c>
      <c r="B115" s="140" t="s">
        <v>1671</v>
      </c>
      <c r="C115" s="140">
        <v>1700</v>
      </c>
      <c r="D115" s="140"/>
      <c r="E115" s="140">
        <f t="shared" si="6"/>
        <v>0</v>
      </c>
      <c r="F115" s="140">
        <v>1700</v>
      </c>
      <c r="G115" s="434">
        <f t="shared" si="4"/>
        <v>6.3143858424040725E-4</v>
      </c>
    </row>
    <row r="116" spans="1:7">
      <c r="A116" s="411" t="s">
        <v>1688</v>
      </c>
      <c r="B116" s="140" t="s">
        <v>1689</v>
      </c>
      <c r="C116" s="140">
        <v>1700</v>
      </c>
      <c r="D116" s="140"/>
      <c r="E116" s="140">
        <f t="shared" si="6"/>
        <v>0</v>
      </c>
      <c r="F116" s="140">
        <v>1700</v>
      </c>
      <c r="G116" s="434">
        <f t="shared" si="4"/>
        <v>6.3143858424040725E-4</v>
      </c>
    </row>
    <row r="117" spans="1:7">
      <c r="A117" s="411" t="s">
        <v>1774</v>
      </c>
      <c r="B117" s="140" t="s">
        <v>1775</v>
      </c>
      <c r="C117" s="140">
        <v>1700</v>
      </c>
      <c r="D117" s="140"/>
      <c r="E117" s="140">
        <f t="shared" si="6"/>
        <v>0</v>
      </c>
      <c r="F117" s="140">
        <v>1700</v>
      </c>
      <c r="G117" s="434">
        <f t="shared" si="4"/>
        <v>6.3143858424040725E-4</v>
      </c>
    </row>
    <row r="118" spans="1:7">
      <c r="A118" s="411" t="s">
        <v>1776</v>
      </c>
      <c r="B118" s="140" t="s">
        <v>1777</v>
      </c>
      <c r="C118" s="140">
        <v>1700</v>
      </c>
      <c r="D118" s="140"/>
      <c r="E118" s="140">
        <f t="shared" si="6"/>
        <v>0</v>
      </c>
      <c r="F118" s="140">
        <v>1700</v>
      </c>
      <c r="G118" s="434">
        <f t="shared" si="4"/>
        <v>6.3143858424040725E-4</v>
      </c>
    </row>
    <row r="119" spans="1:7">
      <c r="A119" s="411" t="s">
        <v>1865</v>
      </c>
      <c r="B119" s="140" t="s">
        <v>1866</v>
      </c>
      <c r="C119" s="140">
        <v>1700</v>
      </c>
      <c r="D119" s="140"/>
      <c r="E119" s="140">
        <f t="shared" si="6"/>
        <v>0</v>
      </c>
      <c r="F119" s="140">
        <v>1700</v>
      </c>
      <c r="G119" s="434">
        <f t="shared" si="4"/>
        <v>6.3143858424040725E-4</v>
      </c>
    </row>
    <row r="120" spans="1:7">
      <c r="A120" s="411" t="s">
        <v>1883</v>
      </c>
      <c r="B120" s="140" t="s">
        <v>1884</v>
      </c>
      <c r="C120" s="140">
        <v>1700</v>
      </c>
      <c r="D120" s="140"/>
      <c r="E120" s="140">
        <f t="shared" si="6"/>
        <v>0</v>
      </c>
      <c r="F120" s="140">
        <v>1700</v>
      </c>
      <c r="G120" s="434">
        <f t="shared" si="4"/>
        <v>6.3143858424040725E-4</v>
      </c>
    </row>
    <row r="121" spans="1:7">
      <c r="A121" s="411" t="s">
        <v>1889</v>
      </c>
      <c r="B121" s="140" t="s">
        <v>1890</v>
      </c>
      <c r="C121" s="140">
        <v>1700</v>
      </c>
      <c r="D121" s="140"/>
      <c r="E121" s="140">
        <f t="shared" si="6"/>
        <v>0</v>
      </c>
      <c r="F121" s="140">
        <v>1700</v>
      </c>
      <c r="G121" s="434">
        <f t="shared" si="4"/>
        <v>6.3143858424040725E-4</v>
      </c>
    </row>
    <row r="122" spans="1:7">
      <c r="A122" s="411" t="s">
        <v>1895</v>
      </c>
      <c r="B122" s="140" t="s">
        <v>1896</v>
      </c>
      <c r="C122" s="140">
        <v>1700</v>
      </c>
      <c r="D122" s="140"/>
      <c r="E122" s="140">
        <f t="shared" si="6"/>
        <v>0</v>
      </c>
      <c r="F122" s="140">
        <v>1700</v>
      </c>
      <c r="G122" s="434">
        <f t="shared" si="4"/>
        <v>6.3143858424040725E-4</v>
      </c>
    </row>
    <row r="123" spans="1:7">
      <c r="A123" s="411" t="s">
        <v>1955</v>
      </c>
      <c r="B123" s="140" t="s">
        <v>1956</v>
      </c>
      <c r="C123" s="140">
        <v>1700</v>
      </c>
      <c r="D123" s="140"/>
      <c r="E123" s="140">
        <f t="shared" si="6"/>
        <v>0</v>
      </c>
      <c r="F123" s="140">
        <v>1700</v>
      </c>
      <c r="G123" s="434">
        <f t="shared" si="4"/>
        <v>6.3143858424040725E-4</v>
      </c>
    </row>
    <row r="124" spans="1:7">
      <c r="A124" s="411" t="s">
        <v>1489</v>
      </c>
      <c r="B124" s="140" t="s">
        <v>1490</v>
      </c>
      <c r="C124" s="140">
        <v>1600</v>
      </c>
      <c r="D124" s="140"/>
      <c r="E124" s="140">
        <f t="shared" si="6"/>
        <v>0</v>
      </c>
      <c r="F124" s="140">
        <v>1600</v>
      </c>
      <c r="G124" s="434">
        <f t="shared" si="4"/>
        <v>5.9429513810861862E-4</v>
      </c>
    </row>
    <row r="125" spans="1:7">
      <c r="A125" s="411" t="s">
        <v>1726</v>
      </c>
      <c r="B125" s="140" t="s">
        <v>1727</v>
      </c>
      <c r="C125" s="140">
        <v>1600</v>
      </c>
      <c r="D125" s="140"/>
      <c r="E125" s="140">
        <f t="shared" si="6"/>
        <v>0</v>
      </c>
      <c r="F125" s="140">
        <v>1600</v>
      </c>
      <c r="G125" s="434">
        <f t="shared" si="4"/>
        <v>5.9429513810861862E-4</v>
      </c>
    </row>
    <row r="126" spans="1:7">
      <c r="A126" s="411" t="s">
        <v>1208</v>
      </c>
      <c r="B126" s="140" t="s">
        <v>1209</v>
      </c>
      <c r="C126" s="140">
        <v>1575</v>
      </c>
      <c r="D126" s="140"/>
      <c r="E126" s="140">
        <f t="shared" si="6"/>
        <v>0</v>
      </c>
      <c r="F126" s="140">
        <v>1575</v>
      </c>
      <c r="G126" s="434">
        <f t="shared" si="4"/>
        <v>5.8500927657567138E-4</v>
      </c>
    </row>
    <row r="127" spans="1:7">
      <c r="A127" s="411" t="s">
        <v>2161</v>
      </c>
      <c r="B127" s="140" t="s">
        <v>2162</v>
      </c>
      <c r="C127" s="140">
        <v>0</v>
      </c>
      <c r="D127" s="140">
        <v>1500</v>
      </c>
      <c r="E127" s="140">
        <v>0</v>
      </c>
      <c r="F127" s="140">
        <v>1500</v>
      </c>
      <c r="G127" s="434">
        <f t="shared" si="4"/>
        <v>5.5715169197682987E-4</v>
      </c>
    </row>
    <row r="128" spans="1:7">
      <c r="A128" s="411" t="s">
        <v>1658</v>
      </c>
      <c r="B128" s="140" t="s">
        <v>1659</v>
      </c>
      <c r="C128" s="140">
        <v>1500</v>
      </c>
      <c r="D128" s="140"/>
      <c r="E128" s="140">
        <f>C128-F128</f>
        <v>0</v>
      </c>
      <c r="F128" s="140">
        <v>1500</v>
      </c>
      <c r="G128" s="434">
        <f t="shared" si="4"/>
        <v>5.5715169197682987E-4</v>
      </c>
    </row>
    <row r="129" spans="1:7">
      <c r="A129" s="411" t="s">
        <v>1720</v>
      </c>
      <c r="B129" s="140" t="s">
        <v>1721</v>
      </c>
      <c r="C129" s="140">
        <v>1500</v>
      </c>
      <c r="D129" s="140"/>
      <c r="E129" s="140">
        <f>C129-F129</f>
        <v>0</v>
      </c>
      <c r="F129" s="140">
        <v>1500</v>
      </c>
      <c r="G129" s="434">
        <f t="shared" si="4"/>
        <v>5.5715169197682987E-4</v>
      </c>
    </row>
    <row r="130" spans="1:7">
      <c r="A130" s="411" t="s">
        <v>1788</v>
      </c>
      <c r="B130" s="140" t="s">
        <v>1789</v>
      </c>
      <c r="C130" s="140">
        <v>1500</v>
      </c>
      <c r="D130" s="140"/>
      <c r="E130" s="140">
        <f>C130-F130</f>
        <v>0</v>
      </c>
      <c r="F130" s="140">
        <v>1500</v>
      </c>
      <c r="G130" s="434">
        <f t="shared" si="4"/>
        <v>5.5715169197682987E-4</v>
      </c>
    </row>
    <row r="131" spans="1:7">
      <c r="A131" s="411" t="s">
        <v>1800</v>
      </c>
      <c r="B131" s="140" t="s">
        <v>1801</v>
      </c>
      <c r="C131" s="140">
        <v>1500</v>
      </c>
      <c r="D131" s="140"/>
      <c r="E131" s="140">
        <f>C131-F131</f>
        <v>0</v>
      </c>
      <c r="F131" s="140">
        <v>1500</v>
      </c>
      <c r="G131" s="434">
        <f t="shared" si="4"/>
        <v>5.5715169197682987E-4</v>
      </c>
    </row>
    <row r="132" spans="1:7">
      <c r="A132" s="411" t="s">
        <v>1261</v>
      </c>
      <c r="B132" s="140" t="s">
        <v>1262</v>
      </c>
      <c r="C132" s="140">
        <v>1400</v>
      </c>
      <c r="D132" s="140"/>
      <c r="E132" s="140">
        <f>C132-F132</f>
        <v>0</v>
      </c>
      <c r="F132" s="140">
        <v>1400</v>
      </c>
      <c r="G132" s="434">
        <f t="shared" ref="G132:G195" si="7">+F132/$F$427</f>
        <v>5.2000824584504124E-4</v>
      </c>
    </row>
    <row r="133" spans="1:7">
      <c r="A133" s="411" t="s">
        <v>2144</v>
      </c>
      <c r="B133" s="140" t="s">
        <v>2145</v>
      </c>
      <c r="C133" s="140">
        <v>0</v>
      </c>
      <c r="D133" s="140">
        <v>1200</v>
      </c>
      <c r="E133" s="140">
        <v>0</v>
      </c>
      <c r="F133" s="140">
        <v>1200</v>
      </c>
      <c r="G133" s="434">
        <f t="shared" si="7"/>
        <v>4.4572135358146391E-4</v>
      </c>
    </row>
    <row r="134" spans="1:7">
      <c r="A134" s="411" t="s">
        <v>1421</v>
      </c>
      <c r="B134" s="140" t="s">
        <v>1422</v>
      </c>
      <c r="C134" s="140">
        <v>1150</v>
      </c>
      <c r="D134" s="140"/>
      <c r="E134" s="140">
        <f t="shared" ref="E134:E181" si="8">C134-F134</f>
        <v>0</v>
      </c>
      <c r="F134" s="140">
        <v>1150</v>
      </c>
      <c r="G134" s="434">
        <f t="shared" si="7"/>
        <v>4.2714963051556959E-4</v>
      </c>
    </row>
    <row r="135" spans="1:7">
      <c r="A135" s="411" t="s">
        <v>1778</v>
      </c>
      <c r="B135" s="140" t="s">
        <v>1779</v>
      </c>
      <c r="C135" s="140">
        <v>1150</v>
      </c>
      <c r="D135" s="140"/>
      <c r="E135" s="140">
        <f t="shared" si="8"/>
        <v>0</v>
      </c>
      <c r="F135" s="140">
        <v>1150</v>
      </c>
      <c r="G135" s="434">
        <f t="shared" si="7"/>
        <v>4.2714963051556959E-4</v>
      </c>
    </row>
    <row r="136" spans="1:7">
      <c r="A136" s="411" t="s">
        <v>1214</v>
      </c>
      <c r="B136" s="140" t="s">
        <v>1215</v>
      </c>
      <c r="C136" s="140">
        <v>1125</v>
      </c>
      <c r="D136" s="140"/>
      <c r="E136" s="140">
        <f t="shared" si="8"/>
        <v>0</v>
      </c>
      <c r="F136" s="140">
        <v>1125</v>
      </c>
      <c r="G136" s="434">
        <f t="shared" si="7"/>
        <v>4.1786376898262246E-4</v>
      </c>
    </row>
    <row r="137" spans="1:7">
      <c r="A137" s="411" t="s">
        <v>1236</v>
      </c>
      <c r="B137" s="140" t="s">
        <v>1237</v>
      </c>
      <c r="C137" s="140">
        <v>1000</v>
      </c>
      <c r="D137" s="140"/>
      <c r="E137" s="140">
        <f t="shared" si="8"/>
        <v>0</v>
      </c>
      <c r="F137" s="140">
        <v>1000</v>
      </c>
      <c r="G137" s="434">
        <f t="shared" si="7"/>
        <v>3.7143446131788664E-4</v>
      </c>
    </row>
    <row r="138" spans="1:7">
      <c r="A138" s="411" t="s">
        <v>1289</v>
      </c>
      <c r="B138" s="140" t="s">
        <v>1290</v>
      </c>
      <c r="C138" s="140">
        <v>1000</v>
      </c>
      <c r="D138" s="140"/>
      <c r="E138" s="140">
        <f t="shared" si="8"/>
        <v>0</v>
      </c>
      <c r="F138" s="140">
        <v>1000</v>
      </c>
      <c r="G138" s="434">
        <f t="shared" si="7"/>
        <v>3.7143446131788664E-4</v>
      </c>
    </row>
    <row r="139" spans="1:7">
      <c r="A139" s="411" t="s">
        <v>1291</v>
      </c>
      <c r="B139" s="140" t="s">
        <v>1292</v>
      </c>
      <c r="C139" s="140">
        <v>1000</v>
      </c>
      <c r="D139" s="140"/>
      <c r="E139" s="140">
        <f t="shared" si="8"/>
        <v>0</v>
      </c>
      <c r="F139" s="140">
        <v>1000</v>
      </c>
      <c r="G139" s="434">
        <f t="shared" si="7"/>
        <v>3.7143446131788664E-4</v>
      </c>
    </row>
    <row r="140" spans="1:7">
      <c r="A140" s="411" t="s">
        <v>1311</v>
      </c>
      <c r="B140" s="140" t="s">
        <v>1312</v>
      </c>
      <c r="C140" s="140">
        <v>1000</v>
      </c>
      <c r="D140" s="140"/>
      <c r="E140" s="140">
        <f t="shared" si="8"/>
        <v>0</v>
      </c>
      <c r="F140" s="140">
        <v>1000</v>
      </c>
      <c r="G140" s="434">
        <f t="shared" si="7"/>
        <v>3.7143446131788664E-4</v>
      </c>
    </row>
    <row r="141" spans="1:7">
      <c r="A141" s="411" t="s">
        <v>1315</v>
      </c>
      <c r="B141" s="140" t="s">
        <v>1316</v>
      </c>
      <c r="C141" s="140">
        <v>1000</v>
      </c>
      <c r="D141" s="140"/>
      <c r="E141" s="140">
        <f t="shared" si="8"/>
        <v>0</v>
      </c>
      <c r="F141" s="140">
        <v>1000</v>
      </c>
      <c r="G141" s="434">
        <f t="shared" si="7"/>
        <v>3.7143446131788664E-4</v>
      </c>
    </row>
    <row r="142" spans="1:7">
      <c r="A142" s="411" t="s">
        <v>1317</v>
      </c>
      <c r="B142" s="140" t="s">
        <v>1318</v>
      </c>
      <c r="C142" s="140">
        <v>1000</v>
      </c>
      <c r="D142" s="140"/>
      <c r="E142" s="140">
        <f t="shared" si="8"/>
        <v>0</v>
      </c>
      <c r="F142" s="140">
        <v>1000</v>
      </c>
      <c r="G142" s="434">
        <f t="shared" si="7"/>
        <v>3.7143446131788664E-4</v>
      </c>
    </row>
    <row r="143" spans="1:7">
      <c r="A143" s="411" t="s">
        <v>1321</v>
      </c>
      <c r="B143" s="140" t="s">
        <v>1322</v>
      </c>
      <c r="C143" s="140">
        <v>1000</v>
      </c>
      <c r="D143" s="140"/>
      <c r="E143" s="140">
        <f t="shared" si="8"/>
        <v>0</v>
      </c>
      <c r="F143" s="140">
        <v>1000</v>
      </c>
      <c r="G143" s="434">
        <f t="shared" si="7"/>
        <v>3.7143446131788664E-4</v>
      </c>
    </row>
    <row r="144" spans="1:7">
      <c r="A144" s="411" t="s">
        <v>1328</v>
      </c>
      <c r="B144" s="140" t="s">
        <v>1329</v>
      </c>
      <c r="C144" s="140">
        <v>1000</v>
      </c>
      <c r="D144" s="140"/>
      <c r="E144" s="140">
        <f t="shared" si="8"/>
        <v>0</v>
      </c>
      <c r="F144" s="140">
        <v>1000</v>
      </c>
      <c r="G144" s="434">
        <f t="shared" si="7"/>
        <v>3.7143446131788664E-4</v>
      </c>
    </row>
    <row r="145" spans="1:7">
      <c r="A145" s="411" t="s">
        <v>1330</v>
      </c>
      <c r="B145" s="140" t="s">
        <v>1331</v>
      </c>
      <c r="C145" s="140">
        <v>1000</v>
      </c>
      <c r="D145" s="140"/>
      <c r="E145" s="140">
        <f t="shared" si="8"/>
        <v>0</v>
      </c>
      <c r="F145" s="140">
        <v>1000</v>
      </c>
      <c r="G145" s="434">
        <f t="shared" si="7"/>
        <v>3.7143446131788664E-4</v>
      </c>
    </row>
    <row r="146" spans="1:7">
      <c r="A146" s="411" t="s">
        <v>1334</v>
      </c>
      <c r="B146" s="140" t="s">
        <v>1335</v>
      </c>
      <c r="C146" s="140">
        <v>1000</v>
      </c>
      <c r="D146" s="140"/>
      <c r="E146" s="140">
        <f t="shared" si="8"/>
        <v>0</v>
      </c>
      <c r="F146" s="140">
        <v>1000</v>
      </c>
      <c r="G146" s="434">
        <f t="shared" si="7"/>
        <v>3.7143446131788664E-4</v>
      </c>
    </row>
    <row r="147" spans="1:7">
      <c r="A147" s="411" t="s">
        <v>1336</v>
      </c>
      <c r="B147" s="140" t="s">
        <v>1337</v>
      </c>
      <c r="C147" s="140">
        <v>1000</v>
      </c>
      <c r="D147" s="140"/>
      <c r="E147" s="140">
        <f t="shared" si="8"/>
        <v>0</v>
      </c>
      <c r="F147" s="140">
        <v>1000</v>
      </c>
      <c r="G147" s="434">
        <f t="shared" si="7"/>
        <v>3.7143446131788664E-4</v>
      </c>
    </row>
    <row r="148" spans="1:7">
      <c r="A148" s="411" t="s">
        <v>1342</v>
      </c>
      <c r="B148" s="140" t="s">
        <v>1343</v>
      </c>
      <c r="C148" s="140">
        <v>1000</v>
      </c>
      <c r="D148" s="140"/>
      <c r="E148" s="140">
        <f t="shared" si="8"/>
        <v>0</v>
      </c>
      <c r="F148" s="140">
        <v>1000</v>
      </c>
      <c r="G148" s="434">
        <f t="shared" si="7"/>
        <v>3.7143446131788664E-4</v>
      </c>
    </row>
    <row r="149" spans="1:7">
      <c r="A149" s="411" t="s">
        <v>1344</v>
      </c>
      <c r="B149" s="140" t="s">
        <v>1345</v>
      </c>
      <c r="C149" s="140">
        <v>1000</v>
      </c>
      <c r="D149" s="140"/>
      <c r="E149" s="140">
        <f t="shared" si="8"/>
        <v>0</v>
      </c>
      <c r="F149" s="140">
        <v>1000</v>
      </c>
      <c r="G149" s="434">
        <f t="shared" si="7"/>
        <v>3.7143446131788664E-4</v>
      </c>
    </row>
    <row r="150" spans="1:7">
      <c r="A150" s="411" t="s">
        <v>1348</v>
      </c>
      <c r="B150" s="140" t="s">
        <v>1349</v>
      </c>
      <c r="C150" s="140">
        <v>1000</v>
      </c>
      <c r="D150" s="140"/>
      <c r="E150" s="140">
        <f t="shared" si="8"/>
        <v>0</v>
      </c>
      <c r="F150" s="140">
        <v>1000</v>
      </c>
      <c r="G150" s="434">
        <f t="shared" si="7"/>
        <v>3.7143446131788664E-4</v>
      </c>
    </row>
    <row r="151" spans="1:7">
      <c r="A151" s="411" t="s">
        <v>1352</v>
      </c>
      <c r="B151" s="140" t="s">
        <v>1353</v>
      </c>
      <c r="C151" s="140">
        <v>1000</v>
      </c>
      <c r="D151" s="140"/>
      <c r="E151" s="140">
        <f t="shared" si="8"/>
        <v>0</v>
      </c>
      <c r="F151" s="140">
        <v>1000</v>
      </c>
      <c r="G151" s="434">
        <f t="shared" si="7"/>
        <v>3.7143446131788664E-4</v>
      </c>
    </row>
    <row r="152" spans="1:7">
      <c r="A152" s="411" t="s">
        <v>1356</v>
      </c>
      <c r="B152" s="140" t="s">
        <v>1357</v>
      </c>
      <c r="C152" s="140">
        <v>1000</v>
      </c>
      <c r="D152" s="140"/>
      <c r="E152" s="140">
        <f t="shared" si="8"/>
        <v>0</v>
      </c>
      <c r="F152" s="140">
        <v>1000</v>
      </c>
      <c r="G152" s="434">
        <f t="shared" si="7"/>
        <v>3.7143446131788664E-4</v>
      </c>
    </row>
    <row r="153" spans="1:7">
      <c r="A153" s="411" t="s">
        <v>1358</v>
      </c>
      <c r="B153" s="140" t="s">
        <v>1359</v>
      </c>
      <c r="C153" s="140">
        <v>1000</v>
      </c>
      <c r="D153" s="140"/>
      <c r="E153" s="140">
        <f t="shared" si="8"/>
        <v>0</v>
      </c>
      <c r="F153" s="140">
        <v>1000</v>
      </c>
      <c r="G153" s="434">
        <f t="shared" si="7"/>
        <v>3.7143446131788664E-4</v>
      </c>
    </row>
    <row r="154" spans="1:7">
      <c r="A154" s="411" t="s">
        <v>1360</v>
      </c>
      <c r="B154" s="140" t="s">
        <v>1361</v>
      </c>
      <c r="C154" s="140">
        <v>1000</v>
      </c>
      <c r="D154" s="140"/>
      <c r="E154" s="140">
        <f t="shared" si="8"/>
        <v>0</v>
      </c>
      <c r="F154" s="140">
        <v>1000</v>
      </c>
      <c r="G154" s="434">
        <f t="shared" si="7"/>
        <v>3.7143446131788664E-4</v>
      </c>
    </row>
    <row r="155" spans="1:7">
      <c r="A155" s="411" t="s">
        <v>1368</v>
      </c>
      <c r="B155" s="140" t="s">
        <v>1369</v>
      </c>
      <c r="C155" s="140">
        <v>1000</v>
      </c>
      <c r="D155" s="140"/>
      <c r="E155" s="140">
        <f t="shared" si="8"/>
        <v>0</v>
      </c>
      <c r="F155" s="140">
        <v>1000</v>
      </c>
      <c r="G155" s="434">
        <f t="shared" si="7"/>
        <v>3.7143446131788664E-4</v>
      </c>
    </row>
    <row r="156" spans="1:7">
      <c r="A156" s="411" t="s">
        <v>1374</v>
      </c>
      <c r="B156" s="140" t="s">
        <v>1375</v>
      </c>
      <c r="C156" s="140">
        <v>1000</v>
      </c>
      <c r="D156" s="140"/>
      <c r="E156" s="140">
        <f t="shared" si="8"/>
        <v>0</v>
      </c>
      <c r="F156" s="140">
        <v>1000</v>
      </c>
      <c r="G156" s="434">
        <f t="shared" si="7"/>
        <v>3.7143446131788664E-4</v>
      </c>
    </row>
    <row r="157" spans="1:7">
      <c r="A157" s="411" t="s">
        <v>1378</v>
      </c>
      <c r="B157" s="140" t="s">
        <v>1367</v>
      </c>
      <c r="C157" s="140">
        <v>1000</v>
      </c>
      <c r="D157" s="140"/>
      <c r="E157" s="140">
        <f t="shared" si="8"/>
        <v>0</v>
      </c>
      <c r="F157" s="140">
        <v>1000</v>
      </c>
      <c r="G157" s="434">
        <f t="shared" si="7"/>
        <v>3.7143446131788664E-4</v>
      </c>
    </row>
    <row r="158" spans="1:7">
      <c r="A158" s="411" t="s">
        <v>1379</v>
      </c>
      <c r="B158" s="140" t="s">
        <v>1380</v>
      </c>
      <c r="C158" s="140">
        <v>1000</v>
      </c>
      <c r="D158" s="140"/>
      <c r="E158" s="140">
        <f t="shared" si="8"/>
        <v>0</v>
      </c>
      <c r="F158" s="140">
        <v>1000</v>
      </c>
      <c r="G158" s="434">
        <f t="shared" si="7"/>
        <v>3.7143446131788664E-4</v>
      </c>
    </row>
    <row r="159" spans="1:7">
      <c r="A159" s="411" t="s">
        <v>1381</v>
      </c>
      <c r="B159" s="140" t="s">
        <v>1382</v>
      </c>
      <c r="C159" s="140">
        <v>1000</v>
      </c>
      <c r="D159" s="140"/>
      <c r="E159" s="140">
        <f t="shared" si="8"/>
        <v>0</v>
      </c>
      <c r="F159" s="140">
        <v>1000</v>
      </c>
      <c r="G159" s="434">
        <f t="shared" si="7"/>
        <v>3.7143446131788664E-4</v>
      </c>
    </row>
    <row r="160" spans="1:7">
      <c r="A160" s="411" t="s">
        <v>1391</v>
      </c>
      <c r="B160" s="140" t="s">
        <v>1392</v>
      </c>
      <c r="C160" s="140">
        <v>1000</v>
      </c>
      <c r="D160" s="140"/>
      <c r="E160" s="140">
        <f t="shared" si="8"/>
        <v>0</v>
      </c>
      <c r="F160" s="140">
        <v>1000</v>
      </c>
      <c r="G160" s="434">
        <f t="shared" si="7"/>
        <v>3.7143446131788664E-4</v>
      </c>
    </row>
    <row r="161" spans="1:7">
      <c r="A161" s="411" t="s">
        <v>1393</v>
      </c>
      <c r="B161" s="140" t="s">
        <v>1394</v>
      </c>
      <c r="C161" s="140">
        <v>1000</v>
      </c>
      <c r="D161" s="140"/>
      <c r="E161" s="140">
        <f t="shared" si="8"/>
        <v>0</v>
      </c>
      <c r="F161" s="140">
        <v>1000</v>
      </c>
      <c r="G161" s="434">
        <f t="shared" si="7"/>
        <v>3.7143446131788664E-4</v>
      </c>
    </row>
    <row r="162" spans="1:7">
      <c r="A162" s="411" t="s">
        <v>1397</v>
      </c>
      <c r="B162" s="140" t="s">
        <v>1398</v>
      </c>
      <c r="C162" s="140">
        <v>1000</v>
      </c>
      <c r="D162" s="140"/>
      <c r="E162" s="140">
        <f t="shared" si="8"/>
        <v>0</v>
      </c>
      <c r="F162" s="140">
        <v>1000</v>
      </c>
      <c r="G162" s="434">
        <f t="shared" si="7"/>
        <v>3.7143446131788664E-4</v>
      </c>
    </row>
    <row r="163" spans="1:7">
      <c r="A163" s="411" t="s">
        <v>1405</v>
      </c>
      <c r="B163" s="140" t="s">
        <v>1406</v>
      </c>
      <c r="C163" s="140">
        <v>1000</v>
      </c>
      <c r="D163" s="140"/>
      <c r="E163" s="140">
        <f t="shared" si="8"/>
        <v>0</v>
      </c>
      <c r="F163" s="140">
        <v>1000</v>
      </c>
      <c r="G163" s="434">
        <f t="shared" si="7"/>
        <v>3.7143446131788664E-4</v>
      </c>
    </row>
    <row r="164" spans="1:7">
      <c r="A164" s="411" t="s">
        <v>1411</v>
      </c>
      <c r="B164" s="140" t="s">
        <v>1412</v>
      </c>
      <c r="C164" s="140">
        <v>1000</v>
      </c>
      <c r="D164" s="140"/>
      <c r="E164" s="140">
        <f t="shared" si="8"/>
        <v>0</v>
      </c>
      <c r="F164" s="140">
        <v>1000</v>
      </c>
      <c r="G164" s="434">
        <f t="shared" si="7"/>
        <v>3.7143446131788664E-4</v>
      </c>
    </row>
    <row r="165" spans="1:7">
      <c r="A165" s="411" t="s">
        <v>1413</v>
      </c>
      <c r="B165" s="140" t="s">
        <v>1414</v>
      </c>
      <c r="C165" s="140">
        <v>1000</v>
      </c>
      <c r="D165" s="140"/>
      <c r="E165" s="140">
        <f t="shared" si="8"/>
        <v>0</v>
      </c>
      <c r="F165" s="140">
        <v>1000</v>
      </c>
      <c r="G165" s="434">
        <f t="shared" si="7"/>
        <v>3.7143446131788664E-4</v>
      </c>
    </row>
    <row r="166" spans="1:7">
      <c r="A166" s="411" t="s">
        <v>1423</v>
      </c>
      <c r="B166" s="140" t="s">
        <v>1424</v>
      </c>
      <c r="C166" s="140">
        <v>1000</v>
      </c>
      <c r="D166" s="140"/>
      <c r="E166" s="140">
        <f t="shared" si="8"/>
        <v>0</v>
      </c>
      <c r="F166" s="140">
        <v>1000</v>
      </c>
      <c r="G166" s="434">
        <f t="shared" si="7"/>
        <v>3.7143446131788664E-4</v>
      </c>
    </row>
    <row r="167" spans="1:7">
      <c r="A167" s="411" t="s">
        <v>1427</v>
      </c>
      <c r="B167" s="140" t="s">
        <v>1428</v>
      </c>
      <c r="C167" s="140">
        <v>1000</v>
      </c>
      <c r="D167" s="140"/>
      <c r="E167" s="140">
        <f t="shared" si="8"/>
        <v>0</v>
      </c>
      <c r="F167" s="140">
        <v>1000</v>
      </c>
      <c r="G167" s="434">
        <f t="shared" si="7"/>
        <v>3.7143446131788664E-4</v>
      </c>
    </row>
    <row r="168" spans="1:7">
      <c r="A168" s="411" t="s">
        <v>1433</v>
      </c>
      <c r="B168" s="140" t="s">
        <v>1434</v>
      </c>
      <c r="C168" s="140">
        <v>1000</v>
      </c>
      <c r="D168" s="140"/>
      <c r="E168" s="140">
        <f t="shared" si="8"/>
        <v>0</v>
      </c>
      <c r="F168" s="140">
        <v>1000</v>
      </c>
      <c r="G168" s="434">
        <f t="shared" si="7"/>
        <v>3.7143446131788664E-4</v>
      </c>
    </row>
    <row r="169" spans="1:7">
      <c r="A169" s="411" t="s">
        <v>1439</v>
      </c>
      <c r="B169" s="140" t="s">
        <v>1440</v>
      </c>
      <c r="C169" s="140">
        <v>1000</v>
      </c>
      <c r="D169" s="140"/>
      <c r="E169" s="140">
        <f t="shared" si="8"/>
        <v>0</v>
      </c>
      <c r="F169" s="140">
        <v>1000</v>
      </c>
      <c r="G169" s="434">
        <f t="shared" si="7"/>
        <v>3.7143446131788664E-4</v>
      </c>
    </row>
    <row r="170" spans="1:7">
      <c r="A170" s="411" t="s">
        <v>1441</v>
      </c>
      <c r="B170" s="140" t="s">
        <v>1442</v>
      </c>
      <c r="C170" s="140">
        <v>1000</v>
      </c>
      <c r="D170" s="140"/>
      <c r="E170" s="140">
        <f t="shared" si="8"/>
        <v>0</v>
      </c>
      <c r="F170" s="140">
        <v>1000</v>
      </c>
      <c r="G170" s="434">
        <f t="shared" si="7"/>
        <v>3.7143446131788664E-4</v>
      </c>
    </row>
    <row r="171" spans="1:7">
      <c r="A171" s="411" t="s">
        <v>1451</v>
      </c>
      <c r="B171" s="140" t="s">
        <v>1452</v>
      </c>
      <c r="C171" s="140">
        <v>1000</v>
      </c>
      <c r="D171" s="140"/>
      <c r="E171" s="140">
        <f t="shared" si="8"/>
        <v>0</v>
      </c>
      <c r="F171" s="140">
        <v>1000</v>
      </c>
      <c r="G171" s="434">
        <f t="shared" si="7"/>
        <v>3.7143446131788664E-4</v>
      </c>
    </row>
    <row r="172" spans="1:7">
      <c r="A172" s="411" t="s">
        <v>1453</v>
      </c>
      <c r="B172" s="140" t="s">
        <v>1454</v>
      </c>
      <c r="C172" s="140">
        <v>1000</v>
      </c>
      <c r="D172" s="140"/>
      <c r="E172" s="140">
        <f t="shared" si="8"/>
        <v>0</v>
      </c>
      <c r="F172" s="140">
        <v>1000</v>
      </c>
      <c r="G172" s="434">
        <f t="shared" si="7"/>
        <v>3.7143446131788664E-4</v>
      </c>
    </row>
    <row r="173" spans="1:7">
      <c r="A173" s="411" t="s">
        <v>1455</v>
      </c>
      <c r="B173" s="140" t="s">
        <v>1456</v>
      </c>
      <c r="C173" s="140">
        <v>1000</v>
      </c>
      <c r="D173" s="140"/>
      <c r="E173" s="140">
        <f t="shared" si="8"/>
        <v>0</v>
      </c>
      <c r="F173" s="140">
        <v>1000</v>
      </c>
      <c r="G173" s="434">
        <f t="shared" si="7"/>
        <v>3.7143446131788664E-4</v>
      </c>
    </row>
    <row r="174" spans="1:7">
      <c r="A174" s="411" t="s">
        <v>1459</v>
      </c>
      <c r="B174" s="140" t="s">
        <v>1460</v>
      </c>
      <c r="C174" s="140">
        <v>1000</v>
      </c>
      <c r="D174" s="140"/>
      <c r="E174" s="140">
        <f t="shared" si="8"/>
        <v>0</v>
      </c>
      <c r="F174" s="140">
        <v>1000</v>
      </c>
      <c r="G174" s="434">
        <f t="shared" si="7"/>
        <v>3.7143446131788664E-4</v>
      </c>
    </row>
    <row r="175" spans="1:7">
      <c r="A175" s="411" t="s">
        <v>1463</v>
      </c>
      <c r="B175" s="140" t="s">
        <v>1464</v>
      </c>
      <c r="C175" s="140">
        <v>1000</v>
      </c>
      <c r="D175" s="140"/>
      <c r="E175" s="140">
        <f t="shared" si="8"/>
        <v>0</v>
      </c>
      <c r="F175" s="140">
        <v>1000</v>
      </c>
      <c r="G175" s="434">
        <f t="shared" si="7"/>
        <v>3.7143446131788664E-4</v>
      </c>
    </row>
    <row r="176" spans="1:7">
      <c r="A176" s="411" t="s">
        <v>1473</v>
      </c>
      <c r="B176" s="140" t="s">
        <v>1474</v>
      </c>
      <c r="C176" s="140">
        <v>1000</v>
      </c>
      <c r="D176" s="140"/>
      <c r="E176" s="140">
        <f t="shared" si="8"/>
        <v>0</v>
      </c>
      <c r="F176" s="140">
        <v>1000</v>
      </c>
      <c r="G176" s="434">
        <f t="shared" si="7"/>
        <v>3.7143446131788664E-4</v>
      </c>
    </row>
    <row r="177" spans="1:7">
      <c r="A177" s="411" t="s">
        <v>1475</v>
      </c>
      <c r="B177" s="140" t="s">
        <v>1476</v>
      </c>
      <c r="C177" s="140">
        <v>1000</v>
      </c>
      <c r="D177" s="140"/>
      <c r="E177" s="140">
        <f t="shared" si="8"/>
        <v>0</v>
      </c>
      <c r="F177" s="140">
        <v>1000</v>
      </c>
      <c r="G177" s="434">
        <f t="shared" si="7"/>
        <v>3.7143446131788664E-4</v>
      </c>
    </row>
    <row r="178" spans="1:7">
      <c r="A178" s="411" t="s">
        <v>1477</v>
      </c>
      <c r="B178" s="140" t="s">
        <v>1478</v>
      </c>
      <c r="C178" s="140">
        <v>1000</v>
      </c>
      <c r="D178" s="140"/>
      <c r="E178" s="140">
        <f t="shared" si="8"/>
        <v>0</v>
      </c>
      <c r="F178" s="140">
        <v>1000</v>
      </c>
      <c r="G178" s="434">
        <f t="shared" si="7"/>
        <v>3.7143446131788664E-4</v>
      </c>
    </row>
    <row r="179" spans="1:7">
      <c r="A179" s="411" t="s">
        <v>1479</v>
      </c>
      <c r="B179" s="140" t="s">
        <v>1480</v>
      </c>
      <c r="C179" s="140">
        <v>1000</v>
      </c>
      <c r="D179" s="140"/>
      <c r="E179" s="140">
        <f t="shared" si="8"/>
        <v>0</v>
      </c>
      <c r="F179" s="140">
        <v>1000</v>
      </c>
      <c r="G179" s="434">
        <f t="shared" si="7"/>
        <v>3.7143446131788664E-4</v>
      </c>
    </row>
    <row r="180" spans="1:7">
      <c r="A180" s="411" t="s">
        <v>1487</v>
      </c>
      <c r="B180" s="140" t="s">
        <v>1488</v>
      </c>
      <c r="C180" s="140">
        <v>1000</v>
      </c>
      <c r="D180" s="140"/>
      <c r="E180" s="140">
        <f t="shared" si="8"/>
        <v>0</v>
      </c>
      <c r="F180" s="140">
        <v>1000</v>
      </c>
      <c r="G180" s="434">
        <f t="shared" si="7"/>
        <v>3.7143446131788664E-4</v>
      </c>
    </row>
    <row r="181" spans="1:7">
      <c r="A181" s="411" t="s">
        <v>1514</v>
      </c>
      <c r="B181" s="140" t="s">
        <v>1515</v>
      </c>
      <c r="C181" s="140">
        <v>1000</v>
      </c>
      <c r="D181" s="140"/>
      <c r="E181" s="140">
        <f t="shared" si="8"/>
        <v>0</v>
      </c>
      <c r="F181" s="140">
        <v>1000</v>
      </c>
      <c r="G181" s="434">
        <f t="shared" si="7"/>
        <v>3.7143446131788664E-4</v>
      </c>
    </row>
    <row r="182" spans="1:7">
      <c r="A182" s="411" t="s">
        <v>2164</v>
      </c>
      <c r="B182" s="140" t="s">
        <v>2165</v>
      </c>
      <c r="C182" s="140">
        <v>0</v>
      </c>
      <c r="D182" s="140">
        <v>1000</v>
      </c>
      <c r="E182" s="140">
        <v>0</v>
      </c>
      <c r="F182" s="140">
        <v>1000</v>
      </c>
      <c r="G182" s="434">
        <f t="shared" si="7"/>
        <v>3.7143446131788664E-4</v>
      </c>
    </row>
    <row r="183" spans="1:7">
      <c r="A183" s="411" t="s">
        <v>1530</v>
      </c>
      <c r="B183" s="140" t="s">
        <v>1525</v>
      </c>
      <c r="C183" s="140">
        <v>1000</v>
      </c>
      <c r="D183" s="140"/>
      <c r="E183" s="140">
        <f t="shared" ref="E183:E214" si="9">C183-F183</f>
        <v>0</v>
      </c>
      <c r="F183" s="140">
        <v>1000</v>
      </c>
      <c r="G183" s="434">
        <f t="shared" si="7"/>
        <v>3.7143446131788664E-4</v>
      </c>
    </row>
    <row r="184" spans="1:7">
      <c r="A184" s="411" t="s">
        <v>1533</v>
      </c>
      <c r="B184" s="140" t="s">
        <v>1534</v>
      </c>
      <c r="C184" s="140">
        <v>1000</v>
      </c>
      <c r="D184" s="140"/>
      <c r="E184" s="140">
        <f t="shared" si="9"/>
        <v>0</v>
      </c>
      <c r="F184" s="140">
        <v>1000</v>
      </c>
      <c r="G184" s="434">
        <f t="shared" si="7"/>
        <v>3.7143446131788664E-4</v>
      </c>
    </row>
    <row r="185" spans="1:7">
      <c r="A185" s="411" t="s">
        <v>1182</v>
      </c>
      <c r="B185" s="140" t="s">
        <v>1183</v>
      </c>
      <c r="C185" s="140">
        <v>1000</v>
      </c>
      <c r="D185" s="140"/>
      <c r="E185" s="140">
        <f t="shared" si="9"/>
        <v>0</v>
      </c>
      <c r="F185" s="140">
        <v>1000</v>
      </c>
      <c r="G185" s="434">
        <f t="shared" si="7"/>
        <v>3.7143446131788664E-4</v>
      </c>
    </row>
    <row r="186" spans="1:7">
      <c r="A186" s="411" t="s">
        <v>1537</v>
      </c>
      <c r="B186" s="140" t="s">
        <v>1538</v>
      </c>
      <c r="C186" s="140">
        <v>1000</v>
      </c>
      <c r="D186" s="140"/>
      <c r="E186" s="140">
        <f t="shared" si="9"/>
        <v>0</v>
      </c>
      <c r="F186" s="140">
        <v>1000</v>
      </c>
      <c r="G186" s="434">
        <f t="shared" si="7"/>
        <v>3.7143446131788664E-4</v>
      </c>
    </row>
    <row r="187" spans="1:7">
      <c r="A187" s="411" t="s">
        <v>1539</v>
      </c>
      <c r="B187" s="140" t="s">
        <v>1540</v>
      </c>
      <c r="C187" s="140">
        <v>1000</v>
      </c>
      <c r="D187" s="140"/>
      <c r="E187" s="140">
        <f t="shared" si="9"/>
        <v>0</v>
      </c>
      <c r="F187" s="140">
        <v>1000</v>
      </c>
      <c r="G187" s="434">
        <f t="shared" si="7"/>
        <v>3.7143446131788664E-4</v>
      </c>
    </row>
    <row r="188" spans="1:7">
      <c r="A188" s="411" t="s">
        <v>1543</v>
      </c>
      <c r="B188" s="140" t="s">
        <v>1544</v>
      </c>
      <c r="C188" s="140">
        <v>1000</v>
      </c>
      <c r="D188" s="140"/>
      <c r="E188" s="140">
        <f t="shared" si="9"/>
        <v>0</v>
      </c>
      <c r="F188" s="140">
        <v>1000</v>
      </c>
      <c r="G188" s="434">
        <f t="shared" si="7"/>
        <v>3.7143446131788664E-4</v>
      </c>
    </row>
    <row r="189" spans="1:7">
      <c r="A189" s="411" t="s">
        <v>1547</v>
      </c>
      <c r="B189" s="140" t="s">
        <v>1548</v>
      </c>
      <c r="C189" s="140">
        <v>1000</v>
      </c>
      <c r="D189" s="140"/>
      <c r="E189" s="140">
        <f t="shared" si="9"/>
        <v>0</v>
      </c>
      <c r="F189" s="140">
        <v>1000</v>
      </c>
      <c r="G189" s="434">
        <f t="shared" si="7"/>
        <v>3.7143446131788664E-4</v>
      </c>
    </row>
    <row r="190" spans="1:7">
      <c r="A190" s="411" t="s">
        <v>1557</v>
      </c>
      <c r="B190" s="140" t="s">
        <v>1558</v>
      </c>
      <c r="C190" s="140">
        <v>1000</v>
      </c>
      <c r="D190" s="140"/>
      <c r="E190" s="140">
        <f t="shared" si="9"/>
        <v>0</v>
      </c>
      <c r="F190" s="140">
        <v>1000</v>
      </c>
      <c r="G190" s="434">
        <f t="shared" si="7"/>
        <v>3.7143446131788664E-4</v>
      </c>
    </row>
    <row r="191" spans="1:7">
      <c r="A191" s="411" t="s">
        <v>1567</v>
      </c>
      <c r="B191" s="140" t="s">
        <v>1568</v>
      </c>
      <c r="C191" s="140">
        <v>1000</v>
      </c>
      <c r="D191" s="140"/>
      <c r="E191" s="140">
        <f t="shared" si="9"/>
        <v>0</v>
      </c>
      <c r="F191" s="140">
        <v>1000</v>
      </c>
      <c r="G191" s="434">
        <f t="shared" si="7"/>
        <v>3.7143446131788664E-4</v>
      </c>
    </row>
    <row r="192" spans="1:7">
      <c r="A192" s="411" t="s">
        <v>1575</v>
      </c>
      <c r="B192" s="140" t="s">
        <v>1576</v>
      </c>
      <c r="C192" s="140">
        <v>1000</v>
      </c>
      <c r="D192" s="140"/>
      <c r="E192" s="140">
        <f t="shared" si="9"/>
        <v>0</v>
      </c>
      <c r="F192" s="140">
        <v>1000</v>
      </c>
      <c r="G192" s="434">
        <f t="shared" si="7"/>
        <v>3.7143446131788664E-4</v>
      </c>
    </row>
    <row r="193" spans="1:7">
      <c r="A193" s="411" t="s">
        <v>1579</v>
      </c>
      <c r="B193" s="140" t="s">
        <v>1580</v>
      </c>
      <c r="C193" s="140">
        <v>1000</v>
      </c>
      <c r="D193" s="140"/>
      <c r="E193" s="140">
        <f t="shared" si="9"/>
        <v>0</v>
      </c>
      <c r="F193" s="140">
        <v>1000</v>
      </c>
      <c r="G193" s="434">
        <f t="shared" si="7"/>
        <v>3.7143446131788664E-4</v>
      </c>
    </row>
    <row r="194" spans="1:7">
      <c r="A194" s="411" t="s">
        <v>1589</v>
      </c>
      <c r="B194" s="140" t="s">
        <v>1590</v>
      </c>
      <c r="C194" s="140">
        <v>1000</v>
      </c>
      <c r="D194" s="140"/>
      <c r="E194" s="140">
        <f t="shared" si="9"/>
        <v>0</v>
      </c>
      <c r="F194" s="140">
        <v>1000</v>
      </c>
      <c r="G194" s="434">
        <f t="shared" si="7"/>
        <v>3.7143446131788664E-4</v>
      </c>
    </row>
    <row r="195" spans="1:7">
      <c r="A195" s="411" t="s">
        <v>1597</v>
      </c>
      <c r="B195" s="140" t="s">
        <v>1598</v>
      </c>
      <c r="C195" s="140">
        <v>1000</v>
      </c>
      <c r="D195" s="140"/>
      <c r="E195" s="140">
        <f t="shared" si="9"/>
        <v>0</v>
      </c>
      <c r="F195" s="140">
        <v>1000</v>
      </c>
      <c r="G195" s="434">
        <f t="shared" si="7"/>
        <v>3.7143446131788664E-4</v>
      </c>
    </row>
    <row r="196" spans="1:7">
      <c r="A196" s="411" t="s">
        <v>1603</v>
      </c>
      <c r="B196" s="140" t="s">
        <v>1604</v>
      </c>
      <c r="C196" s="140">
        <v>1000</v>
      </c>
      <c r="D196" s="140"/>
      <c r="E196" s="140">
        <f t="shared" si="9"/>
        <v>0</v>
      </c>
      <c r="F196" s="140">
        <v>1000</v>
      </c>
      <c r="G196" s="434">
        <f t="shared" ref="G196:G259" si="10">+F196/$F$427</f>
        <v>3.7143446131788664E-4</v>
      </c>
    </row>
    <row r="197" spans="1:7">
      <c r="A197" s="411" t="s">
        <v>1607</v>
      </c>
      <c r="B197" s="140" t="s">
        <v>1608</v>
      </c>
      <c r="C197" s="140">
        <v>1000</v>
      </c>
      <c r="D197" s="140"/>
      <c r="E197" s="140">
        <f t="shared" si="9"/>
        <v>0</v>
      </c>
      <c r="F197" s="140">
        <v>1000</v>
      </c>
      <c r="G197" s="434">
        <f t="shared" si="10"/>
        <v>3.7143446131788664E-4</v>
      </c>
    </row>
    <row r="198" spans="1:7">
      <c r="A198" s="411" t="s">
        <v>1611</v>
      </c>
      <c r="B198" s="140" t="s">
        <v>1612</v>
      </c>
      <c r="C198" s="140">
        <v>1000</v>
      </c>
      <c r="D198" s="140"/>
      <c r="E198" s="140">
        <f t="shared" si="9"/>
        <v>0</v>
      </c>
      <c r="F198" s="140">
        <v>1000</v>
      </c>
      <c r="G198" s="434">
        <f t="shared" si="10"/>
        <v>3.7143446131788664E-4</v>
      </c>
    </row>
    <row r="199" spans="1:7">
      <c r="A199" s="411" t="s">
        <v>1613</v>
      </c>
      <c r="B199" s="140" t="s">
        <v>1614</v>
      </c>
      <c r="C199" s="140">
        <v>1000</v>
      </c>
      <c r="D199" s="140"/>
      <c r="E199" s="140">
        <f t="shared" si="9"/>
        <v>0</v>
      </c>
      <c r="F199" s="140">
        <v>1000</v>
      </c>
      <c r="G199" s="434">
        <f t="shared" si="10"/>
        <v>3.7143446131788664E-4</v>
      </c>
    </row>
    <row r="200" spans="1:7">
      <c r="A200" s="411" t="s">
        <v>1621</v>
      </c>
      <c r="B200" s="140" t="s">
        <v>1622</v>
      </c>
      <c r="C200" s="140">
        <v>1000</v>
      </c>
      <c r="D200" s="140"/>
      <c r="E200" s="140">
        <f t="shared" si="9"/>
        <v>0</v>
      </c>
      <c r="F200" s="140">
        <v>1000</v>
      </c>
      <c r="G200" s="434">
        <f t="shared" si="10"/>
        <v>3.7143446131788664E-4</v>
      </c>
    </row>
    <row r="201" spans="1:7">
      <c r="A201" s="411" t="s">
        <v>1628</v>
      </c>
      <c r="B201" s="140" t="s">
        <v>1629</v>
      </c>
      <c r="C201" s="140">
        <v>1000</v>
      </c>
      <c r="D201" s="140"/>
      <c r="E201" s="140">
        <f t="shared" si="9"/>
        <v>0</v>
      </c>
      <c r="F201" s="140">
        <v>1000</v>
      </c>
      <c r="G201" s="434">
        <f t="shared" si="10"/>
        <v>3.7143446131788664E-4</v>
      </c>
    </row>
    <row r="202" spans="1:7">
      <c r="A202" s="411" t="s">
        <v>1638</v>
      </c>
      <c r="B202" s="140" t="s">
        <v>1639</v>
      </c>
      <c r="C202" s="140">
        <v>1000</v>
      </c>
      <c r="D202" s="140"/>
      <c r="E202" s="140">
        <f t="shared" si="9"/>
        <v>0</v>
      </c>
      <c r="F202" s="140">
        <v>1000</v>
      </c>
      <c r="G202" s="434">
        <f t="shared" si="10"/>
        <v>3.7143446131788664E-4</v>
      </c>
    </row>
    <row r="203" spans="1:7">
      <c r="A203" s="411" t="s">
        <v>1640</v>
      </c>
      <c r="B203" s="140" t="s">
        <v>1641</v>
      </c>
      <c r="C203" s="140">
        <v>1000</v>
      </c>
      <c r="D203" s="140"/>
      <c r="E203" s="140">
        <f t="shared" si="9"/>
        <v>0</v>
      </c>
      <c r="F203" s="140">
        <v>1000</v>
      </c>
      <c r="G203" s="434">
        <f t="shared" si="10"/>
        <v>3.7143446131788664E-4</v>
      </c>
    </row>
    <row r="204" spans="1:7">
      <c r="A204" s="411" t="s">
        <v>1642</v>
      </c>
      <c r="B204" s="140" t="s">
        <v>1643</v>
      </c>
      <c r="C204" s="140">
        <v>1000</v>
      </c>
      <c r="D204" s="140"/>
      <c r="E204" s="140">
        <f t="shared" si="9"/>
        <v>0</v>
      </c>
      <c r="F204" s="140">
        <v>1000</v>
      </c>
      <c r="G204" s="434">
        <f t="shared" si="10"/>
        <v>3.7143446131788664E-4</v>
      </c>
    </row>
    <row r="205" spans="1:7">
      <c r="A205" s="411" t="s">
        <v>1652</v>
      </c>
      <c r="B205" s="140" t="s">
        <v>1653</v>
      </c>
      <c r="C205" s="140">
        <v>1000</v>
      </c>
      <c r="D205" s="140"/>
      <c r="E205" s="140">
        <f t="shared" si="9"/>
        <v>0</v>
      </c>
      <c r="F205" s="140">
        <v>1000</v>
      </c>
      <c r="G205" s="434">
        <f t="shared" si="10"/>
        <v>3.7143446131788664E-4</v>
      </c>
    </row>
    <row r="206" spans="1:7">
      <c r="A206" s="411" t="s">
        <v>1660</v>
      </c>
      <c r="B206" s="140" t="s">
        <v>1661</v>
      </c>
      <c r="C206" s="140">
        <v>1000</v>
      </c>
      <c r="D206" s="140"/>
      <c r="E206" s="140">
        <f t="shared" si="9"/>
        <v>0</v>
      </c>
      <c r="F206" s="140">
        <v>1000</v>
      </c>
      <c r="G206" s="434">
        <f t="shared" si="10"/>
        <v>3.7143446131788664E-4</v>
      </c>
    </row>
    <row r="207" spans="1:7">
      <c r="A207" s="411" t="s">
        <v>1672</v>
      </c>
      <c r="B207" s="140" t="s">
        <v>1673</v>
      </c>
      <c r="C207" s="140">
        <v>1000</v>
      </c>
      <c r="D207" s="140"/>
      <c r="E207" s="140">
        <f t="shared" si="9"/>
        <v>0</v>
      </c>
      <c r="F207" s="140">
        <v>1000</v>
      </c>
      <c r="G207" s="434">
        <f t="shared" si="10"/>
        <v>3.7143446131788664E-4</v>
      </c>
    </row>
    <row r="208" spans="1:7">
      <c r="A208" s="411" t="s">
        <v>1674</v>
      </c>
      <c r="B208" s="140" t="s">
        <v>1675</v>
      </c>
      <c r="C208" s="140">
        <v>1000</v>
      </c>
      <c r="D208" s="140"/>
      <c r="E208" s="140">
        <f t="shared" si="9"/>
        <v>0</v>
      </c>
      <c r="F208" s="140">
        <v>1000</v>
      </c>
      <c r="G208" s="434">
        <f t="shared" si="10"/>
        <v>3.7143446131788664E-4</v>
      </c>
    </row>
    <row r="209" spans="1:7">
      <c r="A209" s="411" t="s">
        <v>1692</v>
      </c>
      <c r="B209" s="140" t="s">
        <v>1693</v>
      </c>
      <c r="C209" s="140">
        <v>1000</v>
      </c>
      <c r="D209" s="140"/>
      <c r="E209" s="140">
        <f t="shared" si="9"/>
        <v>0</v>
      </c>
      <c r="F209" s="140">
        <v>1000</v>
      </c>
      <c r="G209" s="434">
        <f t="shared" si="10"/>
        <v>3.7143446131788664E-4</v>
      </c>
    </row>
    <row r="210" spans="1:7">
      <c r="A210" s="411" t="s">
        <v>1694</v>
      </c>
      <c r="B210" s="140" t="s">
        <v>1695</v>
      </c>
      <c r="C210" s="140">
        <v>1000</v>
      </c>
      <c r="D210" s="140"/>
      <c r="E210" s="140">
        <f t="shared" si="9"/>
        <v>0</v>
      </c>
      <c r="F210" s="140">
        <v>1000</v>
      </c>
      <c r="G210" s="434">
        <f t="shared" si="10"/>
        <v>3.7143446131788664E-4</v>
      </c>
    </row>
    <row r="211" spans="1:7">
      <c r="A211" s="411" t="s">
        <v>1696</v>
      </c>
      <c r="B211" s="140" t="s">
        <v>1697</v>
      </c>
      <c r="C211" s="140">
        <v>1000</v>
      </c>
      <c r="D211" s="140"/>
      <c r="E211" s="140">
        <f t="shared" si="9"/>
        <v>0</v>
      </c>
      <c r="F211" s="140">
        <v>1000</v>
      </c>
      <c r="G211" s="434">
        <f t="shared" si="10"/>
        <v>3.7143446131788664E-4</v>
      </c>
    </row>
    <row r="212" spans="1:7">
      <c r="A212" s="411" t="s">
        <v>1704</v>
      </c>
      <c r="B212" s="140" t="s">
        <v>1705</v>
      </c>
      <c r="C212" s="140">
        <v>1000</v>
      </c>
      <c r="D212" s="140"/>
      <c r="E212" s="140">
        <f t="shared" si="9"/>
        <v>0</v>
      </c>
      <c r="F212" s="140">
        <v>1000</v>
      </c>
      <c r="G212" s="434">
        <f t="shared" si="10"/>
        <v>3.7143446131788664E-4</v>
      </c>
    </row>
    <row r="213" spans="1:7">
      <c r="A213" s="411" t="s">
        <v>1708</v>
      </c>
      <c r="B213" s="140" t="s">
        <v>1709</v>
      </c>
      <c r="C213" s="140">
        <v>1000</v>
      </c>
      <c r="D213" s="140"/>
      <c r="E213" s="140">
        <f t="shared" si="9"/>
        <v>0</v>
      </c>
      <c r="F213" s="140">
        <v>1000</v>
      </c>
      <c r="G213" s="434">
        <f t="shared" si="10"/>
        <v>3.7143446131788664E-4</v>
      </c>
    </row>
    <row r="214" spans="1:7">
      <c r="A214" s="411" t="s">
        <v>1714</v>
      </c>
      <c r="B214" s="140" t="s">
        <v>1715</v>
      </c>
      <c r="C214" s="140">
        <v>1000</v>
      </c>
      <c r="D214" s="140"/>
      <c r="E214" s="140">
        <f t="shared" si="9"/>
        <v>0</v>
      </c>
      <c r="F214" s="140">
        <v>1000</v>
      </c>
      <c r="G214" s="434">
        <f t="shared" si="10"/>
        <v>3.7143446131788664E-4</v>
      </c>
    </row>
    <row r="215" spans="1:7">
      <c r="A215" s="411" t="s">
        <v>1716</v>
      </c>
      <c r="B215" s="140" t="s">
        <v>1717</v>
      </c>
      <c r="C215" s="140">
        <v>1000</v>
      </c>
      <c r="D215" s="140"/>
      <c r="E215" s="140">
        <f t="shared" ref="E215:E246" si="11">C215-F215</f>
        <v>0</v>
      </c>
      <c r="F215" s="140">
        <v>1000</v>
      </c>
      <c r="G215" s="434">
        <f t="shared" si="10"/>
        <v>3.7143446131788664E-4</v>
      </c>
    </row>
    <row r="216" spans="1:7">
      <c r="A216" s="411" t="s">
        <v>1718</v>
      </c>
      <c r="B216" s="140" t="s">
        <v>1719</v>
      </c>
      <c r="C216" s="140">
        <v>1000</v>
      </c>
      <c r="D216" s="140"/>
      <c r="E216" s="140">
        <f t="shared" si="11"/>
        <v>0</v>
      </c>
      <c r="F216" s="140">
        <v>1000</v>
      </c>
      <c r="G216" s="434">
        <f t="shared" si="10"/>
        <v>3.7143446131788664E-4</v>
      </c>
    </row>
    <row r="217" spans="1:7">
      <c r="A217" s="411" t="s">
        <v>1722</v>
      </c>
      <c r="B217" s="140" t="s">
        <v>1723</v>
      </c>
      <c r="C217" s="140">
        <v>1000</v>
      </c>
      <c r="D217" s="140"/>
      <c r="E217" s="140">
        <f t="shared" si="11"/>
        <v>0</v>
      </c>
      <c r="F217" s="140">
        <v>1000</v>
      </c>
      <c r="G217" s="434">
        <f t="shared" si="10"/>
        <v>3.7143446131788664E-4</v>
      </c>
    </row>
    <row r="218" spans="1:7">
      <c r="A218" s="411" t="s">
        <v>1734</v>
      </c>
      <c r="B218" s="140" t="s">
        <v>1735</v>
      </c>
      <c r="C218" s="140">
        <v>1000</v>
      </c>
      <c r="D218" s="140"/>
      <c r="E218" s="140">
        <f t="shared" si="11"/>
        <v>0</v>
      </c>
      <c r="F218" s="140">
        <v>1000</v>
      </c>
      <c r="G218" s="434">
        <f t="shared" si="10"/>
        <v>3.7143446131788664E-4</v>
      </c>
    </row>
    <row r="219" spans="1:7">
      <c r="A219" s="411" t="s">
        <v>1738</v>
      </c>
      <c r="B219" s="140" t="s">
        <v>1739</v>
      </c>
      <c r="C219" s="140">
        <v>1000</v>
      </c>
      <c r="D219" s="140"/>
      <c r="E219" s="140">
        <f t="shared" si="11"/>
        <v>0</v>
      </c>
      <c r="F219" s="140">
        <v>1000</v>
      </c>
      <c r="G219" s="434">
        <f t="shared" si="10"/>
        <v>3.7143446131788664E-4</v>
      </c>
    </row>
    <row r="220" spans="1:7">
      <c r="A220" s="411" t="s">
        <v>1740</v>
      </c>
      <c r="B220" s="140" t="s">
        <v>1741</v>
      </c>
      <c r="C220" s="140">
        <v>1000</v>
      </c>
      <c r="D220" s="140"/>
      <c r="E220" s="140">
        <f t="shared" si="11"/>
        <v>0</v>
      </c>
      <c r="F220" s="140">
        <v>1000</v>
      </c>
      <c r="G220" s="434">
        <f t="shared" si="10"/>
        <v>3.7143446131788664E-4</v>
      </c>
    </row>
    <row r="221" spans="1:7">
      <c r="A221" s="411" t="s">
        <v>1744</v>
      </c>
      <c r="B221" s="140" t="s">
        <v>1745</v>
      </c>
      <c r="C221" s="140">
        <v>1000</v>
      </c>
      <c r="D221" s="140"/>
      <c r="E221" s="140">
        <f t="shared" si="11"/>
        <v>0</v>
      </c>
      <c r="F221" s="140">
        <v>1000</v>
      </c>
      <c r="G221" s="434">
        <f t="shared" si="10"/>
        <v>3.7143446131788664E-4</v>
      </c>
    </row>
    <row r="222" spans="1:7">
      <c r="A222" s="411" t="s">
        <v>1746</v>
      </c>
      <c r="B222" s="140" t="s">
        <v>1747</v>
      </c>
      <c r="C222" s="140">
        <v>1000</v>
      </c>
      <c r="D222" s="140"/>
      <c r="E222" s="140">
        <f t="shared" si="11"/>
        <v>0</v>
      </c>
      <c r="F222" s="140">
        <v>1000</v>
      </c>
      <c r="G222" s="434">
        <f t="shared" si="10"/>
        <v>3.7143446131788664E-4</v>
      </c>
    </row>
    <row r="223" spans="1:7">
      <c r="A223" s="411" t="s">
        <v>1748</v>
      </c>
      <c r="B223" s="140" t="s">
        <v>1749</v>
      </c>
      <c r="C223" s="140">
        <v>1000</v>
      </c>
      <c r="D223" s="140"/>
      <c r="E223" s="140">
        <f t="shared" si="11"/>
        <v>0</v>
      </c>
      <c r="F223" s="140">
        <v>1000</v>
      </c>
      <c r="G223" s="434">
        <f t="shared" si="10"/>
        <v>3.7143446131788664E-4</v>
      </c>
    </row>
    <row r="224" spans="1:7">
      <c r="A224" s="411" t="s">
        <v>1750</v>
      </c>
      <c r="B224" s="140" t="s">
        <v>1751</v>
      </c>
      <c r="C224" s="140">
        <v>1000</v>
      </c>
      <c r="D224" s="140"/>
      <c r="E224" s="140">
        <f t="shared" si="11"/>
        <v>0</v>
      </c>
      <c r="F224" s="140">
        <v>1000</v>
      </c>
      <c r="G224" s="434">
        <f t="shared" si="10"/>
        <v>3.7143446131788664E-4</v>
      </c>
    </row>
    <row r="225" spans="1:7">
      <c r="A225" s="411" t="s">
        <v>1764</v>
      </c>
      <c r="B225" s="140" t="s">
        <v>1765</v>
      </c>
      <c r="C225" s="140">
        <v>1000</v>
      </c>
      <c r="D225" s="140"/>
      <c r="E225" s="140">
        <f t="shared" si="11"/>
        <v>0</v>
      </c>
      <c r="F225" s="140">
        <v>1000</v>
      </c>
      <c r="G225" s="434">
        <f t="shared" si="10"/>
        <v>3.7143446131788664E-4</v>
      </c>
    </row>
    <row r="226" spans="1:7">
      <c r="A226" s="411" t="s">
        <v>1766</v>
      </c>
      <c r="B226" s="140" t="s">
        <v>1767</v>
      </c>
      <c r="C226" s="140">
        <v>1000</v>
      </c>
      <c r="D226" s="140"/>
      <c r="E226" s="140">
        <f t="shared" si="11"/>
        <v>0</v>
      </c>
      <c r="F226" s="140">
        <v>1000</v>
      </c>
      <c r="G226" s="434">
        <f t="shared" si="10"/>
        <v>3.7143446131788664E-4</v>
      </c>
    </row>
    <row r="227" spans="1:7">
      <c r="A227" s="411" t="s">
        <v>1772</v>
      </c>
      <c r="B227" s="140" t="s">
        <v>1773</v>
      </c>
      <c r="C227" s="140">
        <v>1000</v>
      </c>
      <c r="D227" s="140"/>
      <c r="E227" s="140">
        <f t="shared" si="11"/>
        <v>0</v>
      </c>
      <c r="F227" s="140">
        <v>1000</v>
      </c>
      <c r="G227" s="434">
        <f t="shared" si="10"/>
        <v>3.7143446131788664E-4</v>
      </c>
    </row>
    <row r="228" spans="1:7">
      <c r="A228" s="411" t="s">
        <v>1780</v>
      </c>
      <c r="B228" s="140" t="s">
        <v>1781</v>
      </c>
      <c r="C228" s="140">
        <v>1000</v>
      </c>
      <c r="D228" s="140"/>
      <c r="E228" s="140">
        <f t="shared" si="11"/>
        <v>0</v>
      </c>
      <c r="F228" s="140">
        <v>1000</v>
      </c>
      <c r="G228" s="434">
        <f t="shared" si="10"/>
        <v>3.7143446131788664E-4</v>
      </c>
    </row>
    <row r="229" spans="1:7">
      <c r="A229" s="411" t="s">
        <v>1786</v>
      </c>
      <c r="B229" s="140" t="s">
        <v>1787</v>
      </c>
      <c r="C229" s="140">
        <v>1000</v>
      </c>
      <c r="D229" s="140"/>
      <c r="E229" s="140">
        <f t="shared" si="11"/>
        <v>0</v>
      </c>
      <c r="F229" s="140">
        <v>1000</v>
      </c>
      <c r="G229" s="434">
        <f t="shared" si="10"/>
        <v>3.7143446131788664E-4</v>
      </c>
    </row>
    <row r="230" spans="1:7">
      <c r="A230" s="411" t="s">
        <v>1790</v>
      </c>
      <c r="B230" s="140" t="s">
        <v>1791</v>
      </c>
      <c r="C230" s="140">
        <v>1000</v>
      </c>
      <c r="D230" s="140"/>
      <c r="E230" s="140">
        <f t="shared" si="11"/>
        <v>0</v>
      </c>
      <c r="F230" s="140">
        <v>1000</v>
      </c>
      <c r="G230" s="434">
        <f t="shared" si="10"/>
        <v>3.7143446131788664E-4</v>
      </c>
    </row>
    <row r="231" spans="1:7">
      <c r="A231" s="411" t="s">
        <v>1806</v>
      </c>
      <c r="B231" s="140" t="s">
        <v>1807</v>
      </c>
      <c r="C231" s="140">
        <v>1000</v>
      </c>
      <c r="D231" s="140"/>
      <c r="E231" s="140">
        <f t="shared" si="11"/>
        <v>0</v>
      </c>
      <c r="F231" s="140">
        <v>1000</v>
      </c>
      <c r="G231" s="434">
        <f t="shared" si="10"/>
        <v>3.7143446131788664E-4</v>
      </c>
    </row>
    <row r="232" spans="1:7">
      <c r="A232" s="411" t="s">
        <v>1812</v>
      </c>
      <c r="B232" s="140" t="s">
        <v>1813</v>
      </c>
      <c r="C232" s="140">
        <v>1000</v>
      </c>
      <c r="D232" s="140"/>
      <c r="E232" s="140">
        <f t="shared" si="11"/>
        <v>0</v>
      </c>
      <c r="F232" s="140">
        <v>1000</v>
      </c>
      <c r="G232" s="434">
        <f t="shared" si="10"/>
        <v>3.7143446131788664E-4</v>
      </c>
    </row>
    <row r="233" spans="1:7">
      <c r="A233" s="411" t="s">
        <v>1816</v>
      </c>
      <c r="B233" s="140" t="s">
        <v>1817</v>
      </c>
      <c r="C233" s="140">
        <v>1000</v>
      </c>
      <c r="D233" s="140"/>
      <c r="E233" s="140">
        <f t="shared" si="11"/>
        <v>0</v>
      </c>
      <c r="F233" s="140">
        <v>1000</v>
      </c>
      <c r="G233" s="434">
        <f t="shared" si="10"/>
        <v>3.7143446131788664E-4</v>
      </c>
    </row>
    <row r="234" spans="1:7">
      <c r="A234" s="411" t="s">
        <v>1818</v>
      </c>
      <c r="B234" s="140" t="s">
        <v>1819</v>
      </c>
      <c r="C234" s="140">
        <v>1000</v>
      </c>
      <c r="D234" s="140"/>
      <c r="E234" s="140">
        <f t="shared" si="11"/>
        <v>0</v>
      </c>
      <c r="F234" s="140">
        <v>1000</v>
      </c>
      <c r="G234" s="434">
        <f t="shared" si="10"/>
        <v>3.7143446131788664E-4</v>
      </c>
    </row>
    <row r="235" spans="1:7">
      <c r="A235" s="411" t="s">
        <v>1835</v>
      </c>
      <c r="B235" s="140" t="s">
        <v>1836</v>
      </c>
      <c r="C235" s="140">
        <v>1000</v>
      </c>
      <c r="D235" s="140"/>
      <c r="E235" s="140">
        <f t="shared" si="11"/>
        <v>0</v>
      </c>
      <c r="F235" s="140">
        <v>1000</v>
      </c>
      <c r="G235" s="434">
        <f t="shared" si="10"/>
        <v>3.7143446131788664E-4</v>
      </c>
    </row>
    <row r="236" spans="1:7">
      <c r="A236" s="411" t="s">
        <v>1845</v>
      </c>
      <c r="B236" s="140" t="s">
        <v>1846</v>
      </c>
      <c r="C236" s="140">
        <v>1000</v>
      </c>
      <c r="D236" s="140"/>
      <c r="E236" s="140">
        <f t="shared" si="11"/>
        <v>0</v>
      </c>
      <c r="F236" s="140">
        <v>1000</v>
      </c>
      <c r="G236" s="434">
        <f t="shared" si="10"/>
        <v>3.7143446131788664E-4</v>
      </c>
    </row>
    <row r="237" spans="1:7">
      <c r="A237" s="411" t="s">
        <v>1847</v>
      </c>
      <c r="B237" s="140" t="s">
        <v>1848</v>
      </c>
      <c r="C237" s="140">
        <v>1000</v>
      </c>
      <c r="D237" s="140"/>
      <c r="E237" s="140">
        <f t="shared" si="11"/>
        <v>0</v>
      </c>
      <c r="F237" s="140">
        <v>1000</v>
      </c>
      <c r="G237" s="434">
        <f t="shared" si="10"/>
        <v>3.7143446131788664E-4</v>
      </c>
    </row>
    <row r="238" spans="1:7">
      <c r="A238" s="411" t="s">
        <v>1851</v>
      </c>
      <c r="B238" s="140" t="s">
        <v>1852</v>
      </c>
      <c r="C238" s="140">
        <v>1000</v>
      </c>
      <c r="D238" s="140"/>
      <c r="E238" s="140">
        <f t="shared" si="11"/>
        <v>0</v>
      </c>
      <c r="F238" s="140">
        <v>1000</v>
      </c>
      <c r="G238" s="434">
        <f t="shared" si="10"/>
        <v>3.7143446131788664E-4</v>
      </c>
    </row>
    <row r="239" spans="1:7">
      <c r="A239" s="411" t="s">
        <v>1859</v>
      </c>
      <c r="B239" s="140" t="s">
        <v>1860</v>
      </c>
      <c r="C239" s="140">
        <v>1000</v>
      </c>
      <c r="D239" s="140"/>
      <c r="E239" s="140">
        <f t="shared" si="11"/>
        <v>0</v>
      </c>
      <c r="F239" s="140">
        <v>1000</v>
      </c>
      <c r="G239" s="434">
        <f t="shared" si="10"/>
        <v>3.7143446131788664E-4</v>
      </c>
    </row>
    <row r="240" spans="1:7">
      <c r="A240" s="411" t="s">
        <v>1871</v>
      </c>
      <c r="B240" s="140" t="s">
        <v>1872</v>
      </c>
      <c r="C240" s="140">
        <v>1000</v>
      </c>
      <c r="D240" s="140"/>
      <c r="E240" s="140">
        <f t="shared" si="11"/>
        <v>0</v>
      </c>
      <c r="F240" s="140">
        <v>1000</v>
      </c>
      <c r="G240" s="434">
        <f t="shared" si="10"/>
        <v>3.7143446131788664E-4</v>
      </c>
    </row>
    <row r="241" spans="1:7">
      <c r="A241" s="411" t="s">
        <v>1873</v>
      </c>
      <c r="B241" s="140" t="s">
        <v>1874</v>
      </c>
      <c r="C241" s="140">
        <v>1000</v>
      </c>
      <c r="D241" s="140"/>
      <c r="E241" s="140">
        <f t="shared" si="11"/>
        <v>0</v>
      </c>
      <c r="F241" s="140">
        <v>1000</v>
      </c>
      <c r="G241" s="434">
        <f t="shared" si="10"/>
        <v>3.7143446131788664E-4</v>
      </c>
    </row>
    <row r="242" spans="1:7">
      <c r="A242" s="411" t="s">
        <v>1875</v>
      </c>
      <c r="B242" s="140" t="s">
        <v>1876</v>
      </c>
      <c r="C242" s="140">
        <v>1000</v>
      </c>
      <c r="D242" s="140"/>
      <c r="E242" s="140">
        <f t="shared" si="11"/>
        <v>0</v>
      </c>
      <c r="F242" s="140">
        <v>1000</v>
      </c>
      <c r="G242" s="434">
        <f t="shared" si="10"/>
        <v>3.7143446131788664E-4</v>
      </c>
    </row>
    <row r="243" spans="1:7">
      <c r="A243" s="411" t="s">
        <v>1881</v>
      </c>
      <c r="B243" s="140" t="s">
        <v>1882</v>
      </c>
      <c r="C243" s="140">
        <v>1000</v>
      </c>
      <c r="D243" s="140"/>
      <c r="E243" s="140">
        <f t="shared" si="11"/>
        <v>0</v>
      </c>
      <c r="F243" s="140">
        <v>1000</v>
      </c>
      <c r="G243" s="434">
        <f t="shared" si="10"/>
        <v>3.7143446131788664E-4</v>
      </c>
    </row>
    <row r="244" spans="1:7">
      <c r="A244" s="411" t="s">
        <v>1885</v>
      </c>
      <c r="B244" s="140" t="s">
        <v>1886</v>
      </c>
      <c r="C244" s="140">
        <v>1000</v>
      </c>
      <c r="D244" s="140"/>
      <c r="E244" s="140">
        <f t="shared" si="11"/>
        <v>0</v>
      </c>
      <c r="F244" s="140">
        <v>1000</v>
      </c>
      <c r="G244" s="434">
        <f t="shared" si="10"/>
        <v>3.7143446131788664E-4</v>
      </c>
    </row>
    <row r="245" spans="1:7">
      <c r="A245" s="411" t="s">
        <v>1891</v>
      </c>
      <c r="B245" s="140" t="s">
        <v>1892</v>
      </c>
      <c r="C245" s="140">
        <v>1000</v>
      </c>
      <c r="D245" s="140"/>
      <c r="E245" s="140">
        <f t="shared" si="11"/>
        <v>0</v>
      </c>
      <c r="F245" s="140">
        <v>1000</v>
      </c>
      <c r="G245" s="434">
        <f t="shared" si="10"/>
        <v>3.7143446131788664E-4</v>
      </c>
    </row>
    <row r="246" spans="1:7">
      <c r="A246" s="411" t="s">
        <v>1893</v>
      </c>
      <c r="B246" s="140" t="s">
        <v>1894</v>
      </c>
      <c r="C246" s="140">
        <v>1000</v>
      </c>
      <c r="D246" s="140"/>
      <c r="E246" s="140">
        <f t="shared" si="11"/>
        <v>0</v>
      </c>
      <c r="F246" s="140">
        <v>1000</v>
      </c>
      <c r="G246" s="434">
        <f t="shared" si="10"/>
        <v>3.7143446131788664E-4</v>
      </c>
    </row>
    <row r="247" spans="1:7">
      <c r="A247" s="411" t="s">
        <v>1899</v>
      </c>
      <c r="B247" s="140" t="s">
        <v>1900</v>
      </c>
      <c r="C247" s="140">
        <v>1000</v>
      </c>
      <c r="D247" s="140"/>
      <c r="E247" s="140">
        <f t="shared" ref="E247:E278" si="12">C247-F247</f>
        <v>0</v>
      </c>
      <c r="F247" s="140">
        <v>1000</v>
      </c>
      <c r="G247" s="434">
        <f t="shared" si="10"/>
        <v>3.7143446131788664E-4</v>
      </c>
    </row>
    <row r="248" spans="1:7">
      <c r="A248" s="411" t="s">
        <v>1909</v>
      </c>
      <c r="B248" s="140" t="s">
        <v>1910</v>
      </c>
      <c r="C248" s="140">
        <v>1000</v>
      </c>
      <c r="D248" s="140"/>
      <c r="E248" s="140">
        <f t="shared" si="12"/>
        <v>0</v>
      </c>
      <c r="F248" s="140">
        <v>1000</v>
      </c>
      <c r="G248" s="434">
        <f t="shared" si="10"/>
        <v>3.7143446131788664E-4</v>
      </c>
    </row>
    <row r="249" spans="1:7">
      <c r="A249" s="411" t="s">
        <v>1911</v>
      </c>
      <c r="B249" s="140" t="s">
        <v>1912</v>
      </c>
      <c r="C249" s="140">
        <v>1000</v>
      </c>
      <c r="D249" s="140"/>
      <c r="E249" s="140">
        <f t="shared" si="12"/>
        <v>0</v>
      </c>
      <c r="F249" s="140">
        <v>1000</v>
      </c>
      <c r="G249" s="434">
        <f t="shared" si="10"/>
        <v>3.7143446131788664E-4</v>
      </c>
    </row>
    <row r="250" spans="1:7">
      <c r="A250" s="411" t="s">
        <v>1913</v>
      </c>
      <c r="B250" s="140" t="s">
        <v>1914</v>
      </c>
      <c r="C250" s="140">
        <v>1000</v>
      </c>
      <c r="D250" s="140"/>
      <c r="E250" s="140">
        <f t="shared" si="12"/>
        <v>0</v>
      </c>
      <c r="F250" s="140">
        <v>1000</v>
      </c>
      <c r="G250" s="434">
        <f t="shared" si="10"/>
        <v>3.7143446131788664E-4</v>
      </c>
    </row>
    <row r="251" spans="1:7">
      <c r="A251" s="411" t="s">
        <v>1915</v>
      </c>
      <c r="B251" s="140" t="s">
        <v>1916</v>
      </c>
      <c r="C251" s="140">
        <v>1000</v>
      </c>
      <c r="D251" s="140"/>
      <c r="E251" s="140">
        <f t="shared" si="12"/>
        <v>0</v>
      </c>
      <c r="F251" s="140">
        <v>1000</v>
      </c>
      <c r="G251" s="434">
        <f t="shared" si="10"/>
        <v>3.7143446131788664E-4</v>
      </c>
    </row>
    <row r="252" spans="1:7">
      <c r="A252" s="411" t="s">
        <v>1919</v>
      </c>
      <c r="B252" s="140" t="s">
        <v>1920</v>
      </c>
      <c r="C252" s="140">
        <v>1000</v>
      </c>
      <c r="D252" s="140"/>
      <c r="E252" s="140">
        <f t="shared" si="12"/>
        <v>0</v>
      </c>
      <c r="F252" s="140">
        <v>1000</v>
      </c>
      <c r="G252" s="434">
        <f t="shared" si="10"/>
        <v>3.7143446131788664E-4</v>
      </c>
    </row>
    <row r="253" spans="1:7">
      <c r="A253" s="411" t="s">
        <v>1921</v>
      </c>
      <c r="B253" s="140" t="s">
        <v>1922</v>
      </c>
      <c r="C253" s="140">
        <v>1000</v>
      </c>
      <c r="D253" s="140"/>
      <c r="E253" s="140">
        <f t="shared" si="12"/>
        <v>0</v>
      </c>
      <c r="F253" s="140">
        <v>1000</v>
      </c>
      <c r="G253" s="434">
        <f t="shared" si="10"/>
        <v>3.7143446131788664E-4</v>
      </c>
    </row>
    <row r="254" spans="1:7">
      <c r="A254" s="411" t="s">
        <v>1925</v>
      </c>
      <c r="B254" s="140" t="s">
        <v>1926</v>
      </c>
      <c r="C254" s="140">
        <v>1000</v>
      </c>
      <c r="D254" s="140"/>
      <c r="E254" s="140">
        <f t="shared" si="12"/>
        <v>0</v>
      </c>
      <c r="F254" s="140">
        <v>1000</v>
      </c>
      <c r="G254" s="434">
        <f t="shared" si="10"/>
        <v>3.7143446131788664E-4</v>
      </c>
    </row>
    <row r="255" spans="1:7">
      <c r="A255" s="411" t="s">
        <v>1927</v>
      </c>
      <c r="B255" s="140" t="s">
        <v>1928</v>
      </c>
      <c r="C255" s="140">
        <v>1000</v>
      </c>
      <c r="D255" s="140"/>
      <c r="E255" s="140">
        <f t="shared" si="12"/>
        <v>0</v>
      </c>
      <c r="F255" s="140">
        <v>1000</v>
      </c>
      <c r="G255" s="434">
        <f t="shared" si="10"/>
        <v>3.7143446131788664E-4</v>
      </c>
    </row>
    <row r="256" spans="1:7">
      <c r="A256" s="411" t="s">
        <v>1929</v>
      </c>
      <c r="B256" s="140" t="s">
        <v>1930</v>
      </c>
      <c r="C256" s="140">
        <v>1000</v>
      </c>
      <c r="D256" s="140"/>
      <c r="E256" s="140">
        <f t="shared" si="12"/>
        <v>0</v>
      </c>
      <c r="F256" s="140">
        <v>1000</v>
      </c>
      <c r="G256" s="434">
        <f t="shared" si="10"/>
        <v>3.7143446131788664E-4</v>
      </c>
    </row>
    <row r="257" spans="1:7">
      <c r="A257" s="411" t="s">
        <v>1937</v>
      </c>
      <c r="B257" s="140" t="s">
        <v>1938</v>
      </c>
      <c r="C257" s="140">
        <v>1000</v>
      </c>
      <c r="D257" s="140"/>
      <c r="E257" s="140">
        <f t="shared" si="12"/>
        <v>0</v>
      </c>
      <c r="F257" s="140">
        <v>1000</v>
      </c>
      <c r="G257" s="434">
        <f t="shared" si="10"/>
        <v>3.7143446131788664E-4</v>
      </c>
    </row>
    <row r="258" spans="1:7">
      <c r="A258" s="411" t="s">
        <v>1951</v>
      </c>
      <c r="B258" s="140" t="s">
        <v>1952</v>
      </c>
      <c r="C258" s="140">
        <v>1000</v>
      </c>
      <c r="D258" s="140"/>
      <c r="E258" s="140">
        <f t="shared" si="12"/>
        <v>0</v>
      </c>
      <c r="F258" s="140">
        <v>1000</v>
      </c>
      <c r="G258" s="434">
        <f t="shared" si="10"/>
        <v>3.7143446131788664E-4</v>
      </c>
    </row>
    <row r="259" spans="1:7">
      <c r="A259" s="411" t="s">
        <v>1961</v>
      </c>
      <c r="B259" s="140" t="s">
        <v>1962</v>
      </c>
      <c r="C259" s="140">
        <v>1000</v>
      </c>
      <c r="D259" s="140"/>
      <c r="E259" s="140">
        <f t="shared" si="12"/>
        <v>0</v>
      </c>
      <c r="F259" s="140">
        <v>1000</v>
      </c>
      <c r="G259" s="434">
        <f t="shared" si="10"/>
        <v>3.7143446131788664E-4</v>
      </c>
    </row>
    <row r="260" spans="1:7">
      <c r="A260" s="411" t="s">
        <v>1965</v>
      </c>
      <c r="B260" s="140" t="s">
        <v>1966</v>
      </c>
      <c r="C260" s="140">
        <v>1000</v>
      </c>
      <c r="D260" s="140"/>
      <c r="E260" s="140">
        <f t="shared" si="12"/>
        <v>0</v>
      </c>
      <c r="F260" s="140">
        <v>1000</v>
      </c>
      <c r="G260" s="434">
        <f t="shared" ref="G260:G323" si="13">+F260/$F$427</f>
        <v>3.7143446131788664E-4</v>
      </c>
    </row>
    <row r="261" spans="1:7">
      <c r="A261" s="411" t="s">
        <v>1967</v>
      </c>
      <c r="B261" s="140" t="s">
        <v>1968</v>
      </c>
      <c r="C261" s="140">
        <v>1000</v>
      </c>
      <c r="D261" s="140"/>
      <c r="E261" s="140">
        <f t="shared" si="12"/>
        <v>0</v>
      </c>
      <c r="F261" s="140">
        <v>1000</v>
      </c>
      <c r="G261" s="434">
        <f t="shared" si="13"/>
        <v>3.7143446131788664E-4</v>
      </c>
    </row>
    <row r="262" spans="1:7">
      <c r="A262" s="411" t="s">
        <v>1935</v>
      </c>
      <c r="B262" s="140" t="s">
        <v>1936</v>
      </c>
      <c r="C262" s="140">
        <v>900</v>
      </c>
      <c r="D262" s="140"/>
      <c r="E262" s="140">
        <f t="shared" si="12"/>
        <v>0</v>
      </c>
      <c r="F262" s="140">
        <v>900</v>
      </c>
      <c r="G262" s="434">
        <f t="shared" si="13"/>
        <v>3.3429101518609795E-4</v>
      </c>
    </row>
    <row r="263" spans="1:7">
      <c r="A263" s="411" t="s">
        <v>1293</v>
      </c>
      <c r="B263" s="140" t="s">
        <v>1294</v>
      </c>
      <c r="C263" s="140">
        <v>800</v>
      </c>
      <c r="D263" s="140"/>
      <c r="E263" s="140">
        <f t="shared" si="12"/>
        <v>0</v>
      </c>
      <c r="F263" s="140">
        <v>800</v>
      </c>
      <c r="G263" s="434">
        <f t="shared" si="13"/>
        <v>2.9714756905430931E-4</v>
      </c>
    </row>
    <row r="264" spans="1:7">
      <c r="A264" s="411" t="s">
        <v>1506</v>
      </c>
      <c r="B264" s="140" t="s">
        <v>1507</v>
      </c>
      <c r="C264" s="140">
        <v>800</v>
      </c>
      <c r="D264" s="140"/>
      <c r="E264" s="140">
        <f t="shared" si="12"/>
        <v>0</v>
      </c>
      <c r="F264" s="140">
        <v>800</v>
      </c>
      <c r="G264" s="434">
        <f t="shared" si="13"/>
        <v>2.9714756905430931E-4</v>
      </c>
    </row>
    <row r="265" spans="1:7">
      <c r="A265" s="411" t="s">
        <v>1768</v>
      </c>
      <c r="B265" s="140" t="s">
        <v>1769</v>
      </c>
      <c r="C265" s="140">
        <v>800</v>
      </c>
      <c r="D265" s="140"/>
      <c r="E265" s="140">
        <f t="shared" si="12"/>
        <v>0</v>
      </c>
      <c r="F265" s="140">
        <v>800</v>
      </c>
      <c r="G265" s="434">
        <f t="shared" si="13"/>
        <v>2.9714756905430931E-4</v>
      </c>
    </row>
    <row r="266" spans="1:7">
      <c r="A266" s="411" t="s">
        <v>1831</v>
      </c>
      <c r="B266" s="140" t="s">
        <v>1832</v>
      </c>
      <c r="C266" s="140">
        <v>800</v>
      </c>
      <c r="D266" s="140"/>
      <c r="E266" s="140">
        <f t="shared" si="12"/>
        <v>0</v>
      </c>
      <c r="F266" s="140">
        <v>800</v>
      </c>
      <c r="G266" s="434">
        <f t="shared" si="13"/>
        <v>2.9714756905430931E-4</v>
      </c>
    </row>
    <row r="267" spans="1:7">
      <c r="A267" s="411" t="s">
        <v>1853</v>
      </c>
      <c r="B267" s="140" t="s">
        <v>1854</v>
      </c>
      <c r="C267" s="140">
        <v>800</v>
      </c>
      <c r="D267" s="140"/>
      <c r="E267" s="140">
        <f t="shared" si="12"/>
        <v>0</v>
      </c>
      <c r="F267" s="140">
        <v>800</v>
      </c>
      <c r="G267" s="434">
        <f t="shared" si="13"/>
        <v>2.9714756905430931E-4</v>
      </c>
    </row>
    <row r="268" spans="1:7">
      <c r="A268" s="411" t="s">
        <v>1855</v>
      </c>
      <c r="B268" s="140" t="s">
        <v>1856</v>
      </c>
      <c r="C268" s="140">
        <v>800</v>
      </c>
      <c r="D268" s="140"/>
      <c r="E268" s="140">
        <f t="shared" si="12"/>
        <v>0</v>
      </c>
      <c r="F268" s="140">
        <v>800</v>
      </c>
      <c r="G268" s="434">
        <f t="shared" si="13"/>
        <v>2.9714756905430931E-4</v>
      </c>
    </row>
    <row r="269" spans="1:7">
      <c r="A269" s="411" t="s">
        <v>1939</v>
      </c>
      <c r="B269" s="140" t="s">
        <v>1940</v>
      </c>
      <c r="C269" s="140">
        <v>800</v>
      </c>
      <c r="D269" s="140"/>
      <c r="E269" s="140">
        <f t="shared" si="12"/>
        <v>0</v>
      </c>
      <c r="F269" s="140">
        <v>800</v>
      </c>
      <c r="G269" s="434">
        <f t="shared" si="13"/>
        <v>2.9714756905430931E-4</v>
      </c>
    </row>
    <row r="270" spans="1:7">
      <c r="A270" s="411" t="s">
        <v>1617</v>
      </c>
      <c r="B270" s="140" t="s">
        <v>1618</v>
      </c>
      <c r="C270" s="140">
        <v>10750</v>
      </c>
      <c r="D270" s="140"/>
      <c r="E270" s="140">
        <f t="shared" si="12"/>
        <v>10000</v>
      </c>
      <c r="F270" s="140">
        <v>750</v>
      </c>
      <c r="G270" s="434">
        <f t="shared" si="13"/>
        <v>2.7857584598841494E-4</v>
      </c>
    </row>
    <row r="271" spans="1:7">
      <c r="A271" s="411" t="s">
        <v>1190</v>
      </c>
      <c r="B271" s="140" t="s">
        <v>1191</v>
      </c>
      <c r="C271" s="140">
        <v>705</v>
      </c>
      <c r="D271" s="140"/>
      <c r="E271" s="140">
        <f t="shared" si="12"/>
        <v>0</v>
      </c>
      <c r="F271" s="140">
        <v>705</v>
      </c>
      <c r="G271" s="434">
        <f t="shared" si="13"/>
        <v>2.6186129522911004E-4</v>
      </c>
    </row>
    <row r="272" spans="1:7">
      <c r="A272" s="411" t="s">
        <v>1471</v>
      </c>
      <c r="B272" s="140" t="s">
        <v>1472</v>
      </c>
      <c r="C272" s="140">
        <v>700</v>
      </c>
      <c r="D272" s="140"/>
      <c r="E272" s="140">
        <f t="shared" si="12"/>
        <v>0</v>
      </c>
      <c r="F272" s="140">
        <v>700</v>
      </c>
      <c r="G272" s="434">
        <f t="shared" si="13"/>
        <v>2.6000412292252062E-4</v>
      </c>
    </row>
    <row r="273" spans="1:7">
      <c r="A273" s="411" t="s">
        <v>1301</v>
      </c>
      <c r="B273" s="140" t="s">
        <v>1302</v>
      </c>
      <c r="C273" s="140">
        <v>600</v>
      </c>
      <c r="D273" s="140"/>
      <c r="E273" s="140">
        <f t="shared" si="12"/>
        <v>0</v>
      </c>
      <c r="F273" s="140">
        <v>600</v>
      </c>
      <c r="G273" s="434">
        <f t="shared" si="13"/>
        <v>2.2286067679073195E-4</v>
      </c>
    </row>
    <row r="274" spans="1:7">
      <c r="A274" s="411" t="s">
        <v>1385</v>
      </c>
      <c r="B274" s="140" t="s">
        <v>1386</v>
      </c>
      <c r="C274" s="140">
        <v>600</v>
      </c>
      <c r="D274" s="140"/>
      <c r="E274" s="140">
        <f t="shared" si="12"/>
        <v>0</v>
      </c>
      <c r="F274" s="140">
        <v>600</v>
      </c>
      <c r="G274" s="434">
        <f t="shared" si="13"/>
        <v>2.2286067679073195E-4</v>
      </c>
    </row>
    <row r="275" spans="1:7">
      <c r="A275" s="411" t="s">
        <v>1437</v>
      </c>
      <c r="B275" s="140" t="s">
        <v>1438</v>
      </c>
      <c r="C275" s="140">
        <v>600</v>
      </c>
      <c r="D275" s="140"/>
      <c r="E275" s="140">
        <f t="shared" si="12"/>
        <v>0</v>
      </c>
      <c r="F275" s="140">
        <v>600</v>
      </c>
      <c r="G275" s="434">
        <f t="shared" si="13"/>
        <v>2.2286067679073195E-4</v>
      </c>
    </row>
    <row r="276" spans="1:7">
      <c r="A276" s="411" t="s">
        <v>1445</v>
      </c>
      <c r="B276" s="140" t="s">
        <v>1446</v>
      </c>
      <c r="C276" s="140">
        <v>600</v>
      </c>
      <c r="D276" s="140"/>
      <c r="E276" s="140">
        <f t="shared" si="12"/>
        <v>0</v>
      </c>
      <c r="F276" s="140">
        <v>600</v>
      </c>
      <c r="G276" s="434">
        <f t="shared" si="13"/>
        <v>2.2286067679073195E-4</v>
      </c>
    </row>
    <row r="277" spans="1:7">
      <c r="A277" s="411" t="s">
        <v>1510</v>
      </c>
      <c r="B277" s="140" t="s">
        <v>1511</v>
      </c>
      <c r="C277" s="140">
        <v>600</v>
      </c>
      <c r="D277" s="140"/>
      <c r="E277" s="140">
        <f t="shared" si="12"/>
        <v>0</v>
      </c>
      <c r="F277" s="140">
        <v>600</v>
      </c>
      <c r="G277" s="434">
        <f t="shared" si="13"/>
        <v>2.2286067679073195E-4</v>
      </c>
    </row>
    <row r="278" spans="1:7">
      <c r="A278" s="411" t="s">
        <v>1581</v>
      </c>
      <c r="B278" s="140" t="s">
        <v>1582</v>
      </c>
      <c r="C278" s="140">
        <v>600</v>
      </c>
      <c r="D278" s="140"/>
      <c r="E278" s="140">
        <f t="shared" si="12"/>
        <v>0</v>
      </c>
      <c r="F278" s="140">
        <v>600</v>
      </c>
      <c r="G278" s="434">
        <f t="shared" si="13"/>
        <v>2.2286067679073195E-4</v>
      </c>
    </row>
    <row r="279" spans="1:7">
      <c r="A279" s="411" t="s">
        <v>1583</v>
      </c>
      <c r="B279" s="140" t="s">
        <v>1584</v>
      </c>
      <c r="C279" s="140">
        <v>600</v>
      </c>
      <c r="D279" s="140"/>
      <c r="E279" s="140">
        <f t="shared" ref="E279:E295" si="14">C279-F279</f>
        <v>0</v>
      </c>
      <c r="F279" s="140">
        <v>600</v>
      </c>
      <c r="G279" s="434">
        <f t="shared" si="13"/>
        <v>2.2286067679073195E-4</v>
      </c>
    </row>
    <row r="280" spans="1:7">
      <c r="A280" s="411" t="s">
        <v>1702</v>
      </c>
      <c r="B280" s="140" t="s">
        <v>1703</v>
      </c>
      <c r="C280" s="140">
        <v>600</v>
      </c>
      <c r="D280" s="140"/>
      <c r="E280" s="140">
        <f t="shared" si="14"/>
        <v>0</v>
      </c>
      <c r="F280" s="140">
        <v>600</v>
      </c>
      <c r="G280" s="434">
        <f t="shared" si="13"/>
        <v>2.2286067679073195E-4</v>
      </c>
    </row>
    <row r="281" spans="1:7">
      <c r="A281" s="411" t="s">
        <v>1706</v>
      </c>
      <c r="B281" s="140" t="s">
        <v>1707</v>
      </c>
      <c r="C281" s="140">
        <v>600</v>
      </c>
      <c r="D281" s="140"/>
      <c r="E281" s="140">
        <f t="shared" si="14"/>
        <v>0</v>
      </c>
      <c r="F281" s="140">
        <v>600</v>
      </c>
      <c r="G281" s="434">
        <f t="shared" si="13"/>
        <v>2.2286067679073195E-4</v>
      </c>
    </row>
    <row r="282" spans="1:7">
      <c r="A282" s="411" t="s">
        <v>1756</v>
      </c>
      <c r="B282" s="140" t="s">
        <v>1757</v>
      </c>
      <c r="C282" s="140">
        <v>600</v>
      </c>
      <c r="D282" s="140"/>
      <c r="E282" s="140">
        <f t="shared" si="14"/>
        <v>0</v>
      </c>
      <c r="F282" s="140">
        <v>600</v>
      </c>
      <c r="G282" s="434">
        <f t="shared" si="13"/>
        <v>2.2286067679073195E-4</v>
      </c>
    </row>
    <row r="283" spans="1:7">
      <c r="A283" s="411" t="s">
        <v>1861</v>
      </c>
      <c r="B283" s="140" t="s">
        <v>1862</v>
      </c>
      <c r="C283" s="140">
        <v>600</v>
      </c>
      <c r="D283" s="140"/>
      <c r="E283" s="140">
        <f t="shared" si="14"/>
        <v>0</v>
      </c>
      <c r="F283" s="140">
        <v>600</v>
      </c>
      <c r="G283" s="434">
        <f t="shared" si="13"/>
        <v>2.2286067679073195E-4</v>
      </c>
    </row>
    <row r="284" spans="1:7">
      <c r="A284" s="411" t="s">
        <v>1887</v>
      </c>
      <c r="B284" s="140" t="s">
        <v>1888</v>
      </c>
      <c r="C284" s="140">
        <v>600</v>
      </c>
      <c r="D284" s="140"/>
      <c r="E284" s="140">
        <f t="shared" si="14"/>
        <v>0</v>
      </c>
      <c r="F284" s="140">
        <v>600</v>
      </c>
      <c r="G284" s="434">
        <f t="shared" si="13"/>
        <v>2.2286067679073195E-4</v>
      </c>
    </row>
    <row r="285" spans="1:7">
      <c r="A285" s="411" t="s">
        <v>1945</v>
      </c>
      <c r="B285" s="140" t="s">
        <v>1946</v>
      </c>
      <c r="C285" s="140">
        <v>600</v>
      </c>
      <c r="D285" s="140"/>
      <c r="E285" s="140">
        <f t="shared" si="14"/>
        <v>0</v>
      </c>
      <c r="F285" s="140">
        <v>600</v>
      </c>
      <c r="G285" s="434">
        <f t="shared" si="13"/>
        <v>2.2286067679073195E-4</v>
      </c>
    </row>
    <row r="286" spans="1:7">
      <c r="A286" s="411" t="s">
        <v>1186</v>
      </c>
      <c r="B286" s="140" t="s">
        <v>1187</v>
      </c>
      <c r="C286" s="140">
        <v>575</v>
      </c>
      <c r="D286" s="140"/>
      <c r="E286" s="140">
        <f t="shared" si="14"/>
        <v>0</v>
      </c>
      <c r="F286" s="140">
        <v>575</v>
      </c>
      <c r="G286" s="434">
        <f t="shared" si="13"/>
        <v>2.135748152577848E-4</v>
      </c>
    </row>
    <row r="287" spans="1:7">
      <c r="A287" s="411" t="s">
        <v>1188</v>
      </c>
      <c r="B287" s="140" t="s">
        <v>1189</v>
      </c>
      <c r="C287" s="140">
        <v>575</v>
      </c>
      <c r="D287" s="140"/>
      <c r="E287" s="140">
        <f t="shared" si="14"/>
        <v>0</v>
      </c>
      <c r="F287" s="140">
        <v>575</v>
      </c>
      <c r="G287" s="434">
        <f t="shared" si="13"/>
        <v>2.135748152577848E-4</v>
      </c>
    </row>
    <row r="288" spans="1:7">
      <c r="A288" s="411" t="s">
        <v>1285</v>
      </c>
      <c r="B288" s="140" t="s">
        <v>1286</v>
      </c>
      <c r="C288" s="140">
        <v>575</v>
      </c>
      <c r="D288" s="140"/>
      <c r="E288" s="140">
        <f t="shared" si="14"/>
        <v>0</v>
      </c>
      <c r="F288" s="140">
        <v>575</v>
      </c>
      <c r="G288" s="434">
        <f t="shared" si="13"/>
        <v>2.135748152577848E-4</v>
      </c>
    </row>
    <row r="289" spans="1:7">
      <c r="A289" s="411" t="s">
        <v>1553</v>
      </c>
      <c r="B289" s="140" t="s">
        <v>1554</v>
      </c>
      <c r="C289" s="140">
        <v>575</v>
      </c>
      <c r="D289" s="140"/>
      <c r="E289" s="140">
        <f t="shared" si="14"/>
        <v>0</v>
      </c>
      <c r="F289" s="140">
        <v>575</v>
      </c>
      <c r="G289" s="434">
        <f t="shared" si="13"/>
        <v>2.135748152577848E-4</v>
      </c>
    </row>
    <row r="290" spans="1:7">
      <c r="A290" s="411" t="s">
        <v>1752</v>
      </c>
      <c r="B290" s="140" t="s">
        <v>1753</v>
      </c>
      <c r="C290" s="140">
        <v>575</v>
      </c>
      <c r="D290" s="140"/>
      <c r="E290" s="140">
        <f t="shared" si="14"/>
        <v>0</v>
      </c>
      <c r="F290" s="140">
        <v>575</v>
      </c>
      <c r="G290" s="434">
        <f t="shared" si="13"/>
        <v>2.135748152577848E-4</v>
      </c>
    </row>
    <row r="291" spans="1:7">
      <c r="A291" s="411" t="s">
        <v>1857</v>
      </c>
      <c r="B291" s="140" t="s">
        <v>1858</v>
      </c>
      <c r="C291" s="140">
        <v>575</v>
      </c>
      <c r="D291" s="140"/>
      <c r="E291" s="140">
        <f t="shared" si="14"/>
        <v>0</v>
      </c>
      <c r="F291" s="140">
        <v>575</v>
      </c>
      <c r="G291" s="434">
        <f t="shared" si="13"/>
        <v>2.135748152577848E-4</v>
      </c>
    </row>
    <row r="292" spans="1:7">
      <c r="A292" s="411" t="s">
        <v>1863</v>
      </c>
      <c r="B292" s="140" t="s">
        <v>1864</v>
      </c>
      <c r="C292" s="140">
        <v>575</v>
      </c>
      <c r="D292" s="140"/>
      <c r="E292" s="140">
        <f t="shared" si="14"/>
        <v>0</v>
      </c>
      <c r="F292" s="140">
        <v>575</v>
      </c>
      <c r="G292" s="434">
        <f t="shared" si="13"/>
        <v>2.135748152577848E-4</v>
      </c>
    </row>
    <row r="293" spans="1:7">
      <c r="A293" s="411" t="s">
        <v>1241</v>
      </c>
      <c r="B293" s="140" t="s">
        <v>1242</v>
      </c>
      <c r="C293" s="140">
        <v>500</v>
      </c>
      <c r="D293" s="140"/>
      <c r="E293" s="140">
        <f t="shared" si="14"/>
        <v>0</v>
      </c>
      <c r="F293" s="140">
        <v>500</v>
      </c>
      <c r="G293" s="434">
        <f t="shared" si="13"/>
        <v>1.8571723065894332E-4</v>
      </c>
    </row>
    <row r="294" spans="1:7">
      <c r="A294" s="411" t="s">
        <v>1263</v>
      </c>
      <c r="B294" s="140" t="s">
        <v>1264</v>
      </c>
      <c r="C294" s="140">
        <v>500</v>
      </c>
      <c r="D294" s="140"/>
      <c r="E294" s="140">
        <f t="shared" si="14"/>
        <v>0</v>
      </c>
      <c r="F294" s="140">
        <v>500</v>
      </c>
      <c r="G294" s="434">
        <f t="shared" si="13"/>
        <v>1.8571723065894332E-4</v>
      </c>
    </row>
    <row r="295" spans="1:7">
      <c r="A295" s="411" t="s">
        <v>1273</v>
      </c>
      <c r="B295" s="140" t="s">
        <v>1274</v>
      </c>
      <c r="C295" s="140">
        <v>500</v>
      </c>
      <c r="D295" s="140"/>
      <c r="E295" s="140">
        <f t="shared" si="14"/>
        <v>0</v>
      </c>
      <c r="F295" s="140">
        <v>500</v>
      </c>
      <c r="G295" s="434">
        <f t="shared" si="13"/>
        <v>1.8571723065894332E-4</v>
      </c>
    </row>
    <row r="296" spans="1:7">
      <c r="A296" s="411" t="s">
        <v>2153</v>
      </c>
      <c r="B296" s="140" t="s">
        <v>1681</v>
      </c>
      <c r="C296" s="140">
        <v>0</v>
      </c>
      <c r="D296" s="140">
        <v>500</v>
      </c>
      <c r="E296" s="140">
        <v>0</v>
      </c>
      <c r="F296" s="140">
        <v>500</v>
      </c>
      <c r="G296" s="434">
        <f t="shared" si="13"/>
        <v>1.8571723065894332E-4</v>
      </c>
    </row>
    <row r="297" spans="1:7">
      <c r="A297" s="411" t="s">
        <v>2154</v>
      </c>
      <c r="B297" s="140" t="s">
        <v>2155</v>
      </c>
      <c r="C297" s="140">
        <v>0</v>
      </c>
      <c r="D297" s="140">
        <v>500</v>
      </c>
      <c r="E297" s="140">
        <v>0</v>
      </c>
      <c r="F297" s="140">
        <v>500</v>
      </c>
      <c r="G297" s="434">
        <f t="shared" si="13"/>
        <v>1.8571723065894332E-4</v>
      </c>
    </row>
    <row r="298" spans="1:7">
      <c r="A298" s="411" t="s">
        <v>2156</v>
      </c>
      <c r="B298" s="140" t="s">
        <v>1304</v>
      </c>
      <c r="C298" s="140">
        <v>0</v>
      </c>
      <c r="D298" s="140">
        <v>500</v>
      </c>
      <c r="E298" s="140">
        <v>0</v>
      </c>
      <c r="F298" s="140">
        <v>500</v>
      </c>
      <c r="G298" s="434">
        <f t="shared" si="13"/>
        <v>1.8571723065894332E-4</v>
      </c>
    </row>
    <row r="299" spans="1:7">
      <c r="A299" s="411" t="s">
        <v>1305</v>
      </c>
      <c r="B299" s="140" t="s">
        <v>1306</v>
      </c>
      <c r="C299" s="140">
        <v>500</v>
      </c>
      <c r="D299" s="140"/>
      <c r="E299" s="140">
        <f t="shared" ref="E299:E321" si="15">C299-F299</f>
        <v>0</v>
      </c>
      <c r="F299" s="140">
        <v>500</v>
      </c>
      <c r="G299" s="434">
        <f t="shared" si="13"/>
        <v>1.8571723065894332E-4</v>
      </c>
    </row>
    <row r="300" spans="1:7">
      <c r="A300" s="411" t="s">
        <v>1319</v>
      </c>
      <c r="B300" s="140" t="s">
        <v>1320</v>
      </c>
      <c r="C300" s="140">
        <v>500</v>
      </c>
      <c r="D300" s="140"/>
      <c r="E300" s="140">
        <f t="shared" si="15"/>
        <v>0</v>
      </c>
      <c r="F300" s="140">
        <v>500</v>
      </c>
      <c r="G300" s="434">
        <f t="shared" si="13"/>
        <v>1.8571723065894332E-4</v>
      </c>
    </row>
    <row r="301" spans="1:7">
      <c r="A301" s="411" t="s">
        <v>1323</v>
      </c>
      <c r="B301" s="140" t="s">
        <v>1324</v>
      </c>
      <c r="C301" s="140">
        <v>500</v>
      </c>
      <c r="D301" s="140"/>
      <c r="E301" s="140">
        <f t="shared" si="15"/>
        <v>0</v>
      </c>
      <c r="F301" s="140">
        <v>500</v>
      </c>
      <c r="G301" s="434">
        <f t="shared" si="13"/>
        <v>1.8571723065894332E-4</v>
      </c>
    </row>
    <row r="302" spans="1:7">
      <c r="A302" s="411" t="s">
        <v>1332</v>
      </c>
      <c r="B302" s="140" t="s">
        <v>1333</v>
      </c>
      <c r="C302" s="140">
        <v>500</v>
      </c>
      <c r="D302" s="140"/>
      <c r="E302" s="140">
        <f t="shared" si="15"/>
        <v>0</v>
      </c>
      <c r="F302" s="140">
        <v>500</v>
      </c>
      <c r="G302" s="434">
        <f t="shared" si="13"/>
        <v>1.8571723065894332E-4</v>
      </c>
    </row>
    <row r="303" spans="1:7">
      <c r="A303" s="411" t="s">
        <v>1346</v>
      </c>
      <c r="B303" s="140" t="s">
        <v>1347</v>
      </c>
      <c r="C303" s="140">
        <v>500</v>
      </c>
      <c r="D303" s="140"/>
      <c r="E303" s="140">
        <f t="shared" si="15"/>
        <v>0</v>
      </c>
      <c r="F303" s="140">
        <v>500</v>
      </c>
      <c r="G303" s="434">
        <f t="shared" si="13"/>
        <v>1.8571723065894332E-4</v>
      </c>
    </row>
    <row r="304" spans="1:7">
      <c r="A304" s="411" t="s">
        <v>1354</v>
      </c>
      <c r="B304" s="140" t="s">
        <v>1355</v>
      </c>
      <c r="C304" s="140">
        <v>500</v>
      </c>
      <c r="D304" s="140"/>
      <c r="E304" s="140">
        <f t="shared" si="15"/>
        <v>0</v>
      </c>
      <c r="F304" s="140">
        <v>500</v>
      </c>
      <c r="G304" s="434">
        <f t="shared" si="13"/>
        <v>1.8571723065894332E-4</v>
      </c>
    </row>
    <row r="305" spans="1:7">
      <c r="A305" s="411" t="s">
        <v>1370</v>
      </c>
      <c r="B305" s="140" t="s">
        <v>1371</v>
      </c>
      <c r="C305" s="140">
        <v>500</v>
      </c>
      <c r="D305" s="140"/>
      <c r="E305" s="140">
        <f t="shared" si="15"/>
        <v>0</v>
      </c>
      <c r="F305" s="140">
        <v>500</v>
      </c>
      <c r="G305" s="434">
        <f t="shared" si="13"/>
        <v>1.8571723065894332E-4</v>
      </c>
    </row>
    <row r="306" spans="1:7">
      <c r="A306" s="411" t="s">
        <v>1372</v>
      </c>
      <c r="B306" s="140" t="s">
        <v>1373</v>
      </c>
      <c r="C306" s="140">
        <v>500</v>
      </c>
      <c r="D306" s="140"/>
      <c r="E306" s="140">
        <f t="shared" si="15"/>
        <v>0</v>
      </c>
      <c r="F306" s="140">
        <v>500</v>
      </c>
      <c r="G306" s="434">
        <f t="shared" si="13"/>
        <v>1.8571723065894332E-4</v>
      </c>
    </row>
    <row r="307" spans="1:7">
      <c r="A307" s="411" t="s">
        <v>1389</v>
      </c>
      <c r="B307" s="140" t="s">
        <v>1390</v>
      </c>
      <c r="C307" s="140">
        <v>500</v>
      </c>
      <c r="D307" s="140"/>
      <c r="E307" s="140">
        <f t="shared" si="15"/>
        <v>0</v>
      </c>
      <c r="F307" s="140">
        <v>500</v>
      </c>
      <c r="G307" s="434">
        <f t="shared" si="13"/>
        <v>1.8571723065894332E-4</v>
      </c>
    </row>
    <row r="308" spans="1:7">
      <c r="A308" s="411" t="s">
        <v>1395</v>
      </c>
      <c r="B308" s="140" t="s">
        <v>1396</v>
      </c>
      <c r="C308" s="140">
        <v>500</v>
      </c>
      <c r="D308" s="140"/>
      <c r="E308" s="140">
        <f t="shared" si="15"/>
        <v>0</v>
      </c>
      <c r="F308" s="140">
        <v>500</v>
      </c>
      <c r="G308" s="434">
        <f t="shared" si="13"/>
        <v>1.8571723065894332E-4</v>
      </c>
    </row>
    <row r="309" spans="1:7">
      <c r="A309" s="411" t="s">
        <v>1403</v>
      </c>
      <c r="B309" s="140" t="s">
        <v>1404</v>
      </c>
      <c r="C309" s="140">
        <v>500</v>
      </c>
      <c r="D309" s="140"/>
      <c r="E309" s="140">
        <f t="shared" si="15"/>
        <v>0</v>
      </c>
      <c r="F309" s="140">
        <v>500</v>
      </c>
      <c r="G309" s="434">
        <f t="shared" si="13"/>
        <v>1.8571723065894332E-4</v>
      </c>
    </row>
    <row r="310" spans="1:7">
      <c r="A310" s="411" t="s">
        <v>1407</v>
      </c>
      <c r="B310" s="140" t="s">
        <v>1408</v>
      </c>
      <c r="C310" s="140">
        <v>500</v>
      </c>
      <c r="D310" s="140"/>
      <c r="E310" s="140">
        <f t="shared" si="15"/>
        <v>0</v>
      </c>
      <c r="F310" s="140">
        <v>500</v>
      </c>
      <c r="G310" s="434">
        <f t="shared" si="13"/>
        <v>1.8571723065894332E-4</v>
      </c>
    </row>
    <row r="311" spans="1:7">
      <c r="A311" s="411" t="s">
        <v>1419</v>
      </c>
      <c r="B311" s="140" t="s">
        <v>1420</v>
      </c>
      <c r="C311" s="140">
        <v>500</v>
      </c>
      <c r="D311" s="140"/>
      <c r="E311" s="140">
        <f t="shared" si="15"/>
        <v>0</v>
      </c>
      <c r="F311" s="140">
        <v>500</v>
      </c>
      <c r="G311" s="434">
        <f t="shared" si="13"/>
        <v>1.8571723065894332E-4</v>
      </c>
    </row>
    <row r="312" spans="1:7">
      <c r="A312" s="411" t="s">
        <v>1425</v>
      </c>
      <c r="B312" s="140" t="s">
        <v>1426</v>
      </c>
      <c r="C312" s="140">
        <v>500</v>
      </c>
      <c r="D312" s="140"/>
      <c r="E312" s="140">
        <f t="shared" si="15"/>
        <v>0</v>
      </c>
      <c r="F312" s="140">
        <v>500</v>
      </c>
      <c r="G312" s="434">
        <f t="shared" si="13"/>
        <v>1.8571723065894332E-4</v>
      </c>
    </row>
    <row r="313" spans="1:7">
      <c r="A313" s="411" t="s">
        <v>1429</v>
      </c>
      <c r="B313" s="140" t="s">
        <v>1430</v>
      </c>
      <c r="C313" s="140">
        <v>500</v>
      </c>
      <c r="D313" s="140"/>
      <c r="E313" s="140">
        <f t="shared" si="15"/>
        <v>0</v>
      </c>
      <c r="F313" s="140">
        <v>500</v>
      </c>
      <c r="G313" s="434">
        <f t="shared" si="13"/>
        <v>1.8571723065894332E-4</v>
      </c>
    </row>
    <row r="314" spans="1:7">
      <c r="A314" s="411" t="s">
        <v>1431</v>
      </c>
      <c r="B314" s="140" t="s">
        <v>1432</v>
      </c>
      <c r="C314" s="140">
        <v>500</v>
      </c>
      <c r="D314" s="140"/>
      <c r="E314" s="140">
        <f t="shared" si="15"/>
        <v>0</v>
      </c>
      <c r="F314" s="140">
        <v>500</v>
      </c>
      <c r="G314" s="434">
        <f t="shared" si="13"/>
        <v>1.8571723065894332E-4</v>
      </c>
    </row>
    <row r="315" spans="1:7">
      <c r="A315" s="411" t="s">
        <v>1435</v>
      </c>
      <c r="B315" s="140" t="s">
        <v>1436</v>
      </c>
      <c r="C315" s="140">
        <v>500</v>
      </c>
      <c r="D315" s="140"/>
      <c r="E315" s="140">
        <f t="shared" si="15"/>
        <v>0</v>
      </c>
      <c r="F315" s="140">
        <v>500</v>
      </c>
      <c r="G315" s="434">
        <f t="shared" si="13"/>
        <v>1.8571723065894332E-4</v>
      </c>
    </row>
    <row r="316" spans="1:7">
      <c r="A316" s="411" t="s">
        <v>1447</v>
      </c>
      <c r="B316" s="140" t="s">
        <v>1448</v>
      </c>
      <c r="C316" s="140">
        <v>500</v>
      </c>
      <c r="D316" s="140"/>
      <c r="E316" s="140">
        <f t="shared" si="15"/>
        <v>0</v>
      </c>
      <c r="F316" s="140">
        <v>500</v>
      </c>
      <c r="G316" s="434">
        <f t="shared" si="13"/>
        <v>1.8571723065894332E-4</v>
      </c>
    </row>
    <row r="317" spans="1:7">
      <c r="A317" s="411" t="s">
        <v>1449</v>
      </c>
      <c r="B317" s="140" t="s">
        <v>1450</v>
      </c>
      <c r="C317" s="140">
        <v>500</v>
      </c>
      <c r="D317" s="140"/>
      <c r="E317" s="140">
        <f t="shared" si="15"/>
        <v>0</v>
      </c>
      <c r="F317" s="140">
        <v>500</v>
      </c>
      <c r="G317" s="434">
        <f t="shared" si="13"/>
        <v>1.8571723065894332E-4</v>
      </c>
    </row>
    <row r="318" spans="1:7">
      <c r="A318" s="411" t="s">
        <v>1461</v>
      </c>
      <c r="B318" s="140" t="s">
        <v>1462</v>
      </c>
      <c r="C318" s="140">
        <v>500</v>
      </c>
      <c r="D318" s="140"/>
      <c r="E318" s="140">
        <f t="shared" si="15"/>
        <v>0</v>
      </c>
      <c r="F318" s="140">
        <v>500</v>
      </c>
      <c r="G318" s="434">
        <f t="shared" si="13"/>
        <v>1.8571723065894332E-4</v>
      </c>
    </row>
    <row r="319" spans="1:7">
      <c r="A319" s="411" t="s">
        <v>1481</v>
      </c>
      <c r="B319" s="140" t="s">
        <v>1482</v>
      </c>
      <c r="C319" s="140">
        <v>500</v>
      </c>
      <c r="D319" s="140"/>
      <c r="E319" s="140">
        <f t="shared" si="15"/>
        <v>0</v>
      </c>
      <c r="F319" s="140">
        <v>500</v>
      </c>
      <c r="G319" s="434">
        <f t="shared" si="13"/>
        <v>1.8571723065894332E-4</v>
      </c>
    </row>
    <row r="320" spans="1:7">
      <c r="A320" s="411" t="s">
        <v>1493</v>
      </c>
      <c r="B320" s="140" t="s">
        <v>1494</v>
      </c>
      <c r="C320" s="140">
        <v>500</v>
      </c>
      <c r="D320" s="140"/>
      <c r="E320" s="140">
        <f t="shared" si="15"/>
        <v>0</v>
      </c>
      <c r="F320" s="140">
        <v>500</v>
      </c>
      <c r="G320" s="434">
        <f t="shared" si="13"/>
        <v>1.8571723065894332E-4</v>
      </c>
    </row>
    <row r="321" spans="1:7">
      <c r="A321" s="411" t="s">
        <v>1496</v>
      </c>
      <c r="B321" s="140" t="s">
        <v>1497</v>
      </c>
      <c r="C321" s="140">
        <v>500</v>
      </c>
      <c r="D321" s="140"/>
      <c r="E321" s="140">
        <f t="shared" si="15"/>
        <v>0</v>
      </c>
      <c r="F321" s="140">
        <v>500</v>
      </c>
      <c r="G321" s="434">
        <f t="shared" si="13"/>
        <v>1.8571723065894332E-4</v>
      </c>
    </row>
    <row r="322" spans="1:7">
      <c r="A322" s="411" t="s">
        <v>2163</v>
      </c>
      <c r="B322" s="140" t="s">
        <v>1242</v>
      </c>
      <c r="C322" s="140">
        <v>0</v>
      </c>
      <c r="D322" s="140">
        <v>500</v>
      </c>
      <c r="E322" s="140">
        <v>0</v>
      </c>
      <c r="F322" s="140">
        <v>500</v>
      </c>
      <c r="G322" s="434">
        <f t="shared" si="13"/>
        <v>1.8571723065894332E-4</v>
      </c>
    </row>
    <row r="323" spans="1:7">
      <c r="A323" s="411" t="s">
        <v>1512</v>
      </c>
      <c r="B323" s="140" t="s">
        <v>1513</v>
      </c>
      <c r="C323" s="140">
        <v>500</v>
      </c>
      <c r="D323" s="140"/>
      <c r="E323" s="140">
        <f t="shared" ref="E323:E354" si="16">C323-F323</f>
        <v>0</v>
      </c>
      <c r="F323" s="140">
        <v>500</v>
      </c>
      <c r="G323" s="434">
        <f t="shared" si="13"/>
        <v>1.8571723065894332E-4</v>
      </c>
    </row>
    <row r="324" spans="1:7">
      <c r="A324" s="411" t="s">
        <v>1520</v>
      </c>
      <c r="B324" s="140" t="s">
        <v>1521</v>
      </c>
      <c r="C324" s="140">
        <v>500</v>
      </c>
      <c r="D324" s="140"/>
      <c r="E324" s="140">
        <f t="shared" si="16"/>
        <v>0</v>
      </c>
      <c r="F324" s="140">
        <v>500</v>
      </c>
      <c r="G324" s="434">
        <f t="shared" ref="G324:G387" si="17">+F324/$F$427</f>
        <v>1.8571723065894332E-4</v>
      </c>
    </row>
    <row r="325" spans="1:7">
      <c r="A325" s="411" t="s">
        <v>1541</v>
      </c>
      <c r="B325" s="140" t="s">
        <v>1542</v>
      </c>
      <c r="C325" s="140">
        <v>500</v>
      </c>
      <c r="D325" s="140"/>
      <c r="E325" s="140">
        <f t="shared" si="16"/>
        <v>0</v>
      </c>
      <c r="F325" s="140">
        <v>500</v>
      </c>
      <c r="G325" s="434">
        <f t="shared" si="17"/>
        <v>1.8571723065894332E-4</v>
      </c>
    </row>
    <row r="326" spans="1:7">
      <c r="A326" s="411" t="s">
        <v>1551</v>
      </c>
      <c r="B326" s="140" t="s">
        <v>1552</v>
      </c>
      <c r="C326" s="140">
        <v>500</v>
      </c>
      <c r="D326" s="140"/>
      <c r="E326" s="140">
        <f t="shared" si="16"/>
        <v>0</v>
      </c>
      <c r="F326" s="140">
        <v>500</v>
      </c>
      <c r="G326" s="434">
        <f t="shared" si="17"/>
        <v>1.8571723065894332E-4</v>
      </c>
    </row>
    <row r="327" spans="1:7">
      <c r="A327" s="411" t="s">
        <v>1571</v>
      </c>
      <c r="B327" s="140" t="s">
        <v>1572</v>
      </c>
      <c r="C327" s="140">
        <v>500</v>
      </c>
      <c r="D327" s="140"/>
      <c r="E327" s="140">
        <f t="shared" si="16"/>
        <v>0</v>
      </c>
      <c r="F327" s="140">
        <v>500</v>
      </c>
      <c r="G327" s="434">
        <f t="shared" si="17"/>
        <v>1.8571723065894332E-4</v>
      </c>
    </row>
    <row r="328" spans="1:7">
      <c r="A328" s="411" t="s">
        <v>1577</v>
      </c>
      <c r="B328" s="140" t="s">
        <v>1578</v>
      </c>
      <c r="C328" s="140">
        <v>500</v>
      </c>
      <c r="D328" s="140"/>
      <c r="E328" s="140">
        <f t="shared" si="16"/>
        <v>0</v>
      </c>
      <c r="F328" s="140">
        <v>500</v>
      </c>
      <c r="G328" s="434">
        <f t="shared" si="17"/>
        <v>1.8571723065894332E-4</v>
      </c>
    </row>
    <row r="329" spans="1:7">
      <c r="A329" s="411" t="s">
        <v>1591</v>
      </c>
      <c r="B329" s="140" t="s">
        <v>1592</v>
      </c>
      <c r="C329" s="140">
        <v>500</v>
      </c>
      <c r="D329" s="140"/>
      <c r="E329" s="140">
        <f t="shared" si="16"/>
        <v>0</v>
      </c>
      <c r="F329" s="140">
        <v>500</v>
      </c>
      <c r="G329" s="434">
        <f t="shared" si="17"/>
        <v>1.8571723065894332E-4</v>
      </c>
    </row>
    <row r="330" spans="1:7">
      <c r="A330" s="411" t="s">
        <v>1593</v>
      </c>
      <c r="B330" s="140" t="s">
        <v>1594</v>
      </c>
      <c r="C330" s="140">
        <v>500</v>
      </c>
      <c r="D330" s="140"/>
      <c r="E330" s="140">
        <f t="shared" si="16"/>
        <v>0</v>
      </c>
      <c r="F330" s="140">
        <v>500</v>
      </c>
      <c r="G330" s="434">
        <f t="shared" si="17"/>
        <v>1.8571723065894332E-4</v>
      </c>
    </row>
    <row r="331" spans="1:7">
      <c r="A331" s="411" t="s">
        <v>1595</v>
      </c>
      <c r="B331" s="140" t="s">
        <v>1596</v>
      </c>
      <c r="C331" s="140">
        <v>500</v>
      </c>
      <c r="D331" s="140"/>
      <c r="E331" s="140">
        <f t="shared" si="16"/>
        <v>0</v>
      </c>
      <c r="F331" s="140">
        <v>500</v>
      </c>
      <c r="G331" s="434">
        <f t="shared" si="17"/>
        <v>1.8571723065894332E-4</v>
      </c>
    </row>
    <row r="332" spans="1:7">
      <c r="A332" s="411" t="s">
        <v>1599</v>
      </c>
      <c r="B332" s="140" t="s">
        <v>1600</v>
      </c>
      <c r="C332" s="140">
        <v>500</v>
      </c>
      <c r="D332" s="140"/>
      <c r="E332" s="140">
        <f t="shared" si="16"/>
        <v>0</v>
      </c>
      <c r="F332" s="140">
        <v>500</v>
      </c>
      <c r="G332" s="434">
        <f t="shared" si="17"/>
        <v>1.8571723065894332E-4</v>
      </c>
    </row>
    <row r="333" spans="1:7">
      <c r="A333" s="411" t="s">
        <v>1615</v>
      </c>
      <c r="B333" s="140" t="s">
        <v>1616</v>
      </c>
      <c r="C333" s="140">
        <v>500</v>
      </c>
      <c r="D333" s="140"/>
      <c r="E333" s="140">
        <f t="shared" si="16"/>
        <v>0</v>
      </c>
      <c r="F333" s="140">
        <v>500</v>
      </c>
      <c r="G333" s="434">
        <f t="shared" si="17"/>
        <v>1.8571723065894332E-4</v>
      </c>
    </row>
    <row r="334" spans="1:7">
      <c r="A334" s="411" t="s">
        <v>1624</v>
      </c>
      <c r="B334" s="140" t="s">
        <v>1625</v>
      </c>
      <c r="C334" s="140">
        <v>500</v>
      </c>
      <c r="D334" s="140"/>
      <c r="E334" s="140">
        <f t="shared" si="16"/>
        <v>0</v>
      </c>
      <c r="F334" s="140">
        <v>500</v>
      </c>
      <c r="G334" s="434">
        <f t="shared" si="17"/>
        <v>1.8571723065894332E-4</v>
      </c>
    </row>
    <row r="335" spans="1:7">
      <c r="A335" s="411" t="s">
        <v>1626</v>
      </c>
      <c r="B335" s="140" t="s">
        <v>1627</v>
      </c>
      <c r="C335" s="140">
        <v>500</v>
      </c>
      <c r="D335" s="140"/>
      <c r="E335" s="140">
        <f t="shared" si="16"/>
        <v>0</v>
      </c>
      <c r="F335" s="140">
        <v>500</v>
      </c>
      <c r="G335" s="434">
        <f t="shared" si="17"/>
        <v>1.8571723065894332E-4</v>
      </c>
    </row>
    <row r="336" spans="1:7">
      <c r="A336" s="411" t="s">
        <v>1630</v>
      </c>
      <c r="B336" s="140" t="s">
        <v>1631</v>
      </c>
      <c r="C336" s="140">
        <v>500</v>
      </c>
      <c r="D336" s="140"/>
      <c r="E336" s="140">
        <f t="shared" si="16"/>
        <v>0</v>
      </c>
      <c r="F336" s="140">
        <v>500</v>
      </c>
      <c r="G336" s="434">
        <f t="shared" si="17"/>
        <v>1.8571723065894332E-4</v>
      </c>
    </row>
    <row r="337" spans="1:7">
      <c r="A337" s="411" t="s">
        <v>1634</v>
      </c>
      <c r="B337" s="140" t="s">
        <v>1635</v>
      </c>
      <c r="C337" s="140">
        <v>500</v>
      </c>
      <c r="D337" s="140"/>
      <c r="E337" s="140">
        <f t="shared" si="16"/>
        <v>0</v>
      </c>
      <c r="F337" s="140">
        <v>500</v>
      </c>
      <c r="G337" s="434">
        <f t="shared" si="17"/>
        <v>1.8571723065894332E-4</v>
      </c>
    </row>
    <row r="338" spans="1:7">
      <c r="A338" s="411" t="s">
        <v>1644</v>
      </c>
      <c r="B338" s="140" t="s">
        <v>1645</v>
      </c>
      <c r="C338" s="140">
        <v>500</v>
      </c>
      <c r="D338" s="140"/>
      <c r="E338" s="140">
        <f t="shared" si="16"/>
        <v>0</v>
      </c>
      <c r="F338" s="140">
        <v>500</v>
      </c>
      <c r="G338" s="434">
        <f t="shared" si="17"/>
        <v>1.8571723065894332E-4</v>
      </c>
    </row>
    <row r="339" spans="1:7">
      <c r="A339" s="411" t="s">
        <v>1646</v>
      </c>
      <c r="B339" s="140" t="s">
        <v>1647</v>
      </c>
      <c r="C339" s="140">
        <v>500</v>
      </c>
      <c r="D339" s="140"/>
      <c r="E339" s="140">
        <f t="shared" si="16"/>
        <v>0</v>
      </c>
      <c r="F339" s="140">
        <v>500</v>
      </c>
      <c r="G339" s="434">
        <f t="shared" si="17"/>
        <v>1.8571723065894332E-4</v>
      </c>
    </row>
    <row r="340" spans="1:7">
      <c r="A340" s="411" t="s">
        <v>1662</v>
      </c>
      <c r="B340" s="140" t="s">
        <v>1663</v>
      </c>
      <c r="C340" s="140">
        <v>500</v>
      </c>
      <c r="D340" s="140"/>
      <c r="E340" s="140">
        <f t="shared" si="16"/>
        <v>0</v>
      </c>
      <c r="F340" s="140">
        <v>500</v>
      </c>
      <c r="G340" s="434">
        <f t="shared" si="17"/>
        <v>1.8571723065894332E-4</v>
      </c>
    </row>
    <row r="341" spans="1:7">
      <c r="A341" s="411" t="s">
        <v>1666</v>
      </c>
      <c r="B341" s="140" t="s">
        <v>1667</v>
      </c>
      <c r="C341" s="140">
        <v>500</v>
      </c>
      <c r="D341" s="140"/>
      <c r="E341" s="140">
        <f t="shared" si="16"/>
        <v>0</v>
      </c>
      <c r="F341" s="140">
        <v>500</v>
      </c>
      <c r="G341" s="434">
        <f t="shared" si="17"/>
        <v>1.8571723065894332E-4</v>
      </c>
    </row>
    <row r="342" spans="1:7">
      <c r="A342" s="411" t="s">
        <v>1668</v>
      </c>
      <c r="B342" s="140" t="s">
        <v>1669</v>
      </c>
      <c r="C342" s="140">
        <v>500</v>
      </c>
      <c r="D342" s="140"/>
      <c r="E342" s="140">
        <f t="shared" si="16"/>
        <v>0</v>
      </c>
      <c r="F342" s="140">
        <v>500</v>
      </c>
      <c r="G342" s="434">
        <f t="shared" si="17"/>
        <v>1.8571723065894332E-4</v>
      </c>
    </row>
    <row r="343" spans="1:7">
      <c r="A343" s="411" t="s">
        <v>1678</v>
      </c>
      <c r="B343" s="140" t="s">
        <v>1679</v>
      </c>
      <c r="C343" s="140">
        <v>500</v>
      </c>
      <c r="D343" s="140"/>
      <c r="E343" s="140">
        <f t="shared" si="16"/>
        <v>0</v>
      </c>
      <c r="F343" s="140">
        <v>500</v>
      </c>
      <c r="G343" s="434">
        <f t="shared" si="17"/>
        <v>1.8571723065894332E-4</v>
      </c>
    </row>
    <row r="344" spans="1:7">
      <c r="A344" s="411" t="s">
        <v>1682</v>
      </c>
      <c r="B344" s="140" t="s">
        <v>1683</v>
      </c>
      <c r="C344" s="140">
        <v>500</v>
      </c>
      <c r="D344" s="140"/>
      <c r="E344" s="140">
        <f t="shared" si="16"/>
        <v>0</v>
      </c>
      <c r="F344" s="140">
        <v>500</v>
      </c>
      <c r="G344" s="434">
        <f t="shared" si="17"/>
        <v>1.8571723065894332E-4</v>
      </c>
    </row>
    <row r="345" spans="1:7">
      <c r="A345" s="411" t="s">
        <v>1684</v>
      </c>
      <c r="B345" s="140" t="s">
        <v>1685</v>
      </c>
      <c r="C345" s="140">
        <v>500</v>
      </c>
      <c r="D345" s="140"/>
      <c r="E345" s="140">
        <f t="shared" si="16"/>
        <v>0</v>
      </c>
      <c r="F345" s="140">
        <v>500</v>
      </c>
      <c r="G345" s="434">
        <f t="shared" si="17"/>
        <v>1.8571723065894332E-4</v>
      </c>
    </row>
    <row r="346" spans="1:7">
      <c r="A346" s="411" t="s">
        <v>1686</v>
      </c>
      <c r="B346" s="140" t="s">
        <v>1687</v>
      </c>
      <c r="C346" s="140">
        <v>500</v>
      </c>
      <c r="D346" s="140"/>
      <c r="E346" s="140">
        <f t="shared" si="16"/>
        <v>0</v>
      </c>
      <c r="F346" s="140">
        <v>500</v>
      </c>
      <c r="G346" s="434">
        <f t="shared" si="17"/>
        <v>1.8571723065894332E-4</v>
      </c>
    </row>
    <row r="347" spans="1:7">
      <c r="A347" s="411" t="s">
        <v>1690</v>
      </c>
      <c r="B347" s="140" t="s">
        <v>1691</v>
      </c>
      <c r="C347" s="140">
        <v>500</v>
      </c>
      <c r="D347" s="140"/>
      <c r="E347" s="140">
        <f t="shared" si="16"/>
        <v>0</v>
      </c>
      <c r="F347" s="140">
        <v>500</v>
      </c>
      <c r="G347" s="434">
        <f t="shared" si="17"/>
        <v>1.8571723065894332E-4</v>
      </c>
    </row>
    <row r="348" spans="1:7">
      <c r="A348" s="411" t="s">
        <v>1698</v>
      </c>
      <c r="B348" s="140" t="s">
        <v>1699</v>
      </c>
      <c r="C348" s="140">
        <v>500</v>
      </c>
      <c r="D348" s="140"/>
      <c r="E348" s="140">
        <f t="shared" si="16"/>
        <v>0</v>
      </c>
      <c r="F348" s="140">
        <v>500</v>
      </c>
      <c r="G348" s="434">
        <f t="shared" si="17"/>
        <v>1.8571723065894332E-4</v>
      </c>
    </row>
    <row r="349" spans="1:7">
      <c r="A349" s="411" t="s">
        <v>1700</v>
      </c>
      <c r="B349" s="140" t="s">
        <v>1701</v>
      </c>
      <c r="C349" s="140">
        <v>500</v>
      </c>
      <c r="D349" s="140"/>
      <c r="E349" s="140">
        <f t="shared" si="16"/>
        <v>0</v>
      </c>
      <c r="F349" s="140">
        <v>500</v>
      </c>
      <c r="G349" s="434">
        <f t="shared" si="17"/>
        <v>1.8571723065894332E-4</v>
      </c>
    </row>
    <row r="350" spans="1:7">
      <c r="A350" s="411" t="s">
        <v>1710</v>
      </c>
      <c r="B350" s="140" t="s">
        <v>1711</v>
      </c>
      <c r="C350" s="140">
        <v>500</v>
      </c>
      <c r="D350" s="140"/>
      <c r="E350" s="140">
        <f t="shared" si="16"/>
        <v>0</v>
      </c>
      <c r="F350" s="140">
        <v>500</v>
      </c>
      <c r="G350" s="434">
        <f t="shared" si="17"/>
        <v>1.8571723065894332E-4</v>
      </c>
    </row>
    <row r="351" spans="1:7">
      <c r="A351" s="411" t="s">
        <v>1724</v>
      </c>
      <c r="B351" s="140" t="s">
        <v>1725</v>
      </c>
      <c r="C351" s="140">
        <v>500</v>
      </c>
      <c r="D351" s="140"/>
      <c r="E351" s="140">
        <f t="shared" si="16"/>
        <v>0</v>
      </c>
      <c r="F351" s="140">
        <v>500</v>
      </c>
      <c r="G351" s="434">
        <f t="shared" si="17"/>
        <v>1.8571723065894332E-4</v>
      </c>
    </row>
    <row r="352" spans="1:7">
      <c r="A352" s="411" t="s">
        <v>1728</v>
      </c>
      <c r="B352" s="140" t="s">
        <v>1729</v>
      </c>
      <c r="C352" s="140">
        <v>500</v>
      </c>
      <c r="D352" s="140"/>
      <c r="E352" s="140">
        <f t="shared" si="16"/>
        <v>0</v>
      </c>
      <c r="F352" s="140">
        <v>500</v>
      </c>
      <c r="G352" s="434">
        <f t="shared" si="17"/>
        <v>1.8571723065894332E-4</v>
      </c>
    </row>
    <row r="353" spans="1:7">
      <c r="A353" s="411" t="s">
        <v>1732</v>
      </c>
      <c r="B353" s="140" t="s">
        <v>1733</v>
      </c>
      <c r="C353" s="140">
        <v>500</v>
      </c>
      <c r="D353" s="140"/>
      <c r="E353" s="140">
        <f t="shared" si="16"/>
        <v>0</v>
      </c>
      <c r="F353" s="140">
        <v>500</v>
      </c>
      <c r="G353" s="434">
        <f t="shared" si="17"/>
        <v>1.8571723065894332E-4</v>
      </c>
    </row>
    <row r="354" spans="1:7">
      <c r="A354" s="411" t="s">
        <v>1736</v>
      </c>
      <c r="B354" s="140" t="s">
        <v>1737</v>
      </c>
      <c r="C354" s="140">
        <v>500</v>
      </c>
      <c r="D354" s="140"/>
      <c r="E354" s="140">
        <f t="shared" si="16"/>
        <v>0</v>
      </c>
      <c r="F354" s="140">
        <v>500</v>
      </c>
      <c r="G354" s="434">
        <f t="shared" si="17"/>
        <v>1.8571723065894332E-4</v>
      </c>
    </row>
    <row r="355" spans="1:7">
      <c r="A355" s="411" t="s">
        <v>1742</v>
      </c>
      <c r="B355" s="140" t="s">
        <v>1743</v>
      </c>
      <c r="C355" s="140">
        <v>500</v>
      </c>
      <c r="D355" s="140"/>
      <c r="E355" s="140">
        <f t="shared" ref="E355:E386" si="18">C355-F355</f>
        <v>0</v>
      </c>
      <c r="F355" s="140">
        <v>500</v>
      </c>
      <c r="G355" s="434">
        <f t="shared" si="17"/>
        <v>1.8571723065894332E-4</v>
      </c>
    </row>
    <row r="356" spans="1:7">
      <c r="A356" s="411" t="s">
        <v>1754</v>
      </c>
      <c r="B356" s="140" t="s">
        <v>1755</v>
      </c>
      <c r="C356" s="140">
        <v>500</v>
      </c>
      <c r="D356" s="140"/>
      <c r="E356" s="140">
        <f t="shared" si="18"/>
        <v>0</v>
      </c>
      <c r="F356" s="140">
        <v>500</v>
      </c>
      <c r="G356" s="434">
        <f t="shared" si="17"/>
        <v>1.8571723065894332E-4</v>
      </c>
    </row>
    <row r="357" spans="1:7">
      <c r="A357" s="411" t="s">
        <v>1758</v>
      </c>
      <c r="B357" s="140" t="s">
        <v>1759</v>
      </c>
      <c r="C357" s="140">
        <v>500</v>
      </c>
      <c r="D357" s="140"/>
      <c r="E357" s="140">
        <f t="shared" si="18"/>
        <v>0</v>
      </c>
      <c r="F357" s="140">
        <v>500</v>
      </c>
      <c r="G357" s="434">
        <f t="shared" si="17"/>
        <v>1.8571723065894332E-4</v>
      </c>
    </row>
    <row r="358" spans="1:7">
      <c r="A358" s="411" t="s">
        <v>1760</v>
      </c>
      <c r="B358" s="140" t="s">
        <v>1761</v>
      </c>
      <c r="C358" s="140">
        <v>500</v>
      </c>
      <c r="D358" s="140"/>
      <c r="E358" s="140">
        <f t="shared" si="18"/>
        <v>0</v>
      </c>
      <c r="F358" s="140">
        <v>500</v>
      </c>
      <c r="G358" s="434">
        <f t="shared" si="17"/>
        <v>1.8571723065894332E-4</v>
      </c>
    </row>
    <row r="359" spans="1:7">
      <c r="A359" s="411" t="s">
        <v>1762</v>
      </c>
      <c r="B359" s="140" t="s">
        <v>1763</v>
      </c>
      <c r="C359" s="140">
        <v>500</v>
      </c>
      <c r="D359" s="140"/>
      <c r="E359" s="140">
        <f t="shared" si="18"/>
        <v>0</v>
      </c>
      <c r="F359" s="140">
        <v>500</v>
      </c>
      <c r="G359" s="434">
        <f t="shared" si="17"/>
        <v>1.8571723065894332E-4</v>
      </c>
    </row>
    <row r="360" spans="1:7">
      <c r="A360" s="411" t="s">
        <v>1770</v>
      </c>
      <c r="B360" s="140" t="s">
        <v>1771</v>
      </c>
      <c r="C360" s="140">
        <v>500</v>
      </c>
      <c r="D360" s="140"/>
      <c r="E360" s="140">
        <f t="shared" si="18"/>
        <v>0</v>
      </c>
      <c r="F360" s="140">
        <v>500</v>
      </c>
      <c r="G360" s="434">
        <f t="shared" si="17"/>
        <v>1.8571723065894332E-4</v>
      </c>
    </row>
    <row r="361" spans="1:7">
      <c r="A361" s="411" t="s">
        <v>1784</v>
      </c>
      <c r="B361" s="140" t="s">
        <v>1785</v>
      </c>
      <c r="C361" s="140">
        <v>500</v>
      </c>
      <c r="D361" s="140"/>
      <c r="E361" s="140">
        <f t="shared" si="18"/>
        <v>0</v>
      </c>
      <c r="F361" s="140">
        <v>500</v>
      </c>
      <c r="G361" s="434">
        <f t="shared" si="17"/>
        <v>1.8571723065894332E-4</v>
      </c>
    </row>
    <row r="362" spans="1:7">
      <c r="A362" s="411" t="s">
        <v>1794</v>
      </c>
      <c r="B362" s="140" t="s">
        <v>1795</v>
      </c>
      <c r="C362" s="140">
        <v>500</v>
      </c>
      <c r="D362" s="140"/>
      <c r="E362" s="140">
        <f t="shared" si="18"/>
        <v>0</v>
      </c>
      <c r="F362" s="140">
        <v>500</v>
      </c>
      <c r="G362" s="434">
        <f t="shared" si="17"/>
        <v>1.8571723065894332E-4</v>
      </c>
    </row>
    <row r="363" spans="1:7">
      <c r="A363" s="411" t="s">
        <v>1804</v>
      </c>
      <c r="B363" s="140" t="s">
        <v>1805</v>
      </c>
      <c r="C363" s="140">
        <v>500</v>
      </c>
      <c r="D363" s="140"/>
      <c r="E363" s="140">
        <f t="shared" si="18"/>
        <v>0</v>
      </c>
      <c r="F363" s="140">
        <v>500</v>
      </c>
      <c r="G363" s="434">
        <f t="shared" si="17"/>
        <v>1.8571723065894332E-4</v>
      </c>
    </row>
    <row r="364" spans="1:7">
      <c r="A364" s="411" t="s">
        <v>1814</v>
      </c>
      <c r="B364" s="140" t="s">
        <v>1815</v>
      </c>
      <c r="C364" s="140">
        <v>500</v>
      </c>
      <c r="D364" s="140"/>
      <c r="E364" s="140">
        <f t="shared" si="18"/>
        <v>0</v>
      </c>
      <c r="F364" s="140">
        <v>500</v>
      </c>
      <c r="G364" s="434">
        <f t="shared" si="17"/>
        <v>1.8571723065894332E-4</v>
      </c>
    </row>
    <row r="365" spans="1:7">
      <c r="A365" s="411" t="s">
        <v>1820</v>
      </c>
      <c r="B365" s="140" t="s">
        <v>1821</v>
      </c>
      <c r="C365" s="140">
        <v>500</v>
      </c>
      <c r="D365" s="140"/>
      <c r="E365" s="140">
        <f t="shared" si="18"/>
        <v>0</v>
      </c>
      <c r="F365" s="140">
        <v>500</v>
      </c>
      <c r="G365" s="434">
        <f t="shared" si="17"/>
        <v>1.8571723065894332E-4</v>
      </c>
    </row>
    <row r="366" spans="1:7">
      <c r="A366" s="411" t="s">
        <v>1833</v>
      </c>
      <c r="B366" s="140" t="s">
        <v>1834</v>
      </c>
      <c r="C366" s="140">
        <v>500</v>
      </c>
      <c r="D366" s="140"/>
      <c r="E366" s="140">
        <f t="shared" si="18"/>
        <v>0</v>
      </c>
      <c r="F366" s="140">
        <v>500</v>
      </c>
      <c r="G366" s="434">
        <f t="shared" si="17"/>
        <v>1.8571723065894332E-4</v>
      </c>
    </row>
    <row r="367" spans="1:7">
      <c r="A367" s="411" t="s">
        <v>1839</v>
      </c>
      <c r="B367" s="140" t="s">
        <v>1840</v>
      </c>
      <c r="C367" s="140">
        <v>500</v>
      </c>
      <c r="D367" s="140"/>
      <c r="E367" s="140">
        <f t="shared" si="18"/>
        <v>0</v>
      </c>
      <c r="F367" s="140">
        <v>500</v>
      </c>
      <c r="G367" s="434">
        <f t="shared" si="17"/>
        <v>1.8571723065894332E-4</v>
      </c>
    </row>
    <row r="368" spans="1:7">
      <c r="A368" s="411" t="s">
        <v>1841</v>
      </c>
      <c r="B368" s="140" t="s">
        <v>1842</v>
      </c>
      <c r="C368" s="140">
        <v>500</v>
      </c>
      <c r="D368" s="140"/>
      <c r="E368" s="140">
        <f t="shared" si="18"/>
        <v>0</v>
      </c>
      <c r="F368" s="140">
        <v>500</v>
      </c>
      <c r="G368" s="434">
        <f t="shared" si="17"/>
        <v>1.8571723065894332E-4</v>
      </c>
    </row>
    <row r="369" spans="1:7">
      <c r="A369" s="411" t="s">
        <v>1843</v>
      </c>
      <c r="B369" s="140" t="s">
        <v>1844</v>
      </c>
      <c r="C369" s="140">
        <v>500</v>
      </c>
      <c r="D369" s="140"/>
      <c r="E369" s="140">
        <f t="shared" si="18"/>
        <v>0</v>
      </c>
      <c r="F369" s="140">
        <v>500</v>
      </c>
      <c r="G369" s="434">
        <f t="shared" si="17"/>
        <v>1.8571723065894332E-4</v>
      </c>
    </row>
    <row r="370" spans="1:7">
      <c r="A370" s="411" t="s">
        <v>1867</v>
      </c>
      <c r="B370" s="140" t="s">
        <v>1868</v>
      </c>
      <c r="C370" s="140">
        <v>500</v>
      </c>
      <c r="D370" s="140"/>
      <c r="E370" s="140">
        <f t="shared" si="18"/>
        <v>0</v>
      </c>
      <c r="F370" s="140">
        <v>500</v>
      </c>
      <c r="G370" s="434">
        <f t="shared" si="17"/>
        <v>1.8571723065894332E-4</v>
      </c>
    </row>
    <row r="371" spans="1:7">
      <c r="A371" s="411" t="s">
        <v>1869</v>
      </c>
      <c r="B371" s="140" t="s">
        <v>1870</v>
      </c>
      <c r="C371" s="140">
        <v>500</v>
      </c>
      <c r="D371" s="140"/>
      <c r="E371" s="140">
        <f t="shared" si="18"/>
        <v>0</v>
      </c>
      <c r="F371" s="140">
        <v>500</v>
      </c>
      <c r="G371" s="434">
        <f t="shared" si="17"/>
        <v>1.8571723065894332E-4</v>
      </c>
    </row>
    <row r="372" spans="1:7">
      <c r="A372" s="411" t="s">
        <v>1879</v>
      </c>
      <c r="B372" s="140" t="s">
        <v>1880</v>
      </c>
      <c r="C372" s="140">
        <v>500</v>
      </c>
      <c r="D372" s="140"/>
      <c r="E372" s="140">
        <f t="shared" si="18"/>
        <v>0</v>
      </c>
      <c r="F372" s="140">
        <v>500</v>
      </c>
      <c r="G372" s="434">
        <f t="shared" si="17"/>
        <v>1.8571723065894332E-4</v>
      </c>
    </row>
    <row r="373" spans="1:7">
      <c r="A373" s="411" t="s">
        <v>1897</v>
      </c>
      <c r="B373" s="140" t="s">
        <v>1898</v>
      </c>
      <c r="C373" s="140">
        <v>500</v>
      </c>
      <c r="D373" s="140"/>
      <c r="E373" s="140">
        <f t="shared" si="18"/>
        <v>0</v>
      </c>
      <c r="F373" s="140">
        <v>500</v>
      </c>
      <c r="G373" s="434">
        <f t="shared" si="17"/>
        <v>1.8571723065894332E-4</v>
      </c>
    </row>
    <row r="374" spans="1:7">
      <c r="A374" s="411" t="s">
        <v>1903</v>
      </c>
      <c r="B374" s="140" t="s">
        <v>1904</v>
      </c>
      <c r="C374" s="140">
        <v>500</v>
      </c>
      <c r="D374" s="140"/>
      <c r="E374" s="140">
        <f t="shared" si="18"/>
        <v>0</v>
      </c>
      <c r="F374" s="140">
        <v>500</v>
      </c>
      <c r="G374" s="434">
        <f t="shared" si="17"/>
        <v>1.8571723065894332E-4</v>
      </c>
    </row>
    <row r="375" spans="1:7">
      <c r="A375" s="411" t="s">
        <v>1905</v>
      </c>
      <c r="B375" s="140" t="s">
        <v>1906</v>
      </c>
      <c r="C375" s="140">
        <v>500</v>
      </c>
      <c r="D375" s="140"/>
      <c r="E375" s="140">
        <f t="shared" si="18"/>
        <v>0</v>
      </c>
      <c r="F375" s="140">
        <v>500</v>
      </c>
      <c r="G375" s="434">
        <f t="shared" si="17"/>
        <v>1.8571723065894332E-4</v>
      </c>
    </row>
    <row r="376" spans="1:7">
      <c r="A376" s="411" t="s">
        <v>1917</v>
      </c>
      <c r="B376" s="140" t="s">
        <v>1918</v>
      </c>
      <c r="C376" s="140">
        <v>500</v>
      </c>
      <c r="D376" s="140"/>
      <c r="E376" s="140">
        <f t="shared" si="18"/>
        <v>0</v>
      </c>
      <c r="F376" s="140">
        <v>500</v>
      </c>
      <c r="G376" s="434">
        <f t="shared" si="17"/>
        <v>1.8571723065894332E-4</v>
      </c>
    </row>
    <row r="377" spans="1:7">
      <c r="A377" s="411" t="s">
        <v>1923</v>
      </c>
      <c r="B377" s="140" t="s">
        <v>1924</v>
      </c>
      <c r="C377" s="140">
        <v>500</v>
      </c>
      <c r="D377" s="140"/>
      <c r="E377" s="140">
        <f t="shared" si="18"/>
        <v>0</v>
      </c>
      <c r="F377" s="140">
        <v>500</v>
      </c>
      <c r="G377" s="434">
        <f t="shared" si="17"/>
        <v>1.8571723065894332E-4</v>
      </c>
    </row>
    <row r="378" spans="1:7">
      <c r="A378" s="411" t="s">
        <v>1931</v>
      </c>
      <c r="B378" s="140" t="s">
        <v>1932</v>
      </c>
      <c r="C378" s="140">
        <v>500</v>
      </c>
      <c r="D378" s="140"/>
      <c r="E378" s="140">
        <f t="shared" si="18"/>
        <v>0</v>
      </c>
      <c r="F378" s="140">
        <v>500</v>
      </c>
      <c r="G378" s="434">
        <f t="shared" si="17"/>
        <v>1.8571723065894332E-4</v>
      </c>
    </row>
    <row r="379" spans="1:7">
      <c r="A379" s="411" t="s">
        <v>1933</v>
      </c>
      <c r="B379" s="140" t="s">
        <v>1934</v>
      </c>
      <c r="C379" s="140">
        <v>500</v>
      </c>
      <c r="D379" s="140"/>
      <c r="E379" s="140">
        <f t="shared" si="18"/>
        <v>0</v>
      </c>
      <c r="F379" s="140">
        <v>500</v>
      </c>
      <c r="G379" s="434">
        <f t="shared" si="17"/>
        <v>1.8571723065894332E-4</v>
      </c>
    </row>
    <row r="380" spans="1:7">
      <c r="A380" s="411" t="s">
        <v>1943</v>
      </c>
      <c r="B380" s="140" t="s">
        <v>1944</v>
      </c>
      <c r="C380" s="140">
        <v>500</v>
      </c>
      <c r="D380" s="140"/>
      <c r="E380" s="140">
        <f t="shared" si="18"/>
        <v>0</v>
      </c>
      <c r="F380" s="140">
        <v>500</v>
      </c>
      <c r="G380" s="434">
        <f t="shared" si="17"/>
        <v>1.8571723065894332E-4</v>
      </c>
    </row>
    <row r="381" spans="1:7">
      <c r="A381" s="411" t="s">
        <v>1949</v>
      </c>
      <c r="B381" s="140" t="s">
        <v>1950</v>
      </c>
      <c r="C381" s="140">
        <v>500</v>
      </c>
      <c r="D381" s="140"/>
      <c r="E381" s="140">
        <f t="shared" si="18"/>
        <v>0</v>
      </c>
      <c r="F381" s="140">
        <v>500</v>
      </c>
      <c r="G381" s="434">
        <f t="shared" si="17"/>
        <v>1.8571723065894332E-4</v>
      </c>
    </row>
    <row r="382" spans="1:7">
      <c r="A382" s="411" t="s">
        <v>1959</v>
      </c>
      <c r="B382" s="140" t="s">
        <v>1960</v>
      </c>
      <c r="C382" s="140">
        <v>500</v>
      </c>
      <c r="D382" s="140"/>
      <c r="E382" s="140">
        <f t="shared" si="18"/>
        <v>0</v>
      </c>
      <c r="F382" s="140">
        <v>500</v>
      </c>
      <c r="G382" s="434">
        <f t="shared" si="17"/>
        <v>1.8571723065894332E-4</v>
      </c>
    </row>
    <row r="383" spans="1:7">
      <c r="A383" s="411" t="s">
        <v>1963</v>
      </c>
      <c r="B383" s="140" t="s">
        <v>1964</v>
      </c>
      <c r="C383" s="140">
        <v>500</v>
      </c>
      <c r="D383" s="140"/>
      <c r="E383" s="140">
        <f t="shared" si="18"/>
        <v>0</v>
      </c>
      <c r="F383" s="140">
        <v>500</v>
      </c>
      <c r="G383" s="434">
        <f t="shared" si="17"/>
        <v>1.8571723065894332E-4</v>
      </c>
    </row>
    <row r="384" spans="1:7">
      <c r="A384" s="411" t="s">
        <v>1299</v>
      </c>
      <c r="B384" s="140" t="s">
        <v>1300</v>
      </c>
      <c r="C384" s="140">
        <v>400</v>
      </c>
      <c r="D384" s="140"/>
      <c r="E384" s="140">
        <f t="shared" si="18"/>
        <v>0</v>
      </c>
      <c r="F384" s="140">
        <v>400</v>
      </c>
      <c r="G384" s="434">
        <f t="shared" si="17"/>
        <v>1.4857378452715465E-4</v>
      </c>
    </row>
    <row r="385" spans="1:7">
      <c r="A385" s="411" t="s">
        <v>1399</v>
      </c>
      <c r="B385" s="140" t="s">
        <v>1400</v>
      </c>
      <c r="C385" s="140">
        <v>400</v>
      </c>
      <c r="D385" s="140"/>
      <c r="E385" s="140">
        <f t="shared" si="18"/>
        <v>0</v>
      </c>
      <c r="F385" s="140">
        <v>400</v>
      </c>
      <c r="G385" s="434">
        <f t="shared" si="17"/>
        <v>1.4857378452715465E-4</v>
      </c>
    </row>
    <row r="386" spans="1:7">
      <c r="A386" s="411" t="s">
        <v>1218</v>
      </c>
      <c r="B386" s="140" t="s">
        <v>1219</v>
      </c>
      <c r="C386" s="140">
        <v>375</v>
      </c>
      <c r="D386" s="140"/>
      <c r="E386" s="140">
        <f t="shared" si="18"/>
        <v>0</v>
      </c>
      <c r="F386" s="140">
        <v>375</v>
      </c>
      <c r="G386" s="434">
        <f t="shared" si="17"/>
        <v>1.3928792299420747E-4</v>
      </c>
    </row>
    <row r="387" spans="1:7">
      <c r="A387" s="411" t="s">
        <v>1364</v>
      </c>
      <c r="B387" s="140" t="s">
        <v>1365</v>
      </c>
      <c r="C387" s="140">
        <v>300</v>
      </c>
      <c r="D387" s="140"/>
      <c r="E387" s="140">
        <f t="shared" ref="E387:E418" si="19">C387-F387</f>
        <v>0</v>
      </c>
      <c r="F387" s="140">
        <v>300</v>
      </c>
      <c r="G387" s="434">
        <f t="shared" si="17"/>
        <v>1.1143033839536598E-4</v>
      </c>
    </row>
    <row r="388" spans="1:7">
      <c r="A388" s="411" t="s">
        <v>1632</v>
      </c>
      <c r="B388" s="140" t="s">
        <v>1633</v>
      </c>
      <c r="C388" s="140">
        <v>300</v>
      </c>
      <c r="D388" s="140"/>
      <c r="E388" s="140">
        <f t="shared" si="19"/>
        <v>0</v>
      </c>
      <c r="F388" s="140">
        <v>300</v>
      </c>
      <c r="G388" s="434">
        <f t="shared" ref="G388:G425" si="20">+F388/$F$427</f>
        <v>1.1143033839536598E-4</v>
      </c>
    </row>
    <row r="389" spans="1:7">
      <c r="A389" s="411" t="s">
        <v>1220</v>
      </c>
      <c r="B389" s="140" t="s">
        <v>1221</v>
      </c>
      <c r="C389" s="140">
        <v>240</v>
      </c>
      <c r="D389" s="140"/>
      <c r="E389" s="140">
        <f t="shared" si="19"/>
        <v>0</v>
      </c>
      <c r="F389" s="140">
        <v>240</v>
      </c>
      <c r="G389" s="434">
        <f t="shared" si="20"/>
        <v>8.9144270716292793E-5</v>
      </c>
    </row>
    <row r="390" spans="1:7">
      <c r="A390" s="411" t="s">
        <v>1491</v>
      </c>
      <c r="B390" s="140" t="s">
        <v>1492</v>
      </c>
      <c r="C390" s="140">
        <v>200</v>
      </c>
      <c r="D390" s="140"/>
      <c r="E390" s="140">
        <f t="shared" si="19"/>
        <v>0</v>
      </c>
      <c r="F390" s="140">
        <v>200</v>
      </c>
      <c r="G390" s="434">
        <f t="shared" si="20"/>
        <v>7.4286892263577327E-5</v>
      </c>
    </row>
    <row r="391" spans="1:7">
      <c r="A391" s="411" t="s">
        <v>1664</v>
      </c>
      <c r="B391" s="140" t="s">
        <v>1665</v>
      </c>
      <c r="C391" s="140">
        <v>200</v>
      </c>
      <c r="D391" s="140"/>
      <c r="E391" s="140">
        <f t="shared" si="19"/>
        <v>0</v>
      </c>
      <c r="F391" s="140">
        <v>200</v>
      </c>
      <c r="G391" s="434">
        <f t="shared" si="20"/>
        <v>7.4286892263577327E-5</v>
      </c>
    </row>
    <row r="392" spans="1:7">
      <c r="A392" s="411" t="s">
        <v>1216</v>
      </c>
      <c r="B392" s="140" t="s">
        <v>1217</v>
      </c>
      <c r="C392" s="140">
        <v>150</v>
      </c>
      <c r="D392" s="140"/>
      <c r="E392" s="140">
        <f t="shared" si="19"/>
        <v>0</v>
      </c>
      <c r="F392" s="140">
        <v>150</v>
      </c>
      <c r="G392" s="434">
        <f t="shared" si="20"/>
        <v>5.5715169197682989E-5</v>
      </c>
    </row>
    <row r="393" spans="1:7">
      <c r="A393" s="411" t="s">
        <v>1222</v>
      </c>
      <c r="B393" s="140" t="s">
        <v>1223</v>
      </c>
      <c r="C393" s="140">
        <v>150</v>
      </c>
      <c r="D393" s="140"/>
      <c r="E393" s="140">
        <f t="shared" si="19"/>
        <v>0</v>
      </c>
      <c r="F393" s="140">
        <v>150</v>
      </c>
      <c r="G393" s="434">
        <f t="shared" si="20"/>
        <v>5.5715169197682989E-5</v>
      </c>
    </row>
    <row r="394" spans="1:7">
      <c r="A394" s="411" t="s">
        <v>1229</v>
      </c>
      <c r="B394" s="140" t="s">
        <v>1230</v>
      </c>
      <c r="C394" s="140">
        <v>150</v>
      </c>
      <c r="D394" s="140"/>
      <c r="E394" s="140">
        <f t="shared" si="19"/>
        <v>0</v>
      </c>
      <c r="F394" s="140">
        <v>150</v>
      </c>
      <c r="G394" s="434">
        <f t="shared" si="20"/>
        <v>5.5715169197682989E-5</v>
      </c>
    </row>
    <row r="395" spans="1:7">
      <c r="A395" s="411" t="s">
        <v>1947</v>
      </c>
      <c r="B395" s="140" t="s">
        <v>1948</v>
      </c>
      <c r="C395" s="140">
        <v>115</v>
      </c>
      <c r="D395" s="140"/>
      <c r="E395" s="140">
        <f t="shared" si="19"/>
        <v>0</v>
      </c>
      <c r="F395" s="140">
        <v>115</v>
      </c>
      <c r="G395" s="434">
        <f t="shared" si="20"/>
        <v>4.2714963051556963E-5</v>
      </c>
    </row>
    <row r="396" spans="1:7">
      <c r="A396" s="411" t="s">
        <v>1178</v>
      </c>
      <c r="B396" s="140" t="s">
        <v>1179</v>
      </c>
      <c r="C396" s="140">
        <v>100</v>
      </c>
      <c r="D396" s="140"/>
      <c r="E396" s="140">
        <f t="shared" si="19"/>
        <v>0</v>
      </c>
      <c r="F396" s="140">
        <v>100</v>
      </c>
      <c r="G396" s="434">
        <f t="shared" si="20"/>
        <v>3.7143446131788664E-5</v>
      </c>
    </row>
    <row r="397" spans="1:7">
      <c r="A397" s="411" t="s">
        <v>1605</v>
      </c>
      <c r="B397" s="140" t="s">
        <v>1606</v>
      </c>
      <c r="C397" s="140">
        <v>100</v>
      </c>
      <c r="D397" s="140"/>
      <c r="E397" s="140">
        <f t="shared" si="19"/>
        <v>0</v>
      </c>
      <c r="F397" s="140">
        <v>100</v>
      </c>
      <c r="G397" s="434">
        <f t="shared" si="20"/>
        <v>3.7143446131788664E-5</v>
      </c>
    </row>
    <row r="398" spans="1:7">
      <c r="A398" s="411" t="s">
        <v>1712</v>
      </c>
      <c r="B398" s="140" t="s">
        <v>1713</v>
      </c>
      <c r="C398" s="140">
        <v>100</v>
      </c>
      <c r="D398" s="140"/>
      <c r="E398" s="140">
        <f t="shared" si="19"/>
        <v>0</v>
      </c>
      <c r="F398" s="140">
        <v>100</v>
      </c>
      <c r="G398" s="434">
        <f t="shared" si="20"/>
        <v>3.7143446131788664E-5</v>
      </c>
    </row>
    <row r="399" spans="1:7">
      <c r="A399" s="411" t="s">
        <v>1828</v>
      </c>
      <c r="B399" s="140" t="s">
        <v>1829</v>
      </c>
      <c r="C399" s="140">
        <v>100</v>
      </c>
      <c r="D399" s="140"/>
      <c r="E399" s="140">
        <f t="shared" si="19"/>
        <v>0</v>
      </c>
      <c r="F399" s="140">
        <v>100</v>
      </c>
      <c r="G399" s="434">
        <f t="shared" si="20"/>
        <v>3.7143446131788664E-5</v>
      </c>
    </row>
    <row r="400" spans="1:7">
      <c r="A400" s="411" t="s">
        <v>1224</v>
      </c>
      <c r="B400" s="140" t="s">
        <v>1225</v>
      </c>
      <c r="C400" s="140">
        <v>75</v>
      </c>
      <c r="D400" s="140"/>
      <c r="E400" s="140">
        <f t="shared" si="19"/>
        <v>0</v>
      </c>
      <c r="F400" s="140">
        <v>75</v>
      </c>
      <c r="G400" s="434">
        <f t="shared" si="20"/>
        <v>2.7857584598841494E-5</v>
      </c>
    </row>
    <row r="401" spans="1:7">
      <c r="A401" s="411" t="s">
        <v>1226</v>
      </c>
      <c r="B401" s="140" t="s">
        <v>1227</v>
      </c>
      <c r="C401" s="140">
        <v>75</v>
      </c>
      <c r="D401" s="140"/>
      <c r="E401" s="140">
        <f t="shared" si="19"/>
        <v>0</v>
      </c>
      <c r="F401" s="140">
        <v>75</v>
      </c>
      <c r="G401" s="434">
        <f t="shared" si="20"/>
        <v>2.7857584598841494E-5</v>
      </c>
    </row>
    <row r="402" spans="1:7">
      <c r="A402" s="411" t="s">
        <v>1228</v>
      </c>
      <c r="B402" s="140" t="s">
        <v>1227</v>
      </c>
      <c r="C402" s="140">
        <v>75</v>
      </c>
      <c r="D402" s="140"/>
      <c r="E402" s="140">
        <f t="shared" si="19"/>
        <v>0</v>
      </c>
      <c r="F402" s="140">
        <v>75</v>
      </c>
      <c r="G402" s="434">
        <f t="shared" si="20"/>
        <v>2.7857584598841494E-5</v>
      </c>
    </row>
    <row r="403" spans="1:7">
      <c r="A403" s="411" t="s">
        <v>1184</v>
      </c>
      <c r="B403" s="140" t="s">
        <v>1185</v>
      </c>
      <c r="C403" s="140">
        <v>1000</v>
      </c>
      <c r="D403" s="140"/>
      <c r="E403" s="140">
        <f t="shared" si="19"/>
        <v>1000</v>
      </c>
      <c r="F403" s="140">
        <v>0</v>
      </c>
      <c r="G403" s="434">
        <f t="shared" si="20"/>
        <v>0</v>
      </c>
    </row>
    <row r="404" spans="1:7">
      <c r="A404" s="411" t="s">
        <v>1192</v>
      </c>
      <c r="B404" s="140" t="s">
        <v>1193</v>
      </c>
      <c r="C404" s="140">
        <v>8828</v>
      </c>
      <c r="D404" s="140"/>
      <c r="E404" s="140">
        <f t="shared" si="19"/>
        <v>8828</v>
      </c>
      <c r="F404" s="140">
        <v>0</v>
      </c>
      <c r="G404" s="434">
        <f t="shared" si="20"/>
        <v>0</v>
      </c>
    </row>
    <row r="405" spans="1:7">
      <c r="A405" s="411" t="s">
        <v>1265</v>
      </c>
      <c r="B405" s="140" t="s">
        <v>1266</v>
      </c>
      <c r="C405" s="140">
        <v>500</v>
      </c>
      <c r="D405" s="140"/>
      <c r="E405" s="140">
        <f t="shared" si="19"/>
        <v>500</v>
      </c>
      <c r="F405" s="140">
        <v>0</v>
      </c>
      <c r="G405" s="434">
        <f t="shared" si="20"/>
        <v>0</v>
      </c>
    </row>
    <row r="406" spans="1:7">
      <c r="A406" s="411" t="s">
        <v>1269</v>
      </c>
      <c r="B406" s="140" t="s">
        <v>1270</v>
      </c>
      <c r="C406" s="140">
        <v>128250</v>
      </c>
      <c r="D406" s="140"/>
      <c r="E406" s="140">
        <f t="shared" si="19"/>
        <v>128250</v>
      </c>
      <c r="F406" s="140">
        <v>0</v>
      </c>
      <c r="G406" s="434">
        <f t="shared" si="20"/>
        <v>0</v>
      </c>
    </row>
    <row r="407" spans="1:7">
      <c r="A407" s="411" t="s">
        <v>1303</v>
      </c>
      <c r="B407" s="140" t="s">
        <v>1304</v>
      </c>
      <c r="C407" s="140">
        <v>500</v>
      </c>
      <c r="D407" s="140"/>
      <c r="E407" s="140">
        <f t="shared" si="19"/>
        <v>500</v>
      </c>
      <c r="F407" s="140">
        <v>0</v>
      </c>
      <c r="G407" s="434">
        <f t="shared" si="20"/>
        <v>0</v>
      </c>
    </row>
    <row r="408" spans="1:7">
      <c r="A408" s="411" t="s">
        <v>1313</v>
      </c>
      <c r="B408" s="140" t="s">
        <v>1314</v>
      </c>
      <c r="C408" s="140">
        <v>4200</v>
      </c>
      <c r="D408" s="140"/>
      <c r="E408" s="140">
        <f t="shared" si="19"/>
        <v>4200</v>
      </c>
      <c r="F408" s="140">
        <v>0</v>
      </c>
      <c r="G408" s="434">
        <f t="shared" si="20"/>
        <v>0</v>
      </c>
    </row>
    <row r="409" spans="1:7">
      <c r="A409" s="411" t="s">
        <v>1415</v>
      </c>
      <c r="B409" s="140" t="s">
        <v>1416</v>
      </c>
      <c r="C409" s="140">
        <v>500</v>
      </c>
      <c r="D409" s="140"/>
      <c r="E409" s="140">
        <f t="shared" si="19"/>
        <v>500</v>
      </c>
      <c r="F409" s="140">
        <v>0</v>
      </c>
      <c r="G409" s="434">
        <f t="shared" si="20"/>
        <v>0</v>
      </c>
    </row>
    <row r="410" spans="1:7">
      <c r="A410" s="411" t="s">
        <v>1483</v>
      </c>
      <c r="B410" s="140" t="s">
        <v>1484</v>
      </c>
      <c r="C410" s="140">
        <v>4200</v>
      </c>
      <c r="D410" s="140"/>
      <c r="E410" s="140">
        <f t="shared" si="19"/>
        <v>4200</v>
      </c>
      <c r="F410" s="140">
        <v>0</v>
      </c>
      <c r="G410" s="434">
        <f t="shared" si="20"/>
        <v>0</v>
      </c>
    </row>
    <row r="411" spans="1:7">
      <c r="A411" s="411" t="s">
        <v>1495</v>
      </c>
      <c r="B411" s="140" t="s">
        <v>1242</v>
      </c>
      <c r="C411" s="140">
        <v>500</v>
      </c>
      <c r="D411" s="140"/>
      <c r="E411" s="140">
        <f t="shared" si="19"/>
        <v>500</v>
      </c>
      <c r="F411" s="140">
        <v>0</v>
      </c>
      <c r="G411" s="434">
        <f t="shared" si="20"/>
        <v>0</v>
      </c>
    </row>
    <row r="412" spans="1:7">
      <c r="A412" s="411" t="s">
        <v>1518</v>
      </c>
      <c r="B412" s="140" t="s">
        <v>1519</v>
      </c>
      <c r="C412" s="140">
        <v>1700</v>
      </c>
      <c r="D412" s="140"/>
      <c r="E412" s="140">
        <f t="shared" si="19"/>
        <v>1700</v>
      </c>
      <c r="F412" s="140">
        <v>0</v>
      </c>
      <c r="G412" s="434">
        <f t="shared" si="20"/>
        <v>0</v>
      </c>
    </row>
    <row r="413" spans="1:7">
      <c r="A413" s="411" t="s">
        <v>1559</v>
      </c>
      <c r="B413" s="140" t="s">
        <v>1560</v>
      </c>
      <c r="C413" s="140">
        <v>2500</v>
      </c>
      <c r="D413" s="140"/>
      <c r="E413" s="140">
        <f t="shared" si="19"/>
        <v>2500</v>
      </c>
      <c r="F413" s="140">
        <v>0</v>
      </c>
      <c r="G413" s="434">
        <f t="shared" si="20"/>
        <v>0</v>
      </c>
    </row>
    <row r="414" spans="1:7">
      <c r="A414" s="411" t="s">
        <v>1566</v>
      </c>
      <c r="B414" s="140" t="s">
        <v>1560</v>
      </c>
      <c r="C414" s="140">
        <v>6700</v>
      </c>
      <c r="D414" s="140"/>
      <c r="E414" s="140">
        <f t="shared" si="19"/>
        <v>6700</v>
      </c>
      <c r="F414" s="140">
        <v>0</v>
      </c>
      <c r="G414" s="434">
        <f t="shared" si="20"/>
        <v>0</v>
      </c>
    </row>
    <row r="415" spans="1:7">
      <c r="A415" s="411" t="s">
        <v>1587</v>
      </c>
      <c r="B415" s="140" t="s">
        <v>1588</v>
      </c>
      <c r="C415" s="140">
        <v>1000</v>
      </c>
      <c r="D415" s="140"/>
      <c r="E415" s="140">
        <f t="shared" si="19"/>
        <v>1000</v>
      </c>
      <c r="F415" s="140">
        <v>0</v>
      </c>
      <c r="G415" s="434">
        <f t="shared" si="20"/>
        <v>0</v>
      </c>
    </row>
    <row r="416" spans="1:7">
      <c r="A416" s="411" t="s">
        <v>1623</v>
      </c>
      <c r="B416" s="140" t="s">
        <v>1618</v>
      </c>
      <c r="C416" s="140">
        <v>2500</v>
      </c>
      <c r="D416" s="140"/>
      <c r="E416" s="140">
        <f t="shared" si="19"/>
        <v>2500</v>
      </c>
      <c r="F416" s="140">
        <v>0</v>
      </c>
      <c r="G416" s="434">
        <f t="shared" si="20"/>
        <v>0</v>
      </c>
    </row>
    <row r="417" spans="1:7">
      <c r="A417" s="411" t="s">
        <v>1656</v>
      </c>
      <c r="B417" s="140" t="s">
        <v>1657</v>
      </c>
      <c r="C417" s="140">
        <v>1000</v>
      </c>
      <c r="D417" s="140"/>
      <c r="E417" s="140">
        <f t="shared" si="19"/>
        <v>1000</v>
      </c>
      <c r="F417" s="140">
        <v>0</v>
      </c>
      <c r="G417" s="434">
        <f t="shared" si="20"/>
        <v>0</v>
      </c>
    </row>
    <row r="418" spans="1:7">
      <c r="A418" s="411" t="s">
        <v>1680</v>
      </c>
      <c r="B418" s="140" t="s">
        <v>1681</v>
      </c>
      <c r="C418" s="140">
        <v>500</v>
      </c>
      <c r="D418" s="140"/>
      <c r="E418" s="140">
        <f t="shared" si="19"/>
        <v>500</v>
      </c>
      <c r="F418" s="140">
        <v>0</v>
      </c>
      <c r="G418" s="434">
        <f t="shared" si="20"/>
        <v>0</v>
      </c>
    </row>
    <row r="419" spans="1:7">
      <c r="A419" s="411" t="s">
        <v>1796</v>
      </c>
      <c r="B419" s="140" t="s">
        <v>1797</v>
      </c>
      <c r="C419" s="140">
        <v>1000</v>
      </c>
      <c r="D419" s="140"/>
      <c r="E419" s="140">
        <f t="shared" ref="E419:E425" si="21">C419-F419</f>
        <v>1000</v>
      </c>
      <c r="F419" s="140">
        <v>0</v>
      </c>
      <c r="G419" s="434">
        <f t="shared" si="20"/>
        <v>0</v>
      </c>
    </row>
    <row r="420" spans="1:7">
      <c r="A420" s="411" t="s">
        <v>1802</v>
      </c>
      <c r="B420" s="140" t="s">
        <v>1803</v>
      </c>
      <c r="C420" s="140">
        <v>1500</v>
      </c>
      <c r="D420" s="140"/>
      <c r="E420" s="140">
        <f t="shared" si="21"/>
        <v>1500</v>
      </c>
      <c r="F420" s="140">
        <v>0</v>
      </c>
      <c r="G420" s="434">
        <f t="shared" si="20"/>
        <v>0</v>
      </c>
    </row>
    <row r="421" spans="1:7">
      <c r="A421" s="411" t="s">
        <v>1810</v>
      </c>
      <c r="B421" s="140" t="s">
        <v>1811</v>
      </c>
      <c r="C421" s="140">
        <v>1000</v>
      </c>
      <c r="D421" s="140"/>
      <c r="E421" s="140">
        <f t="shared" si="21"/>
        <v>1000</v>
      </c>
      <c r="F421" s="140">
        <v>0</v>
      </c>
      <c r="G421" s="434">
        <f t="shared" si="20"/>
        <v>0</v>
      </c>
    </row>
    <row r="422" spans="1:7">
      <c r="A422" s="411" t="s">
        <v>1822</v>
      </c>
      <c r="B422" s="140" t="s">
        <v>1823</v>
      </c>
      <c r="C422" s="140">
        <v>10000</v>
      </c>
      <c r="D422" s="140"/>
      <c r="E422" s="140">
        <f t="shared" si="21"/>
        <v>10000</v>
      </c>
      <c r="F422" s="140">
        <v>0</v>
      </c>
      <c r="G422" s="434">
        <f t="shared" si="20"/>
        <v>0</v>
      </c>
    </row>
    <row r="423" spans="1:7">
      <c r="A423" s="411" t="s">
        <v>1830</v>
      </c>
      <c r="B423" s="140" t="s">
        <v>1823</v>
      </c>
      <c r="C423" s="140">
        <v>2500</v>
      </c>
      <c r="D423" s="140"/>
      <c r="E423" s="140">
        <f t="shared" si="21"/>
        <v>2500</v>
      </c>
      <c r="F423" s="140">
        <v>0</v>
      </c>
      <c r="G423" s="434">
        <f t="shared" si="20"/>
        <v>0</v>
      </c>
    </row>
    <row r="424" spans="1:7">
      <c r="A424" s="411" t="s">
        <v>1849</v>
      </c>
      <c r="B424" s="140" t="s">
        <v>1850</v>
      </c>
      <c r="C424" s="140">
        <v>1000</v>
      </c>
      <c r="D424" s="140"/>
      <c r="E424" s="140">
        <f t="shared" si="21"/>
        <v>1000</v>
      </c>
      <c r="F424" s="140">
        <v>0</v>
      </c>
      <c r="G424" s="434">
        <f t="shared" si="20"/>
        <v>0</v>
      </c>
    </row>
    <row r="425" spans="1:7">
      <c r="A425" s="411" t="s">
        <v>1877</v>
      </c>
      <c r="B425" s="140" t="s">
        <v>1878</v>
      </c>
      <c r="C425" s="140">
        <v>4200</v>
      </c>
      <c r="D425" s="140"/>
      <c r="E425" s="140">
        <f t="shared" si="21"/>
        <v>4200</v>
      </c>
      <c r="F425" s="140">
        <v>0</v>
      </c>
      <c r="G425" s="434">
        <f t="shared" si="20"/>
        <v>0</v>
      </c>
    </row>
    <row r="426" spans="1:7">
      <c r="A426" s="140"/>
      <c r="B426" s="140"/>
      <c r="C426" s="140"/>
      <c r="D426" s="140"/>
      <c r="E426" s="140"/>
      <c r="F426" s="140"/>
    </row>
    <row r="427" spans="1:7">
      <c r="A427" s="135"/>
      <c r="B427" s="135" t="s">
        <v>2107</v>
      </c>
      <c r="C427" s="412">
        <v>2692265</v>
      </c>
      <c r="D427" s="412">
        <v>203578</v>
      </c>
      <c r="E427" s="412">
        <v>203578</v>
      </c>
      <c r="F427" s="412">
        <v>2692265</v>
      </c>
    </row>
  </sheetData>
  <autoFilter ref="A3:G425" xr:uid="{00000000-0009-0000-0000-000018000000}">
    <sortState xmlns:xlrd2="http://schemas.microsoft.com/office/spreadsheetml/2017/richdata2" ref="A4:G425">
      <sortCondition descending="1" ref="G3:G425"/>
    </sortState>
  </autoFilter>
  <customSheetViews>
    <customSheetView guid="{ADEA4918-0326-423A-8D00-FB47A486004B}" showAutoFilter="1" state="hidden">
      <pane ySplit="3" topLeftCell="A421" activePane="bottomLeft" state="frozen"/>
      <selection pane="bottomLeft" activeCell="H46" sqref="H46"/>
      <pageMargins left="0.7" right="0.7" top="0.75" bottom="0.75" header="0.3" footer="0.3"/>
      <pageSetup orientation="portrait" r:id="rId1"/>
      <autoFilter ref="A3:G425" xr:uid="{04EF326A-27D5-45EB-B6BD-15661E195F27}">
        <sortState xmlns:xlrd2="http://schemas.microsoft.com/office/spreadsheetml/2017/richdata2" ref="A4:G425">
          <sortCondition descending="1" ref="G3:G425"/>
        </sortState>
      </autoFilter>
    </customSheetView>
    <customSheetView guid="{2A78E287-3113-4387-BB62-BE98FA5C13C2}" showAutoFilter="1">
      <pane ySplit="3" topLeftCell="A421" activePane="bottomLeft" state="frozen"/>
      <selection pane="bottomLeft" activeCell="H46" sqref="H46"/>
      <pageMargins left="0.7" right="0.7" top="0.75" bottom="0.75" header="0.3" footer="0.3"/>
      <pageSetup orientation="portrait" r:id="rId2"/>
      <autoFilter ref="A3:G425" xr:uid="{91F1066D-A720-480C-8271-FC5099D599B0}">
        <sortState xmlns:xlrd2="http://schemas.microsoft.com/office/spreadsheetml/2017/richdata2" ref="A4:G425">
          <sortCondition descending="1" ref="G3:G425"/>
        </sortState>
      </autoFilter>
    </customSheetView>
    <customSheetView guid="{DC5DA12B-0FA6-4F41-A983-6E433AD4604D}" showAutoFilter="1">
      <pane ySplit="3" topLeftCell="A421" activePane="bottomLeft" state="frozen"/>
      <selection pane="bottomLeft" activeCell="H46" sqref="H46"/>
      <pageMargins left="0.7" right="0.7" top="0.75" bottom="0.75" header="0.3" footer="0.3"/>
      <pageSetup orientation="portrait" r:id="rId3"/>
      <autoFilter ref="A3:G425" xr:uid="{11E1BFDF-2891-4463-8D5A-EF7BF6E2A791}">
        <sortState xmlns:xlrd2="http://schemas.microsoft.com/office/spreadsheetml/2017/richdata2" ref="A4:G425">
          <sortCondition descending="1" ref="G3:G425"/>
        </sortState>
      </autoFilter>
    </customSheetView>
  </customSheetViews>
  <mergeCells count="1">
    <mergeCell ref="A2:G2"/>
  </mergeCells>
  <pageMargins left="0.7" right="0.7" top="0.75" bottom="0.75" header="0.3" footer="0.3"/>
  <pageSetup orientation="portrait"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3:G11"/>
  <sheetViews>
    <sheetView workbookViewId="0">
      <selection activeCell="H46" sqref="H46"/>
    </sheetView>
  </sheetViews>
  <sheetFormatPr defaultRowHeight="14.4"/>
  <cols>
    <col min="2" max="2" width="35.5546875" customWidth="1"/>
    <col min="3" max="4" width="15.5546875" bestFit="1" customWidth="1"/>
    <col min="5" max="5" width="14.6640625" bestFit="1" customWidth="1"/>
    <col min="6" max="6" width="18.5546875" bestFit="1" customWidth="1"/>
  </cols>
  <sheetData>
    <row r="3" spans="2:7" ht="25.8">
      <c r="B3" s="2564" t="s">
        <v>2004</v>
      </c>
      <c r="C3" s="2564"/>
      <c r="D3" s="2564"/>
      <c r="E3" s="2564"/>
      <c r="F3" s="2564"/>
    </row>
    <row r="4" spans="2:7">
      <c r="B4" s="2224" t="s">
        <v>2071</v>
      </c>
      <c r="C4" s="2224"/>
      <c r="D4" s="2224"/>
      <c r="E4" s="2224"/>
      <c r="F4" s="2224"/>
    </row>
    <row r="5" spans="2:7" ht="15" thickBot="1"/>
    <row r="6" spans="2:7">
      <c r="B6" s="331" t="s">
        <v>2072</v>
      </c>
      <c r="C6" s="332" t="s">
        <v>2073</v>
      </c>
      <c r="D6" s="332" t="s">
        <v>2074</v>
      </c>
      <c r="E6" s="332" t="s">
        <v>2075</v>
      </c>
      <c r="F6" s="333" t="s">
        <v>2076</v>
      </c>
    </row>
    <row r="7" spans="2:7">
      <c r="B7" s="340" t="s">
        <v>149</v>
      </c>
      <c r="C7" s="335">
        <v>44771</v>
      </c>
      <c r="D7" s="341" t="e">
        <f>+GETPIVOTDATA("Sum of Dr. Final 22-23",#REF!,"PARTICULARS","Drashta Power Consultants Pvt. Ltd.","Note",4,"BS Main Head","Other Non Current Assets","BS Sub Head","Advance For Capital Goods")</f>
        <v>#REF!</v>
      </c>
      <c r="E7" s="341"/>
      <c r="F7" s="342" t="e">
        <f t="shared" ref="F7:F10" si="0">E7-D7</f>
        <v>#REF!</v>
      </c>
    </row>
    <row r="8" spans="2:7">
      <c r="B8" s="334" t="s">
        <v>21</v>
      </c>
      <c r="C8" s="335">
        <v>45010</v>
      </c>
      <c r="D8" s="341" t="e">
        <f>+GETPIVOTDATA("Sum of Dr. Final 22-23",#REF!,"PARTICULARS","NAV DURGA BOILER &amp; EQUIPMENTS P. LTD.","Note",4,"BS Main Head","Other Non Current Assets","BS Sub Head","Advance For Capital Goods")</f>
        <v>#REF!</v>
      </c>
      <c r="E8" s="341"/>
      <c r="F8" s="342" t="e">
        <f t="shared" si="0"/>
        <v>#REF!</v>
      </c>
    </row>
    <row r="9" spans="2:7">
      <c r="B9" s="334" t="s">
        <v>580</v>
      </c>
      <c r="C9" s="335">
        <v>44971</v>
      </c>
      <c r="D9" s="341" t="e">
        <f>+GETPIVOTDATA("Sum of Dr. Final 22-23",#REF!,"PARTICULARS","Ultraaweather Engineering Services","Note",4,"BS Main Head","Other Non Current Assets","BS Sub Head","Advance For Capital Goods")</f>
        <v>#REF!</v>
      </c>
      <c r="E9" s="341"/>
      <c r="F9" s="342" t="e">
        <f t="shared" si="0"/>
        <v>#REF!</v>
      </c>
      <c r="G9" t="s">
        <v>2077</v>
      </c>
    </row>
    <row r="10" spans="2:7">
      <c r="B10" s="334"/>
      <c r="C10" s="336"/>
      <c r="D10" s="341"/>
      <c r="E10" s="341"/>
      <c r="F10" s="342">
        <f t="shared" si="0"/>
        <v>0</v>
      </c>
    </row>
    <row r="11" spans="2:7" ht="15" thickBot="1">
      <c r="B11" s="337" t="s">
        <v>824</v>
      </c>
      <c r="C11" s="338"/>
      <c r="D11" s="338" t="e">
        <f>SUM(D7:D10)</f>
        <v>#REF!</v>
      </c>
      <c r="E11" s="338">
        <f>SUM(E7:E10)</f>
        <v>0</v>
      </c>
      <c r="F11" s="339" t="e">
        <f>SUM(F7:F10)</f>
        <v>#REF!</v>
      </c>
    </row>
  </sheetData>
  <customSheetViews>
    <customSheetView guid="{ADEA4918-0326-423A-8D00-FB47A486004B}" state="hidden">
      <selection activeCell="H46" sqref="H46"/>
      <pageMargins left="0.7" right="0.7" top="0.75" bottom="0.75" header="0.3" footer="0.3"/>
    </customSheetView>
    <customSheetView guid="{2A78E287-3113-4387-BB62-BE98FA5C13C2}" state="hidden">
      <selection activeCell="H46" sqref="H46"/>
      <pageMargins left="0.7" right="0.7" top="0.75" bottom="0.75" header="0.3" footer="0.3"/>
    </customSheetView>
    <customSheetView guid="{DC5DA12B-0FA6-4F41-A983-6E433AD4604D}" state="hidden">
      <selection activeCell="H46" sqref="H46"/>
      <pageMargins left="0.7" right="0.7" top="0.75" bottom="0.75" header="0.3" footer="0.3"/>
    </customSheetView>
  </customSheetViews>
  <mergeCells count="2">
    <mergeCell ref="B3:F3"/>
    <mergeCell ref="B4:F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Q25"/>
  <sheetViews>
    <sheetView view="pageBreakPreview" topLeftCell="H1" zoomScale="115" zoomScaleNormal="100" zoomScaleSheetLayoutView="115" workbookViewId="0">
      <selection activeCell="H46" sqref="H46"/>
    </sheetView>
  </sheetViews>
  <sheetFormatPr defaultColWidth="9.109375" defaultRowHeight="13.2"/>
  <cols>
    <col min="1" max="1" width="5" style="258" hidden="1" customWidth="1"/>
    <col min="2" max="2" width="40" style="258" hidden="1" customWidth="1"/>
    <col min="3" max="3" width="12" style="258" hidden="1" customWidth="1"/>
    <col min="4" max="4" width="40" style="258" hidden="1" customWidth="1"/>
    <col min="5" max="5" width="3" style="258" hidden="1" customWidth="1"/>
    <col min="6" max="6" width="10" style="258" hidden="1" customWidth="1"/>
    <col min="7" max="7" width="10.5546875" style="258" hidden="1" customWidth="1"/>
    <col min="8" max="8" width="8.5546875" style="258" customWidth="1"/>
    <col min="9" max="9" width="29.33203125" style="258" bestFit="1" customWidth="1"/>
    <col min="10" max="10" width="17.44140625" style="258" customWidth="1"/>
    <col min="11" max="11" width="13.44140625" style="258" bestFit="1" customWidth="1"/>
    <col min="12" max="12" width="14.6640625" style="258" bestFit="1" customWidth="1"/>
    <col min="13" max="13" width="15.109375" style="258" bestFit="1" customWidth="1"/>
    <col min="14" max="14" width="9.33203125" style="258" bestFit="1" customWidth="1"/>
    <col min="15" max="15" width="9.5546875" style="258" bestFit="1" customWidth="1"/>
    <col min="16" max="16" width="9.33203125" style="258" bestFit="1" customWidth="1"/>
    <col min="17" max="16384" width="9.109375" style="258"/>
  </cols>
  <sheetData>
    <row r="2" spans="1:16" ht="25.8">
      <c r="H2" s="2565" t="s">
        <v>2004</v>
      </c>
      <c r="I2" s="2565"/>
      <c r="J2" s="2565"/>
      <c r="K2" s="2565"/>
      <c r="L2" s="2565"/>
      <c r="M2" s="2565"/>
    </row>
    <row r="3" spans="1:16" ht="18">
      <c r="H3" s="2566" t="s">
        <v>2024</v>
      </c>
      <c r="I3" s="2566"/>
      <c r="J3" s="2566"/>
      <c r="K3" s="2566"/>
      <c r="L3" s="2566"/>
      <c r="M3" s="2566"/>
    </row>
    <row r="4" spans="1:16" ht="14.4">
      <c r="A4" s="258" t="s">
        <v>2005</v>
      </c>
      <c r="B4" s="258" t="s">
        <v>2006</v>
      </c>
      <c r="C4" s="258" t="s">
        <v>2007</v>
      </c>
      <c r="D4" s="258" t="s">
        <v>2008</v>
      </c>
      <c r="E4" s="258" t="s">
        <v>2009</v>
      </c>
      <c r="F4" s="258" t="s">
        <v>2010</v>
      </c>
      <c r="H4" s="2567" t="s">
        <v>2011</v>
      </c>
      <c r="I4" s="2567" t="s">
        <v>2025</v>
      </c>
      <c r="J4" s="2568" t="s">
        <v>2126</v>
      </c>
      <c r="K4" s="2570" t="s">
        <v>2012</v>
      </c>
      <c r="L4" s="2570"/>
      <c r="M4" s="2567" t="s">
        <v>824</v>
      </c>
    </row>
    <row r="5" spans="1:16" ht="14.4">
      <c r="G5" s="258" t="s">
        <v>2013</v>
      </c>
      <c r="H5" s="2567"/>
      <c r="I5" s="2567"/>
      <c r="J5" s="2569"/>
      <c r="K5" s="259" t="s">
        <v>2014</v>
      </c>
      <c r="L5" s="259" t="s">
        <v>2015</v>
      </c>
      <c r="M5" s="2567"/>
    </row>
    <row r="6" spans="1:16">
      <c r="G6" s="260">
        <v>574500</v>
      </c>
      <c r="H6" s="261">
        <v>1</v>
      </c>
      <c r="I6" s="262" t="s">
        <v>2026</v>
      </c>
      <c r="J6" s="260">
        <v>17500</v>
      </c>
      <c r="K6" s="260">
        <v>17500</v>
      </c>
      <c r="L6" s="260">
        <f>+J6-K6</f>
        <v>0</v>
      </c>
      <c r="M6" s="260">
        <f t="shared" ref="M6:M22" si="0">+K6+L6</f>
        <v>17500</v>
      </c>
      <c r="O6" s="258">
        <v>3000</v>
      </c>
    </row>
    <row r="7" spans="1:16">
      <c r="G7" s="260">
        <v>356585</v>
      </c>
      <c r="H7" s="261">
        <f>+H6+1</f>
        <v>2</v>
      </c>
      <c r="I7" s="262" t="s">
        <v>2027</v>
      </c>
      <c r="J7" s="260">
        <v>23000</v>
      </c>
      <c r="K7" s="260">
        <v>23000</v>
      </c>
      <c r="L7" s="260">
        <f>+J7-K7</f>
        <v>0</v>
      </c>
      <c r="M7" s="260">
        <f t="shared" si="0"/>
        <v>23000</v>
      </c>
      <c r="O7" s="258">
        <v>3000</v>
      </c>
    </row>
    <row r="8" spans="1:16">
      <c r="A8" s="258" t="s">
        <v>2016</v>
      </c>
      <c r="B8" s="258" t="s">
        <v>2017</v>
      </c>
      <c r="C8" s="258" t="s">
        <v>2018</v>
      </c>
      <c r="D8" s="258" t="s">
        <v>2019</v>
      </c>
      <c r="E8" s="258" t="s">
        <v>2020</v>
      </c>
      <c r="F8" s="258" t="s">
        <v>2021</v>
      </c>
      <c r="G8" s="260">
        <v>249000</v>
      </c>
      <c r="H8" s="261">
        <f t="shared" ref="H8:H21" si="1">+H7+1</f>
        <v>3</v>
      </c>
      <c r="I8" s="262" t="s">
        <v>2028</v>
      </c>
      <c r="J8" s="260">
        <v>34000</v>
      </c>
      <c r="K8" s="260">
        <v>34000</v>
      </c>
      <c r="L8" s="260">
        <f t="shared" ref="L8:L21" si="2">+J8-K8</f>
        <v>0</v>
      </c>
      <c r="M8" s="260">
        <f t="shared" si="0"/>
        <v>34000</v>
      </c>
      <c r="O8" s="258">
        <v>5000</v>
      </c>
      <c r="P8" s="263"/>
    </row>
    <row r="9" spans="1:16">
      <c r="G9" s="260">
        <v>180000</v>
      </c>
      <c r="H9" s="261">
        <f t="shared" si="1"/>
        <v>4</v>
      </c>
      <c r="I9" s="262" t="s">
        <v>187</v>
      </c>
      <c r="J9" s="260">
        <v>34000</v>
      </c>
      <c r="K9" s="260">
        <v>34000</v>
      </c>
      <c r="L9" s="260">
        <f t="shared" si="2"/>
        <v>0</v>
      </c>
      <c r="M9" s="260">
        <f t="shared" si="0"/>
        <v>34000</v>
      </c>
      <c r="O9" s="258">
        <v>2500</v>
      </c>
      <c r="P9" s="263"/>
    </row>
    <row r="10" spans="1:16">
      <c r="G10" s="260">
        <v>32500</v>
      </c>
      <c r="H10" s="261">
        <f t="shared" si="1"/>
        <v>5</v>
      </c>
      <c r="I10" s="262" t="s">
        <v>510</v>
      </c>
      <c r="J10" s="260">
        <v>1000</v>
      </c>
      <c r="K10" s="260">
        <v>1000</v>
      </c>
      <c r="L10" s="260">
        <f t="shared" si="2"/>
        <v>0</v>
      </c>
      <c r="M10" s="260">
        <f t="shared" si="0"/>
        <v>1000</v>
      </c>
    </row>
    <row r="11" spans="1:16" hidden="1">
      <c r="G11" s="260">
        <v>53000</v>
      </c>
      <c r="H11" s="261">
        <f t="shared" si="1"/>
        <v>6</v>
      </c>
      <c r="I11" s="262" t="s">
        <v>222</v>
      </c>
      <c r="J11" s="260">
        <v>27000</v>
      </c>
      <c r="K11" s="260">
        <v>27000</v>
      </c>
      <c r="L11" s="260">
        <f t="shared" si="2"/>
        <v>0</v>
      </c>
      <c r="M11" s="260">
        <f t="shared" si="0"/>
        <v>27000</v>
      </c>
    </row>
    <row r="12" spans="1:16" hidden="1">
      <c r="G12" s="260">
        <v>4000</v>
      </c>
      <c r="H12" s="261">
        <f t="shared" si="1"/>
        <v>7</v>
      </c>
      <c r="I12" s="262" t="s">
        <v>227</v>
      </c>
      <c r="J12" s="260">
        <v>2000</v>
      </c>
      <c r="K12" s="260">
        <v>2000</v>
      </c>
      <c r="L12" s="260">
        <f t="shared" si="2"/>
        <v>0</v>
      </c>
      <c r="M12" s="260">
        <f t="shared" si="0"/>
        <v>2000</v>
      </c>
    </row>
    <row r="13" spans="1:16" hidden="1">
      <c r="A13" s="258" t="s">
        <v>2016</v>
      </c>
      <c r="B13" s="258" t="s">
        <v>2017</v>
      </c>
      <c r="C13" s="258" t="s">
        <v>2018</v>
      </c>
      <c r="D13" s="258" t="s">
        <v>2019</v>
      </c>
      <c r="E13" s="258" t="s">
        <v>2020</v>
      </c>
      <c r="F13" s="258" t="s">
        <v>2022</v>
      </c>
      <c r="G13" s="260">
        <v>4500</v>
      </c>
      <c r="H13" s="261">
        <f t="shared" si="1"/>
        <v>8</v>
      </c>
      <c r="I13" s="262" t="s">
        <v>240</v>
      </c>
      <c r="J13" s="260">
        <v>21000</v>
      </c>
      <c r="K13" s="260">
        <v>21000</v>
      </c>
      <c r="L13" s="260">
        <f t="shared" si="2"/>
        <v>0</v>
      </c>
      <c r="M13" s="260">
        <f t="shared" si="0"/>
        <v>21000</v>
      </c>
    </row>
    <row r="14" spans="1:16">
      <c r="G14" s="260"/>
      <c r="H14" s="261">
        <f t="shared" si="1"/>
        <v>9</v>
      </c>
      <c r="I14" s="262" t="s">
        <v>243</v>
      </c>
      <c r="J14" s="260">
        <v>32000</v>
      </c>
      <c r="K14" s="260">
        <v>32000</v>
      </c>
      <c r="L14" s="260">
        <f t="shared" si="2"/>
        <v>0</v>
      </c>
      <c r="M14" s="260">
        <f t="shared" si="0"/>
        <v>32000</v>
      </c>
    </row>
    <row r="15" spans="1:16">
      <c r="G15" s="260"/>
      <c r="H15" s="261">
        <f t="shared" si="1"/>
        <v>10</v>
      </c>
      <c r="I15" s="262" t="s">
        <v>514</v>
      </c>
      <c r="J15" s="260">
        <v>3000</v>
      </c>
      <c r="K15" s="260">
        <v>3000</v>
      </c>
      <c r="L15" s="260">
        <f t="shared" si="2"/>
        <v>0</v>
      </c>
      <c r="M15" s="260">
        <f t="shared" si="0"/>
        <v>3000</v>
      </c>
    </row>
    <row r="16" spans="1:16">
      <c r="G16" s="260"/>
      <c r="H16" s="261">
        <f t="shared" si="1"/>
        <v>11</v>
      </c>
      <c r="I16" s="262" t="s">
        <v>2029</v>
      </c>
      <c r="J16" s="260">
        <v>27000</v>
      </c>
      <c r="K16" s="260">
        <v>27000</v>
      </c>
      <c r="L16" s="260">
        <f t="shared" si="2"/>
        <v>0</v>
      </c>
      <c r="M16" s="260">
        <f t="shared" si="0"/>
        <v>27000</v>
      </c>
    </row>
    <row r="17" spans="7:17">
      <c r="G17" s="260"/>
      <c r="H17" s="261">
        <f t="shared" si="1"/>
        <v>12</v>
      </c>
      <c r="I17" s="262" t="s">
        <v>248</v>
      </c>
      <c r="J17" s="260">
        <v>14000</v>
      </c>
      <c r="K17" s="260">
        <v>14000</v>
      </c>
      <c r="L17" s="260">
        <f t="shared" si="2"/>
        <v>0</v>
      </c>
      <c r="M17" s="260">
        <f t="shared" si="0"/>
        <v>14000</v>
      </c>
    </row>
    <row r="18" spans="7:17">
      <c r="G18" s="260"/>
      <c r="H18" s="261">
        <f t="shared" si="1"/>
        <v>13</v>
      </c>
      <c r="I18" s="262" t="s">
        <v>38</v>
      </c>
      <c r="J18" s="260">
        <v>7000</v>
      </c>
      <c r="K18" s="260">
        <v>7000</v>
      </c>
      <c r="L18" s="260">
        <f t="shared" si="2"/>
        <v>0</v>
      </c>
      <c r="M18" s="260">
        <f t="shared" si="0"/>
        <v>7000</v>
      </c>
    </row>
    <row r="19" spans="7:17">
      <c r="G19" s="260"/>
      <c r="H19" s="261">
        <f t="shared" si="1"/>
        <v>14</v>
      </c>
      <c r="I19" s="262" t="s">
        <v>541</v>
      </c>
      <c r="J19" s="260">
        <v>7500</v>
      </c>
      <c r="K19" s="260">
        <v>7500</v>
      </c>
      <c r="L19" s="260">
        <f t="shared" si="2"/>
        <v>0</v>
      </c>
      <c r="M19" s="260">
        <f t="shared" si="0"/>
        <v>7500</v>
      </c>
    </row>
    <row r="20" spans="7:17">
      <c r="G20" s="260"/>
      <c r="H20" s="261">
        <f t="shared" si="1"/>
        <v>15</v>
      </c>
      <c r="I20" s="262" t="s">
        <v>346</v>
      </c>
      <c r="J20" s="260">
        <v>27000</v>
      </c>
      <c r="K20" s="260">
        <v>27000</v>
      </c>
      <c r="L20" s="260">
        <f t="shared" si="2"/>
        <v>0</v>
      </c>
      <c r="M20" s="260">
        <f t="shared" si="0"/>
        <v>27000</v>
      </c>
    </row>
    <row r="21" spans="7:17">
      <c r="G21" s="260"/>
      <c r="H21" s="261">
        <f t="shared" si="1"/>
        <v>16</v>
      </c>
      <c r="I21" s="262" t="s">
        <v>349</v>
      </c>
      <c r="J21" s="260">
        <v>67000</v>
      </c>
      <c r="K21" s="260">
        <v>67000</v>
      </c>
      <c r="L21" s="260">
        <f t="shared" si="2"/>
        <v>0</v>
      </c>
      <c r="M21" s="260">
        <f t="shared" si="0"/>
        <v>67000</v>
      </c>
      <c r="P21" s="258">
        <f>3000*12</f>
        <v>36000</v>
      </c>
      <c r="Q21" s="258">
        <f>67000/3000</f>
        <v>22.333333333333332</v>
      </c>
    </row>
    <row r="22" spans="7:17" hidden="1">
      <c r="G22" s="260">
        <v>32000</v>
      </c>
      <c r="H22" s="261">
        <v>11</v>
      </c>
      <c r="I22" s="262" t="s">
        <v>2023</v>
      </c>
      <c r="J22" s="260"/>
      <c r="K22" s="260"/>
      <c r="L22" s="260"/>
      <c r="M22" s="260">
        <f t="shared" si="0"/>
        <v>0</v>
      </c>
    </row>
    <row r="23" spans="7:17" s="267" customFormat="1" ht="14.4">
      <c r="G23" s="264">
        <f>SUM(G6:G22)</f>
        <v>1486085</v>
      </c>
      <c r="H23" s="265"/>
      <c r="I23" s="265"/>
      <c r="J23" s="266">
        <f>SUM(J6:J22)</f>
        <v>344000</v>
      </c>
      <c r="K23" s="266">
        <f>SUM(K6:K22)</f>
        <v>344000</v>
      </c>
      <c r="L23" s="266">
        <f>SUM(L6:L22)</f>
        <v>0</v>
      </c>
      <c r="M23" s="266">
        <f>SUM(M6:M22)</f>
        <v>344000</v>
      </c>
      <c r="O23" s="258"/>
    </row>
    <row r="25" spans="7:17">
      <c r="M25" s="263">
        <f>+J23-M23</f>
        <v>0</v>
      </c>
    </row>
  </sheetData>
  <customSheetViews>
    <customSheetView guid="{ADEA4918-0326-423A-8D00-FB47A486004B}" scale="115" showPageBreaks="1" printArea="1" hiddenRows="1" hiddenColumns="1" state="hidden" view="pageBreakPreview" topLeftCell="H1">
      <selection activeCell="H46" sqref="H46"/>
      <colBreaks count="1" manualBreakCount="1">
        <brk id="13" max="1048575" man="1"/>
      </colBreaks>
      <pageMargins left="0.7" right="0.7" top="0.75" bottom="0.75" header="0.3" footer="0.3"/>
      <pageSetup scale="91" orientation="portrait" r:id="rId1"/>
    </customSheetView>
    <customSheetView guid="{2A78E287-3113-4387-BB62-BE98FA5C13C2}" scale="115" showPageBreaks="1" printArea="1" hiddenRows="1" hiddenColumns="1" state="hidden" view="pageBreakPreview" topLeftCell="H1">
      <selection activeCell="H46" sqref="H46"/>
      <colBreaks count="1" manualBreakCount="1">
        <brk id="13" max="1048575" man="1"/>
      </colBreaks>
      <pageMargins left="0.7" right="0.7" top="0.75" bottom="0.75" header="0.3" footer="0.3"/>
      <pageSetup scale="91" orientation="portrait" r:id="rId2"/>
    </customSheetView>
    <customSheetView guid="{DC5DA12B-0FA6-4F41-A983-6E433AD4604D}" scale="115" showPageBreaks="1" printArea="1" hiddenRows="1" hiddenColumns="1" state="hidden" view="pageBreakPreview" topLeftCell="H1">
      <selection activeCell="H46" sqref="H46"/>
      <colBreaks count="1" manualBreakCount="1">
        <brk id="13" max="1048575" man="1"/>
      </colBreaks>
      <pageMargins left="0.7" right="0.7" top="0.75" bottom="0.75" header="0.3" footer="0.3"/>
      <pageSetup scale="91" orientation="portrait" r:id="rId3"/>
    </customSheetView>
  </customSheetViews>
  <mergeCells count="7">
    <mergeCell ref="H2:M2"/>
    <mergeCell ref="H3:M3"/>
    <mergeCell ref="H4:H5"/>
    <mergeCell ref="I4:I5"/>
    <mergeCell ref="J4:J5"/>
    <mergeCell ref="K4:L4"/>
    <mergeCell ref="M4:M5"/>
  </mergeCells>
  <pageMargins left="0.7" right="0.7" top="0.75" bottom="0.75" header="0.3" footer="0.3"/>
  <pageSetup scale="91" orientation="portrait" r:id="rId4"/>
  <colBreaks count="1" manualBreakCount="1">
    <brk id="13" max="1048575" man="1"/>
  </colBreaks>
  <legacy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3:F13"/>
  <sheetViews>
    <sheetView showGridLines="0" zoomScaleNormal="100" workbookViewId="0">
      <selection activeCell="H46" sqref="H46"/>
    </sheetView>
  </sheetViews>
  <sheetFormatPr defaultColWidth="8.88671875" defaultRowHeight="13.2"/>
  <cols>
    <col min="1" max="1" width="8.88671875" style="483"/>
    <col min="2" max="2" width="7.6640625" style="483" bestFit="1" customWidth="1"/>
    <col min="3" max="3" width="48.88671875" style="483" customWidth="1"/>
    <col min="4" max="4" width="18.109375" style="484" customWidth="1"/>
    <col min="5" max="5" width="39.33203125" style="483" customWidth="1"/>
    <col min="6" max="6" width="18.6640625" style="483" customWidth="1"/>
    <col min="7" max="16384" width="8.88671875" style="483"/>
  </cols>
  <sheetData>
    <row r="3" spans="2:6">
      <c r="B3" s="482" t="s">
        <v>702</v>
      </c>
      <c r="E3" s="485"/>
    </row>
    <row r="4" spans="2:6">
      <c r="B4" s="487" t="s">
        <v>2189</v>
      </c>
      <c r="D4" s="488"/>
      <c r="E4" s="487"/>
      <c r="F4" s="486"/>
    </row>
    <row r="5" spans="2:6">
      <c r="B5" s="489" t="s">
        <v>2190</v>
      </c>
      <c r="C5" s="489" t="s">
        <v>2191</v>
      </c>
      <c r="D5" s="490" t="s">
        <v>2036</v>
      </c>
      <c r="E5" s="489" t="s">
        <v>2192</v>
      </c>
      <c r="F5" s="489" t="s">
        <v>2193</v>
      </c>
    </row>
    <row r="6" spans="2:6" ht="15.6">
      <c r="B6" s="493">
        <v>1</v>
      </c>
      <c r="C6" s="494" t="s">
        <v>2194</v>
      </c>
      <c r="D6" s="496">
        <v>328133</v>
      </c>
      <c r="E6" s="494" t="s">
        <v>2195</v>
      </c>
      <c r="F6" s="494" t="s">
        <v>2196</v>
      </c>
    </row>
    <row r="7" spans="2:6" ht="15.6">
      <c r="B7" s="493">
        <v>2</v>
      </c>
      <c r="C7" s="494" t="s">
        <v>2197</v>
      </c>
      <c r="D7" s="496">
        <v>5000</v>
      </c>
      <c r="E7" s="494" t="s">
        <v>2198</v>
      </c>
      <c r="F7" s="494" t="s">
        <v>2196</v>
      </c>
    </row>
    <row r="8" spans="2:6" ht="15.6">
      <c r="B8" s="493">
        <v>3</v>
      </c>
      <c r="C8" s="494" t="s">
        <v>2199</v>
      </c>
      <c r="D8" s="496">
        <v>204000</v>
      </c>
      <c r="E8" s="494" t="s">
        <v>2200</v>
      </c>
      <c r="F8" s="494" t="s">
        <v>2196</v>
      </c>
    </row>
    <row r="9" spans="2:6" ht="15.6">
      <c r="B9" s="493">
        <v>4</v>
      </c>
      <c r="C9" s="494" t="s">
        <v>2201</v>
      </c>
      <c r="D9" s="496">
        <v>4200</v>
      </c>
      <c r="E9" s="494" t="s">
        <v>2202</v>
      </c>
      <c r="F9" s="495" t="s">
        <v>2203</v>
      </c>
    </row>
    <row r="10" spans="2:6" ht="46.8">
      <c r="B10" s="493">
        <v>5</v>
      </c>
      <c r="C10" s="494" t="s">
        <v>2204</v>
      </c>
      <c r="D10" s="496">
        <v>175000</v>
      </c>
      <c r="E10" s="491" t="s">
        <v>2205</v>
      </c>
      <c r="F10" s="494" t="s">
        <v>2206</v>
      </c>
    </row>
    <row r="11" spans="2:6" ht="15.6">
      <c r="B11" s="493">
        <v>6</v>
      </c>
      <c r="C11" s="494" t="s">
        <v>2207</v>
      </c>
      <c r="D11" s="496">
        <v>9980</v>
      </c>
      <c r="E11" s="491" t="s">
        <v>2208</v>
      </c>
      <c r="F11" s="494" t="s">
        <v>2209</v>
      </c>
    </row>
    <row r="12" spans="2:6" ht="15.6">
      <c r="B12" s="493">
        <v>6</v>
      </c>
      <c r="C12" s="494" t="s">
        <v>2210</v>
      </c>
      <c r="D12" s="496">
        <v>7945972</v>
      </c>
      <c r="E12" s="494" t="s">
        <v>2211</v>
      </c>
      <c r="F12" s="494" t="s">
        <v>2212</v>
      </c>
    </row>
    <row r="13" spans="2:6" ht="15.6">
      <c r="B13" s="492"/>
      <c r="C13" s="492"/>
      <c r="D13" s="497">
        <f>SUM(D6:D12)</f>
        <v>8672285</v>
      </c>
      <c r="E13" s="492"/>
      <c r="F13" s="492"/>
    </row>
  </sheetData>
  <customSheetViews>
    <customSheetView guid="{ADEA4918-0326-423A-8D00-FB47A486004B}" showGridLines="0" state="hidden">
      <selection activeCell="H46" sqref="H46"/>
      <pageMargins left="0.31496062992125984" right="0.31496062992125984" top="0.74803149606299213" bottom="0.74803149606299213" header="0.31496062992125984" footer="0.31496062992125984"/>
      <pageSetup paperSize="9" scale="80" orientation="landscape" r:id="rId1"/>
    </customSheetView>
    <customSheetView guid="{2A78E287-3113-4387-BB62-BE98FA5C13C2}" showGridLines="0" state="hidden">
      <selection activeCell="H46" sqref="H46"/>
      <pageMargins left="0.31496062992125984" right="0.31496062992125984" top="0.74803149606299213" bottom="0.74803149606299213" header="0.31496062992125984" footer="0.31496062992125984"/>
      <pageSetup paperSize="9" scale="80" orientation="landscape" r:id="rId2"/>
    </customSheetView>
    <customSheetView guid="{DC5DA12B-0FA6-4F41-A983-6E433AD4604D}" showGridLines="0" state="hidden">
      <selection activeCell="H46" sqref="H46"/>
      <pageMargins left="0.31496062992125984" right="0.31496062992125984" top="0.74803149606299213" bottom="0.74803149606299213" header="0.31496062992125984" footer="0.31496062992125984"/>
      <pageSetup paperSize="9" scale="80" orientation="landscape" r:id="rId3"/>
    </customSheetView>
  </customSheetViews>
  <pageMargins left="0.31496062992125984" right="0.31496062992125984" top="0.74803149606299213" bottom="0.74803149606299213" header="0.31496062992125984" footer="0.31496062992125984"/>
  <pageSetup paperSize="9" scale="80" orientation="landscape" r:id="rId4"/>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8DEB-6D08-4972-8D7F-D649BC7CBA57}">
  <dimension ref="A1:P36"/>
  <sheetViews>
    <sheetView workbookViewId="0">
      <selection activeCell="F35" sqref="F35"/>
    </sheetView>
  </sheetViews>
  <sheetFormatPr defaultRowHeight="14.4"/>
  <cols>
    <col min="1" max="1" width="15.88671875" bestFit="1" customWidth="1"/>
    <col min="2" max="2" width="12.6640625" customWidth="1"/>
    <col min="3" max="6" width="15.6640625" customWidth="1"/>
    <col min="7" max="7" width="12.6640625" customWidth="1"/>
    <col min="8" max="10" width="15.6640625" customWidth="1"/>
    <col min="11" max="12" width="13.33203125" bestFit="1" customWidth="1"/>
    <col min="16" max="16" width="13.33203125" bestFit="1" customWidth="1"/>
  </cols>
  <sheetData>
    <row r="1" spans="1:16">
      <c r="I1" s="139" t="s">
        <v>3102</v>
      </c>
    </row>
    <row r="2" spans="1:16">
      <c r="A2" s="2224" t="s">
        <v>2078</v>
      </c>
      <c r="B2" s="2224"/>
      <c r="C2" s="2224"/>
      <c r="D2" s="2224"/>
      <c r="E2" s="2224"/>
      <c r="F2" s="2224"/>
      <c r="G2" s="2224"/>
      <c r="H2" s="2224"/>
      <c r="I2" s="2224"/>
      <c r="J2" s="2224"/>
    </row>
    <row r="3" spans="1:16">
      <c r="A3" s="2224" t="s">
        <v>3103</v>
      </c>
      <c r="B3" s="2224"/>
      <c r="C3" s="2224"/>
      <c r="D3" s="2224"/>
      <c r="E3" s="2224"/>
      <c r="F3" s="2224"/>
      <c r="G3" s="2224"/>
      <c r="H3" s="2224"/>
      <c r="I3" s="2224"/>
      <c r="J3" s="2224"/>
    </row>
    <row r="4" spans="1:16">
      <c r="A4" s="2571" t="s">
        <v>2079</v>
      </c>
      <c r="B4" s="2572"/>
      <c r="C4" s="2572"/>
      <c r="D4" s="2572"/>
      <c r="E4" s="2572"/>
      <c r="F4" s="2571" t="s">
        <v>2080</v>
      </c>
      <c r="G4" s="2572"/>
      <c r="H4" s="2572"/>
      <c r="I4" s="2572"/>
      <c r="J4" s="2573"/>
    </row>
    <row r="5" spans="1:16" ht="28.8">
      <c r="A5" s="343" t="s">
        <v>2081</v>
      </c>
      <c r="B5" s="344" t="s">
        <v>2082</v>
      </c>
      <c r="C5" s="344" t="s">
        <v>2083</v>
      </c>
      <c r="D5" s="344" t="s">
        <v>2084</v>
      </c>
      <c r="E5" s="344" t="s">
        <v>2085</v>
      </c>
      <c r="F5" s="343" t="s">
        <v>2081</v>
      </c>
      <c r="G5" s="344" t="s">
        <v>2086</v>
      </c>
      <c r="H5" s="344" t="s">
        <v>2087</v>
      </c>
      <c r="I5" s="344" t="s">
        <v>2088</v>
      </c>
      <c r="J5" s="345" t="s">
        <v>2089</v>
      </c>
    </row>
    <row r="6" spans="1:16">
      <c r="A6" s="148" t="s">
        <v>2090</v>
      </c>
      <c r="B6" s="346">
        <v>41820</v>
      </c>
      <c r="C6" s="347">
        <v>246000</v>
      </c>
      <c r="D6" s="347">
        <v>209000</v>
      </c>
      <c r="E6" s="347">
        <f t="shared" ref="E6:E23" si="0">+C6-D6</f>
        <v>37000</v>
      </c>
      <c r="F6" s="148" t="s">
        <v>2090</v>
      </c>
      <c r="G6" s="346">
        <v>41900</v>
      </c>
      <c r="H6" s="347">
        <v>246000</v>
      </c>
      <c r="I6" s="348">
        <v>209000</v>
      </c>
      <c r="J6" s="349">
        <f>+H6-I6</f>
        <v>37000</v>
      </c>
      <c r="K6" s="350"/>
      <c r="P6" s="350"/>
    </row>
    <row r="7" spans="1:16">
      <c r="A7" s="148" t="s">
        <v>2091</v>
      </c>
      <c r="B7" s="346">
        <v>41820</v>
      </c>
      <c r="C7" s="347">
        <v>504000</v>
      </c>
      <c r="D7" s="347">
        <v>428400</v>
      </c>
      <c r="E7" s="347">
        <f t="shared" si="0"/>
        <v>75600</v>
      </c>
      <c r="F7" s="148" t="s">
        <v>2091</v>
      </c>
      <c r="G7" s="346">
        <v>41900</v>
      </c>
      <c r="H7" s="347">
        <v>504000</v>
      </c>
      <c r="I7" s="348">
        <v>428400</v>
      </c>
      <c r="J7" s="349">
        <f t="shared" ref="J7:J16" si="1">+H7-I7</f>
        <v>75600</v>
      </c>
      <c r="P7" s="350"/>
    </row>
    <row r="8" spans="1:16">
      <c r="A8" s="148" t="s">
        <v>2092</v>
      </c>
      <c r="B8" s="346">
        <v>41820</v>
      </c>
      <c r="C8" s="347">
        <v>1627500</v>
      </c>
      <c r="D8" s="347">
        <f>1383000+244500</f>
        <v>1627500</v>
      </c>
      <c r="E8" s="347">
        <f t="shared" si="0"/>
        <v>0</v>
      </c>
      <c r="F8" s="148" t="s">
        <v>2092</v>
      </c>
      <c r="G8" s="346">
        <v>41900</v>
      </c>
      <c r="H8" s="347">
        <v>1627500</v>
      </c>
      <c r="I8" s="348">
        <f>1383000+244500</f>
        <v>1627500</v>
      </c>
      <c r="J8" s="349">
        <f t="shared" si="1"/>
        <v>0</v>
      </c>
      <c r="P8" s="350"/>
    </row>
    <row r="9" spans="1:16">
      <c r="A9" s="148" t="s">
        <v>2093</v>
      </c>
      <c r="B9" s="346">
        <v>41820</v>
      </c>
      <c r="C9" s="347">
        <v>904000</v>
      </c>
      <c r="D9" s="347">
        <v>768000</v>
      </c>
      <c r="E9" s="347">
        <f t="shared" si="0"/>
        <v>136000</v>
      </c>
      <c r="F9" s="148" t="s">
        <v>2093</v>
      </c>
      <c r="G9" s="346">
        <v>41900</v>
      </c>
      <c r="H9" s="347">
        <v>904000</v>
      </c>
      <c r="I9" s="348">
        <v>768000</v>
      </c>
      <c r="J9" s="349">
        <f t="shared" si="1"/>
        <v>136000</v>
      </c>
      <c r="P9" s="350"/>
    </row>
    <row r="10" spans="1:16">
      <c r="A10" s="148" t="s">
        <v>2094</v>
      </c>
      <c r="B10" s="346">
        <v>41820</v>
      </c>
      <c r="C10" s="351">
        <v>1003000</v>
      </c>
      <c r="D10" s="351">
        <f>852000+151000</f>
        <v>1003000</v>
      </c>
      <c r="E10" s="347">
        <f t="shared" si="0"/>
        <v>0</v>
      </c>
      <c r="F10" s="148" t="s">
        <v>2094</v>
      </c>
      <c r="G10" s="346">
        <v>41900</v>
      </c>
      <c r="H10" s="351">
        <v>1003000</v>
      </c>
      <c r="I10" s="348">
        <f>852000+151000</f>
        <v>1003000</v>
      </c>
      <c r="J10" s="349">
        <f t="shared" si="1"/>
        <v>0</v>
      </c>
      <c r="P10" s="350"/>
    </row>
    <row r="11" spans="1:16">
      <c r="A11" s="148" t="s">
        <v>2095</v>
      </c>
      <c r="B11" s="346">
        <v>42062</v>
      </c>
      <c r="C11" s="351">
        <v>1481000</v>
      </c>
      <c r="D11" s="351">
        <f>1259000+222000</f>
        <v>1481000</v>
      </c>
      <c r="E11" s="347">
        <f t="shared" si="0"/>
        <v>0</v>
      </c>
      <c r="F11" s="148" t="s">
        <v>2095</v>
      </c>
      <c r="G11" s="346">
        <v>42164</v>
      </c>
      <c r="H11" s="351">
        <v>1481000</v>
      </c>
      <c r="I11" s="348">
        <f>1259000+222000</f>
        <v>1481000</v>
      </c>
      <c r="J11" s="349">
        <f t="shared" si="1"/>
        <v>0</v>
      </c>
      <c r="P11" s="350"/>
    </row>
    <row r="12" spans="1:16">
      <c r="A12" s="148" t="s">
        <v>2096</v>
      </c>
      <c r="B12" s="346">
        <v>42460</v>
      </c>
      <c r="C12" s="351">
        <v>1541000</v>
      </c>
      <c r="D12" s="351">
        <f>1310000+231000</f>
        <v>1541000</v>
      </c>
      <c r="E12" s="347">
        <f t="shared" si="0"/>
        <v>0</v>
      </c>
      <c r="F12" s="148" t="s">
        <v>2096</v>
      </c>
      <c r="G12" s="346">
        <v>42530</v>
      </c>
      <c r="H12" s="351">
        <v>1541000</v>
      </c>
      <c r="I12" s="348">
        <f>1310000+231000</f>
        <v>1541000</v>
      </c>
      <c r="J12" s="349">
        <f t="shared" si="1"/>
        <v>0</v>
      </c>
    </row>
    <row r="13" spans="1:16">
      <c r="A13" s="148" t="s">
        <v>2097</v>
      </c>
      <c r="B13" s="346">
        <v>42871</v>
      </c>
      <c r="C13" s="351">
        <v>1728000</v>
      </c>
      <c r="D13" s="351">
        <f>1468800+259200</f>
        <v>1728000</v>
      </c>
      <c r="E13" s="347">
        <f t="shared" si="0"/>
        <v>0</v>
      </c>
      <c r="F13" s="148" t="s">
        <v>2097</v>
      </c>
      <c r="G13" s="346">
        <v>42922</v>
      </c>
      <c r="H13" s="351">
        <v>1727866</v>
      </c>
      <c r="I13" s="348">
        <f>1468800+259200</f>
        <v>1728000</v>
      </c>
      <c r="J13" s="349">
        <f t="shared" si="1"/>
        <v>-134</v>
      </c>
    </row>
    <row r="14" spans="1:16">
      <c r="A14" s="148" t="s">
        <v>2098</v>
      </c>
      <c r="B14" s="346"/>
      <c r="C14" s="351">
        <v>205500</v>
      </c>
      <c r="D14" s="351">
        <v>205500</v>
      </c>
      <c r="E14" s="347">
        <f t="shared" si="0"/>
        <v>0</v>
      </c>
      <c r="F14" s="148" t="s">
        <v>2098</v>
      </c>
      <c r="G14" s="346">
        <v>43263</v>
      </c>
      <c r="H14" s="351">
        <v>205500</v>
      </c>
      <c r="I14" s="348">
        <v>205500</v>
      </c>
      <c r="J14" s="349">
        <f t="shared" si="1"/>
        <v>0</v>
      </c>
    </row>
    <row r="15" spans="1:16">
      <c r="A15" s="148" t="s">
        <v>2099</v>
      </c>
      <c r="B15" s="346">
        <v>43433</v>
      </c>
      <c r="C15" s="352">
        <v>9443500</v>
      </c>
      <c r="D15" s="352">
        <v>8026975</v>
      </c>
      <c r="E15" s="353">
        <f t="shared" si="0"/>
        <v>1416525</v>
      </c>
      <c r="F15" s="148" t="s">
        <v>2099</v>
      </c>
      <c r="G15" s="346">
        <v>43566</v>
      </c>
      <c r="H15" s="351">
        <v>9443500</v>
      </c>
      <c r="I15" s="354">
        <v>8026975</v>
      </c>
      <c r="J15" s="355">
        <f t="shared" si="1"/>
        <v>1416525</v>
      </c>
    </row>
    <row r="16" spans="1:16">
      <c r="A16" s="148" t="s">
        <v>2100</v>
      </c>
      <c r="B16" s="346">
        <v>43823</v>
      </c>
      <c r="C16" s="352">
        <v>3663000</v>
      </c>
      <c r="D16" s="352">
        <v>3113550</v>
      </c>
      <c r="E16" s="353">
        <f t="shared" si="0"/>
        <v>549450</v>
      </c>
      <c r="F16" s="148" t="s">
        <v>2100</v>
      </c>
      <c r="G16" s="346">
        <v>44082</v>
      </c>
      <c r="H16" s="351">
        <v>3663000</v>
      </c>
      <c r="I16" s="354">
        <v>3113550</v>
      </c>
      <c r="J16" s="355">
        <f t="shared" si="1"/>
        <v>549450</v>
      </c>
    </row>
    <row r="17" spans="1:11">
      <c r="A17" s="356" t="s">
        <v>2101</v>
      </c>
      <c r="B17" s="346"/>
      <c r="C17" s="352"/>
      <c r="D17" s="352"/>
      <c r="E17" s="353"/>
      <c r="F17" s="356" t="s">
        <v>2101</v>
      </c>
      <c r="G17" s="346"/>
      <c r="H17" s="351"/>
      <c r="I17" s="354"/>
      <c r="J17" s="355"/>
    </row>
    <row r="18" spans="1:11">
      <c r="A18" s="148" t="s">
        <v>2102</v>
      </c>
      <c r="B18" s="346">
        <v>43823</v>
      </c>
      <c r="C18" s="352">
        <v>5770000</v>
      </c>
      <c r="D18" s="354">
        <f>4327000+570000</f>
        <v>4897000</v>
      </c>
      <c r="E18" s="353">
        <f t="shared" si="0"/>
        <v>873000</v>
      </c>
      <c r="F18" s="148" t="s">
        <v>2102</v>
      </c>
      <c r="G18" s="346">
        <v>44082</v>
      </c>
      <c r="H18" s="351">
        <v>5770500</v>
      </c>
      <c r="I18" s="354">
        <f>4327000+570000</f>
        <v>4897000</v>
      </c>
      <c r="J18" s="355">
        <f t="shared" ref="J18:J23" si="2">+H18-I18</f>
        <v>873500</v>
      </c>
    </row>
    <row r="19" spans="1:11">
      <c r="A19" s="148" t="s">
        <v>2103</v>
      </c>
      <c r="B19" s="346">
        <v>43889</v>
      </c>
      <c r="C19" s="352">
        <v>9433000</v>
      </c>
      <c r="D19" s="352">
        <f>7074000+943000</f>
        <v>8017000</v>
      </c>
      <c r="E19" s="353">
        <f t="shared" si="0"/>
        <v>1416000</v>
      </c>
      <c r="F19" s="148" t="s">
        <v>2103</v>
      </c>
      <c r="G19" s="346">
        <v>44082</v>
      </c>
      <c r="H19" s="351">
        <v>9433500</v>
      </c>
      <c r="I19" s="354">
        <f>7074000+943000</f>
        <v>8017000</v>
      </c>
      <c r="J19" s="355">
        <f t="shared" si="2"/>
        <v>1416500</v>
      </c>
    </row>
    <row r="20" spans="1:11">
      <c r="A20" s="148" t="s">
        <v>2104</v>
      </c>
      <c r="B20" s="346">
        <v>44133</v>
      </c>
      <c r="C20" s="352">
        <v>9433000</v>
      </c>
      <c r="D20" s="352">
        <f>7074000+943000</f>
        <v>8017000</v>
      </c>
      <c r="E20" s="353">
        <f t="shared" si="0"/>
        <v>1416000</v>
      </c>
      <c r="F20" s="148" t="s">
        <v>2104</v>
      </c>
      <c r="G20" s="346">
        <v>44463</v>
      </c>
      <c r="H20" s="351">
        <v>9433000</v>
      </c>
      <c r="I20" s="354">
        <f>7074000+943000</f>
        <v>8017000</v>
      </c>
      <c r="J20" s="355">
        <f t="shared" si="2"/>
        <v>1416000</v>
      </c>
    </row>
    <row r="21" spans="1:11">
      <c r="A21" s="148" t="s">
        <v>2105</v>
      </c>
      <c r="B21" s="346">
        <v>44407</v>
      </c>
      <c r="C21" s="352">
        <v>9433000</v>
      </c>
      <c r="D21" s="352">
        <f>7074000+943000</f>
        <v>8017000</v>
      </c>
      <c r="E21" s="353">
        <f t="shared" si="0"/>
        <v>1416000</v>
      </c>
      <c r="F21" s="148" t="s">
        <v>2105</v>
      </c>
      <c r="G21" s="346">
        <v>44407</v>
      </c>
      <c r="H21" s="351">
        <v>9433000</v>
      </c>
      <c r="I21" s="354">
        <f>7074000+943000</f>
        <v>8017000</v>
      </c>
      <c r="J21" s="355">
        <f t="shared" si="2"/>
        <v>1416000</v>
      </c>
    </row>
    <row r="22" spans="1:11">
      <c r="A22" s="148" t="s">
        <v>2106</v>
      </c>
      <c r="B22" s="346">
        <v>44777</v>
      </c>
      <c r="C22" s="352">
        <v>9443500</v>
      </c>
      <c r="D22" s="352">
        <f>7083000+943000</f>
        <v>8026000</v>
      </c>
      <c r="E22" s="353">
        <f t="shared" si="0"/>
        <v>1417500</v>
      </c>
      <c r="F22" s="148" t="s">
        <v>2106</v>
      </c>
      <c r="G22" s="346">
        <v>44777</v>
      </c>
      <c r="H22" s="351">
        <v>9443500</v>
      </c>
      <c r="I22" s="354">
        <f>7083000+943000</f>
        <v>8026000</v>
      </c>
      <c r="J22" s="355">
        <f t="shared" si="2"/>
        <v>1417500</v>
      </c>
      <c r="K22" s="350"/>
    </row>
    <row r="23" spans="1:11">
      <c r="A23" s="148" t="s">
        <v>3104</v>
      </c>
      <c r="B23" s="346">
        <v>45128</v>
      </c>
      <c r="C23" s="354">
        <v>9444000</v>
      </c>
      <c r="D23" s="354">
        <v>7083000</v>
      </c>
      <c r="E23" s="353">
        <f t="shared" si="0"/>
        <v>2361000</v>
      </c>
      <c r="F23" s="371" t="s">
        <v>3104</v>
      </c>
      <c r="G23" s="354">
        <v>45128</v>
      </c>
      <c r="H23" s="354">
        <v>9444000</v>
      </c>
      <c r="I23" s="354">
        <v>7083000</v>
      </c>
      <c r="J23" s="355">
        <f t="shared" si="2"/>
        <v>2361000</v>
      </c>
    </row>
    <row r="24" spans="1:11" ht="15" thickBot="1">
      <c r="A24" s="357" t="s">
        <v>2107</v>
      </c>
      <c r="B24" s="358"/>
      <c r="C24" s="359">
        <f>SUM(C6:C23)</f>
        <v>75303000</v>
      </c>
      <c r="D24" s="359">
        <f>SUM(D6:D23)</f>
        <v>64188925</v>
      </c>
      <c r="E24" s="359">
        <f>SUM(E6:E23)</f>
        <v>11114075</v>
      </c>
      <c r="F24" s="360"/>
      <c r="G24" s="359"/>
      <c r="H24" s="359">
        <f>SUM(H6:H23)</f>
        <v>75303866</v>
      </c>
      <c r="I24" s="359">
        <f>SUM(I6:I23)</f>
        <v>64188925</v>
      </c>
      <c r="J24" s="361">
        <f>SUM(J6:J23)</f>
        <v>11114941</v>
      </c>
      <c r="K24" s="350"/>
    </row>
    <row r="25" spans="1:11" ht="15" thickTop="1">
      <c r="A25" s="362"/>
      <c r="C25" s="363"/>
      <c r="D25" s="350"/>
      <c r="E25" s="363"/>
      <c r="F25" s="364"/>
      <c r="G25" s="350"/>
      <c r="J25" s="137"/>
    </row>
    <row r="26" spans="1:11">
      <c r="A26" s="148"/>
      <c r="C26" s="350"/>
      <c r="D26" s="350"/>
      <c r="E26" s="350"/>
      <c r="F26" s="365"/>
      <c r="G26" s="350"/>
      <c r="J26" s="137"/>
    </row>
    <row r="27" spans="1:11">
      <c r="A27" s="356" t="s">
        <v>2108</v>
      </c>
      <c r="B27" s="366"/>
      <c r="F27" s="356" t="s">
        <v>2109</v>
      </c>
      <c r="G27" s="367"/>
      <c r="J27" s="137"/>
    </row>
    <row r="28" spans="1:11">
      <c r="A28" s="148" t="s">
        <v>2110</v>
      </c>
      <c r="C28" s="350"/>
      <c r="D28" s="350">
        <f>+C24</f>
        <v>75303000</v>
      </c>
      <c r="F28" s="148" t="s">
        <v>2111</v>
      </c>
      <c r="I28" s="350">
        <f>+H24</f>
        <v>75303866</v>
      </c>
      <c r="J28" s="368"/>
      <c r="K28" s="350"/>
    </row>
    <row r="29" spans="1:11">
      <c r="A29" s="148" t="s">
        <v>2112</v>
      </c>
      <c r="C29" s="350"/>
      <c r="D29" s="350">
        <f>+D24</f>
        <v>64188925</v>
      </c>
      <c r="F29" s="148" t="s">
        <v>2113</v>
      </c>
      <c r="I29" s="350">
        <f>+I24</f>
        <v>64188925</v>
      </c>
      <c r="J29" s="368"/>
    </row>
    <row r="30" spans="1:11">
      <c r="A30" s="148"/>
      <c r="C30" s="350"/>
      <c r="D30" s="350"/>
      <c r="F30" s="148" t="s">
        <v>3105</v>
      </c>
      <c r="I30" s="350">
        <v>866</v>
      </c>
      <c r="J30" s="1759"/>
    </row>
    <row r="31" spans="1:11" ht="15" thickBot="1">
      <c r="A31" s="357" t="s">
        <v>3106</v>
      </c>
      <c r="B31" s="358"/>
      <c r="C31" s="358"/>
      <c r="D31" s="369">
        <f>+D28-D29</f>
        <v>11114075</v>
      </c>
      <c r="E31" s="369"/>
      <c r="F31" s="357" t="s">
        <v>3106</v>
      </c>
      <c r="G31" s="358"/>
      <c r="H31" s="358"/>
      <c r="I31" s="369">
        <f>+I28-I29-I30</f>
        <v>11114075</v>
      </c>
      <c r="J31" s="1760"/>
    </row>
    <row r="32" spans="1:11" ht="15" thickTop="1">
      <c r="C32" s="139" t="s">
        <v>2114</v>
      </c>
      <c r="D32" s="370">
        <f>+D31-I31</f>
        <v>0</v>
      </c>
      <c r="F32" s="148"/>
      <c r="J32" s="137"/>
      <c r="K32" s="365"/>
    </row>
    <row r="33" spans="1:11">
      <c r="A33" s="371"/>
      <c r="B33" s="366"/>
      <c r="C33" s="367"/>
      <c r="D33" s="372"/>
      <c r="E33" s="366"/>
      <c r="F33" s="371"/>
      <c r="G33" s="366"/>
      <c r="H33" s="366"/>
      <c r="I33" s="373"/>
      <c r="J33" s="374"/>
      <c r="K33" s="148"/>
    </row>
    <row r="34" spans="1:11">
      <c r="F34" s="363"/>
    </row>
    <row r="35" spans="1:11">
      <c r="E35" s="363"/>
    </row>
    <row r="36" spans="1:11">
      <c r="E36" s="370"/>
    </row>
  </sheetData>
  <customSheetViews>
    <customSheetView guid="{ADEA4918-0326-423A-8D00-FB47A486004B}">
      <selection activeCell="F35" sqref="F35"/>
      <pageMargins left="0.7" right="0.7" top="0.75" bottom="0.75" header="0.3" footer="0.3"/>
      <pageSetup paperSize="9" scale="75" orientation="landscape" r:id="rId1"/>
    </customSheetView>
    <customSheetView guid="{2A78E287-3113-4387-BB62-BE98FA5C13C2}" state="hidden">
      <selection activeCell="H46" sqref="H46"/>
      <pageMargins left="0.7" right="0.7" top="0.75" bottom="0.75" header="0.3" footer="0.3"/>
      <pageSetup paperSize="9" scale="75" orientation="landscape" r:id="rId2"/>
    </customSheetView>
    <customSheetView guid="{DC5DA12B-0FA6-4F41-A983-6E433AD4604D}" state="hidden">
      <selection activeCell="H46" sqref="H46"/>
      <pageMargins left="0.7" right="0.7" top="0.75" bottom="0.75" header="0.3" footer="0.3"/>
      <pageSetup paperSize="9" scale="75" orientation="landscape" r:id="rId3"/>
    </customSheetView>
  </customSheetViews>
  <mergeCells count="4">
    <mergeCell ref="A2:J2"/>
    <mergeCell ref="A3:J3"/>
    <mergeCell ref="A4:E4"/>
    <mergeCell ref="F4:J4"/>
  </mergeCells>
  <pageMargins left="0.7" right="0.7" top="0.75" bottom="0.75" header="0.3" footer="0.3"/>
  <pageSetup paperSize="9" scale="75" orientation="landscape" r:id="rId4"/>
  <legacyDrawing r:id="rId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16644-91C3-4EA4-90D5-1B06876250C4}">
  <dimension ref="A1:Q364"/>
  <sheetViews>
    <sheetView view="pageBreakPreview" topLeftCell="C350" zoomScale="85" zoomScaleNormal="85" zoomScaleSheetLayoutView="85" workbookViewId="0">
      <selection activeCell="J355" sqref="J355:N357"/>
    </sheetView>
  </sheetViews>
  <sheetFormatPr defaultColWidth="9.109375" defaultRowHeight="13.2"/>
  <cols>
    <col min="1" max="1" width="10.33203125" style="728" bestFit="1" customWidth="1"/>
    <col min="2" max="2" width="44.88671875" style="728" customWidth="1"/>
    <col min="3" max="3" width="7.44140625" style="728" customWidth="1"/>
    <col min="4" max="4" width="13.6640625" style="762" bestFit="1" customWidth="1"/>
    <col min="5" max="5" width="14.88671875" style="763" customWidth="1"/>
    <col min="6" max="6" width="27" style="728" customWidth="1"/>
    <col min="7" max="7" width="13" style="764" customWidth="1"/>
    <col min="8" max="8" width="17.6640625" style="765" bestFit="1" customWidth="1"/>
    <col min="9" max="9" width="14" style="766" customWidth="1"/>
    <col min="10" max="10" width="25.33203125" style="764" customWidth="1"/>
    <col min="11" max="11" width="22.5546875" style="728" customWidth="1"/>
    <col min="12" max="12" width="16.33203125" style="728" customWidth="1"/>
    <col min="13" max="13" width="9.5546875" style="728" bestFit="1" customWidth="1"/>
    <col min="14" max="14" width="20.44140625" style="728" customWidth="1"/>
    <col min="15" max="15" width="13.44140625" style="728" bestFit="1" customWidth="1"/>
    <col min="16" max="16" width="9.109375" style="728"/>
    <col min="17" max="17" width="14.88671875" style="728" customWidth="1"/>
    <col min="18" max="16384" width="9.109375" style="728"/>
  </cols>
  <sheetData>
    <row r="1" spans="1:17" ht="18">
      <c r="A1" s="2552" t="s">
        <v>456</v>
      </c>
      <c r="B1" s="2552"/>
      <c r="C1" s="2552"/>
      <c r="D1" s="2552"/>
      <c r="E1" s="2552"/>
      <c r="F1" s="2552"/>
      <c r="G1" s="2552"/>
      <c r="H1" s="2552"/>
      <c r="I1" s="2552"/>
      <c r="J1" s="2552"/>
      <c r="K1" s="2552"/>
      <c r="L1" s="2552"/>
      <c r="M1" s="2552"/>
      <c r="N1" s="2552"/>
      <c r="Q1" s="840">
        <v>45382</v>
      </c>
    </row>
    <row r="2" spans="1:17">
      <c r="A2" s="730"/>
      <c r="B2" s="730"/>
      <c r="C2" s="730"/>
      <c r="D2" s="730"/>
      <c r="E2" s="730"/>
      <c r="F2" s="730"/>
      <c r="G2" s="730"/>
      <c r="H2" s="730"/>
      <c r="I2" s="730"/>
      <c r="J2" s="730"/>
      <c r="K2" s="730"/>
      <c r="L2" s="730"/>
      <c r="M2" s="730"/>
      <c r="N2" s="730"/>
    </row>
    <row r="3" spans="1:17">
      <c r="A3" s="2553" t="s">
        <v>3113</v>
      </c>
      <c r="B3" s="2553"/>
      <c r="C3" s="2553"/>
      <c r="D3" s="2553"/>
      <c r="E3" s="2553"/>
      <c r="F3" s="2553"/>
      <c r="G3" s="2553"/>
      <c r="H3" s="2553"/>
      <c r="I3" s="2553"/>
      <c r="J3" s="2553"/>
      <c r="K3" s="2553"/>
      <c r="L3" s="2553"/>
      <c r="M3" s="2553"/>
      <c r="N3" s="2553"/>
    </row>
    <row r="4" spans="1:17">
      <c r="A4" s="731"/>
      <c r="B4" s="732"/>
      <c r="C4" s="730"/>
      <c r="D4" s="731"/>
      <c r="E4" s="733"/>
      <c r="F4" s="734"/>
      <c r="G4" s="735"/>
      <c r="H4" s="733"/>
      <c r="I4" s="728"/>
      <c r="J4" s="728"/>
    </row>
    <row r="5" spans="1:17">
      <c r="A5" s="2575" t="s">
        <v>2011</v>
      </c>
      <c r="B5" s="2576" t="s">
        <v>463</v>
      </c>
      <c r="C5" s="2576" t="s">
        <v>2581</v>
      </c>
      <c r="D5" s="2575" t="s">
        <v>2582</v>
      </c>
      <c r="E5" s="2574" t="s">
        <v>1981</v>
      </c>
      <c r="F5" s="2577" t="s">
        <v>2583</v>
      </c>
      <c r="G5" s="2577" t="s">
        <v>2584</v>
      </c>
      <c r="H5" s="2574" t="s">
        <v>2585</v>
      </c>
      <c r="I5" s="2574" t="s">
        <v>2586</v>
      </c>
      <c r="J5" s="2574" t="s">
        <v>2587</v>
      </c>
      <c r="K5" s="2574"/>
      <c r="L5" s="2574"/>
      <c r="M5" s="2574"/>
      <c r="N5" s="2574"/>
    </row>
    <row r="6" spans="1:17">
      <c r="A6" s="2575"/>
      <c r="B6" s="2576"/>
      <c r="C6" s="2576"/>
      <c r="D6" s="2575"/>
      <c r="E6" s="2574"/>
      <c r="F6" s="2577"/>
      <c r="G6" s="2577"/>
      <c r="H6" s="2574"/>
      <c r="I6" s="2574"/>
      <c r="J6" s="1761" t="s">
        <v>2588</v>
      </c>
      <c r="K6" s="1761" t="s">
        <v>2589</v>
      </c>
      <c r="L6" s="1761" t="s">
        <v>2590</v>
      </c>
      <c r="M6" s="1761" t="s">
        <v>2591</v>
      </c>
      <c r="N6" s="1761" t="s">
        <v>2592</v>
      </c>
    </row>
    <row r="7" spans="1:17" ht="15.6">
      <c r="A7" s="838">
        <v>1</v>
      </c>
      <c r="B7" s="1762" t="s">
        <v>70</v>
      </c>
      <c r="C7" s="838"/>
      <c r="D7" s="839">
        <v>2282</v>
      </c>
      <c r="E7" s="840">
        <v>45354</v>
      </c>
      <c r="F7" s="1763">
        <v>656770</v>
      </c>
      <c r="G7" s="838">
        <v>30</v>
      </c>
      <c r="H7" s="842">
        <f t="shared" ref="H7:H114" si="0">+E7+G7</f>
        <v>45384</v>
      </c>
      <c r="I7" s="843">
        <f t="shared" ref="I7:I114" si="1">+$Q$1-H7+1</f>
        <v>-1</v>
      </c>
      <c r="J7" s="843">
        <f t="shared" ref="J7:J114" si="2">IF(I7&lt;=30,F7,0)</f>
        <v>656770</v>
      </c>
      <c r="K7" s="843">
        <f t="shared" ref="K7:K114" si="3">IF(I7&lt;=30,0,IF(I7&gt;60,0,F7))</f>
        <v>0</v>
      </c>
      <c r="L7" s="843">
        <f t="shared" ref="L7:L114" si="4">IF(I7&lt;=60,0,IF(I7&gt;90,0,F7))</f>
        <v>0</v>
      </c>
      <c r="M7" s="843">
        <f t="shared" ref="M7:M114" si="5">IF(I7&lt;=90,0,IF(I7&gt;120,0,F7))</f>
        <v>0</v>
      </c>
      <c r="N7" s="843">
        <f t="shared" ref="N7:N114" si="6">IF(I7&lt;=120,0,F7)</f>
        <v>0</v>
      </c>
    </row>
    <row r="8" spans="1:17" ht="15.6">
      <c r="A8" s="838"/>
      <c r="B8" s="838"/>
      <c r="C8" s="838"/>
      <c r="D8" s="839">
        <v>2342</v>
      </c>
      <c r="E8" s="840">
        <v>45363</v>
      </c>
      <c r="F8" s="1763">
        <v>688450</v>
      </c>
      <c r="G8" s="838">
        <v>30</v>
      </c>
      <c r="H8" s="842">
        <f t="shared" si="0"/>
        <v>45393</v>
      </c>
      <c r="I8" s="843">
        <f t="shared" si="1"/>
        <v>-10</v>
      </c>
      <c r="J8" s="843">
        <f t="shared" si="2"/>
        <v>688450</v>
      </c>
      <c r="K8" s="843">
        <f t="shared" si="3"/>
        <v>0</v>
      </c>
      <c r="L8" s="843">
        <f t="shared" si="4"/>
        <v>0</v>
      </c>
      <c r="M8" s="843">
        <f t="shared" si="5"/>
        <v>0</v>
      </c>
      <c r="N8" s="843">
        <f t="shared" si="6"/>
        <v>0</v>
      </c>
    </row>
    <row r="9" spans="1:17" ht="15.6">
      <c r="A9" s="838"/>
      <c r="B9" s="838"/>
      <c r="C9" s="838"/>
      <c r="D9" s="839">
        <v>2385</v>
      </c>
      <c r="E9" s="840">
        <v>45372</v>
      </c>
      <c r="F9" s="1763">
        <v>711541</v>
      </c>
      <c r="G9" s="838">
        <v>30</v>
      </c>
      <c r="H9" s="842">
        <f t="shared" si="0"/>
        <v>45402</v>
      </c>
      <c r="I9" s="843">
        <f t="shared" si="1"/>
        <v>-19</v>
      </c>
      <c r="J9" s="843">
        <f t="shared" si="2"/>
        <v>711541</v>
      </c>
      <c r="K9" s="843">
        <f t="shared" si="3"/>
        <v>0</v>
      </c>
      <c r="L9" s="843">
        <f t="shared" si="4"/>
        <v>0</v>
      </c>
      <c r="M9" s="843">
        <f t="shared" si="5"/>
        <v>0</v>
      </c>
      <c r="N9" s="843">
        <f t="shared" si="6"/>
        <v>0</v>
      </c>
    </row>
    <row r="10" spans="1:17" ht="15.6">
      <c r="A10" s="838"/>
      <c r="B10" s="838"/>
      <c r="C10" s="838"/>
      <c r="D10" s="839">
        <v>2439</v>
      </c>
      <c r="E10" s="840">
        <v>45380</v>
      </c>
      <c r="F10" s="1763">
        <f>681528-1</f>
        <v>681527</v>
      </c>
      <c r="G10" s="838">
        <v>30</v>
      </c>
      <c r="H10" s="842">
        <f t="shared" si="0"/>
        <v>45410</v>
      </c>
      <c r="I10" s="843">
        <f t="shared" si="1"/>
        <v>-27</v>
      </c>
      <c r="J10" s="843">
        <f t="shared" si="2"/>
        <v>681527</v>
      </c>
      <c r="K10" s="843">
        <f t="shared" si="3"/>
        <v>0</v>
      </c>
      <c r="L10" s="843">
        <f t="shared" si="4"/>
        <v>0</v>
      </c>
      <c r="M10" s="843">
        <f t="shared" si="5"/>
        <v>0</v>
      </c>
      <c r="N10" s="843">
        <f t="shared" si="6"/>
        <v>0</v>
      </c>
    </row>
    <row r="11" spans="1:17" ht="15.6">
      <c r="A11" s="838"/>
      <c r="B11" s="838"/>
      <c r="C11" s="838"/>
      <c r="D11" s="839" t="s">
        <v>1094</v>
      </c>
      <c r="E11" s="840">
        <v>45322</v>
      </c>
      <c r="F11" s="1764">
        <v>-845</v>
      </c>
      <c r="G11" s="838">
        <v>30</v>
      </c>
      <c r="H11" s="842">
        <f t="shared" si="0"/>
        <v>45352</v>
      </c>
      <c r="I11" s="843">
        <f t="shared" si="1"/>
        <v>31</v>
      </c>
      <c r="J11" s="843">
        <f t="shared" si="2"/>
        <v>0</v>
      </c>
      <c r="K11" s="843">
        <f t="shared" si="3"/>
        <v>-845</v>
      </c>
      <c r="L11" s="843">
        <f t="shared" si="4"/>
        <v>0</v>
      </c>
      <c r="M11" s="843">
        <f t="shared" si="5"/>
        <v>0</v>
      </c>
      <c r="N11" s="843">
        <f t="shared" si="6"/>
        <v>0</v>
      </c>
    </row>
    <row r="12" spans="1:17" ht="15.6">
      <c r="A12" s="838"/>
      <c r="B12" s="838"/>
      <c r="C12" s="838"/>
      <c r="D12" s="839" t="s">
        <v>1094</v>
      </c>
      <c r="E12" s="840">
        <v>45351</v>
      </c>
      <c r="F12" s="1764">
        <v>-478</v>
      </c>
      <c r="G12" s="838">
        <v>30</v>
      </c>
      <c r="H12" s="842">
        <f t="shared" si="0"/>
        <v>45381</v>
      </c>
      <c r="I12" s="843">
        <f t="shared" si="1"/>
        <v>2</v>
      </c>
      <c r="J12" s="843">
        <f t="shared" si="2"/>
        <v>-478</v>
      </c>
      <c r="K12" s="843">
        <f t="shared" si="3"/>
        <v>0</v>
      </c>
      <c r="L12" s="843">
        <f t="shared" si="4"/>
        <v>0</v>
      </c>
      <c r="M12" s="843">
        <f t="shared" si="5"/>
        <v>0</v>
      </c>
      <c r="N12" s="843">
        <f t="shared" si="6"/>
        <v>0</v>
      </c>
    </row>
    <row r="13" spans="1:17" ht="15.6">
      <c r="A13" s="838"/>
      <c r="B13" s="838"/>
      <c r="C13" s="838"/>
      <c r="D13" s="839" t="s">
        <v>1094</v>
      </c>
      <c r="E13" s="840">
        <v>45382</v>
      </c>
      <c r="F13" s="1764">
        <v>-2510</v>
      </c>
      <c r="G13" s="838">
        <v>30</v>
      </c>
      <c r="H13" s="842">
        <f t="shared" si="0"/>
        <v>45412</v>
      </c>
      <c r="I13" s="843">
        <f t="shared" si="1"/>
        <v>-29</v>
      </c>
      <c r="J13" s="843">
        <f t="shared" si="2"/>
        <v>-2510</v>
      </c>
      <c r="K13" s="843">
        <f t="shared" si="3"/>
        <v>0</v>
      </c>
      <c r="L13" s="843">
        <f t="shared" si="4"/>
        <v>0</v>
      </c>
      <c r="M13" s="843">
        <f t="shared" si="5"/>
        <v>0</v>
      </c>
      <c r="N13" s="843">
        <f t="shared" si="6"/>
        <v>0</v>
      </c>
    </row>
    <row r="14" spans="1:17" ht="15.6">
      <c r="A14" s="1765"/>
      <c r="B14" s="1765"/>
      <c r="C14" s="1765"/>
      <c r="D14" s="1765"/>
      <c r="E14" s="1766"/>
      <c r="F14" s="1767">
        <f>SUM(F7:F13)</f>
        <v>2734455</v>
      </c>
      <c r="G14" s="1765"/>
      <c r="H14" s="1766"/>
      <c r="I14" s="1768"/>
      <c r="J14" s="1767">
        <f>SUM(J7:J13)</f>
        <v>2735300</v>
      </c>
      <c r="K14" s="1767">
        <f t="shared" ref="K14:N14" si="7">SUM(K7:K13)</f>
        <v>-845</v>
      </c>
      <c r="L14" s="1767">
        <f t="shared" si="7"/>
        <v>0</v>
      </c>
      <c r="M14" s="1767">
        <f t="shared" si="7"/>
        <v>0</v>
      </c>
      <c r="N14" s="1767">
        <f t="shared" si="7"/>
        <v>0</v>
      </c>
      <c r="O14" s="773">
        <f>+SUM(J14:N14)</f>
        <v>2734455</v>
      </c>
      <c r="P14" s="1769">
        <f>+F14-O14</f>
        <v>0</v>
      </c>
    </row>
    <row r="15" spans="1:17" ht="15.6">
      <c r="A15" s="838">
        <v>2</v>
      </c>
      <c r="B15" s="1762" t="s">
        <v>2945</v>
      </c>
      <c r="C15" s="838"/>
      <c r="D15" s="839">
        <v>2211</v>
      </c>
      <c r="E15" s="840">
        <v>45346</v>
      </c>
      <c r="F15" s="1763">
        <v>121998</v>
      </c>
      <c r="G15" s="838">
        <v>30</v>
      </c>
      <c r="H15" s="842">
        <f t="shared" si="0"/>
        <v>45376</v>
      </c>
      <c r="I15" s="843">
        <f t="shared" si="1"/>
        <v>7</v>
      </c>
      <c r="J15" s="843">
        <f t="shared" si="2"/>
        <v>121998</v>
      </c>
      <c r="K15" s="843">
        <f t="shared" si="3"/>
        <v>0</v>
      </c>
      <c r="L15" s="843">
        <f t="shared" si="4"/>
        <v>0</v>
      </c>
      <c r="M15" s="843">
        <f t="shared" si="5"/>
        <v>0</v>
      </c>
      <c r="N15" s="843">
        <f t="shared" si="6"/>
        <v>0</v>
      </c>
    </row>
    <row r="16" spans="1:17" ht="15.6">
      <c r="A16" s="838"/>
      <c r="B16" s="838"/>
      <c r="C16" s="838"/>
      <c r="D16" s="839">
        <v>2367</v>
      </c>
      <c r="E16" s="840">
        <v>45370</v>
      </c>
      <c r="F16" s="1763">
        <v>122642</v>
      </c>
      <c r="G16" s="838">
        <v>30</v>
      </c>
      <c r="H16" s="842">
        <f t="shared" si="0"/>
        <v>45400</v>
      </c>
      <c r="I16" s="843">
        <f t="shared" si="1"/>
        <v>-17</v>
      </c>
      <c r="J16" s="843">
        <f t="shared" si="2"/>
        <v>122642</v>
      </c>
      <c r="K16" s="843">
        <f t="shared" si="3"/>
        <v>0</v>
      </c>
      <c r="L16" s="843">
        <f t="shared" si="4"/>
        <v>0</v>
      </c>
      <c r="M16" s="843">
        <f t="shared" si="5"/>
        <v>0</v>
      </c>
      <c r="N16" s="843">
        <f t="shared" si="6"/>
        <v>0</v>
      </c>
    </row>
    <row r="17" spans="1:16" ht="15.6">
      <c r="A17" s="1765"/>
      <c r="B17" s="1765"/>
      <c r="C17" s="1765"/>
      <c r="D17" s="1765"/>
      <c r="E17" s="1766"/>
      <c r="F17" s="1767">
        <f>SUM(F15:F16)</f>
        <v>244640</v>
      </c>
      <c r="G17" s="1765"/>
      <c r="H17" s="1766"/>
      <c r="I17" s="1768"/>
      <c r="J17" s="1770">
        <f>SUM(J15:J16)</f>
        <v>244640</v>
      </c>
      <c r="K17" s="1770">
        <f t="shared" ref="K17:N17" si="8">SUM(K15:K16)</f>
        <v>0</v>
      </c>
      <c r="L17" s="1770">
        <f t="shared" si="8"/>
        <v>0</v>
      </c>
      <c r="M17" s="1770">
        <f t="shared" si="8"/>
        <v>0</v>
      </c>
      <c r="N17" s="1770">
        <f t="shared" si="8"/>
        <v>0</v>
      </c>
      <c r="O17" s="773">
        <f>+SUM(J17:N17)</f>
        <v>244640</v>
      </c>
      <c r="P17" s="1769">
        <f>+F17-O17</f>
        <v>0</v>
      </c>
    </row>
    <row r="18" spans="1:16" ht="15.6">
      <c r="A18" s="838">
        <v>3</v>
      </c>
      <c r="B18" s="1762" t="s">
        <v>472</v>
      </c>
      <c r="C18" s="838"/>
      <c r="D18" s="839">
        <v>2290</v>
      </c>
      <c r="E18" s="840">
        <v>45355</v>
      </c>
      <c r="F18" s="1763">
        <v>244547</v>
      </c>
      <c r="G18" s="838">
        <v>30</v>
      </c>
      <c r="H18" s="842">
        <f t="shared" si="0"/>
        <v>45385</v>
      </c>
      <c r="I18" s="843">
        <f t="shared" si="1"/>
        <v>-2</v>
      </c>
      <c r="J18" s="843">
        <f t="shared" si="2"/>
        <v>244547</v>
      </c>
      <c r="K18" s="843">
        <f t="shared" si="3"/>
        <v>0</v>
      </c>
      <c r="L18" s="843">
        <f t="shared" si="4"/>
        <v>0</v>
      </c>
      <c r="M18" s="843">
        <f t="shared" si="5"/>
        <v>0</v>
      </c>
      <c r="N18" s="843">
        <f t="shared" si="6"/>
        <v>0</v>
      </c>
    </row>
    <row r="19" spans="1:16" ht="15.6">
      <c r="A19" s="838"/>
      <c r="B19" s="1762"/>
      <c r="C19" s="838"/>
      <c r="D19" s="839">
        <v>2328</v>
      </c>
      <c r="E19" s="840">
        <v>45361</v>
      </c>
      <c r="F19" s="1763">
        <v>239307</v>
      </c>
      <c r="G19" s="838">
        <v>30</v>
      </c>
      <c r="H19" s="842">
        <f t="shared" si="0"/>
        <v>45391</v>
      </c>
      <c r="I19" s="843">
        <f t="shared" si="1"/>
        <v>-8</v>
      </c>
      <c r="J19" s="843">
        <f t="shared" si="2"/>
        <v>239307</v>
      </c>
      <c r="K19" s="843">
        <f t="shared" si="3"/>
        <v>0</v>
      </c>
      <c r="L19" s="843">
        <f t="shared" si="4"/>
        <v>0</v>
      </c>
      <c r="M19" s="843">
        <f t="shared" si="5"/>
        <v>0</v>
      </c>
      <c r="N19" s="843">
        <f t="shared" si="6"/>
        <v>0</v>
      </c>
    </row>
    <row r="20" spans="1:16" ht="15.6">
      <c r="A20" s="838"/>
      <c r="B20" s="1762"/>
      <c r="C20" s="838"/>
      <c r="D20" s="839">
        <v>2344</v>
      </c>
      <c r="E20" s="840">
        <v>45363</v>
      </c>
      <c r="F20" s="1763">
        <v>121913</v>
      </c>
      <c r="G20" s="838">
        <v>30</v>
      </c>
      <c r="H20" s="842">
        <f t="shared" si="0"/>
        <v>45393</v>
      </c>
      <c r="I20" s="843">
        <f t="shared" si="1"/>
        <v>-10</v>
      </c>
      <c r="J20" s="843">
        <f t="shared" si="2"/>
        <v>121913</v>
      </c>
      <c r="K20" s="843">
        <f t="shared" si="3"/>
        <v>0</v>
      </c>
      <c r="L20" s="843">
        <f t="shared" si="4"/>
        <v>0</v>
      </c>
      <c r="M20" s="843">
        <f t="shared" si="5"/>
        <v>0</v>
      </c>
      <c r="N20" s="843">
        <f t="shared" si="6"/>
        <v>0</v>
      </c>
    </row>
    <row r="21" spans="1:16" ht="15.6">
      <c r="A21" s="838"/>
      <c r="B21" s="1762"/>
      <c r="C21" s="838"/>
      <c r="D21" s="839">
        <v>2365</v>
      </c>
      <c r="E21" s="840">
        <v>45370</v>
      </c>
      <c r="F21" s="1763">
        <v>445101</v>
      </c>
      <c r="G21" s="838">
        <v>30</v>
      </c>
      <c r="H21" s="842">
        <f t="shared" si="0"/>
        <v>45400</v>
      </c>
      <c r="I21" s="843">
        <f t="shared" si="1"/>
        <v>-17</v>
      </c>
      <c r="J21" s="843">
        <f t="shared" si="2"/>
        <v>445101</v>
      </c>
      <c r="K21" s="843">
        <f t="shared" si="3"/>
        <v>0</v>
      </c>
      <c r="L21" s="843">
        <f t="shared" si="4"/>
        <v>0</v>
      </c>
      <c r="M21" s="843">
        <f t="shared" si="5"/>
        <v>0</v>
      </c>
      <c r="N21" s="843">
        <f t="shared" si="6"/>
        <v>0</v>
      </c>
    </row>
    <row r="22" spans="1:16" ht="15.6">
      <c r="A22" s="838"/>
      <c r="B22" s="1762"/>
      <c r="C22" s="838"/>
      <c r="D22" s="839">
        <v>2402</v>
      </c>
      <c r="E22" s="840">
        <v>45375</v>
      </c>
      <c r="F22" s="1763">
        <v>246499</v>
      </c>
      <c r="G22" s="838">
        <v>30</v>
      </c>
      <c r="H22" s="842">
        <f t="shared" si="0"/>
        <v>45405</v>
      </c>
      <c r="I22" s="843">
        <f t="shared" si="1"/>
        <v>-22</v>
      </c>
      <c r="J22" s="843">
        <f t="shared" si="2"/>
        <v>246499</v>
      </c>
      <c r="K22" s="843">
        <f t="shared" si="3"/>
        <v>0</v>
      </c>
      <c r="L22" s="843">
        <f t="shared" si="4"/>
        <v>0</v>
      </c>
      <c r="M22" s="843">
        <f t="shared" si="5"/>
        <v>0</v>
      </c>
      <c r="N22" s="843">
        <f t="shared" si="6"/>
        <v>0</v>
      </c>
    </row>
    <row r="23" spans="1:16" ht="15.6">
      <c r="A23" s="838"/>
      <c r="B23" s="1762"/>
      <c r="C23" s="838"/>
      <c r="D23" s="839">
        <v>2432</v>
      </c>
      <c r="E23" s="840">
        <v>45379</v>
      </c>
      <c r="F23" s="1763">
        <v>194746</v>
      </c>
      <c r="G23" s="838">
        <v>30</v>
      </c>
      <c r="H23" s="842">
        <f t="shared" si="0"/>
        <v>45409</v>
      </c>
      <c r="I23" s="843">
        <f t="shared" si="1"/>
        <v>-26</v>
      </c>
      <c r="J23" s="843">
        <f t="shared" si="2"/>
        <v>194746</v>
      </c>
      <c r="K23" s="843">
        <f t="shared" si="3"/>
        <v>0</v>
      </c>
      <c r="L23" s="843">
        <f t="shared" si="4"/>
        <v>0</v>
      </c>
      <c r="M23" s="843">
        <f t="shared" si="5"/>
        <v>0</v>
      </c>
      <c r="N23" s="843">
        <f t="shared" si="6"/>
        <v>0</v>
      </c>
    </row>
    <row r="24" spans="1:16" ht="15.6">
      <c r="A24" s="838"/>
      <c r="B24" s="1762"/>
      <c r="C24" s="838"/>
      <c r="D24" s="839" t="s">
        <v>3114</v>
      </c>
      <c r="E24" s="840"/>
      <c r="F24" s="1763">
        <v>-855</v>
      </c>
      <c r="G24" s="838"/>
      <c r="H24" s="842"/>
      <c r="I24" s="843"/>
      <c r="J24" s="843">
        <f t="shared" si="2"/>
        <v>-855</v>
      </c>
      <c r="K24" s="843">
        <f t="shared" si="3"/>
        <v>0</v>
      </c>
      <c r="L24" s="843">
        <f t="shared" si="4"/>
        <v>0</v>
      </c>
      <c r="M24" s="843">
        <f t="shared" si="5"/>
        <v>0</v>
      </c>
      <c r="N24" s="843">
        <f t="shared" si="6"/>
        <v>0</v>
      </c>
    </row>
    <row r="25" spans="1:16" ht="15.6">
      <c r="A25" s="838"/>
      <c r="B25" s="838"/>
      <c r="C25" s="838"/>
      <c r="D25" s="839" t="s">
        <v>1094</v>
      </c>
      <c r="E25" s="840"/>
      <c r="F25" s="1764">
        <v>-1492</v>
      </c>
      <c r="G25" s="838">
        <v>30</v>
      </c>
      <c r="H25" s="842">
        <v>45382</v>
      </c>
      <c r="I25" s="843">
        <f t="shared" si="1"/>
        <v>1</v>
      </c>
      <c r="J25" s="843">
        <f t="shared" si="2"/>
        <v>-1492</v>
      </c>
      <c r="K25" s="843">
        <f t="shared" si="3"/>
        <v>0</v>
      </c>
      <c r="L25" s="843">
        <f t="shared" si="4"/>
        <v>0</v>
      </c>
      <c r="M25" s="843">
        <f t="shared" si="5"/>
        <v>0</v>
      </c>
      <c r="N25" s="843">
        <f t="shared" si="6"/>
        <v>0</v>
      </c>
    </row>
    <row r="26" spans="1:16" ht="15.6">
      <c r="A26" s="838"/>
      <c r="B26" s="838"/>
      <c r="C26" s="838"/>
      <c r="D26" s="839" t="s">
        <v>2002</v>
      </c>
      <c r="E26" s="840"/>
      <c r="F26" s="1764">
        <v>190</v>
      </c>
      <c r="G26" s="838"/>
      <c r="H26" s="842"/>
      <c r="I26" s="843"/>
      <c r="J26" s="843">
        <f t="shared" si="2"/>
        <v>190</v>
      </c>
      <c r="K26" s="843">
        <f t="shared" si="3"/>
        <v>0</v>
      </c>
      <c r="L26" s="843">
        <f t="shared" si="4"/>
        <v>0</v>
      </c>
      <c r="M26" s="843">
        <f t="shared" si="5"/>
        <v>0</v>
      </c>
      <c r="N26" s="843">
        <f t="shared" si="6"/>
        <v>0</v>
      </c>
    </row>
    <row r="27" spans="1:16" ht="15.6">
      <c r="A27" s="1765"/>
      <c r="B27" s="1765"/>
      <c r="C27" s="1765"/>
      <c r="D27" s="1771"/>
      <c r="E27" s="1772"/>
      <c r="F27" s="1773">
        <f>SUM(F18:F26)</f>
        <v>1489956</v>
      </c>
      <c r="G27" s="1765"/>
      <c r="H27" s="1766"/>
      <c r="I27" s="1768"/>
      <c r="J27" s="1770">
        <f>SUM(J18:J26)</f>
        <v>1489956</v>
      </c>
      <c r="K27" s="1770">
        <f>SUM(K18:K25)</f>
        <v>0</v>
      </c>
      <c r="L27" s="1770">
        <f t="shared" ref="L27:N27" si="9">SUM(L18:L25)</f>
        <v>0</v>
      </c>
      <c r="M27" s="1770">
        <f t="shared" si="9"/>
        <v>0</v>
      </c>
      <c r="N27" s="1770">
        <f t="shared" si="9"/>
        <v>0</v>
      </c>
      <c r="O27" s="773">
        <f>+SUM(J27:N27)</f>
        <v>1489956</v>
      </c>
      <c r="P27" s="1769">
        <f>+F27-O27</f>
        <v>0</v>
      </c>
    </row>
    <row r="28" spans="1:16" ht="15.6">
      <c r="A28" s="838">
        <v>4</v>
      </c>
      <c r="B28" s="1762" t="s">
        <v>3115</v>
      </c>
      <c r="C28" s="838"/>
      <c r="D28" s="839">
        <v>1909</v>
      </c>
      <c r="E28" s="840">
        <v>45317</v>
      </c>
      <c r="F28" s="1774">
        <v>50118</v>
      </c>
      <c r="G28" s="838">
        <v>30</v>
      </c>
      <c r="H28" s="842">
        <f t="shared" si="0"/>
        <v>45347</v>
      </c>
      <c r="I28" s="843">
        <f t="shared" si="1"/>
        <v>36</v>
      </c>
      <c r="J28" s="843">
        <f t="shared" si="2"/>
        <v>0</v>
      </c>
      <c r="K28" s="843">
        <f t="shared" si="3"/>
        <v>50118</v>
      </c>
      <c r="L28" s="843">
        <f t="shared" si="4"/>
        <v>0</v>
      </c>
      <c r="M28" s="843">
        <f t="shared" si="5"/>
        <v>0</v>
      </c>
      <c r="N28" s="843">
        <f t="shared" si="6"/>
        <v>0</v>
      </c>
    </row>
    <row r="29" spans="1:16" ht="15.6">
      <c r="A29" s="838"/>
      <c r="B29" s="838"/>
      <c r="C29" s="838"/>
      <c r="D29" s="839"/>
      <c r="E29" s="840"/>
      <c r="F29" s="1775"/>
      <c r="G29" s="838"/>
      <c r="H29" s="842"/>
      <c r="I29" s="843"/>
      <c r="J29" s="843"/>
      <c r="K29" s="843"/>
      <c r="L29" s="843"/>
      <c r="M29" s="843"/>
      <c r="N29" s="843"/>
    </row>
    <row r="30" spans="1:16" ht="15.6">
      <c r="A30" s="1765"/>
      <c r="B30" s="1765"/>
      <c r="C30" s="1765"/>
      <c r="D30" s="1771"/>
      <c r="E30" s="1772"/>
      <c r="F30" s="1776">
        <f>SUM(F28:F29)</f>
        <v>50118</v>
      </c>
      <c r="G30" s="1765"/>
      <c r="H30" s="1766"/>
      <c r="I30" s="1768"/>
      <c r="J30" s="1776">
        <f>SUM(J28:J29)</f>
        <v>0</v>
      </c>
      <c r="K30" s="1776">
        <f t="shared" ref="K30:N30" si="10">SUM(K28:K29)</f>
        <v>50118</v>
      </c>
      <c r="L30" s="1776">
        <f t="shared" si="10"/>
        <v>0</v>
      </c>
      <c r="M30" s="1776">
        <f t="shared" si="10"/>
        <v>0</v>
      </c>
      <c r="N30" s="1776">
        <f t="shared" si="10"/>
        <v>0</v>
      </c>
      <c r="O30" s="773">
        <f>+SUM(J30:N30)</f>
        <v>50118</v>
      </c>
      <c r="P30" s="1769">
        <f>+F30-O30</f>
        <v>0</v>
      </c>
    </row>
    <row r="31" spans="1:16" ht="15.6">
      <c r="A31" s="838">
        <v>5</v>
      </c>
      <c r="B31" s="1762" t="s">
        <v>481</v>
      </c>
      <c r="C31" s="838"/>
      <c r="D31" s="839">
        <v>2297</v>
      </c>
      <c r="E31" s="840">
        <v>45357</v>
      </c>
      <c r="F31" s="1763">
        <v>233302</v>
      </c>
      <c r="G31" s="838">
        <v>30</v>
      </c>
      <c r="H31" s="842">
        <f t="shared" si="0"/>
        <v>45387</v>
      </c>
      <c r="I31" s="843">
        <f t="shared" si="1"/>
        <v>-4</v>
      </c>
      <c r="J31" s="843">
        <f t="shared" si="2"/>
        <v>233302</v>
      </c>
      <c r="K31" s="843">
        <f t="shared" si="3"/>
        <v>0</v>
      </c>
      <c r="L31" s="843">
        <f t="shared" si="4"/>
        <v>0</v>
      </c>
      <c r="M31" s="843">
        <f t="shared" si="5"/>
        <v>0</v>
      </c>
      <c r="N31" s="843">
        <f t="shared" si="6"/>
        <v>0</v>
      </c>
    </row>
    <row r="32" spans="1:16" ht="15.6">
      <c r="A32" s="838"/>
      <c r="B32" s="1762"/>
      <c r="C32" s="838"/>
      <c r="D32" s="839"/>
      <c r="E32" s="840"/>
      <c r="F32" s="1763"/>
      <c r="G32" s="838"/>
      <c r="H32" s="842"/>
      <c r="I32" s="843"/>
      <c r="J32" s="843"/>
      <c r="K32" s="843"/>
      <c r="L32" s="843"/>
      <c r="M32" s="843"/>
      <c r="N32" s="843"/>
    </row>
    <row r="33" spans="1:16" ht="15.6">
      <c r="A33" s="1765"/>
      <c r="B33" s="1777"/>
      <c r="C33" s="1765"/>
      <c r="D33" s="1778"/>
      <c r="E33" s="1772"/>
      <c r="F33" s="1779">
        <f>SUM(F31:F32)</f>
        <v>233302</v>
      </c>
      <c r="G33" s="1765"/>
      <c r="H33" s="1766"/>
      <c r="I33" s="1768"/>
      <c r="J33" s="1767">
        <f>SUM(J31:J32)</f>
        <v>233302</v>
      </c>
      <c r="K33" s="1767">
        <f t="shared" ref="K33:N33" si="11">SUM(K31:K32)</f>
        <v>0</v>
      </c>
      <c r="L33" s="1767">
        <f t="shared" si="11"/>
        <v>0</v>
      </c>
      <c r="M33" s="1767">
        <f t="shared" si="11"/>
        <v>0</v>
      </c>
      <c r="N33" s="1767">
        <f t="shared" si="11"/>
        <v>0</v>
      </c>
      <c r="O33" s="773">
        <f>+SUM(J33:N33)</f>
        <v>233302</v>
      </c>
      <c r="P33" s="1769">
        <f>+F33-O33</f>
        <v>0</v>
      </c>
    </row>
    <row r="34" spans="1:16" ht="15.6">
      <c r="A34" s="838">
        <v>7</v>
      </c>
      <c r="B34" s="1762" t="s">
        <v>2964</v>
      </c>
      <c r="C34" s="838"/>
      <c r="D34" s="839">
        <v>2201</v>
      </c>
      <c r="E34" s="840">
        <v>45345</v>
      </c>
      <c r="F34" s="1763">
        <v>152598</v>
      </c>
      <c r="G34" s="838">
        <v>30</v>
      </c>
      <c r="H34" s="842">
        <f t="shared" si="0"/>
        <v>45375</v>
      </c>
      <c r="I34" s="843">
        <f t="shared" si="1"/>
        <v>8</v>
      </c>
      <c r="J34" s="843">
        <f t="shared" si="2"/>
        <v>152598</v>
      </c>
      <c r="K34" s="843">
        <f t="shared" si="3"/>
        <v>0</v>
      </c>
      <c r="L34" s="843">
        <f t="shared" si="4"/>
        <v>0</v>
      </c>
      <c r="M34" s="843">
        <f t="shared" si="5"/>
        <v>0</v>
      </c>
      <c r="N34" s="843">
        <f t="shared" si="6"/>
        <v>0</v>
      </c>
    </row>
    <row r="35" spans="1:16" ht="15.6">
      <c r="A35" s="838"/>
      <c r="B35" s="838"/>
      <c r="C35" s="838"/>
      <c r="D35" s="839"/>
      <c r="E35" s="840"/>
      <c r="F35" s="1764"/>
      <c r="G35" s="838"/>
      <c r="H35" s="842"/>
      <c r="I35" s="843"/>
      <c r="J35" s="843">
        <f t="shared" si="2"/>
        <v>0</v>
      </c>
      <c r="K35" s="843">
        <f t="shared" si="3"/>
        <v>0</v>
      </c>
      <c r="L35" s="843">
        <f t="shared" si="4"/>
        <v>0</v>
      </c>
      <c r="M35" s="843">
        <f t="shared" si="5"/>
        <v>0</v>
      </c>
      <c r="N35" s="843">
        <f t="shared" si="6"/>
        <v>0</v>
      </c>
    </row>
    <row r="36" spans="1:16" ht="15.6">
      <c r="A36" s="1765"/>
      <c r="B36" s="1765"/>
      <c r="C36" s="1765"/>
      <c r="D36" s="1771"/>
      <c r="E36" s="1772"/>
      <c r="F36" s="1773">
        <f>SUM(F34:F35)</f>
        <v>152598</v>
      </c>
      <c r="G36" s="1765"/>
      <c r="H36" s="1766"/>
      <c r="I36" s="1768"/>
      <c r="J36" s="1780">
        <f>SUM(J34:J35)</f>
        <v>152598</v>
      </c>
      <c r="K36" s="1780">
        <f t="shared" ref="K36:N36" si="12">SUM(K34:K35)</f>
        <v>0</v>
      </c>
      <c r="L36" s="1780">
        <f t="shared" si="12"/>
        <v>0</v>
      </c>
      <c r="M36" s="1780">
        <f t="shared" si="12"/>
        <v>0</v>
      </c>
      <c r="N36" s="1780">
        <f t="shared" si="12"/>
        <v>0</v>
      </c>
      <c r="O36" s="773">
        <f>+SUM(J36:N36)</f>
        <v>152598</v>
      </c>
      <c r="P36" s="1769">
        <f>+F36-O36</f>
        <v>0</v>
      </c>
    </row>
    <row r="37" spans="1:16" ht="15.6">
      <c r="A37" s="838">
        <v>8</v>
      </c>
      <c r="B37" s="1762" t="s">
        <v>433</v>
      </c>
      <c r="C37" s="838"/>
      <c r="D37" s="839">
        <v>2389</v>
      </c>
      <c r="E37" s="840">
        <v>45373</v>
      </c>
      <c r="F37" s="1764">
        <v>250430</v>
      </c>
      <c r="G37" s="838">
        <v>30</v>
      </c>
      <c r="H37" s="842">
        <f t="shared" si="0"/>
        <v>45403</v>
      </c>
      <c r="I37" s="843">
        <f t="shared" si="1"/>
        <v>-20</v>
      </c>
      <c r="J37" s="843">
        <f t="shared" si="2"/>
        <v>250430</v>
      </c>
      <c r="K37" s="843">
        <f t="shared" si="3"/>
        <v>0</v>
      </c>
      <c r="L37" s="843">
        <f t="shared" si="4"/>
        <v>0</v>
      </c>
      <c r="M37" s="843">
        <f t="shared" si="5"/>
        <v>0</v>
      </c>
      <c r="N37" s="843">
        <f t="shared" si="6"/>
        <v>0</v>
      </c>
    </row>
    <row r="38" spans="1:16" ht="15.6">
      <c r="A38" s="838"/>
      <c r="B38" s="838"/>
      <c r="C38" s="838"/>
      <c r="D38" s="839"/>
      <c r="E38" s="840"/>
      <c r="F38" s="1764"/>
      <c r="G38" s="838"/>
      <c r="H38" s="842"/>
      <c r="I38" s="843"/>
      <c r="J38" s="843"/>
      <c r="K38" s="843"/>
      <c r="L38" s="843"/>
      <c r="M38" s="843"/>
      <c r="N38" s="843"/>
    </row>
    <row r="39" spans="1:16" ht="18">
      <c r="A39" s="1765"/>
      <c r="B39" s="1765"/>
      <c r="C39" s="1765"/>
      <c r="D39" s="1771"/>
      <c r="E39" s="1772"/>
      <c r="F39" s="1767">
        <f>SUM(F37:F38)</f>
        <v>250430</v>
      </c>
      <c r="G39" s="1765"/>
      <c r="H39" s="1766"/>
      <c r="I39" s="1768"/>
      <c r="J39" s="1781">
        <f>SUM(J37:J38)</f>
        <v>250430</v>
      </c>
      <c r="K39" s="1781">
        <f t="shared" ref="K39:N39" si="13">SUM(K37:K38)</f>
        <v>0</v>
      </c>
      <c r="L39" s="1781">
        <f t="shared" si="13"/>
        <v>0</v>
      </c>
      <c r="M39" s="1781">
        <f t="shared" si="13"/>
        <v>0</v>
      </c>
      <c r="N39" s="1781">
        <f t="shared" si="13"/>
        <v>0</v>
      </c>
      <c r="O39" s="773">
        <f>+SUM(J39:N39)</f>
        <v>250430</v>
      </c>
      <c r="P39" s="1769">
        <f>+F39-O39</f>
        <v>0</v>
      </c>
    </row>
    <row r="40" spans="1:16" ht="15.6">
      <c r="A40" s="838">
        <v>9</v>
      </c>
      <c r="B40" s="1762" t="s">
        <v>230</v>
      </c>
      <c r="C40" s="838"/>
      <c r="D40" s="839">
        <v>2100</v>
      </c>
      <c r="E40" s="840">
        <v>45328</v>
      </c>
      <c r="F40" s="1774">
        <v>829450</v>
      </c>
      <c r="G40" s="838">
        <v>30</v>
      </c>
      <c r="H40" s="842">
        <f t="shared" si="0"/>
        <v>45358</v>
      </c>
      <c r="I40" s="843">
        <f t="shared" si="1"/>
        <v>25</v>
      </c>
      <c r="J40" s="843">
        <f t="shared" si="2"/>
        <v>829450</v>
      </c>
      <c r="K40" s="843">
        <f t="shared" si="3"/>
        <v>0</v>
      </c>
      <c r="L40" s="843">
        <f t="shared" si="4"/>
        <v>0</v>
      </c>
      <c r="M40" s="843">
        <f t="shared" si="5"/>
        <v>0</v>
      </c>
      <c r="N40" s="843">
        <f t="shared" si="6"/>
        <v>0</v>
      </c>
    </row>
    <row r="41" spans="1:16" ht="15.6">
      <c r="A41" s="838"/>
      <c r="B41" s="1762"/>
      <c r="C41" s="838"/>
      <c r="D41" s="839">
        <v>2103</v>
      </c>
      <c r="E41" s="840">
        <v>45328</v>
      </c>
      <c r="F41" s="1774">
        <v>381420</v>
      </c>
      <c r="G41" s="838">
        <v>30</v>
      </c>
      <c r="H41" s="842">
        <f t="shared" si="0"/>
        <v>45358</v>
      </c>
      <c r="I41" s="843">
        <f t="shared" si="1"/>
        <v>25</v>
      </c>
      <c r="J41" s="843">
        <f t="shared" si="2"/>
        <v>381420</v>
      </c>
      <c r="K41" s="843">
        <f t="shared" si="3"/>
        <v>0</v>
      </c>
      <c r="L41" s="843">
        <f t="shared" si="4"/>
        <v>0</v>
      </c>
      <c r="M41" s="843">
        <f t="shared" si="5"/>
        <v>0</v>
      </c>
      <c r="N41" s="843">
        <f t="shared" si="6"/>
        <v>0</v>
      </c>
    </row>
    <row r="42" spans="1:16" ht="15.6">
      <c r="A42" s="838"/>
      <c r="B42" s="1762"/>
      <c r="C42" s="838"/>
      <c r="D42" s="839">
        <v>2104</v>
      </c>
      <c r="E42" s="840">
        <v>45328</v>
      </c>
      <c r="F42" s="1774">
        <v>400237</v>
      </c>
      <c r="G42" s="838">
        <v>30</v>
      </c>
      <c r="H42" s="842">
        <f t="shared" si="0"/>
        <v>45358</v>
      </c>
      <c r="I42" s="843">
        <f t="shared" si="1"/>
        <v>25</v>
      </c>
      <c r="J42" s="843">
        <f t="shared" si="2"/>
        <v>400237</v>
      </c>
      <c r="K42" s="843">
        <f t="shared" si="3"/>
        <v>0</v>
      </c>
      <c r="L42" s="843">
        <f t="shared" si="4"/>
        <v>0</v>
      </c>
      <c r="M42" s="843">
        <f t="shared" si="5"/>
        <v>0</v>
      </c>
      <c r="N42" s="843">
        <f t="shared" si="6"/>
        <v>0</v>
      </c>
    </row>
    <row r="43" spans="1:16" ht="15.6">
      <c r="A43" s="838"/>
      <c r="B43" s="1762"/>
      <c r="C43" s="838"/>
      <c r="D43" s="839">
        <v>2105</v>
      </c>
      <c r="E43" s="840">
        <v>45329</v>
      </c>
      <c r="F43" s="1774">
        <v>236092</v>
      </c>
      <c r="G43" s="838">
        <v>30</v>
      </c>
      <c r="H43" s="842">
        <f t="shared" si="0"/>
        <v>45359</v>
      </c>
      <c r="I43" s="843">
        <f t="shared" si="1"/>
        <v>24</v>
      </c>
      <c r="J43" s="843">
        <f t="shared" si="2"/>
        <v>236092</v>
      </c>
      <c r="K43" s="843">
        <f t="shared" si="3"/>
        <v>0</v>
      </c>
      <c r="L43" s="843">
        <f t="shared" si="4"/>
        <v>0</v>
      </c>
      <c r="M43" s="843">
        <f t="shared" si="5"/>
        <v>0</v>
      </c>
      <c r="N43" s="843">
        <f t="shared" si="6"/>
        <v>0</v>
      </c>
    </row>
    <row r="44" spans="1:16" ht="15.6">
      <c r="A44" s="838"/>
      <c r="B44" s="1762"/>
      <c r="C44" s="838"/>
      <c r="D44" s="839">
        <v>2110</v>
      </c>
      <c r="E44" s="840">
        <v>45329</v>
      </c>
      <c r="F44" s="1774">
        <v>230271</v>
      </c>
      <c r="G44" s="838">
        <v>30</v>
      </c>
      <c r="H44" s="842">
        <f t="shared" si="0"/>
        <v>45359</v>
      </c>
      <c r="I44" s="843">
        <f t="shared" si="1"/>
        <v>24</v>
      </c>
      <c r="J44" s="843">
        <f t="shared" si="2"/>
        <v>230271</v>
      </c>
      <c r="K44" s="843">
        <f t="shared" si="3"/>
        <v>0</v>
      </c>
      <c r="L44" s="843">
        <f t="shared" si="4"/>
        <v>0</v>
      </c>
      <c r="M44" s="843">
        <f t="shared" si="5"/>
        <v>0</v>
      </c>
      <c r="N44" s="843">
        <f t="shared" si="6"/>
        <v>0</v>
      </c>
    </row>
    <row r="45" spans="1:16" ht="15.6">
      <c r="A45" s="838"/>
      <c r="B45" s="1762"/>
      <c r="C45" s="838"/>
      <c r="D45" s="839">
        <v>2116</v>
      </c>
      <c r="E45" s="840">
        <v>45330</v>
      </c>
      <c r="F45" s="1774">
        <v>150981</v>
      </c>
      <c r="G45" s="838">
        <v>30</v>
      </c>
      <c r="H45" s="842">
        <f t="shared" si="0"/>
        <v>45360</v>
      </c>
      <c r="I45" s="843">
        <f t="shared" si="1"/>
        <v>23</v>
      </c>
      <c r="J45" s="843">
        <f t="shared" si="2"/>
        <v>150981</v>
      </c>
      <c r="K45" s="843">
        <f t="shared" si="3"/>
        <v>0</v>
      </c>
      <c r="L45" s="843">
        <f t="shared" si="4"/>
        <v>0</v>
      </c>
      <c r="M45" s="843">
        <f t="shared" si="5"/>
        <v>0</v>
      </c>
      <c r="N45" s="843">
        <f t="shared" si="6"/>
        <v>0</v>
      </c>
    </row>
    <row r="46" spans="1:16" ht="15.6">
      <c r="A46" s="838"/>
      <c r="B46" s="1762"/>
      <c r="C46" s="838"/>
      <c r="D46" s="839">
        <v>2117</v>
      </c>
      <c r="E46" s="840">
        <v>45330</v>
      </c>
      <c r="F46" s="1774">
        <v>175333</v>
      </c>
      <c r="G46" s="838">
        <v>30</v>
      </c>
      <c r="H46" s="842">
        <f t="shared" si="0"/>
        <v>45360</v>
      </c>
      <c r="I46" s="843">
        <f t="shared" si="1"/>
        <v>23</v>
      </c>
      <c r="J46" s="843">
        <f t="shared" si="2"/>
        <v>175333</v>
      </c>
      <c r="K46" s="843">
        <f t="shared" si="3"/>
        <v>0</v>
      </c>
      <c r="L46" s="843">
        <f t="shared" si="4"/>
        <v>0</v>
      </c>
      <c r="M46" s="843">
        <f t="shared" si="5"/>
        <v>0</v>
      </c>
      <c r="N46" s="843">
        <f t="shared" si="6"/>
        <v>0</v>
      </c>
    </row>
    <row r="47" spans="1:16" ht="15.6">
      <c r="A47" s="838"/>
      <c r="B47" s="1762"/>
      <c r="C47" s="838"/>
      <c r="D47" s="839">
        <v>2118</v>
      </c>
      <c r="E47" s="840">
        <v>45330</v>
      </c>
      <c r="F47" s="1774">
        <v>222217</v>
      </c>
      <c r="G47" s="838">
        <v>30</v>
      </c>
      <c r="H47" s="842">
        <f t="shared" si="0"/>
        <v>45360</v>
      </c>
      <c r="I47" s="843">
        <f t="shared" si="1"/>
        <v>23</v>
      </c>
      <c r="J47" s="843">
        <f t="shared" si="2"/>
        <v>222217</v>
      </c>
      <c r="K47" s="843">
        <f t="shared" si="3"/>
        <v>0</v>
      </c>
      <c r="L47" s="843">
        <f t="shared" si="4"/>
        <v>0</v>
      </c>
      <c r="M47" s="843">
        <f t="shared" si="5"/>
        <v>0</v>
      </c>
      <c r="N47" s="843">
        <f t="shared" si="6"/>
        <v>0</v>
      </c>
    </row>
    <row r="48" spans="1:16" ht="15.6">
      <c r="A48" s="838"/>
      <c r="B48" s="1762"/>
      <c r="C48" s="838"/>
      <c r="D48" s="839">
        <v>2121</v>
      </c>
      <c r="E48" s="840">
        <v>45331</v>
      </c>
      <c r="F48" s="1774">
        <v>674010</v>
      </c>
      <c r="G48" s="838">
        <v>30</v>
      </c>
      <c r="H48" s="842">
        <f t="shared" si="0"/>
        <v>45361</v>
      </c>
      <c r="I48" s="843">
        <f t="shared" si="1"/>
        <v>22</v>
      </c>
      <c r="J48" s="843">
        <f t="shared" si="2"/>
        <v>674010</v>
      </c>
      <c r="K48" s="843">
        <f t="shared" si="3"/>
        <v>0</v>
      </c>
      <c r="L48" s="843">
        <f t="shared" si="4"/>
        <v>0</v>
      </c>
      <c r="M48" s="843">
        <f t="shared" si="5"/>
        <v>0</v>
      </c>
      <c r="N48" s="843">
        <f t="shared" si="6"/>
        <v>0</v>
      </c>
    </row>
    <row r="49" spans="1:14" ht="15.6">
      <c r="A49" s="838"/>
      <c r="B49" s="1762"/>
      <c r="C49" s="838"/>
      <c r="D49" s="839">
        <v>2125</v>
      </c>
      <c r="E49" s="840">
        <v>45332</v>
      </c>
      <c r="F49" s="1774">
        <v>269325</v>
      </c>
      <c r="G49" s="838">
        <v>30</v>
      </c>
      <c r="H49" s="842">
        <f t="shared" si="0"/>
        <v>45362</v>
      </c>
      <c r="I49" s="843">
        <f t="shared" si="1"/>
        <v>21</v>
      </c>
      <c r="J49" s="843">
        <f t="shared" si="2"/>
        <v>269325</v>
      </c>
      <c r="K49" s="843">
        <f t="shared" si="3"/>
        <v>0</v>
      </c>
      <c r="L49" s="843">
        <f t="shared" si="4"/>
        <v>0</v>
      </c>
      <c r="M49" s="843">
        <f t="shared" si="5"/>
        <v>0</v>
      </c>
      <c r="N49" s="843">
        <f t="shared" si="6"/>
        <v>0</v>
      </c>
    </row>
    <row r="50" spans="1:14" ht="15.6">
      <c r="A50" s="838"/>
      <c r="B50" s="1762"/>
      <c r="C50" s="838"/>
      <c r="D50" s="839">
        <v>2127</v>
      </c>
      <c r="E50" s="840">
        <v>45333</v>
      </c>
      <c r="F50" s="1774">
        <v>42439</v>
      </c>
      <c r="G50" s="838">
        <v>30</v>
      </c>
      <c r="H50" s="842">
        <f t="shared" si="0"/>
        <v>45363</v>
      </c>
      <c r="I50" s="843">
        <f t="shared" si="1"/>
        <v>20</v>
      </c>
      <c r="J50" s="843">
        <f t="shared" si="2"/>
        <v>42439</v>
      </c>
      <c r="K50" s="843">
        <f t="shared" si="3"/>
        <v>0</v>
      </c>
      <c r="L50" s="843">
        <f t="shared" si="4"/>
        <v>0</v>
      </c>
      <c r="M50" s="843">
        <f t="shared" si="5"/>
        <v>0</v>
      </c>
      <c r="N50" s="843">
        <f t="shared" si="6"/>
        <v>0</v>
      </c>
    </row>
    <row r="51" spans="1:14" ht="15.6">
      <c r="A51" s="838"/>
      <c r="B51" s="1762"/>
      <c r="C51" s="838"/>
      <c r="D51" s="839">
        <v>2133</v>
      </c>
      <c r="E51" s="840">
        <v>45334</v>
      </c>
      <c r="F51" s="1774">
        <v>365814</v>
      </c>
      <c r="G51" s="838">
        <v>30</v>
      </c>
      <c r="H51" s="842">
        <f t="shared" si="0"/>
        <v>45364</v>
      </c>
      <c r="I51" s="843">
        <f t="shared" si="1"/>
        <v>19</v>
      </c>
      <c r="J51" s="843">
        <f t="shared" si="2"/>
        <v>365814</v>
      </c>
      <c r="K51" s="843">
        <f t="shared" si="3"/>
        <v>0</v>
      </c>
      <c r="L51" s="843">
        <f t="shared" si="4"/>
        <v>0</v>
      </c>
      <c r="M51" s="843">
        <f t="shared" si="5"/>
        <v>0</v>
      </c>
      <c r="N51" s="843">
        <f t="shared" si="6"/>
        <v>0</v>
      </c>
    </row>
    <row r="52" spans="1:14" ht="15.6">
      <c r="A52" s="838"/>
      <c r="B52" s="1762"/>
      <c r="C52" s="838"/>
      <c r="D52" s="839">
        <v>2136</v>
      </c>
      <c r="E52" s="840">
        <v>45334</v>
      </c>
      <c r="F52" s="1774">
        <v>43126</v>
      </c>
      <c r="G52" s="838">
        <v>30</v>
      </c>
      <c r="H52" s="842">
        <f t="shared" si="0"/>
        <v>45364</v>
      </c>
      <c r="I52" s="843">
        <f t="shared" si="1"/>
        <v>19</v>
      </c>
      <c r="J52" s="843">
        <f t="shared" si="2"/>
        <v>43126</v>
      </c>
      <c r="K52" s="843">
        <f t="shared" si="3"/>
        <v>0</v>
      </c>
      <c r="L52" s="843">
        <f t="shared" si="4"/>
        <v>0</v>
      </c>
      <c r="M52" s="843">
        <f t="shared" si="5"/>
        <v>0</v>
      </c>
      <c r="N52" s="843">
        <f t="shared" si="6"/>
        <v>0</v>
      </c>
    </row>
    <row r="53" spans="1:14" ht="15.6">
      <c r="A53" s="838"/>
      <c r="B53" s="1762"/>
      <c r="C53" s="838"/>
      <c r="D53" s="839">
        <v>2145</v>
      </c>
      <c r="E53" s="840">
        <v>45335</v>
      </c>
      <c r="F53" s="1774">
        <v>209948</v>
      </c>
      <c r="G53" s="838">
        <v>30</v>
      </c>
      <c r="H53" s="842">
        <f t="shared" si="0"/>
        <v>45365</v>
      </c>
      <c r="I53" s="843">
        <f t="shared" si="1"/>
        <v>18</v>
      </c>
      <c r="J53" s="843">
        <f t="shared" si="2"/>
        <v>209948</v>
      </c>
      <c r="K53" s="843">
        <f t="shared" si="3"/>
        <v>0</v>
      </c>
      <c r="L53" s="843">
        <f t="shared" si="4"/>
        <v>0</v>
      </c>
      <c r="M53" s="843">
        <f t="shared" si="5"/>
        <v>0</v>
      </c>
      <c r="N53" s="843">
        <f t="shared" si="6"/>
        <v>0</v>
      </c>
    </row>
    <row r="54" spans="1:14" ht="15.6">
      <c r="A54" s="838"/>
      <c r="B54" s="1762"/>
      <c r="C54" s="838"/>
      <c r="D54" s="839">
        <v>2150</v>
      </c>
      <c r="E54" s="840">
        <v>45336</v>
      </c>
      <c r="F54" s="1774">
        <v>199438</v>
      </c>
      <c r="G54" s="838">
        <v>30</v>
      </c>
      <c r="H54" s="842">
        <f t="shared" si="0"/>
        <v>45366</v>
      </c>
      <c r="I54" s="843">
        <f t="shared" si="1"/>
        <v>17</v>
      </c>
      <c r="J54" s="843">
        <f t="shared" si="2"/>
        <v>199438</v>
      </c>
      <c r="K54" s="843">
        <f t="shared" si="3"/>
        <v>0</v>
      </c>
      <c r="L54" s="843">
        <f t="shared" si="4"/>
        <v>0</v>
      </c>
      <c r="M54" s="843">
        <f t="shared" si="5"/>
        <v>0</v>
      </c>
      <c r="N54" s="843">
        <f t="shared" si="6"/>
        <v>0</v>
      </c>
    </row>
    <row r="55" spans="1:14" ht="15.6">
      <c r="A55" s="838"/>
      <c r="B55" s="1762"/>
      <c r="C55" s="838"/>
      <c r="D55" s="839">
        <v>2158</v>
      </c>
      <c r="E55" s="840">
        <v>45337</v>
      </c>
      <c r="F55" s="1774">
        <v>295444</v>
      </c>
      <c r="G55" s="838">
        <v>30</v>
      </c>
      <c r="H55" s="842">
        <f t="shared" si="0"/>
        <v>45367</v>
      </c>
      <c r="I55" s="843">
        <f t="shared" si="1"/>
        <v>16</v>
      </c>
      <c r="J55" s="843">
        <f t="shared" si="2"/>
        <v>295444</v>
      </c>
      <c r="K55" s="843">
        <f t="shared" si="3"/>
        <v>0</v>
      </c>
      <c r="L55" s="843">
        <f t="shared" si="4"/>
        <v>0</v>
      </c>
      <c r="M55" s="843">
        <f t="shared" si="5"/>
        <v>0</v>
      </c>
      <c r="N55" s="843">
        <f t="shared" si="6"/>
        <v>0</v>
      </c>
    </row>
    <row r="56" spans="1:14" ht="15.6">
      <c r="A56" s="838"/>
      <c r="B56" s="1762"/>
      <c r="C56" s="838"/>
      <c r="D56" s="839">
        <v>2159</v>
      </c>
      <c r="E56" s="840">
        <v>45337</v>
      </c>
      <c r="F56" s="1774">
        <v>315975</v>
      </c>
      <c r="G56" s="838">
        <v>30</v>
      </c>
      <c r="H56" s="842">
        <f t="shared" si="0"/>
        <v>45367</v>
      </c>
      <c r="I56" s="843">
        <f t="shared" si="1"/>
        <v>16</v>
      </c>
      <c r="J56" s="843">
        <f t="shared" si="2"/>
        <v>315975</v>
      </c>
      <c r="K56" s="843">
        <f t="shared" si="3"/>
        <v>0</v>
      </c>
      <c r="L56" s="843">
        <f t="shared" si="4"/>
        <v>0</v>
      </c>
      <c r="M56" s="843">
        <f t="shared" si="5"/>
        <v>0</v>
      </c>
      <c r="N56" s="843">
        <f t="shared" si="6"/>
        <v>0</v>
      </c>
    </row>
    <row r="57" spans="1:14" ht="15.6">
      <c r="A57" s="838"/>
      <c r="B57" s="1762"/>
      <c r="C57" s="838"/>
      <c r="D57" s="839">
        <v>2165</v>
      </c>
      <c r="E57" s="840">
        <v>45338</v>
      </c>
      <c r="F57" s="1774">
        <v>230516</v>
      </c>
      <c r="G57" s="838">
        <v>30</v>
      </c>
      <c r="H57" s="842">
        <f t="shared" si="0"/>
        <v>45368</v>
      </c>
      <c r="I57" s="843">
        <f t="shared" si="1"/>
        <v>15</v>
      </c>
      <c r="J57" s="843">
        <f t="shared" si="2"/>
        <v>230516</v>
      </c>
      <c r="K57" s="843">
        <f t="shared" si="3"/>
        <v>0</v>
      </c>
      <c r="L57" s="843">
        <f t="shared" si="4"/>
        <v>0</v>
      </c>
      <c r="M57" s="843">
        <f t="shared" si="5"/>
        <v>0</v>
      </c>
      <c r="N57" s="843">
        <f t="shared" si="6"/>
        <v>0</v>
      </c>
    </row>
    <row r="58" spans="1:14" ht="15.6">
      <c r="A58" s="838"/>
      <c r="B58" s="1762"/>
      <c r="C58" s="838"/>
      <c r="D58" s="839">
        <v>2177</v>
      </c>
      <c r="E58" s="840">
        <v>45341</v>
      </c>
      <c r="F58" s="1763">
        <v>300431</v>
      </c>
      <c r="G58" s="838">
        <v>30</v>
      </c>
      <c r="H58" s="842">
        <f t="shared" si="0"/>
        <v>45371</v>
      </c>
      <c r="I58" s="843">
        <f t="shared" si="1"/>
        <v>12</v>
      </c>
      <c r="J58" s="843">
        <f t="shared" si="2"/>
        <v>300431</v>
      </c>
      <c r="K58" s="843">
        <f t="shared" si="3"/>
        <v>0</v>
      </c>
      <c r="L58" s="843">
        <f t="shared" si="4"/>
        <v>0</v>
      </c>
      <c r="M58" s="843">
        <f t="shared" si="5"/>
        <v>0</v>
      </c>
      <c r="N58" s="843">
        <f t="shared" si="6"/>
        <v>0</v>
      </c>
    </row>
    <row r="59" spans="1:14" ht="15.6">
      <c r="A59" s="838"/>
      <c r="B59" s="1762"/>
      <c r="C59" s="838"/>
      <c r="D59" s="839">
        <v>2189</v>
      </c>
      <c r="E59" s="840">
        <v>45342</v>
      </c>
      <c r="F59" s="1763">
        <v>184909</v>
      </c>
      <c r="G59" s="838">
        <v>30</v>
      </c>
      <c r="H59" s="842">
        <f t="shared" si="0"/>
        <v>45372</v>
      </c>
      <c r="I59" s="843">
        <f t="shared" si="1"/>
        <v>11</v>
      </c>
      <c r="J59" s="843">
        <f t="shared" si="2"/>
        <v>184909</v>
      </c>
      <c r="K59" s="843">
        <f t="shared" si="3"/>
        <v>0</v>
      </c>
      <c r="L59" s="843">
        <f t="shared" si="4"/>
        <v>0</v>
      </c>
      <c r="M59" s="843">
        <f t="shared" si="5"/>
        <v>0</v>
      </c>
      <c r="N59" s="843">
        <f t="shared" si="6"/>
        <v>0</v>
      </c>
    </row>
    <row r="60" spans="1:14" ht="15.6">
      <c r="A60" s="838"/>
      <c r="B60" s="1762"/>
      <c r="C60" s="838"/>
      <c r="D60" s="839">
        <v>2190</v>
      </c>
      <c r="E60" s="840">
        <v>45343</v>
      </c>
      <c r="F60" s="1763">
        <v>520280</v>
      </c>
      <c r="G60" s="838">
        <v>30</v>
      </c>
      <c r="H60" s="842">
        <f t="shared" si="0"/>
        <v>45373</v>
      </c>
      <c r="I60" s="843">
        <f t="shared" si="1"/>
        <v>10</v>
      </c>
      <c r="J60" s="843">
        <f t="shared" si="2"/>
        <v>520280</v>
      </c>
      <c r="K60" s="843">
        <f t="shared" si="3"/>
        <v>0</v>
      </c>
      <c r="L60" s="843">
        <f t="shared" si="4"/>
        <v>0</v>
      </c>
      <c r="M60" s="843">
        <f t="shared" si="5"/>
        <v>0</v>
      </c>
      <c r="N60" s="843">
        <f t="shared" si="6"/>
        <v>0</v>
      </c>
    </row>
    <row r="61" spans="1:14" ht="15.6">
      <c r="A61" s="838"/>
      <c r="B61" s="1762"/>
      <c r="C61" s="838"/>
      <c r="D61" s="839">
        <v>2205</v>
      </c>
      <c r="E61" s="840">
        <v>45345</v>
      </c>
      <c r="F61" s="1763">
        <v>290654</v>
      </c>
      <c r="G61" s="838">
        <v>30</v>
      </c>
      <c r="H61" s="842">
        <f t="shared" si="0"/>
        <v>45375</v>
      </c>
      <c r="I61" s="843">
        <f t="shared" si="1"/>
        <v>8</v>
      </c>
      <c r="J61" s="843">
        <f t="shared" si="2"/>
        <v>290654</v>
      </c>
      <c r="K61" s="843">
        <f t="shared" si="3"/>
        <v>0</v>
      </c>
      <c r="L61" s="843">
        <f t="shared" si="4"/>
        <v>0</v>
      </c>
      <c r="M61" s="843">
        <f t="shared" si="5"/>
        <v>0</v>
      </c>
      <c r="N61" s="843">
        <f t="shared" si="6"/>
        <v>0</v>
      </c>
    </row>
    <row r="62" spans="1:14" ht="15.6">
      <c r="A62" s="838"/>
      <c r="B62" s="1762"/>
      <c r="C62" s="838"/>
      <c r="D62" s="839">
        <v>2207</v>
      </c>
      <c r="E62" s="840">
        <v>45345</v>
      </c>
      <c r="F62" s="1763">
        <v>622806</v>
      </c>
      <c r="G62" s="838">
        <v>30</v>
      </c>
      <c r="H62" s="842">
        <f t="shared" si="0"/>
        <v>45375</v>
      </c>
      <c r="I62" s="843">
        <f t="shared" si="1"/>
        <v>8</v>
      </c>
      <c r="J62" s="843">
        <f t="shared" si="2"/>
        <v>622806</v>
      </c>
      <c r="K62" s="843">
        <f t="shared" si="3"/>
        <v>0</v>
      </c>
      <c r="L62" s="843">
        <f t="shared" si="4"/>
        <v>0</v>
      </c>
      <c r="M62" s="843">
        <f t="shared" si="5"/>
        <v>0</v>
      </c>
      <c r="N62" s="843">
        <f t="shared" si="6"/>
        <v>0</v>
      </c>
    </row>
    <row r="63" spans="1:14" ht="15.6">
      <c r="A63" s="838"/>
      <c r="B63" s="1762"/>
      <c r="C63" s="838"/>
      <c r="D63" s="839">
        <v>2228</v>
      </c>
      <c r="E63" s="840">
        <v>45348</v>
      </c>
      <c r="F63" s="1763">
        <v>199733</v>
      </c>
      <c r="G63" s="838">
        <v>30</v>
      </c>
      <c r="H63" s="842">
        <f t="shared" si="0"/>
        <v>45378</v>
      </c>
      <c r="I63" s="843">
        <f t="shared" si="1"/>
        <v>5</v>
      </c>
      <c r="J63" s="843">
        <f t="shared" si="2"/>
        <v>199733</v>
      </c>
      <c r="K63" s="843">
        <f t="shared" si="3"/>
        <v>0</v>
      </c>
      <c r="L63" s="843">
        <f t="shared" si="4"/>
        <v>0</v>
      </c>
      <c r="M63" s="843">
        <f t="shared" si="5"/>
        <v>0</v>
      </c>
      <c r="N63" s="843">
        <f t="shared" si="6"/>
        <v>0</v>
      </c>
    </row>
    <row r="64" spans="1:14" ht="15.6">
      <c r="A64" s="838"/>
      <c r="B64" s="1762"/>
      <c r="C64" s="838"/>
      <c r="D64" s="839">
        <v>2236</v>
      </c>
      <c r="E64" s="840">
        <v>45348</v>
      </c>
      <c r="F64" s="1763">
        <v>497734</v>
      </c>
      <c r="G64" s="838">
        <v>30</v>
      </c>
      <c r="H64" s="842">
        <f t="shared" si="0"/>
        <v>45378</v>
      </c>
      <c r="I64" s="843">
        <f t="shared" si="1"/>
        <v>5</v>
      </c>
      <c r="J64" s="843">
        <f t="shared" si="2"/>
        <v>497734</v>
      </c>
      <c r="K64" s="843">
        <f t="shared" si="3"/>
        <v>0</v>
      </c>
      <c r="L64" s="843">
        <f t="shared" si="4"/>
        <v>0</v>
      </c>
      <c r="M64" s="843">
        <f t="shared" si="5"/>
        <v>0</v>
      </c>
      <c r="N64" s="843">
        <f t="shared" si="6"/>
        <v>0</v>
      </c>
    </row>
    <row r="65" spans="1:14" ht="15.6">
      <c r="A65" s="838"/>
      <c r="B65" s="1762"/>
      <c r="C65" s="838"/>
      <c r="D65" s="839">
        <v>2239</v>
      </c>
      <c r="E65" s="840">
        <v>45349</v>
      </c>
      <c r="F65" s="1763">
        <v>331924</v>
      </c>
      <c r="G65" s="838">
        <v>30</v>
      </c>
      <c r="H65" s="842">
        <f t="shared" si="0"/>
        <v>45379</v>
      </c>
      <c r="I65" s="843">
        <f t="shared" si="1"/>
        <v>4</v>
      </c>
      <c r="J65" s="843">
        <f t="shared" si="2"/>
        <v>331924</v>
      </c>
      <c r="K65" s="843">
        <f t="shared" si="3"/>
        <v>0</v>
      </c>
      <c r="L65" s="843">
        <f t="shared" si="4"/>
        <v>0</v>
      </c>
      <c r="M65" s="843">
        <f t="shared" si="5"/>
        <v>0</v>
      </c>
      <c r="N65" s="843">
        <f t="shared" si="6"/>
        <v>0</v>
      </c>
    </row>
    <row r="66" spans="1:14" ht="15.6">
      <c r="A66" s="838"/>
      <c r="B66" s="1762"/>
      <c r="C66" s="838"/>
      <c r="D66" s="839">
        <v>2241</v>
      </c>
      <c r="E66" s="840">
        <v>45349</v>
      </c>
      <c r="F66" s="1763">
        <v>51328</v>
      </c>
      <c r="G66" s="838">
        <v>30</v>
      </c>
      <c r="H66" s="842">
        <f t="shared" si="0"/>
        <v>45379</v>
      </c>
      <c r="I66" s="843">
        <f t="shared" si="1"/>
        <v>4</v>
      </c>
      <c r="J66" s="843">
        <f t="shared" si="2"/>
        <v>51328</v>
      </c>
      <c r="K66" s="843">
        <f t="shared" si="3"/>
        <v>0</v>
      </c>
      <c r="L66" s="843">
        <f t="shared" si="4"/>
        <v>0</v>
      </c>
      <c r="M66" s="843">
        <f t="shared" si="5"/>
        <v>0</v>
      </c>
      <c r="N66" s="843">
        <f t="shared" si="6"/>
        <v>0</v>
      </c>
    </row>
    <row r="67" spans="1:14" ht="15.6">
      <c r="A67" s="838"/>
      <c r="B67" s="1762"/>
      <c r="C67" s="838"/>
      <c r="D67" s="839">
        <v>2242</v>
      </c>
      <c r="E67" s="840">
        <v>45349</v>
      </c>
      <c r="F67" s="1763">
        <v>212775</v>
      </c>
      <c r="G67" s="838">
        <v>30</v>
      </c>
      <c r="H67" s="842">
        <f t="shared" si="0"/>
        <v>45379</v>
      </c>
      <c r="I67" s="843">
        <f t="shared" si="1"/>
        <v>4</v>
      </c>
      <c r="J67" s="843">
        <f t="shared" si="2"/>
        <v>212775</v>
      </c>
      <c r="K67" s="843">
        <f t="shared" si="3"/>
        <v>0</v>
      </c>
      <c r="L67" s="843">
        <f t="shared" si="4"/>
        <v>0</v>
      </c>
      <c r="M67" s="843">
        <f t="shared" si="5"/>
        <v>0</v>
      </c>
      <c r="N67" s="843">
        <f t="shared" si="6"/>
        <v>0</v>
      </c>
    </row>
    <row r="68" spans="1:14" ht="15.6">
      <c r="A68" s="838"/>
      <c r="B68" s="1762"/>
      <c r="C68" s="838"/>
      <c r="D68" s="839">
        <v>2245</v>
      </c>
      <c r="E68" s="840">
        <v>45350</v>
      </c>
      <c r="F68" s="1763">
        <v>596260</v>
      </c>
      <c r="G68" s="838">
        <v>30</v>
      </c>
      <c r="H68" s="842">
        <f t="shared" si="0"/>
        <v>45380</v>
      </c>
      <c r="I68" s="843">
        <f t="shared" si="1"/>
        <v>3</v>
      </c>
      <c r="J68" s="843">
        <f t="shared" si="2"/>
        <v>596260</v>
      </c>
      <c r="K68" s="843">
        <f t="shared" si="3"/>
        <v>0</v>
      </c>
      <c r="L68" s="843">
        <f t="shared" si="4"/>
        <v>0</v>
      </c>
      <c r="M68" s="843">
        <f t="shared" si="5"/>
        <v>0</v>
      </c>
      <c r="N68" s="843">
        <f t="shared" si="6"/>
        <v>0</v>
      </c>
    </row>
    <row r="69" spans="1:14" ht="15.6">
      <c r="A69" s="838"/>
      <c r="B69" s="1762"/>
      <c r="C69" s="838"/>
      <c r="D69" s="839">
        <v>2255</v>
      </c>
      <c r="E69" s="840">
        <v>45351</v>
      </c>
      <c r="F69" s="1763">
        <v>454457</v>
      </c>
      <c r="G69" s="838">
        <v>30</v>
      </c>
      <c r="H69" s="842">
        <f t="shared" si="0"/>
        <v>45381</v>
      </c>
      <c r="I69" s="843">
        <f t="shared" si="1"/>
        <v>2</v>
      </c>
      <c r="J69" s="843">
        <f t="shared" si="2"/>
        <v>454457</v>
      </c>
      <c r="K69" s="843">
        <f t="shared" si="3"/>
        <v>0</v>
      </c>
      <c r="L69" s="843">
        <f t="shared" si="4"/>
        <v>0</v>
      </c>
      <c r="M69" s="843">
        <f t="shared" si="5"/>
        <v>0</v>
      </c>
      <c r="N69" s="843">
        <f t="shared" si="6"/>
        <v>0</v>
      </c>
    </row>
    <row r="70" spans="1:14" ht="15.6">
      <c r="A70" s="838"/>
      <c r="B70" s="1762"/>
      <c r="C70" s="838"/>
      <c r="D70" s="839">
        <v>2259</v>
      </c>
      <c r="E70" s="840">
        <v>45352</v>
      </c>
      <c r="F70" s="1763">
        <v>252076</v>
      </c>
      <c r="G70" s="838">
        <v>30</v>
      </c>
      <c r="H70" s="842">
        <f t="shared" si="0"/>
        <v>45382</v>
      </c>
      <c r="I70" s="843">
        <f t="shared" si="1"/>
        <v>1</v>
      </c>
      <c r="J70" s="843">
        <f t="shared" si="2"/>
        <v>252076</v>
      </c>
      <c r="K70" s="843">
        <f t="shared" si="3"/>
        <v>0</v>
      </c>
      <c r="L70" s="843">
        <f t="shared" si="4"/>
        <v>0</v>
      </c>
      <c r="M70" s="843">
        <f t="shared" si="5"/>
        <v>0</v>
      </c>
      <c r="N70" s="843">
        <f t="shared" si="6"/>
        <v>0</v>
      </c>
    </row>
    <row r="71" spans="1:14" ht="15.6">
      <c r="A71" s="838"/>
      <c r="B71" s="1762"/>
      <c r="C71" s="838"/>
      <c r="D71" s="839">
        <v>2262</v>
      </c>
      <c r="E71" s="840">
        <v>45352</v>
      </c>
      <c r="F71" s="1763">
        <v>102942</v>
      </c>
      <c r="G71" s="838">
        <v>30</v>
      </c>
      <c r="H71" s="842">
        <f t="shared" si="0"/>
        <v>45382</v>
      </c>
      <c r="I71" s="843">
        <f t="shared" si="1"/>
        <v>1</v>
      </c>
      <c r="J71" s="843">
        <f t="shared" si="2"/>
        <v>102942</v>
      </c>
      <c r="K71" s="843">
        <f t="shared" si="3"/>
        <v>0</v>
      </c>
      <c r="L71" s="843">
        <f t="shared" si="4"/>
        <v>0</v>
      </c>
      <c r="M71" s="843">
        <f t="shared" si="5"/>
        <v>0</v>
      </c>
      <c r="N71" s="843">
        <f t="shared" si="6"/>
        <v>0</v>
      </c>
    </row>
    <row r="72" spans="1:14" ht="15.6">
      <c r="A72" s="838"/>
      <c r="B72" s="1762"/>
      <c r="C72" s="838"/>
      <c r="D72" s="839">
        <v>2269</v>
      </c>
      <c r="E72" s="840">
        <v>45353</v>
      </c>
      <c r="F72" s="1763">
        <v>209436</v>
      </c>
      <c r="G72" s="838">
        <v>30</v>
      </c>
      <c r="H72" s="842">
        <f t="shared" si="0"/>
        <v>45383</v>
      </c>
      <c r="I72" s="843">
        <f t="shared" si="1"/>
        <v>0</v>
      </c>
      <c r="J72" s="843">
        <f t="shared" si="2"/>
        <v>209436</v>
      </c>
      <c r="K72" s="843">
        <f t="shared" si="3"/>
        <v>0</v>
      </c>
      <c r="L72" s="843">
        <f t="shared" si="4"/>
        <v>0</v>
      </c>
      <c r="M72" s="843">
        <f t="shared" si="5"/>
        <v>0</v>
      </c>
      <c r="N72" s="843">
        <f t="shared" si="6"/>
        <v>0</v>
      </c>
    </row>
    <row r="73" spans="1:14" ht="15.6">
      <c r="A73" s="838"/>
      <c r="B73" s="1762"/>
      <c r="C73" s="838"/>
      <c r="D73" s="839">
        <v>2275</v>
      </c>
      <c r="E73" s="840">
        <v>45353</v>
      </c>
      <c r="F73" s="1763">
        <v>239469</v>
      </c>
      <c r="G73" s="838">
        <v>30</v>
      </c>
      <c r="H73" s="842">
        <f t="shared" si="0"/>
        <v>45383</v>
      </c>
      <c r="I73" s="843">
        <f t="shared" si="1"/>
        <v>0</v>
      </c>
      <c r="J73" s="843">
        <f t="shared" si="2"/>
        <v>239469</v>
      </c>
      <c r="K73" s="843">
        <f t="shared" si="3"/>
        <v>0</v>
      </c>
      <c r="L73" s="843">
        <f t="shared" si="4"/>
        <v>0</v>
      </c>
      <c r="M73" s="843">
        <f t="shared" si="5"/>
        <v>0</v>
      </c>
      <c r="N73" s="843">
        <f t="shared" si="6"/>
        <v>0</v>
      </c>
    </row>
    <row r="74" spans="1:14" ht="15.6">
      <c r="A74" s="838"/>
      <c r="B74" s="1762"/>
      <c r="C74" s="838"/>
      <c r="D74" s="839">
        <v>2286</v>
      </c>
      <c r="E74" s="840">
        <v>45355</v>
      </c>
      <c r="F74" s="1763">
        <v>107912</v>
      </c>
      <c r="G74" s="838">
        <v>30</v>
      </c>
      <c r="H74" s="842">
        <f t="shared" si="0"/>
        <v>45385</v>
      </c>
      <c r="I74" s="843">
        <f t="shared" si="1"/>
        <v>-2</v>
      </c>
      <c r="J74" s="843">
        <f t="shared" si="2"/>
        <v>107912</v>
      </c>
      <c r="K74" s="843">
        <f t="shared" si="3"/>
        <v>0</v>
      </c>
      <c r="L74" s="843">
        <f t="shared" si="4"/>
        <v>0</v>
      </c>
      <c r="M74" s="843">
        <f t="shared" si="5"/>
        <v>0</v>
      </c>
      <c r="N74" s="843">
        <f t="shared" si="6"/>
        <v>0</v>
      </c>
    </row>
    <row r="75" spans="1:14" ht="15.6">
      <c r="A75" s="838"/>
      <c r="B75" s="1762"/>
      <c r="C75" s="838"/>
      <c r="D75" s="839">
        <v>2288</v>
      </c>
      <c r="E75" s="840">
        <v>45355</v>
      </c>
      <c r="F75" s="1763">
        <v>135095</v>
      </c>
      <c r="G75" s="838">
        <v>30</v>
      </c>
      <c r="H75" s="842">
        <f t="shared" si="0"/>
        <v>45385</v>
      </c>
      <c r="I75" s="843">
        <f t="shared" si="1"/>
        <v>-2</v>
      </c>
      <c r="J75" s="843">
        <f t="shared" si="2"/>
        <v>135095</v>
      </c>
      <c r="K75" s="843">
        <f t="shared" si="3"/>
        <v>0</v>
      </c>
      <c r="L75" s="843">
        <f t="shared" si="4"/>
        <v>0</v>
      </c>
      <c r="M75" s="843">
        <f t="shared" si="5"/>
        <v>0</v>
      </c>
      <c r="N75" s="843">
        <f t="shared" si="6"/>
        <v>0</v>
      </c>
    </row>
    <row r="76" spans="1:14" ht="15.6">
      <c r="A76" s="838"/>
      <c r="B76" s="1762"/>
      <c r="C76" s="838"/>
      <c r="D76" s="839">
        <v>2291</v>
      </c>
      <c r="E76" s="840">
        <v>45356</v>
      </c>
      <c r="F76" s="1763">
        <v>196813</v>
      </c>
      <c r="G76" s="838">
        <v>30</v>
      </c>
      <c r="H76" s="842">
        <f t="shared" si="0"/>
        <v>45386</v>
      </c>
      <c r="I76" s="843">
        <f t="shared" si="1"/>
        <v>-3</v>
      </c>
      <c r="J76" s="843">
        <f t="shared" si="2"/>
        <v>196813</v>
      </c>
      <c r="K76" s="843">
        <f t="shared" si="3"/>
        <v>0</v>
      </c>
      <c r="L76" s="843">
        <f t="shared" si="4"/>
        <v>0</v>
      </c>
      <c r="M76" s="843">
        <f t="shared" si="5"/>
        <v>0</v>
      </c>
      <c r="N76" s="843">
        <f t="shared" si="6"/>
        <v>0</v>
      </c>
    </row>
    <row r="77" spans="1:14" ht="15.6">
      <c r="A77" s="838"/>
      <c r="B77" s="1762"/>
      <c r="C77" s="838"/>
      <c r="D77" s="839">
        <v>2294</v>
      </c>
      <c r="E77" s="840">
        <v>45356</v>
      </c>
      <c r="F77" s="1763">
        <v>124795</v>
      </c>
      <c r="G77" s="838">
        <v>30</v>
      </c>
      <c r="H77" s="842">
        <f t="shared" si="0"/>
        <v>45386</v>
      </c>
      <c r="I77" s="843">
        <f t="shared" si="1"/>
        <v>-3</v>
      </c>
      <c r="J77" s="843">
        <f t="shared" si="2"/>
        <v>124795</v>
      </c>
      <c r="K77" s="843">
        <f t="shared" si="3"/>
        <v>0</v>
      </c>
      <c r="L77" s="843">
        <f t="shared" si="4"/>
        <v>0</v>
      </c>
      <c r="M77" s="843">
        <f t="shared" si="5"/>
        <v>0</v>
      </c>
      <c r="N77" s="843">
        <f t="shared" si="6"/>
        <v>0</v>
      </c>
    </row>
    <row r="78" spans="1:14" ht="15.6">
      <c r="A78" s="838"/>
      <c r="B78" s="1762"/>
      <c r="C78" s="838"/>
      <c r="D78" s="839">
        <v>2302</v>
      </c>
      <c r="E78" s="840">
        <v>45357</v>
      </c>
      <c r="F78" s="1763">
        <v>57537</v>
      </c>
      <c r="G78" s="838">
        <v>30</v>
      </c>
      <c r="H78" s="842">
        <f t="shared" si="0"/>
        <v>45387</v>
      </c>
      <c r="I78" s="843">
        <f t="shared" si="1"/>
        <v>-4</v>
      </c>
      <c r="J78" s="843">
        <f t="shared" si="2"/>
        <v>57537</v>
      </c>
      <c r="K78" s="843">
        <f t="shared" si="3"/>
        <v>0</v>
      </c>
      <c r="L78" s="843">
        <f t="shared" si="4"/>
        <v>0</v>
      </c>
      <c r="M78" s="843">
        <f t="shared" si="5"/>
        <v>0</v>
      </c>
      <c r="N78" s="843">
        <f t="shared" si="6"/>
        <v>0</v>
      </c>
    </row>
    <row r="79" spans="1:14" ht="15.6">
      <c r="A79" s="838"/>
      <c r="B79" s="1762"/>
      <c r="C79" s="838"/>
      <c r="D79" s="839">
        <v>2304</v>
      </c>
      <c r="E79" s="840">
        <v>45357</v>
      </c>
      <c r="F79" s="1763">
        <v>179068</v>
      </c>
      <c r="G79" s="838">
        <v>30</v>
      </c>
      <c r="H79" s="842">
        <f t="shared" si="0"/>
        <v>45387</v>
      </c>
      <c r="I79" s="843">
        <f t="shared" si="1"/>
        <v>-4</v>
      </c>
      <c r="J79" s="843">
        <f t="shared" si="2"/>
        <v>179068</v>
      </c>
      <c r="K79" s="843">
        <f t="shared" si="3"/>
        <v>0</v>
      </c>
      <c r="L79" s="843">
        <f t="shared" si="4"/>
        <v>0</v>
      </c>
      <c r="M79" s="843">
        <f t="shared" si="5"/>
        <v>0</v>
      </c>
      <c r="N79" s="843">
        <f t="shared" si="6"/>
        <v>0</v>
      </c>
    </row>
    <row r="80" spans="1:14" ht="15.6">
      <c r="A80" s="838"/>
      <c r="B80" s="1762"/>
      <c r="C80" s="838"/>
      <c r="D80" s="839">
        <v>2306</v>
      </c>
      <c r="E80" s="840">
        <v>45358</v>
      </c>
      <c r="F80" s="1763">
        <v>199488</v>
      </c>
      <c r="G80" s="838">
        <v>30</v>
      </c>
      <c r="H80" s="842">
        <f t="shared" si="0"/>
        <v>45388</v>
      </c>
      <c r="I80" s="843">
        <f t="shared" si="1"/>
        <v>-5</v>
      </c>
      <c r="J80" s="843">
        <f t="shared" si="2"/>
        <v>199488</v>
      </c>
      <c r="K80" s="843">
        <f t="shared" si="3"/>
        <v>0</v>
      </c>
      <c r="L80" s="843">
        <f t="shared" si="4"/>
        <v>0</v>
      </c>
      <c r="M80" s="843">
        <f t="shared" si="5"/>
        <v>0</v>
      </c>
      <c r="N80" s="843">
        <f t="shared" si="6"/>
        <v>0</v>
      </c>
    </row>
    <row r="81" spans="1:14" ht="15.6">
      <c r="A81" s="838"/>
      <c r="B81" s="1762"/>
      <c r="C81" s="838"/>
      <c r="D81" s="839">
        <v>2312</v>
      </c>
      <c r="E81" s="840">
        <v>45359</v>
      </c>
      <c r="F81" s="1763">
        <v>620463</v>
      </c>
      <c r="G81" s="838">
        <v>30</v>
      </c>
      <c r="H81" s="842">
        <f t="shared" si="0"/>
        <v>45389</v>
      </c>
      <c r="I81" s="843">
        <f t="shared" si="1"/>
        <v>-6</v>
      </c>
      <c r="J81" s="843">
        <f t="shared" si="2"/>
        <v>620463</v>
      </c>
      <c r="K81" s="843">
        <f t="shared" si="3"/>
        <v>0</v>
      </c>
      <c r="L81" s="843">
        <f t="shared" si="4"/>
        <v>0</v>
      </c>
      <c r="M81" s="843">
        <f t="shared" si="5"/>
        <v>0</v>
      </c>
      <c r="N81" s="843">
        <f t="shared" si="6"/>
        <v>0</v>
      </c>
    </row>
    <row r="82" spans="1:14" ht="15.6">
      <c r="A82" s="838"/>
      <c r="B82" s="1762"/>
      <c r="C82" s="838"/>
      <c r="D82" s="839">
        <v>2319</v>
      </c>
      <c r="E82" s="840">
        <v>45360</v>
      </c>
      <c r="F82" s="1763">
        <v>269888</v>
      </c>
      <c r="G82" s="838">
        <v>30</v>
      </c>
      <c r="H82" s="842">
        <f t="shared" si="0"/>
        <v>45390</v>
      </c>
      <c r="I82" s="843">
        <f t="shared" si="1"/>
        <v>-7</v>
      </c>
      <c r="J82" s="843">
        <f t="shared" si="2"/>
        <v>269888</v>
      </c>
      <c r="K82" s="843">
        <f t="shared" si="3"/>
        <v>0</v>
      </c>
      <c r="L82" s="843">
        <f t="shared" si="4"/>
        <v>0</v>
      </c>
      <c r="M82" s="843">
        <f t="shared" si="5"/>
        <v>0</v>
      </c>
      <c r="N82" s="843">
        <f t="shared" si="6"/>
        <v>0</v>
      </c>
    </row>
    <row r="83" spans="1:14" ht="15.6">
      <c r="A83" s="838"/>
      <c r="B83" s="1762"/>
      <c r="C83" s="838"/>
      <c r="D83" s="839">
        <v>2324</v>
      </c>
      <c r="E83" s="840">
        <v>45361</v>
      </c>
      <c r="F83" s="1763">
        <v>252795</v>
      </c>
      <c r="G83" s="838">
        <v>30</v>
      </c>
      <c r="H83" s="842">
        <f t="shared" si="0"/>
        <v>45391</v>
      </c>
      <c r="I83" s="843">
        <f t="shared" si="1"/>
        <v>-8</v>
      </c>
      <c r="J83" s="843">
        <f t="shared" si="2"/>
        <v>252795</v>
      </c>
      <c r="K83" s="843">
        <f t="shared" si="3"/>
        <v>0</v>
      </c>
      <c r="L83" s="843">
        <f t="shared" si="4"/>
        <v>0</v>
      </c>
      <c r="M83" s="843">
        <f t="shared" si="5"/>
        <v>0</v>
      </c>
      <c r="N83" s="843">
        <f t="shared" si="6"/>
        <v>0</v>
      </c>
    </row>
    <row r="84" spans="1:14" ht="15.6">
      <c r="A84" s="838"/>
      <c r="B84" s="1762"/>
      <c r="C84" s="838"/>
      <c r="D84" s="839">
        <v>2327</v>
      </c>
      <c r="E84" s="840">
        <v>45361</v>
      </c>
      <c r="F84" s="1763">
        <v>244377</v>
      </c>
      <c r="G84" s="838">
        <v>30</v>
      </c>
      <c r="H84" s="842">
        <f t="shared" si="0"/>
        <v>45391</v>
      </c>
      <c r="I84" s="843">
        <f t="shared" si="1"/>
        <v>-8</v>
      </c>
      <c r="J84" s="843">
        <f t="shared" si="2"/>
        <v>244377</v>
      </c>
      <c r="K84" s="843">
        <f t="shared" si="3"/>
        <v>0</v>
      </c>
      <c r="L84" s="843">
        <f t="shared" si="4"/>
        <v>0</v>
      </c>
      <c r="M84" s="843">
        <f t="shared" si="5"/>
        <v>0</v>
      </c>
      <c r="N84" s="843">
        <f t="shared" si="6"/>
        <v>0</v>
      </c>
    </row>
    <row r="85" spans="1:14" ht="15.6">
      <c r="A85" s="838"/>
      <c r="B85" s="1762"/>
      <c r="C85" s="838"/>
      <c r="D85" s="839">
        <v>2329</v>
      </c>
      <c r="E85" s="840">
        <v>45361</v>
      </c>
      <c r="F85" s="1763">
        <v>190461</v>
      </c>
      <c r="G85" s="838">
        <v>30</v>
      </c>
      <c r="H85" s="842">
        <f t="shared" si="0"/>
        <v>45391</v>
      </c>
      <c r="I85" s="843">
        <f t="shared" si="1"/>
        <v>-8</v>
      </c>
      <c r="J85" s="843">
        <f t="shared" si="2"/>
        <v>190461</v>
      </c>
      <c r="K85" s="843">
        <f t="shared" si="3"/>
        <v>0</v>
      </c>
      <c r="L85" s="843">
        <f t="shared" si="4"/>
        <v>0</v>
      </c>
      <c r="M85" s="843">
        <f t="shared" si="5"/>
        <v>0</v>
      </c>
      <c r="N85" s="843">
        <f t="shared" si="6"/>
        <v>0</v>
      </c>
    </row>
    <row r="86" spans="1:14" ht="15.6">
      <c r="A86" s="838"/>
      <c r="B86" s="1762"/>
      <c r="C86" s="838"/>
      <c r="D86" s="839">
        <v>2331</v>
      </c>
      <c r="E86" s="840">
        <v>45361</v>
      </c>
      <c r="F86" s="1763">
        <v>441971</v>
      </c>
      <c r="G86" s="838">
        <v>30</v>
      </c>
      <c r="H86" s="842">
        <f t="shared" si="0"/>
        <v>45391</v>
      </c>
      <c r="I86" s="843">
        <f t="shared" si="1"/>
        <v>-8</v>
      </c>
      <c r="J86" s="843">
        <f t="shared" si="2"/>
        <v>441971</v>
      </c>
      <c r="K86" s="843">
        <f t="shared" si="3"/>
        <v>0</v>
      </c>
      <c r="L86" s="843">
        <f t="shared" si="4"/>
        <v>0</v>
      </c>
      <c r="M86" s="843">
        <f t="shared" si="5"/>
        <v>0</v>
      </c>
      <c r="N86" s="843">
        <f t="shared" si="6"/>
        <v>0</v>
      </c>
    </row>
    <row r="87" spans="1:14" ht="15.6">
      <c r="A87" s="838"/>
      <c r="B87" s="1762"/>
      <c r="C87" s="838"/>
      <c r="D87" s="839">
        <v>2332</v>
      </c>
      <c r="E87" s="840">
        <v>45362</v>
      </c>
      <c r="F87" s="1763">
        <v>255153</v>
      </c>
      <c r="G87" s="838">
        <v>30</v>
      </c>
      <c r="H87" s="842">
        <f t="shared" si="0"/>
        <v>45392</v>
      </c>
      <c r="I87" s="843">
        <f t="shared" si="1"/>
        <v>-9</v>
      </c>
      <c r="J87" s="843">
        <f t="shared" si="2"/>
        <v>255153</v>
      </c>
      <c r="K87" s="843">
        <f t="shared" si="3"/>
        <v>0</v>
      </c>
      <c r="L87" s="843">
        <f t="shared" si="4"/>
        <v>0</v>
      </c>
      <c r="M87" s="843">
        <f t="shared" si="5"/>
        <v>0</v>
      </c>
      <c r="N87" s="843">
        <f t="shared" si="6"/>
        <v>0</v>
      </c>
    </row>
    <row r="88" spans="1:14" ht="15.6">
      <c r="A88" s="838"/>
      <c r="B88" s="1762"/>
      <c r="C88" s="838"/>
      <c r="D88" s="839">
        <v>2343</v>
      </c>
      <c r="E88" s="840">
        <v>45363</v>
      </c>
      <c r="F88" s="1763">
        <v>204261</v>
      </c>
      <c r="G88" s="838">
        <v>30</v>
      </c>
      <c r="H88" s="842">
        <f t="shared" si="0"/>
        <v>45393</v>
      </c>
      <c r="I88" s="843">
        <f t="shared" si="1"/>
        <v>-10</v>
      </c>
      <c r="J88" s="843">
        <f t="shared" si="2"/>
        <v>204261</v>
      </c>
      <c r="K88" s="843">
        <f t="shared" si="3"/>
        <v>0</v>
      </c>
      <c r="L88" s="843">
        <f t="shared" si="4"/>
        <v>0</v>
      </c>
      <c r="M88" s="843">
        <f t="shared" si="5"/>
        <v>0</v>
      </c>
      <c r="N88" s="843">
        <f t="shared" si="6"/>
        <v>0</v>
      </c>
    </row>
    <row r="89" spans="1:14" ht="15.6">
      <c r="A89" s="838"/>
      <c r="B89" s="1762"/>
      <c r="C89" s="838"/>
      <c r="D89" s="839">
        <v>2366</v>
      </c>
      <c r="E89" s="840">
        <v>45370</v>
      </c>
      <c r="F89" s="1763">
        <v>211661</v>
      </c>
      <c r="G89" s="838">
        <v>30</v>
      </c>
      <c r="H89" s="842">
        <f t="shared" si="0"/>
        <v>45400</v>
      </c>
      <c r="I89" s="843">
        <f t="shared" si="1"/>
        <v>-17</v>
      </c>
      <c r="J89" s="843">
        <f t="shared" si="2"/>
        <v>211661</v>
      </c>
      <c r="K89" s="843">
        <f t="shared" si="3"/>
        <v>0</v>
      </c>
      <c r="L89" s="843">
        <f t="shared" si="4"/>
        <v>0</v>
      </c>
      <c r="M89" s="843">
        <f t="shared" si="5"/>
        <v>0</v>
      </c>
      <c r="N89" s="843">
        <f t="shared" si="6"/>
        <v>0</v>
      </c>
    </row>
    <row r="90" spans="1:14" ht="15.6">
      <c r="A90" s="838"/>
      <c r="B90" s="1762"/>
      <c r="C90" s="838"/>
      <c r="D90" s="839">
        <v>2371</v>
      </c>
      <c r="E90" s="840">
        <v>45370</v>
      </c>
      <c r="F90" s="1763">
        <v>637468</v>
      </c>
      <c r="G90" s="838">
        <v>30</v>
      </c>
      <c r="H90" s="842">
        <f t="shared" si="0"/>
        <v>45400</v>
      </c>
      <c r="I90" s="843">
        <f t="shared" si="1"/>
        <v>-17</v>
      </c>
      <c r="J90" s="843">
        <f t="shared" si="2"/>
        <v>637468</v>
      </c>
      <c r="K90" s="843">
        <f t="shared" si="3"/>
        <v>0</v>
      </c>
      <c r="L90" s="843">
        <f t="shared" si="4"/>
        <v>0</v>
      </c>
      <c r="M90" s="843">
        <f t="shared" si="5"/>
        <v>0</v>
      </c>
      <c r="N90" s="843">
        <f t="shared" si="6"/>
        <v>0</v>
      </c>
    </row>
    <row r="91" spans="1:14" ht="15.6">
      <c r="A91" s="838"/>
      <c r="B91" s="1762"/>
      <c r="C91" s="838"/>
      <c r="D91" s="839">
        <v>2373</v>
      </c>
      <c r="E91" s="840">
        <v>45371</v>
      </c>
      <c r="F91" s="1763">
        <v>292347</v>
      </c>
      <c r="G91" s="838">
        <v>30</v>
      </c>
      <c r="H91" s="842">
        <f t="shared" si="0"/>
        <v>45401</v>
      </c>
      <c r="I91" s="843">
        <f t="shared" si="1"/>
        <v>-18</v>
      </c>
      <c r="J91" s="843">
        <f t="shared" si="2"/>
        <v>292347</v>
      </c>
      <c r="K91" s="843">
        <f t="shared" si="3"/>
        <v>0</v>
      </c>
      <c r="L91" s="843">
        <f t="shared" si="4"/>
        <v>0</v>
      </c>
      <c r="M91" s="843">
        <f t="shared" si="5"/>
        <v>0</v>
      </c>
      <c r="N91" s="843">
        <f t="shared" si="6"/>
        <v>0</v>
      </c>
    </row>
    <row r="92" spans="1:14" ht="15.6">
      <c r="A92" s="838"/>
      <c r="B92" s="1762"/>
      <c r="C92" s="838"/>
      <c r="D92" s="839">
        <v>2383</v>
      </c>
      <c r="E92" s="840">
        <v>45372</v>
      </c>
      <c r="F92" s="1763">
        <v>258768</v>
      </c>
      <c r="G92" s="838">
        <v>30</v>
      </c>
      <c r="H92" s="842">
        <f t="shared" si="0"/>
        <v>45402</v>
      </c>
      <c r="I92" s="843">
        <f t="shared" si="1"/>
        <v>-19</v>
      </c>
      <c r="J92" s="843">
        <f t="shared" si="2"/>
        <v>258768</v>
      </c>
      <c r="K92" s="843">
        <f t="shared" si="3"/>
        <v>0</v>
      </c>
      <c r="L92" s="843">
        <f t="shared" si="4"/>
        <v>0</v>
      </c>
      <c r="M92" s="843">
        <f t="shared" si="5"/>
        <v>0</v>
      </c>
      <c r="N92" s="843">
        <f t="shared" si="6"/>
        <v>0</v>
      </c>
    </row>
    <row r="93" spans="1:14" ht="15.6">
      <c r="A93" s="838"/>
      <c r="B93" s="1762"/>
      <c r="C93" s="838"/>
      <c r="D93" s="839">
        <v>2386</v>
      </c>
      <c r="E93" s="840">
        <v>45373</v>
      </c>
      <c r="F93" s="1763">
        <v>201822</v>
      </c>
      <c r="G93" s="838">
        <v>30</v>
      </c>
      <c r="H93" s="842">
        <f t="shared" si="0"/>
        <v>45403</v>
      </c>
      <c r="I93" s="843">
        <f t="shared" si="1"/>
        <v>-20</v>
      </c>
      <c r="J93" s="843">
        <f t="shared" si="2"/>
        <v>201822</v>
      </c>
      <c r="K93" s="843">
        <f t="shared" si="3"/>
        <v>0</v>
      </c>
      <c r="L93" s="843">
        <f t="shared" si="4"/>
        <v>0</v>
      </c>
      <c r="M93" s="843">
        <f t="shared" si="5"/>
        <v>0</v>
      </c>
      <c r="N93" s="843">
        <f t="shared" si="6"/>
        <v>0</v>
      </c>
    </row>
    <row r="94" spans="1:14" ht="15.6">
      <c r="A94" s="838"/>
      <c r="B94" s="1762"/>
      <c r="C94" s="838"/>
      <c r="D94" s="839">
        <v>2387</v>
      </c>
      <c r="E94" s="840">
        <v>45373</v>
      </c>
      <c r="F94" s="1763">
        <v>46099</v>
      </c>
      <c r="G94" s="838">
        <v>30</v>
      </c>
      <c r="H94" s="842">
        <f t="shared" si="0"/>
        <v>45403</v>
      </c>
      <c r="I94" s="843">
        <f t="shared" si="1"/>
        <v>-20</v>
      </c>
      <c r="J94" s="843">
        <f t="shared" si="2"/>
        <v>46099</v>
      </c>
      <c r="K94" s="843">
        <f t="shared" si="3"/>
        <v>0</v>
      </c>
      <c r="L94" s="843">
        <f t="shared" si="4"/>
        <v>0</v>
      </c>
      <c r="M94" s="843">
        <f t="shared" si="5"/>
        <v>0</v>
      </c>
      <c r="N94" s="843">
        <f t="shared" si="6"/>
        <v>0</v>
      </c>
    </row>
    <row r="95" spans="1:14" ht="15.6">
      <c r="A95" s="838"/>
      <c r="B95" s="1762"/>
      <c r="C95" s="838"/>
      <c r="D95" s="839">
        <v>2391</v>
      </c>
      <c r="E95" s="840">
        <v>45373</v>
      </c>
      <c r="F95" s="1763">
        <v>199404</v>
      </c>
      <c r="G95" s="838">
        <v>30</v>
      </c>
      <c r="H95" s="842">
        <f t="shared" si="0"/>
        <v>45403</v>
      </c>
      <c r="I95" s="843">
        <f t="shared" si="1"/>
        <v>-20</v>
      </c>
      <c r="J95" s="843">
        <f t="shared" si="2"/>
        <v>199404</v>
      </c>
      <c r="K95" s="843">
        <f t="shared" si="3"/>
        <v>0</v>
      </c>
      <c r="L95" s="843">
        <f t="shared" si="4"/>
        <v>0</v>
      </c>
      <c r="M95" s="843">
        <f t="shared" si="5"/>
        <v>0</v>
      </c>
      <c r="N95" s="843">
        <f t="shared" si="6"/>
        <v>0</v>
      </c>
    </row>
    <row r="96" spans="1:14" ht="15.6">
      <c r="A96" s="838"/>
      <c r="B96" s="1762"/>
      <c r="C96" s="838"/>
      <c r="D96" s="839">
        <v>2401</v>
      </c>
      <c r="E96" s="840">
        <v>45375</v>
      </c>
      <c r="F96" s="1763">
        <v>242819</v>
      </c>
      <c r="G96" s="838">
        <v>30</v>
      </c>
      <c r="H96" s="842">
        <f t="shared" si="0"/>
        <v>45405</v>
      </c>
      <c r="I96" s="843">
        <f t="shared" si="1"/>
        <v>-22</v>
      </c>
      <c r="J96" s="843">
        <f t="shared" si="2"/>
        <v>242819</v>
      </c>
      <c r="K96" s="843">
        <f t="shared" si="3"/>
        <v>0</v>
      </c>
      <c r="L96" s="843">
        <f t="shared" si="4"/>
        <v>0</v>
      </c>
      <c r="M96" s="843">
        <f t="shared" si="5"/>
        <v>0</v>
      </c>
      <c r="N96" s="843">
        <f t="shared" si="6"/>
        <v>0</v>
      </c>
    </row>
    <row r="97" spans="1:16" ht="15.6">
      <c r="A97" s="838"/>
      <c r="B97" s="1762"/>
      <c r="C97" s="838"/>
      <c r="D97" s="839">
        <v>2406</v>
      </c>
      <c r="E97" s="840">
        <v>45375</v>
      </c>
      <c r="F97" s="1763">
        <v>453861</v>
      </c>
      <c r="G97" s="838">
        <v>30</v>
      </c>
      <c r="H97" s="842">
        <f t="shared" si="0"/>
        <v>45405</v>
      </c>
      <c r="I97" s="843">
        <f t="shared" si="1"/>
        <v>-22</v>
      </c>
      <c r="J97" s="843">
        <f t="shared" si="2"/>
        <v>453861</v>
      </c>
      <c r="K97" s="843">
        <f t="shared" si="3"/>
        <v>0</v>
      </c>
      <c r="L97" s="843">
        <f t="shared" si="4"/>
        <v>0</v>
      </c>
      <c r="M97" s="843">
        <f t="shared" si="5"/>
        <v>0</v>
      </c>
      <c r="N97" s="843">
        <f t="shared" si="6"/>
        <v>0</v>
      </c>
    </row>
    <row r="98" spans="1:16" ht="15.6">
      <c r="A98" s="838"/>
      <c r="B98" s="1762"/>
      <c r="C98" s="838"/>
      <c r="D98" s="839">
        <v>2407</v>
      </c>
      <c r="E98" s="840">
        <v>45377</v>
      </c>
      <c r="F98" s="1763">
        <v>536407</v>
      </c>
      <c r="G98" s="838">
        <v>30</v>
      </c>
      <c r="H98" s="842">
        <f t="shared" si="0"/>
        <v>45407</v>
      </c>
      <c r="I98" s="843">
        <f t="shared" si="1"/>
        <v>-24</v>
      </c>
      <c r="J98" s="843">
        <f t="shared" si="2"/>
        <v>536407</v>
      </c>
      <c r="K98" s="843">
        <f t="shared" si="3"/>
        <v>0</v>
      </c>
      <c r="L98" s="843">
        <f t="shared" si="4"/>
        <v>0</v>
      </c>
      <c r="M98" s="843">
        <f t="shared" si="5"/>
        <v>0</v>
      </c>
      <c r="N98" s="843">
        <f t="shared" si="6"/>
        <v>0</v>
      </c>
    </row>
    <row r="99" spans="1:16" ht="15.6">
      <c r="A99" s="838"/>
      <c r="B99" s="1762"/>
      <c r="C99" s="838"/>
      <c r="D99" s="839">
        <v>2411</v>
      </c>
      <c r="E99" s="840">
        <v>45378</v>
      </c>
      <c r="F99" s="1763">
        <v>661404</v>
      </c>
      <c r="G99" s="838">
        <v>30</v>
      </c>
      <c r="H99" s="842">
        <f t="shared" si="0"/>
        <v>45408</v>
      </c>
      <c r="I99" s="843">
        <f t="shared" si="1"/>
        <v>-25</v>
      </c>
      <c r="J99" s="843">
        <f t="shared" si="2"/>
        <v>661404</v>
      </c>
      <c r="K99" s="843">
        <f t="shared" si="3"/>
        <v>0</v>
      </c>
      <c r="L99" s="843">
        <f t="shared" si="4"/>
        <v>0</v>
      </c>
      <c r="M99" s="843">
        <f t="shared" si="5"/>
        <v>0</v>
      </c>
      <c r="N99" s="843">
        <f t="shared" si="6"/>
        <v>0</v>
      </c>
    </row>
    <row r="100" spans="1:16" ht="15.6">
      <c r="A100" s="838"/>
      <c r="B100" s="1762"/>
      <c r="C100" s="838"/>
      <c r="D100" s="839">
        <v>2412</v>
      </c>
      <c r="E100" s="840">
        <v>45378</v>
      </c>
      <c r="F100" s="1763">
        <v>192939</v>
      </c>
      <c r="G100" s="838">
        <v>30</v>
      </c>
      <c r="H100" s="842">
        <f t="shared" si="0"/>
        <v>45408</v>
      </c>
      <c r="I100" s="843">
        <f t="shared" si="1"/>
        <v>-25</v>
      </c>
      <c r="J100" s="843">
        <f t="shared" si="2"/>
        <v>192939</v>
      </c>
      <c r="K100" s="843">
        <f t="shared" si="3"/>
        <v>0</v>
      </c>
      <c r="L100" s="843">
        <f t="shared" si="4"/>
        <v>0</v>
      </c>
      <c r="M100" s="843">
        <f t="shared" si="5"/>
        <v>0</v>
      </c>
      <c r="N100" s="843">
        <f t="shared" si="6"/>
        <v>0</v>
      </c>
    </row>
    <row r="101" spans="1:16" ht="15.6">
      <c r="A101" s="838"/>
      <c r="B101" s="1762"/>
      <c r="C101" s="838"/>
      <c r="D101" s="839">
        <v>2416</v>
      </c>
      <c r="E101" s="840">
        <v>45378</v>
      </c>
      <c r="F101" s="1763">
        <v>307811</v>
      </c>
      <c r="G101" s="838">
        <v>30</v>
      </c>
      <c r="H101" s="842">
        <f t="shared" si="0"/>
        <v>45408</v>
      </c>
      <c r="I101" s="843">
        <f t="shared" si="1"/>
        <v>-25</v>
      </c>
      <c r="J101" s="843">
        <f t="shared" si="2"/>
        <v>307811</v>
      </c>
      <c r="K101" s="843">
        <f t="shared" si="3"/>
        <v>0</v>
      </c>
      <c r="L101" s="843">
        <f t="shared" si="4"/>
        <v>0</v>
      </c>
      <c r="M101" s="843">
        <f t="shared" si="5"/>
        <v>0</v>
      </c>
      <c r="N101" s="843">
        <f t="shared" si="6"/>
        <v>0</v>
      </c>
    </row>
    <row r="102" spans="1:16" ht="15.6">
      <c r="A102" s="838"/>
      <c r="B102" s="1762"/>
      <c r="C102" s="838"/>
      <c r="D102" s="839">
        <v>2418</v>
      </c>
      <c r="E102" s="840">
        <v>45378</v>
      </c>
      <c r="F102" s="1763">
        <v>84411</v>
      </c>
      <c r="G102" s="838">
        <v>30</v>
      </c>
      <c r="H102" s="842">
        <f t="shared" si="0"/>
        <v>45408</v>
      </c>
      <c r="I102" s="843">
        <f t="shared" si="1"/>
        <v>-25</v>
      </c>
      <c r="J102" s="843">
        <f t="shared" si="2"/>
        <v>84411</v>
      </c>
      <c r="K102" s="843">
        <f t="shared" si="3"/>
        <v>0</v>
      </c>
      <c r="L102" s="843">
        <f t="shared" si="4"/>
        <v>0</v>
      </c>
      <c r="M102" s="843">
        <f t="shared" si="5"/>
        <v>0</v>
      </c>
      <c r="N102" s="843">
        <f t="shared" si="6"/>
        <v>0</v>
      </c>
    </row>
    <row r="103" spans="1:16" ht="15.6">
      <c r="A103" s="838"/>
      <c r="B103" s="1762"/>
      <c r="C103" s="838"/>
      <c r="D103" s="839">
        <v>2422</v>
      </c>
      <c r="E103" s="840">
        <v>45379</v>
      </c>
      <c r="F103" s="1763">
        <v>445583</v>
      </c>
      <c r="G103" s="838">
        <v>30</v>
      </c>
      <c r="H103" s="842">
        <f t="shared" si="0"/>
        <v>45409</v>
      </c>
      <c r="I103" s="843">
        <f t="shared" si="1"/>
        <v>-26</v>
      </c>
      <c r="J103" s="843">
        <f t="shared" si="2"/>
        <v>445583</v>
      </c>
      <c r="K103" s="843">
        <f t="shared" si="3"/>
        <v>0</v>
      </c>
      <c r="L103" s="843">
        <f t="shared" si="4"/>
        <v>0</v>
      </c>
      <c r="M103" s="843">
        <f t="shared" si="5"/>
        <v>0</v>
      </c>
      <c r="N103" s="843">
        <f t="shared" si="6"/>
        <v>0</v>
      </c>
    </row>
    <row r="104" spans="1:16" ht="15.6">
      <c r="A104" s="838"/>
      <c r="B104" s="1762"/>
      <c r="C104" s="838"/>
      <c r="D104" s="839">
        <v>2426</v>
      </c>
      <c r="E104" s="840">
        <v>45379</v>
      </c>
      <c r="F104" s="1763">
        <v>312493</v>
      </c>
      <c r="G104" s="838">
        <v>30</v>
      </c>
      <c r="H104" s="842">
        <f t="shared" si="0"/>
        <v>45409</v>
      </c>
      <c r="I104" s="843">
        <f t="shared" si="1"/>
        <v>-26</v>
      </c>
      <c r="J104" s="843">
        <f t="shared" si="2"/>
        <v>312493</v>
      </c>
      <c r="K104" s="843">
        <f t="shared" si="3"/>
        <v>0</v>
      </c>
      <c r="L104" s="843">
        <f t="shared" si="4"/>
        <v>0</v>
      </c>
      <c r="M104" s="843">
        <f t="shared" si="5"/>
        <v>0</v>
      </c>
      <c r="N104" s="843">
        <f t="shared" si="6"/>
        <v>0</v>
      </c>
    </row>
    <row r="105" spans="1:16" ht="15.6">
      <c r="A105" s="838"/>
      <c r="B105" s="1762"/>
      <c r="C105" s="838"/>
      <c r="D105" s="839">
        <v>2428</v>
      </c>
      <c r="E105" s="840">
        <v>45379</v>
      </c>
      <c r="F105" s="1763">
        <v>246124</v>
      </c>
      <c r="G105" s="838">
        <v>30</v>
      </c>
      <c r="H105" s="842">
        <f t="shared" si="0"/>
        <v>45409</v>
      </c>
      <c r="I105" s="843">
        <f t="shared" si="1"/>
        <v>-26</v>
      </c>
      <c r="J105" s="843">
        <f t="shared" si="2"/>
        <v>246124</v>
      </c>
      <c r="K105" s="843">
        <f t="shared" si="3"/>
        <v>0</v>
      </c>
      <c r="L105" s="843">
        <f t="shared" si="4"/>
        <v>0</v>
      </c>
      <c r="M105" s="843">
        <f t="shared" si="5"/>
        <v>0</v>
      </c>
      <c r="N105" s="843">
        <f t="shared" si="6"/>
        <v>0</v>
      </c>
    </row>
    <row r="106" spans="1:16" ht="15.6">
      <c r="A106" s="838"/>
      <c r="B106" s="1762"/>
      <c r="C106" s="838"/>
      <c r="D106" s="839">
        <v>2429</v>
      </c>
      <c r="E106" s="840">
        <v>45379</v>
      </c>
      <c r="F106" s="1763">
        <v>227187</v>
      </c>
      <c r="G106" s="838">
        <v>30</v>
      </c>
      <c r="H106" s="842">
        <f t="shared" si="0"/>
        <v>45409</v>
      </c>
      <c r="I106" s="843">
        <f t="shared" si="1"/>
        <v>-26</v>
      </c>
      <c r="J106" s="843">
        <f t="shared" si="2"/>
        <v>227187</v>
      </c>
      <c r="K106" s="843">
        <f t="shared" si="3"/>
        <v>0</v>
      </c>
      <c r="L106" s="843">
        <f t="shared" si="4"/>
        <v>0</v>
      </c>
      <c r="M106" s="843">
        <f t="shared" si="5"/>
        <v>0</v>
      </c>
      <c r="N106" s="843">
        <f t="shared" si="6"/>
        <v>0</v>
      </c>
    </row>
    <row r="107" spans="1:16" ht="15.6">
      <c r="A107" s="838"/>
      <c r="B107" s="1762"/>
      <c r="C107" s="838"/>
      <c r="D107" s="839">
        <v>2438</v>
      </c>
      <c r="E107" s="840">
        <v>45380</v>
      </c>
      <c r="F107" s="1763">
        <v>207940</v>
      </c>
      <c r="G107" s="838">
        <v>30</v>
      </c>
      <c r="H107" s="842">
        <f t="shared" si="0"/>
        <v>45410</v>
      </c>
      <c r="I107" s="843">
        <f t="shared" si="1"/>
        <v>-27</v>
      </c>
      <c r="J107" s="843">
        <f t="shared" si="2"/>
        <v>207940</v>
      </c>
      <c r="K107" s="843">
        <f t="shared" si="3"/>
        <v>0</v>
      </c>
      <c r="L107" s="843">
        <f t="shared" si="4"/>
        <v>0</v>
      </c>
      <c r="M107" s="843">
        <f t="shared" si="5"/>
        <v>0</v>
      </c>
      <c r="N107" s="843">
        <f t="shared" si="6"/>
        <v>0</v>
      </c>
    </row>
    <row r="108" spans="1:16" ht="15.6">
      <c r="A108" s="838"/>
      <c r="B108" s="1762"/>
      <c r="C108" s="838"/>
      <c r="D108" s="839">
        <v>2443</v>
      </c>
      <c r="E108" s="840">
        <v>45382</v>
      </c>
      <c r="F108" s="1763">
        <v>303939</v>
      </c>
      <c r="G108" s="838">
        <v>30</v>
      </c>
      <c r="H108" s="842">
        <f t="shared" si="0"/>
        <v>45412</v>
      </c>
      <c r="I108" s="843">
        <f t="shared" si="1"/>
        <v>-29</v>
      </c>
      <c r="J108" s="843">
        <f t="shared" si="2"/>
        <v>303939</v>
      </c>
      <c r="K108" s="843">
        <f t="shared" si="3"/>
        <v>0</v>
      </c>
      <c r="L108" s="843">
        <f t="shared" si="4"/>
        <v>0</v>
      </c>
      <c r="M108" s="843">
        <f t="shared" si="5"/>
        <v>0</v>
      </c>
      <c r="N108" s="843">
        <f t="shared" si="6"/>
        <v>0</v>
      </c>
    </row>
    <row r="109" spans="1:16" ht="15.6">
      <c r="A109" s="838"/>
      <c r="B109" s="1762"/>
      <c r="C109" s="838"/>
      <c r="D109" s="839">
        <v>2451</v>
      </c>
      <c r="E109" s="840">
        <v>45382</v>
      </c>
      <c r="F109" s="1763">
        <v>127093</v>
      </c>
      <c r="G109" s="838">
        <v>30</v>
      </c>
      <c r="H109" s="842">
        <f t="shared" si="0"/>
        <v>45412</v>
      </c>
      <c r="I109" s="843">
        <f t="shared" si="1"/>
        <v>-29</v>
      </c>
      <c r="J109" s="843">
        <f t="shared" si="2"/>
        <v>127093</v>
      </c>
      <c r="K109" s="843">
        <f t="shared" si="3"/>
        <v>0</v>
      </c>
      <c r="L109" s="843">
        <f t="shared" si="4"/>
        <v>0</v>
      </c>
      <c r="M109" s="843">
        <f t="shared" si="5"/>
        <v>0</v>
      </c>
      <c r="N109" s="843">
        <f t="shared" si="6"/>
        <v>0</v>
      </c>
    </row>
    <row r="110" spans="1:16" ht="15.6">
      <c r="A110" s="838"/>
      <c r="B110" s="838"/>
      <c r="C110" s="838"/>
      <c r="D110" s="1782" t="s">
        <v>3116</v>
      </c>
      <c r="E110" s="1783"/>
      <c r="F110" s="1764">
        <v>-39109</v>
      </c>
      <c r="G110" s="838">
        <v>30</v>
      </c>
      <c r="H110" s="842">
        <v>45382</v>
      </c>
      <c r="I110" s="843">
        <f t="shared" si="1"/>
        <v>1</v>
      </c>
      <c r="J110" s="843">
        <f t="shared" si="2"/>
        <v>-39109</v>
      </c>
      <c r="K110" s="843">
        <f t="shared" si="3"/>
        <v>0</v>
      </c>
      <c r="L110" s="843">
        <f t="shared" si="4"/>
        <v>0</v>
      </c>
      <c r="M110" s="843">
        <f t="shared" si="5"/>
        <v>0</v>
      </c>
      <c r="N110" s="843">
        <f t="shared" si="6"/>
        <v>0</v>
      </c>
    </row>
    <row r="111" spans="1:16" ht="15.6">
      <c r="A111" s="1765"/>
      <c r="B111" s="1765"/>
      <c r="C111" s="1765"/>
      <c r="D111" s="1784"/>
      <c r="E111" s="1785"/>
      <c r="F111" s="1773">
        <f>SUM(F40:F110)</f>
        <v>19977798</v>
      </c>
      <c r="G111" s="1765"/>
      <c r="H111" s="1766"/>
      <c r="I111" s="1768"/>
      <c r="J111" s="1773">
        <f>SUM(J40:J110)</f>
        <v>19977798</v>
      </c>
      <c r="K111" s="1773">
        <f t="shared" ref="K111:N111" si="14">SUM(K40:K110)</f>
        <v>0</v>
      </c>
      <c r="L111" s="1773">
        <f t="shared" si="14"/>
        <v>0</v>
      </c>
      <c r="M111" s="1773">
        <f t="shared" si="14"/>
        <v>0</v>
      </c>
      <c r="N111" s="1773">
        <f t="shared" si="14"/>
        <v>0</v>
      </c>
      <c r="O111" s="773">
        <f>+SUM(J111:N111)</f>
        <v>19977798</v>
      </c>
      <c r="P111" s="1769">
        <f>+F111-O111</f>
        <v>0</v>
      </c>
    </row>
    <row r="112" spans="1:16" ht="15.6">
      <c r="A112" s="838">
        <v>10</v>
      </c>
      <c r="B112" s="1762" t="s">
        <v>2972</v>
      </c>
      <c r="C112" s="838"/>
      <c r="D112" s="839">
        <v>2317</v>
      </c>
      <c r="E112" s="840">
        <v>45360</v>
      </c>
      <c r="F112" s="1763">
        <v>217672</v>
      </c>
      <c r="G112" s="838">
        <v>30</v>
      </c>
      <c r="H112" s="842">
        <f t="shared" si="0"/>
        <v>45390</v>
      </c>
      <c r="I112" s="843">
        <f t="shared" si="1"/>
        <v>-7</v>
      </c>
      <c r="J112" s="843">
        <f t="shared" si="2"/>
        <v>217672</v>
      </c>
      <c r="K112" s="843">
        <f t="shared" si="3"/>
        <v>0</v>
      </c>
      <c r="L112" s="843">
        <f t="shared" si="4"/>
        <v>0</v>
      </c>
      <c r="M112" s="843">
        <f t="shared" si="5"/>
        <v>0</v>
      </c>
      <c r="N112" s="843">
        <f t="shared" si="6"/>
        <v>0</v>
      </c>
    </row>
    <row r="113" spans="1:16" ht="15.6">
      <c r="A113" s="838"/>
      <c r="B113" s="838"/>
      <c r="C113" s="838"/>
      <c r="D113" s="839">
        <v>2335</v>
      </c>
      <c r="E113" s="840">
        <v>45362</v>
      </c>
      <c r="F113" s="1763">
        <v>257406</v>
      </c>
      <c r="G113" s="838">
        <v>30</v>
      </c>
      <c r="H113" s="842">
        <f t="shared" si="0"/>
        <v>45392</v>
      </c>
      <c r="I113" s="843">
        <f t="shared" si="1"/>
        <v>-9</v>
      </c>
      <c r="J113" s="843">
        <f t="shared" si="2"/>
        <v>257406</v>
      </c>
      <c r="K113" s="843">
        <f t="shared" si="3"/>
        <v>0</v>
      </c>
      <c r="L113" s="843">
        <f t="shared" si="4"/>
        <v>0</v>
      </c>
      <c r="M113" s="843">
        <f t="shared" si="5"/>
        <v>0</v>
      </c>
      <c r="N113" s="843">
        <f t="shared" si="6"/>
        <v>0</v>
      </c>
    </row>
    <row r="114" spans="1:16" ht="15.6">
      <c r="A114" s="838"/>
      <c r="B114" s="838"/>
      <c r="C114" s="838"/>
      <c r="D114" s="839">
        <v>2415</v>
      </c>
      <c r="E114" s="840">
        <v>45378</v>
      </c>
      <c r="F114" s="1763">
        <v>306761</v>
      </c>
      <c r="G114" s="838">
        <v>30</v>
      </c>
      <c r="H114" s="842">
        <f t="shared" si="0"/>
        <v>45408</v>
      </c>
      <c r="I114" s="843">
        <f t="shared" si="1"/>
        <v>-25</v>
      </c>
      <c r="J114" s="843">
        <f t="shared" si="2"/>
        <v>306761</v>
      </c>
      <c r="K114" s="843">
        <f t="shared" si="3"/>
        <v>0</v>
      </c>
      <c r="L114" s="843">
        <f t="shared" si="4"/>
        <v>0</v>
      </c>
      <c r="M114" s="843">
        <f t="shared" si="5"/>
        <v>0</v>
      </c>
      <c r="N114" s="843">
        <f t="shared" si="6"/>
        <v>0</v>
      </c>
    </row>
    <row r="115" spans="1:16" ht="15.6">
      <c r="A115" s="838"/>
      <c r="B115" s="838"/>
      <c r="C115" s="838"/>
      <c r="D115" s="839"/>
      <c r="E115" s="840"/>
      <c r="F115" s="1786"/>
      <c r="G115" s="838"/>
      <c r="H115" s="842"/>
      <c r="I115" s="843"/>
      <c r="J115" s="1786"/>
      <c r="K115" s="843"/>
      <c r="L115" s="843"/>
      <c r="M115" s="843"/>
      <c r="N115" s="843"/>
    </row>
    <row r="116" spans="1:16" ht="15.6">
      <c r="A116" s="1765"/>
      <c r="B116" s="1765"/>
      <c r="C116" s="1765"/>
      <c r="D116" s="1771"/>
      <c r="E116" s="1772"/>
      <c r="F116" s="1773">
        <f>SUM(F112:F115)</f>
        <v>781839</v>
      </c>
      <c r="G116" s="1765"/>
      <c r="H116" s="1766"/>
      <c r="I116" s="1768"/>
      <c r="J116" s="1773">
        <f>SUM(J112:J115)</f>
        <v>781839</v>
      </c>
      <c r="K116" s="1773">
        <f t="shared" ref="K116:N116" si="15">SUM(K112:K115)</f>
        <v>0</v>
      </c>
      <c r="L116" s="1773">
        <f t="shared" si="15"/>
        <v>0</v>
      </c>
      <c r="M116" s="1773">
        <f t="shared" si="15"/>
        <v>0</v>
      </c>
      <c r="N116" s="1773">
        <f t="shared" si="15"/>
        <v>0</v>
      </c>
      <c r="O116" s="773">
        <f>+SUM(J116:N116)</f>
        <v>781839</v>
      </c>
      <c r="P116" s="1769">
        <f>+F116-O116</f>
        <v>0</v>
      </c>
    </row>
    <row r="117" spans="1:16" ht="15.6">
      <c r="A117" s="838">
        <v>11</v>
      </c>
      <c r="B117" s="1762" t="s">
        <v>253</v>
      </c>
      <c r="C117" s="838"/>
      <c r="D117" s="839">
        <v>2271</v>
      </c>
      <c r="E117" s="840">
        <v>45353</v>
      </c>
      <c r="F117" s="1763">
        <v>131084</v>
      </c>
      <c r="G117" s="838">
        <v>30</v>
      </c>
      <c r="H117" s="842">
        <f t="shared" ref="H117:H180" si="16">+E117+G117</f>
        <v>45383</v>
      </c>
      <c r="I117" s="843">
        <f t="shared" ref="I117:I180" si="17">+$Q$1-H117+1</f>
        <v>0</v>
      </c>
      <c r="J117" s="843">
        <f t="shared" ref="J117:J180" si="18">IF(I117&lt;=30,F117,0)</f>
        <v>131084</v>
      </c>
      <c r="K117" s="843">
        <f t="shared" ref="K117:K180" si="19">IF(I117&lt;=30,0,IF(I117&gt;60,0,F117))</f>
        <v>0</v>
      </c>
      <c r="L117" s="843">
        <f t="shared" ref="L117:L180" si="20">IF(I117&lt;=60,0,IF(I117&gt;90,0,F117))</f>
        <v>0</v>
      </c>
      <c r="M117" s="843">
        <f t="shared" ref="M117:M180" si="21">IF(I117&lt;=90,0,IF(I117&gt;120,0,F117))</f>
        <v>0</v>
      </c>
      <c r="N117" s="843">
        <f t="shared" ref="N117:N180" si="22">IF(I117&lt;=120,0,F117)</f>
        <v>0</v>
      </c>
    </row>
    <row r="118" spans="1:16" ht="15.6">
      <c r="A118" s="838"/>
      <c r="B118" s="1762"/>
      <c r="C118" s="838"/>
      <c r="D118" s="839"/>
      <c r="E118" s="840">
        <v>45382</v>
      </c>
      <c r="F118" s="1763">
        <v>133</v>
      </c>
      <c r="G118" s="838">
        <v>30</v>
      </c>
      <c r="H118" s="842">
        <f t="shared" si="16"/>
        <v>45412</v>
      </c>
      <c r="I118" s="843">
        <f t="shared" si="17"/>
        <v>-29</v>
      </c>
      <c r="J118" s="843">
        <f t="shared" si="18"/>
        <v>133</v>
      </c>
      <c r="K118" s="843">
        <f t="shared" si="19"/>
        <v>0</v>
      </c>
      <c r="L118" s="843">
        <f t="shared" si="20"/>
        <v>0</v>
      </c>
      <c r="M118" s="843">
        <f t="shared" si="21"/>
        <v>0</v>
      </c>
      <c r="N118" s="843">
        <f t="shared" si="22"/>
        <v>0</v>
      </c>
    </row>
    <row r="119" spans="1:16" ht="15.6">
      <c r="A119" s="1765"/>
      <c r="B119" s="1787"/>
      <c r="C119" s="1765"/>
      <c r="D119" s="1771"/>
      <c r="E119" s="1772"/>
      <c r="F119" s="1773">
        <f>SUM(F117:F118)</f>
        <v>131217</v>
      </c>
      <c r="G119" s="1765"/>
      <c r="H119" s="1766"/>
      <c r="I119" s="1768"/>
      <c r="J119" s="1773">
        <f>SUM(J117:J118)</f>
        <v>131217</v>
      </c>
      <c r="K119" s="1773">
        <f t="shared" ref="K119:N119" si="23">SUM(K117:K118)</f>
        <v>0</v>
      </c>
      <c r="L119" s="1773">
        <f t="shared" si="23"/>
        <v>0</v>
      </c>
      <c r="M119" s="1773">
        <f t="shared" si="23"/>
        <v>0</v>
      </c>
      <c r="N119" s="1773">
        <f t="shared" si="23"/>
        <v>0</v>
      </c>
      <c r="O119" s="773">
        <f>+SUM(J119:N119)</f>
        <v>131217</v>
      </c>
      <c r="P119" s="1769">
        <f>+F119-O119</f>
        <v>0</v>
      </c>
    </row>
    <row r="120" spans="1:16" ht="15.6">
      <c r="A120" s="838">
        <v>12</v>
      </c>
      <c r="B120" s="1762" t="s">
        <v>2980</v>
      </c>
      <c r="C120" s="838"/>
      <c r="D120" s="839">
        <v>2362</v>
      </c>
      <c r="E120" s="840">
        <v>45369</v>
      </c>
      <c r="F120" s="1764">
        <v>515309</v>
      </c>
      <c r="G120" s="838">
        <v>30</v>
      </c>
      <c r="H120" s="842">
        <f t="shared" si="16"/>
        <v>45399</v>
      </c>
      <c r="I120" s="843">
        <f t="shared" si="17"/>
        <v>-16</v>
      </c>
      <c r="J120" s="843">
        <f t="shared" si="18"/>
        <v>515309</v>
      </c>
      <c r="K120" s="843">
        <f t="shared" si="19"/>
        <v>0</v>
      </c>
      <c r="L120" s="843">
        <f t="shared" si="20"/>
        <v>0</v>
      </c>
      <c r="M120" s="843">
        <f t="shared" si="21"/>
        <v>0</v>
      </c>
      <c r="N120" s="843">
        <f t="shared" si="22"/>
        <v>0</v>
      </c>
    </row>
    <row r="121" spans="1:16" ht="15.6">
      <c r="A121" s="838"/>
      <c r="B121" s="838"/>
      <c r="C121" s="838"/>
      <c r="D121" s="839"/>
      <c r="E121" s="840"/>
      <c r="F121" s="1764"/>
      <c r="G121" s="838"/>
      <c r="H121" s="842"/>
      <c r="I121" s="843"/>
      <c r="J121" s="843">
        <f t="shared" si="18"/>
        <v>0</v>
      </c>
      <c r="K121" s="843">
        <f t="shared" si="19"/>
        <v>0</v>
      </c>
      <c r="L121" s="843">
        <f t="shared" si="20"/>
        <v>0</v>
      </c>
      <c r="M121" s="843">
        <f t="shared" si="21"/>
        <v>0</v>
      </c>
      <c r="N121" s="843">
        <f t="shared" si="22"/>
        <v>0</v>
      </c>
    </row>
    <row r="122" spans="1:16" ht="15.6">
      <c r="A122" s="1765"/>
      <c r="B122" s="1765"/>
      <c r="C122" s="1765"/>
      <c r="D122" s="1771"/>
      <c r="E122" s="1772"/>
      <c r="F122" s="1773">
        <f>SUM(F120:F121)</f>
        <v>515309</v>
      </c>
      <c r="G122" s="1765"/>
      <c r="H122" s="1766"/>
      <c r="I122" s="1768"/>
      <c r="J122" s="1773">
        <f>SUM(J120:J121)</f>
        <v>515309</v>
      </c>
      <c r="K122" s="1773">
        <f t="shared" ref="K122:N122" si="24">SUM(K120:K121)</f>
        <v>0</v>
      </c>
      <c r="L122" s="1773">
        <f t="shared" si="24"/>
        <v>0</v>
      </c>
      <c r="M122" s="1773">
        <f t="shared" si="24"/>
        <v>0</v>
      </c>
      <c r="N122" s="1773">
        <f t="shared" si="24"/>
        <v>0</v>
      </c>
      <c r="O122" s="773">
        <f>+SUM(J122:N122)</f>
        <v>515309</v>
      </c>
      <c r="P122" s="1769">
        <f>+F122-O122</f>
        <v>0</v>
      </c>
    </row>
    <row r="123" spans="1:16" ht="15.6">
      <c r="A123" s="838">
        <v>13</v>
      </c>
      <c r="B123" s="1762" t="s">
        <v>262</v>
      </c>
      <c r="C123" s="838"/>
      <c r="D123" s="839">
        <v>2444</v>
      </c>
      <c r="E123" s="840">
        <v>45382</v>
      </c>
      <c r="F123" s="1763">
        <v>490751</v>
      </c>
      <c r="G123" s="838">
        <v>30</v>
      </c>
      <c r="H123" s="842">
        <f t="shared" si="16"/>
        <v>45412</v>
      </c>
      <c r="I123" s="843">
        <f t="shared" si="17"/>
        <v>-29</v>
      </c>
      <c r="J123" s="843">
        <f t="shared" si="18"/>
        <v>490751</v>
      </c>
      <c r="K123" s="843">
        <f t="shared" si="19"/>
        <v>0</v>
      </c>
      <c r="L123" s="843">
        <f t="shared" si="20"/>
        <v>0</v>
      </c>
      <c r="M123" s="843">
        <f t="shared" si="21"/>
        <v>0</v>
      </c>
      <c r="N123" s="843">
        <f t="shared" si="22"/>
        <v>0</v>
      </c>
    </row>
    <row r="124" spans="1:16" ht="15.6">
      <c r="A124" s="838"/>
      <c r="B124" s="838"/>
      <c r="C124" s="838"/>
      <c r="D124" s="839" t="s">
        <v>1094</v>
      </c>
      <c r="E124" s="840">
        <v>45382</v>
      </c>
      <c r="F124" s="1764">
        <v>-515</v>
      </c>
      <c r="G124" s="838">
        <v>30</v>
      </c>
      <c r="H124" s="842">
        <f t="shared" si="16"/>
        <v>45412</v>
      </c>
      <c r="I124" s="843">
        <f t="shared" si="17"/>
        <v>-29</v>
      </c>
      <c r="J124" s="843">
        <f t="shared" si="18"/>
        <v>-515</v>
      </c>
      <c r="K124" s="843">
        <f t="shared" si="19"/>
        <v>0</v>
      </c>
      <c r="L124" s="843">
        <f t="shared" si="20"/>
        <v>0</v>
      </c>
      <c r="M124" s="843">
        <f t="shared" si="21"/>
        <v>0</v>
      </c>
      <c r="N124" s="843">
        <f t="shared" si="22"/>
        <v>0</v>
      </c>
    </row>
    <row r="125" spans="1:16" ht="15.6">
      <c r="A125" s="1765"/>
      <c r="B125" s="1765"/>
      <c r="C125" s="1765"/>
      <c r="D125" s="1771"/>
      <c r="E125" s="1772"/>
      <c r="F125" s="1773">
        <f>SUM(F123:F124)</f>
        <v>490236</v>
      </c>
      <c r="G125" s="1765"/>
      <c r="H125" s="1766"/>
      <c r="I125" s="1768"/>
      <c r="J125" s="1773">
        <f>SUM(J123:J124)</f>
        <v>490236</v>
      </c>
      <c r="K125" s="1773">
        <f t="shared" ref="K125:N125" si="25">SUM(K123:K124)</f>
        <v>0</v>
      </c>
      <c r="L125" s="1773">
        <f t="shared" si="25"/>
        <v>0</v>
      </c>
      <c r="M125" s="1773">
        <f t="shared" si="25"/>
        <v>0</v>
      </c>
      <c r="N125" s="1773">
        <f t="shared" si="25"/>
        <v>0</v>
      </c>
      <c r="O125" s="773">
        <f>+SUM(J125:N125)</f>
        <v>490236</v>
      </c>
      <c r="P125" s="1769">
        <f>+F125-O125</f>
        <v>0</v>
      </c>
    </row>
    <row r="126" spans="1:16" ht="15.6">
      <c r="A126" s="838">
        <v>14</v>
      </c>
      <c r="B126" s="1762" t="s">
        <v>299</v>
      </c>
      <c r="C126" s="838"/>
      <c r="D126" s="839">
        <v>2141</v>
      </c>
      <c r="E126" s="840">
        <v>45335</v>
      </c>
      <c r="F126" s="1774">
        <v>500647</v>
      </c>
      <c r="G126" s="838">
        <v>30</v>
      </c>
      <c r="H126" s="842">
        <f t="shared" si="16"/>
        <v>45365</v>
      </c>
      <c r="I126" s="843">
        <f t="shared" si="17"/>
        <v>18</v>
      </c>
      <c r="J126" s="843">
        <f t="shared" si="18"/>
        <v>500647</v>
      </c>
      <c r="K126" s="843">
        <f t="shared" si="19"/>
        <v>0</v>
      </c>
      <c r="L126" s="843">
        <f t="shared" si="20"/>
        <v>0</v>
      </c>
      <c r="M126" s="843">
        <f t="shared" si="21"/>
        <v>0</v>
      </c>
      <c r="N126" s="843">
        <f t="shared" si="22"/>
        <v>0</v>
      </c>
    </row>
    <row r="127" spans="1:16" ht="15.6">
      <c r="A127" s="838"/>
      <c r="B127" s="1762"/>
      <c r="C127" s="838"/>
      <c r="D127" s="839">
        <v>2200</v>
      </c>
      <c r="E127" s="840">
        <v>45345</v>
      </c>
      <c r="F127" s="1763">
        <v>466090</v>
      </c>
      <c r="G127" s="838">
        <v>30</v>
      </c>
      <c r="H127" s="842">
        <f t="shared" si="16"/>
        <v>45375</v>
      </c>
      <c r="I127" s="843">
        <f t="shared" si="17"/>
        <v>8</v>
      </c>
      <c r="J127" s="843">
        <f t="shared" si="18"/>
        <v>466090</v>
      </c>
      <c r="K127" s="843">
        <f t="shared" si="19"/>
        <v>0</v>
      </c>
      <c r="L127" s="843">
        <f t="shared" si="20"/>
        <v>0</v>
      </c>
      <c r="M127" s="843">
        <f t="shared" si="21"/>
        <v>0</v>
      </c>
      <c r="N127" s="843">
        <f t="shared" si="22"/>
        <v>0</v>
      </c>
    </row>
    <row r="128" spans="1:16" ht="15.6">
      <c r="A128" s="838"/>
      <c r="B128" s="1762"/>
      <c r="C128" s="838"/>
      <c r="D128" s="839">
        <v>2217</v>
      </c>
      <c r="E128" s="840">
        <v>45346</v>
      </c>
      <c r="F128" s="1763">
        <v>477639</v>
      </c>
      <c r="G128" s="838">
        <v>30</v>
      </c>
      <c r="H128" s="842">
        <f t="shared" si="16"/>
        <v>45376</v>
      </c>
      <c r="I128" s="843">
        <f t="shared" si="17"/>
        <v>7</v>
      </c>
      <c r="J128" s="843">
        <f t="shared" si="18"/>
        <v>477639</v>
      </c>
      <c r="K128" s="843">
        <f t="shared" si="19"/>
        <v>0</v>
      </c>
      <c r="L128" s="843">
        <f t="shared" si="20"/>
        <v>0</v>
      </c>
      <c r="M128" s="843">
        <f t="shared" si="21"/>
        <v>0</v>
      </c>
      <c r="N128" s="843">
        <f t="shared" si="22"/>
        <v>0</v>
      </c>
    </row>
    <row r="129" spans="1:16" ht="15.6">
      <c r="A129" s="838"/>
      <c r="B129" s="1762"/>
      <c r="C129" s="838"/>
      <c r="D129" s="839">
        <v>2278</v>
      </c>
      <c r="E129" s="840">
        <v>45354</v>
      </c>
      <c r="F129" s="1763">
        <v>481321</v>
      </c>
      <c r="G129" s="838">
        <v>30</v>
      </c>
      <c r="H129" s="842">
        <f t="shared" si="16"/>
        <v>45384</v>
      </c>
      <c r="I129" s="843">
        <f t="shared" si="17"/>
        <v>-1</v>
      </c>
      <c r="J129" s="843">
        <f t="shared" si="18"/>
        <v>481321</v>
      </c>
      <c r="K129" s="843">
        <f t="shared" si="19"/>
        <v>0</v>
      </c>
      <c r="L129" s="843">
        <f t="shared" si="20"/>
        <v>0</v>
      </c>
      <c r="M129" s="843">
        <f t="shared" si="21"/>
        <v>0</v>
      </c>
      <c r="N129" s="843">
        <f t="shared" si="22"/>
        <v>0</v>
      </c>
    </row>
    <row r="130" spans="1:16" ht="15.6">
      <c r="A130" s="838"/>
      <c r="B130" s="1762"/>
      <c r="C130" s="838"/>
      <c r="D130" s="839" t="s">
        <v>1094</v>
      </c>
      <c r="E130" s="840">
        <v>45382</v>
      </c>
      <c r="F130" s="1764">
        <v>-1094</v>
      </c>
      <c r="G130" s="838">
        <v>30</v>
      </c>
      <c r="H130" s="842">
        <f t="shared" si="16"/>
        <v>45412</v>
      </c>
      <c r="I130" s="843">
        <f t="shared" si="17"/>
        <v>-29</v>
      </c>
      <c r="J130" s="843">
        <f t="shared" si="18"/>
        <v>-1094</v>
      </c>
      <c r="K130" s="843">
        <f t="shared" si="19"/>
        <v>0</v>
      </c>
      <c r="L130" s="843">
        <f t="shared" si="20"/>
        <v>0</v>
      </c>
      <c r="M130" s="843">
        <f t="shared" si="21"/>
        <v>0</v>
      </c>
      <c r="N130" s="843">
        <f t="shared" si="22"/>
        <v>0</v>
      </c>
    </row>
    <row r="131" spans="1:16" ht="15.6">
      <c r="A131" s="1765"/>
      <c r="B131" s="1787"/>
      <c r="C131" s="1765"/>
      <c r="D131" s="1771"/>
      <c r="E131" s="1772"/>
      <c r="F131" s="1773">
        <f>SUM(F126:F130)</f>
        <v>1924603</v>
      </c>
      <c r="G131" s="1765"/>
      <c r="H131" s="1766"/>
      <c r="I131" s="1768"/>
      <c r="J131" s="1773">
        <f>SUM(J126:J130)</f>
        <v>1924603</v>
      </c>
      <c r="K131" s="1773">
        <f t="shared" ref="K131:N131" si="26">SUM(K126:K130)</f>
        <v>0</v>
      </c>
      <c r="L131" s="1773">
        <f t="shared" si="26"/>
        <v>0</v>
      </c>
      <c r="M131" s="1773">
        <f t="shared" si="26"/>
        <v>0</v>
      </c>
      <c r="N131" s="1773">
        <f t="shared" si="26"/>
        <v>0</v>
      </c>
      <c r="O131" s="773">
        <f>+SUM(J131:N131)</f>
        <v>1924603</v>
      </c>
      <c r="P131" s="1769">
        <f>+F131-O131</f>
        <v>0</v>
      </c>
    </row>
    <row r="132" spans="1:16" ht="15.6">
      <c r="A132" s="838">
        <v>15</v>
      </c>
      <c r="B132" s="1762" t="s">
        <v>407</v>
      </c>
      <c r="C132" s="838"/>
      <c r="D132" s="839">
        <v>2122</v>
      </c>
      <c r="E132" s="840">
        <v>45332</v>
      </c>
      <c r="F132" s="1774">
        <v>244245</v>
      </c>
      <c r="G132" s="838">
        <v>30</v>
      </c>
      <c r="H132" s="842">
        <f t="shared" si="16"/>
        <v>45362</v>
      </c>
      <c r="I132" s="843">
        <f t="shared" si="17"/>
        <v>21</v>
      </c>
      <c r="J132" s="843">
        <f t="shared" si="18"/>
        <v>244245</v>
      </c>
      <c r="K132" s="843">
        <f t="shared" si="19"/>
        <v>0</v>
      </c>
      <c r="L132" s="843">
        <f t="shared" si="20"/>
        <v>0</v>
      </c>
      <c r="M132" s="843">
        <f t="shared" si="21"/>
        <v>0</v>
      </c>
      <c r="N132" s="843">
        <f t="shared" si="22"/>
        <v>0</v>
      </c>
    </row>
    <row r="133" spans="1:16" ht="15.6">
      <c r="A133" s="838"/>
      <c r="B133" s="1762"/>
      <c r="C133" s="838"/>
      <c r="D133" s="839">
        <v>2126</v>
      </c>
      <c r="E133" s="840">
        <v>45332</v>
      </c>
      <c r="F133" s="1774">
        <v>171698</v>
      </c>
      <c r="G133" s="838">
        <v>30</v>
      </c>
      <c r="H133" s="842">
        <f t="shared" si="16"/>
        <v>45362</v>
      </c>
      <c r="I133" s="843">
        <f t="shared" si="17"/>
        <v>21</v>
      </c>
      <c r="J133" s="843">
        <f t="shared" si="18"/>
        <v>171698</v>
      </c>
      <c r="K133" s="843">
        <f t="shared" si="19"/>
        <v>0</v>
      </c>
      <c r="L133" s="843">
        <f t="shared" si="20"/>
        <v>0</v>
      </c>
      <c r="M133" s="843">
        <f t="shared" si="21"/>
        <v>0</v>
      </c>
      <c r="N133" s="843">
        <f t="shared" si="22"/>
        <v>0</v>
      </c>
    </row>
    <row r="134" spans="1:16" ht="15.6">
      <c r="A134" s="838"/>
      <c r="B134" s="1762"/>
      <c r="C134" s="838"/>
      <c r="D134" s="839">
        <v>2131</v>
      </c>
      <c r="E134" s="840">
        <v>45333</v>
      </c>
      <c r="F134" s="1774">
        <v>619658</v>
      </c>
      <c r="G134" s="838">
        <v>30</v>
      </c>
      <c r="H134" s="842">
        <f t="shared" si="16"/>
        <v>45363</v>
      </c>
      <c r="I134" s="843">
        <f t="shared" si="17"/>
        <v>20</v>
      </c>
      <c r="J134" s="843">
        <f t="shared" si="18"/>
        <v>619658</v>
      </c>
      <c r="K134" s="843">
        <f t="shared" si="19"/>
        <v>0</v>
      </c>
      <c r="L134" s="843">
        <f t="shared" si="20"/>
        <v>0</v>
      </c>
      <c r="M134" s="843">
        <f t="shared" si="21"/>
        <v>0</v>
      </c>
      <c r="N134" s="843">
        <f t="shared" si="22"/>
        <v>0</v>
      </c>
    </row>
    <row r="135" spans="1:16" ht="15.6">
      <c r="A135" s="838"/>
      <c r="B135" s="1762"/>
      <c r="C135" s="838"/>
      <c r="D135" s="839">
        <v>2135</v>
      </c>
      <c r="E135" s="840">
        <v>45334</v>
      </c>
      <c r="F135" s="1774">
        <v>261704</v>
      </c>
      <c r="G135" s="838">
        <v>30</v>
      </c>
      <c r="H135" s="842">
        <f t="shared" si="16"/>
        <v>45364</v>
      </c>
      <c r="I135" s="843">
        <f t="shared" si="17"/>
        <v>19</v>
      </c>
      <c r="J135" s="843">
        <f t="shared" si="18"/>
        <v>261704</v>
      </c>
      <c r="K135" s="843">
        <f t="shared" si="19"/>
        <v>0</v>
      </c>
      <c r="L135" s="843">
        <f t="shared" si="20"/>
        <v>0</v>
      </c>
      <c r="M135" s="843">
        <f t="shared" si="21"/>
        <v>0</v>
      </c>
      <c r="N135" s="843">
        <f t="shared" si="22"/>
        <v>0</v>
      </c>
    </row>
    <row r="136" spans="1:16" ht="15.6">
      <c r="A136" s="838"/>
      <c r="B136" s="1762"/>
      <c r="C136" s="838"/>
      <c r="D136" s="839">
        <v>2154</v>
      </c>
      <c r="E136" s="840">
        <v>45336</v>
      </c>
      <c r="F136" s="1774">
        <v>275928</v>
      </c>
      <c r="G136" s="838">
        <v>30</v>
      </c>
      <c r="H136" s="842">
        <f t="shared" si="16"/>
        <v>45366</v>
      </c>
      <c r="I136" s="843">
        <f t="shared" si="17"/>
        <v>17</v>
      </c>
      <c r="J136" s="843">
        <f t="shared" si="18"/>
        <v>275928</v>
      </c>
      <c r="K136" s="843">
        <f t="shared" si="19"/>
        <v>0</v>
      </c>
      <c r="L136" s="843">
        <f t="shared" si="20"/>
        <v>0</v>
      </c>
      <c r="M136" s="843">
        <f t="shared" si="21"/>
        <v>0</v>
      </c>
      <c r="N136" s="843">
        <f t="shared" si="22"/>
        <v>0</v>
      </c>
    </row>
    <row r="137" spans="1:16" ht="15.6">
      <c r="A137" s="838"/>
      <c r="B137" s="1762"/>
      <c r="C137" s="838"/>
      <c r="D137" s="839">
        <v>2166</v>
      </c>
      <c r="E137" s="840">
        <v>45338</v>
      </c>
      <c r="F137" s="1774">
        <v>402560</v>
      </c>
      <c r="G137" s="838">
        <v>30</v>
      </c>
      <c r="H137" s="842">
        <f t="shared" si="16"/>
        <v>45368</v>
      </c>
      <c r="I137" s="843">
        <f t="shared" si="17"/>
        <v>15</v>
      </c>
      <c r="J137" s="843">
        <f t="shared" si="18"/>
        <v>402560</v>
      </c>
      <c r="K137" s="843">
        <f t="shared" si="19"/>
        <v>0</v>
      </c>
      <c r="L137" s="843">
        <f t="shared" si="20"/>
        <v>0</v>
      </c>
      <c r="M137" s="843">
        <f t="shared" si="21"/>
        <v>0</v>
      </c>
      <c r="N137" s="843">
        <f t="shared" si="22"/>
        <v>0</v>
      </c>
    </row>
    <row r="138" spans="1:16" ht="15.6">
      <c r="A138" s="838"/>
      <c r="B138" s="1762"/>
      <c r="C138" s="838"/>
      <c r="D138" s="839">
        <v>2169</v>
      </c>
      <c r="E138" s="840">
        <v>45339</v>
      </c>
      <c r="F138" s="1774">
        <v>198963</v>
      </c>
      <c r="G138" s="838">
        <v>30</v>
      </c>
      <c r="H138" s="842">
        <f t="shared" si="16"/>
        <v>45369</v>
      </c>
      <c r="I138" s="843">
        <f t="shared" si="17"/>
        <v>14</v>
      </c>
      <c r="J138" s="843">
        <f t="shared" si="18"/>
        <v>198963</v>
      </c>
      <c r="K138" s="843">
        <f t="shared" si="19"/>
        <v>0</v>
      </c>
      <c r="L138" s="843">
        <f t="shared" si="20"/>
        <v>0</v>
      </c>
      <c r="M138" s="843">
        <f t="shared" si="21"/>
        <v>0</v>
      </c>
      <c r="N138" s="843">
        <f t="shared" si="22"/>
        <v>0</v>
      </c>
    </row>
    <row r="139" spans="1:16" ht="15.6">
      <c r="A139" s="838"/>
      <c r="B139" s="1762"/>
      <c r="C139" s="838"/>
      <c r="D139" s="839">
        <v>2170</v>
      </c>
      <c r="E139" s="840">
        <v>45339</v>
      </c>
      <c r="F139" s="1763">
        <v>243711</v>
      </c>
      <c r="G139" s="838">
        <v>30</v>
      </c>
      <c r="H139" s="842">
        <f t="shared" si="16"/>
        <v>45369</v>
      </c>
      <c r="I139" s="843">
        <f t="shared" si="17"/>
        <v>14</v>
      </c>
      <c r="J139" s="843">
        <f t="shared" si="18"/>
        <v>243711</v>
      </c>
      <c r="K139" s="843">
        <f t="shared" si="19"/>
        <v>0</v>
      </c>
      <c r="L139" s="843">
        <f t="shared" si="20"/>
        <v>0</v>
      </c>
      <c r="M139" s="843">
        <f t="shared" si="21"/>
        <v>0</v>
      </c>
      <c r="N139" s="843">
        <f t="shared" si="22"/>
        <v>0</v>
      </c>
    </row>
    <row r="140" spans="1:16" ht="15.6">
      <c r="A140" s="838"/>
      <c r="B140" s="1762"/>
      <c r="C140" s="838"/>
      <c r="D140" s="839">
        <v>2173</v>
      </c>
      <c r="E140" s="840">
        <v>45340</v>
      </c>
      <c r="F140" s="1763">
        <v>211891</v>
      </c>
      <c r="G140" s="838">
        <v>30</v>
      </c>
      <c r="H140" s="842">
        <f t="shared" si="16"/>
        <v>45370</v>
      </c>
      <c r="I140" s="843">
        <f t="shared" si="17"/>
        <v>13</v>
      </c>
      <c r="J140" s="843">
        <f t="shared" si="18"/>
        <v>211891</v>
      </c>
      <c r="K140" s="843">
        <f t="shared" si="19"/>
        <v>0</v>
      </c>
      <c r="L140" s="843">
        <f t="shared" si="20"/>
        <v>0</v>
      </c>
      <c r="M140" s="843">
        <f t="shared" si="21"/>
        <v>0</v>
      </c>
      <c r="N140" s="843">
        <f t="shared" si="22"/>
        <v>0</v>
      </c>
    </row>
    <row r="141" spans="1:16" ht="15.6">
      <c r="A141" s="838"/>
      <c r="B141" s="1762"/>
      <c r="C141" s="838"/>
      <c r="D141" s="839">
        <v>2186</v>
      </c>
      <c r="E141" s="840">
        <v>45342</v>
      </c>
      <c r="F141" s="1763">
        <v>235363</v>
      </c>
      <c r="G141" s="838">
        <v>30</v>
      </c>
      <c r="H141" s="842">
        <f t="shared" si="16"/>
        <v>45372</v>
      </c>
      <c r="I141" s="843">
        <f t="shared" si="17"/>
        <v>11</v>
      </c>
      <c r="J141" s="843">
        <f t="shared" si="18"/>
        <v>235363</v>
      </c>
      <c r="K141" s="843">
        <f t="shared" si="19"/>
        <v>0</v>
      </c>
      <c r="L141" s="843">
        <f t="shared" si="20"/>
        <v>0</v>
      </c>
      <c r="M141" s="843">
        <f t="shared" si="21"/>
        <v>0</v>
      </c>
      <c r="N141" s="843">
        <f t="shared" si="22"/>
        <v>0</v>
      </c>
    </row>
    <row r="142" spans="1:16" ht="15.6">
      <c r="A142" s="838"/>
      <c r="B142" s="1762"/>
      <c r="C142" s="838"/>
      <c r="D142" s="839">
        <v>2187</v>
      </c>
      <c r="E142" s="840">
        <v>45342</v>
      </c>
      <c r="F142" s="1763">
        <v>215444</v>
      </c>
      <c r="G142" s="838">
        <v>30</v>
      </c>
      <c r="H142" s="842">
        <f t="shared" si="16"/>
        <v>45372</v>
      </c>
      <c r="I142" s="843">
        <f t="shared" si="17"/>
        <v>11</v>
      </c>
      <c r="J142" s="843">
        <f t="shared" si="18"/>
        <v>215444</v>
      </c>
      <c r="K142" s="843">
        <f t="shared" si="19"/>
        <v>0</v>
      </c>
      <c r="L142" s="843">
        <f t="shared" si="20"/>
        <v>0</v>
      </c>
      <c r="M142" s="843">
        <f t="shared" si="21"/>
        <v>0</v>
      </c>
      <c r="N142" s="843">
        <f t="shared" si="22"/>
        <v>0</v>
      </c>
    </row>
    <row r="143" spans="1:16" ht="15.6">
      <c r="A143" s="838"/>
      <c r="B143" s="1762"/>
      <c r="C143" s="838"/>
      <c r="D143" s="839">
        <v>2192</v>
      </c>
      <c r="E143" s="840">
        <v>45343</v>
      </c>
      <c r="F143" s="1763">
        <v>113286</v>
      </c>
      <c r="G143" s="838">
        <v>30</v>
      </c>
      <c r="H143" s="842">
        <f t="shared" si="16"/>
        <v>45373</v>
      </c>
      <c r="I143" s="843">
        <f t="shared" si="17"/>
        <v>10</v>
      </c>
      <c r="J143" s="843">
        <f t="shared" si="18"/>
        <v>113286</v>
      </c>
      <c r="K143" s="843">
        <f t="shared" si="19"/>
        <v>0</v>
      </c>
      <c r="L143" s="843">
        <f t="shared" si="20"/>
        <v>0</v>
      </c>
      <c r="M143" s="843">
        <f t="shared" si="21"/>
        <v>0</v>
      </c>
      <c r="N143" s="843">
        <f t="shared" si="22"/>
        <v>0</v>
      </c>
    </row>
    <row r="144" spans="1:16" ht="15.6">
      <c r="A144" s="838"/>
      <c r="B144" s="1762"/>
      <c r="C144" s="838"/>
      <c r="D144" s="839">
        <v>2193</v>
      </c>
      <c r="E144" s="840">
        <v>45343</v>
      </c>
      <c r="F144" s="1763">
        <v>69764</v>
      </c>
      <c r="G144" s="838">
        <v>30</v>
      </c>
      <c r="H144" s="842">
        <f t="shared" si="16"/>
        <v>45373</v>
      </c>
      <c r="I144" s="843">
        <f t="shared" si="17"/>
        <v>10</v>
      </c>
      <c r="J144" s="843">
        <f t="shared" si="18"/>
        <v>69764</v>
      </c>
      <c r="K144" s="843">
        <f t="shared" si="19"/>
        <v>0</v>
      </c>
      <c r="L144" s="843">
        <f t="shared" si="20"/>
        <v>0</v>
      </c>
      <c r="M144" s="843">
        <f t="shared" si="21"/>
        <v>0</v>
      </c>
      <c r="N144" s="843">
        <f t="shared" si="22"/>
        <v>0</v>
      </c>
    </row>
    <row r="145" spans="1:14" ht="15.6">
      <c r="A145" s="838"/>
      <c r="B145" s="1762"/>
      <c r="C145" s="838"/>
      <c r="D145" s="839">
        <v>2198</v>
      </c>
      <c r="E145" s="840">
        <v>45344</v>
      </c>
      <c r="F145" s="1763">
        <v>301968</v>
      </c>
      <c r="G145" s="838">
        <v>30</v>
      </c>
      <c r="H145" s="842">
        <f t="shared" si="16"/>
        <v>45374</v>
      </c>
      <c r="I145" s="843">
        <f t="shared" si="17"/>
        <v>9</v>
      </c>
      <c r="J145" s="843">
        <f t="shared" si="18"/>
        <v>301968</v>
      </c>
      <c r="K145" s="843">
        <f t="shared" si="19"/>
        <v>0</v>
      </c>
      <c r="L145" s="843">
        <f t="shared" si="20"/>
        <v>0</v>
      </c>
      <c r="M145" s="843">
        <f t="shared" si="21"/>
        <v>0</v>
      </c>
      <c r="N145" s="843">
        <f t="shared" si="22"/>
        <v>0</v>
      </c>
    </row>
    <row r="146" spans="1:14" ht="15.6">
      <c r="A146" s="838"/>
      <c r="B146" s="1762"/>
      <c r="C146" s="838"/>
      <c r="D146" s="839">
        <v>2203</v>
      </c>
      <c r="E146" s="840">
        <v>45345</v>
      </c>
      <c r="F146" s="1763">
        <v>114984</v>
      </c>
      <c r="G146" s="838">
        <v>30</v>
      </c>
      <c r="H146" s="842">
        <f t="shared" si="16"/>
        <v>45375</v>
      </c>
      <c r="I146" s="843">
        <f t="shared" si="17"/>
        <v>8</v>
      </c>
      <c r="J146" s="843">
        <f t="shared" si="18"/>
        <v>114984</v>
      </c>
      <c r="K146" s="843">
        <f t="shared" si="19"/>
        <v>0</v>
      </c>
      <c r="L146" s="843">
        <f t="shared" si="20"/>
        <v>0</v>
      </c>
      <c r="M146" s="843">
        <f t="shared" si="21"/>
        <v>0</v>
      </c>
      <c r="N146" s="843">
        <f t="shared" si="22"/>
        <v>0</v>
      </c>
    </row>
    <row r="147" spans="1:14" ht="15.6">
      <c r="A147" s="838"/>
      <c r="B147" s="1762"/>
      <c r="C147" s="838"/>
      <c r="D147" s="839">
        <v>2206</v>
      </c>
      <c r="E147" s="840">
        <v>45345</v>
      </c>
      <c r="F147" s="1763">
        <v>181068</v>
      </c>
      <c r="G147" s="838">
        <v>30</v>
      </c>
      <c r="H147" s="842">
        <f t="shared" si="16"/>
        <v>45375</v>
      </c>
      <c r="I147" s="843">
        <f t="shared" si="17"/>
        <v>8</v>
      </c>
      <c r="J147" s="843">
        <f t="shared" si="18"/>
        <v>181068</v>
      </c>
      <c r="K147" s="843">
        <f t="shared" si="19"/>
        <v>0</v>
      </c>
      <c r="L147" s="843">
        <f t="shared" si="20"/>
        <v>0</v>
      </c>
      <c r="M147" s="843">
        <f t="shared" si="21"/>
        <v>0</v>
      </c>
      <c r="N147" s="843">
        <f t="shared" si="22"/>
        <v>0</v>
      </c>
    </row>
    <row r="148" spans="1:14" ht="15.6">
      <c r="A148" s="838"/>
      <c r="B148" s="1762"/>
      <c r="C148" s="838"/>
      <c r="D148" s="839">
        <v>2212</v>
      </c>
      <c r="E148" s="840">
        <v>45346</v>
      </c>
      <c r="F148" s="1763">
        <v>144750</v>
      </c>
      <c r="G148" s="838">
        <v>30</v>
      </c>
      <c r="H148" s="842">
        <f t="shared" si="16"/>
        <v>45376</v>
      </c>
      <c r="I148" s="843">
        <f t="shared" si="17"/>
        <v>7</v>
      </c>
      <c r="J148" s="843">
        <f t="shared" si="18"/>
        <v>144750</v>
      </c>
      <c r="K148" s="843">
        <f t="shared" si="19"/>
        <v>0</v>
      </c>
      <c r="L148" s="843">
        <f t="shared" si="20"/>
        <v>0</v>
      </c>
      <c r="M148" s="843">
        <f t="shared" si="21"/>
        <v>0</v>
      </c>
      <c r="N148" s="843">
        <f t="shared" si="22"/>
        <v>0</v>
      </c>
    </row>
    <row r="149" spans="1:14" ht="15.6">
      <c r="A149" s="838"/>
      <c r="B149" s="1762"/>
      <c r="C149" s="838"/>
      <c r="D149" s="839">
        <v>2215</v>
      </c>
      <c r="E149" s="840">
        <v>45346</v>
      </c>
      <c r="F149" s="1763">
        <v>342177</v>
      </c>
      <c r="G149" s="838">
        <v>30</v>
      </c>
      <c r="H149" s="842">
        <f t="shared" si="16"/>
        <v>45376</v>
      </c>
      <c r="I149" s="843">
        <f t="shared" si="17"/>
        <v>7</v>
      </c>
      <c r="J149" s="843">
        <f t="shared" si="18"/>
        <v>342177</v>
      </c>
      <c r="K149" s="843">
        <f t="shared" si="19"/>
        <v>0</v>
      </c>
      <c r="L149" s="843">
        <f t="shared" si="20"/>
        <v>0</v>
      </c>
      <c r="M149" s="843">
        <f t="shared" si="21"/>
        <v>0</v>
      </c>
      <c r="N149" s="843">
        <f t="shared" si="22"/>
        <v>0</v>
      </c>
    </row>
    <row r="150" spans="1:14" ht="15.6">
      <c r="A150" s="838"/>
      <c r="B150" s="1762"/>
      <c r="C150" s="838"/>
      <c r="D150" s="839">
        <v>2218</v>
      </c>
      <c r="E150" s="840">
        <v>45346</v>
      </c>
      <c r="F150" s="1763">
        <v>209519</v>
      </c>
      <c r="G150" s="838">
        <v>30</v>
      </c>
      <c r="H150" s="842">
        <f t="shared" si="16"/>
        <v>45376</v>
      </c>
      <c r="I150" s="843">
        <f t="shared" si="17"/>
        <v>7</v>
      </c>
      <c r="J150" s="843">
        <f t="shared" si="18"/>
        <v>209519</v>
      </c>
      <c r="K150" s="843">
        <f t="shared" si="19"/>
        <v>0</v>
      </c>
      <c r="L150" s="843">
        <f t="shared" si="20"/>
        <v>0</v>
      </c>
      <c r="M150" s="843">
        <f t="shared" si="21"/>
        <v>0</v>
      </c>
      <c r="N150" s="843">
        <f t="shared" si="22"/>
        <v>0</v>
      </c>
    </row>
    <row r="151" spans="1:14" ht="15.6">
      <c r="A151" s="838"/>
      <c r="B151" s="1762"/>
      <c r="C151" s="838"/>
      <c r="D151" s="839">
        <v>2221</v>
      </c>
      <c r="E151" s="840">
        <v>45347</v>
      </c>
      <c r="F151" s="1763">
        <v>191144</v>
      </c>
      <c r="G151" s="838">
        <v>30</v>
      </c>
      <c r="H151" s="842">
        <f t="shared" si="16"/>
        <v>45377</v>
      </c>
      <c r="I151" s="843">
        <f t="shared" si="17"/>
        <v>6</v>
      </c>
      <c r="J151" s="843">
        <f t="shared" si="18"/>
        <v>191144</v>
      </c>
      <c r="K151" s="843">
        <f t="shared" si="19"/>
        <v>0</v>
      </c>
      <c r="L151" s="843">
        <f t="shared" si="20"/>
        <v>0</v>
      </c>
      <c r="M151" s="843">
        <f t="shared" si="21"/>
        <v>0</v>
      </c>
      <c r="N151" s="843">
        <f t="shared" si="22"/>
        <v>0</v>
      </c>
    </row>
    <row r="152" spans="1:14" ht="15.6">
      <c r="A152" s="838"/>
      <c r="B152" s="1762"/>
      <c r="C152" s="838"/>
      <c r="D152" s="839">
        <v>2227</v>
      </c>
      <c r="E152" s="840">
        <v>45347</v>
      </c>
      <c r="F152" s="1763">
        <v>134826</v>
      </c>
      <c r="G152" s="838">
        <v>30</v>
      </c>
      <c r="H152" s="842">
        <f t="shared" si="16"/>
        <v>45377</v>
      </c>
      <c r="I152" s="843">
        <f t="shared" si="17"/>
        <v>6</v>
      </c>
      <c r="J152" s="843">
        <f t="shared" si="18"/>
        <v>134826</v>
      </c>
      <c r="K152" s="843">
        <f t="shared" si="19"/>
        <v>0</v>
      </c>
      <c r="L152" s="843">
        <f t="shared" si="20"/>
        <v>0</v>
      </c>
      <c r="M152" s="843">
        <f t="shared" si="21"/>
        <v>0</v>
      </c>
      <c r="N152" s="843">
        <f t="shared" si="22"/>
        <v>0</v>
      </c>
    </row>
    <row r="153" spans="1:14" ht="15.6">
      <c r="A153" s="838"/>
      <c r="B153" s="1762"/>
      <c r="C153" s="838"/>
      <c r="D153" s="839">
        <v>2235</v>
      </c>
      <c r="E153" s="840">
        <v>45348</v>
      </c>
      <c r="F153" s="1763">
        <v>223817</v>
      </c>
      <c r="G153" s="838">
        <v>30</v>
      </c>
      <c r="H153" s="842">
        <f t="shared" si="16"/>
        <v>45378</v>
      </c>
      <c r="I153" s="843">
        <f t="shared" si="17"/>
        <v>5</v>
      </c>
      <c r="J153" s="843">
        <f t="shared" si="18"/>
        <v>223817</v>
      </c>
      <c r="K153" s="843">
        <f t="shared" si="19"/>
        <v>0</v>
      </c>
      <c r="L153" s="843">
        <f t="shared" si="20"/>
        <v>0</v>
      </c>
      <c r="M153" s="843">
        <f t="shared" si="21"/>
        <v>0</v>
      </c>
      <c r="N153" s="843">
        <f t="shared" si="22"/>
        <v>0</v>
      </c>
    </row>
    <row r="154" spans="1:14" ht="15.6">
      <c r="A154" s="838"/>
      <c r="B154" s="1762"/>
      <c r="C154" s="838"/>
      <c r="D154" s="839">
        <v>2243</v>
      </c>
      <c r="E154" s="840">
        <v>45349</v>
      </c>
      <c r="F154" s="1763">
        <v>496887</v>
      </c>
      <c r="G154" s="838">
        <v>30</v>
      </c>
      <c r="H154" s="842">
        <f t="shared" si="16"/>
        <v>45379</v>
      </c>
      <c r="I154" s="843">
        <f t="shared" si="17"/>
        <v>4</v>
      </c>
      <c r="J154" s="843">
        <f t="shared" si="18"/>
        <v>496887</v>
      </c>
      <c r="K154" s="843">
        <f t="shared" si="19"/>
        <v>0</v>
      </c>
      <c r="L154" s="843">
        <f t="shared" si="20"/>
        <v>0</v>
      </c>
      <c r="M154" s="843">
        <f t="shared" si="21"/>
        <v>0</v>
      </c>
      <c r="N154" s="843">
        <f t="shared" si="22"/>
        <v>0</v>
      </c>
    </row>
    <row r="155" spans="1:14" ht="15.6">
      <c r="A155" s="838"/>
      <c r="B155" s="1762"/>
      <c r="C155" s="838"/>
      <c r="D155" s="839">
        <v>2248</v>
      </c>
      <c r="E155" s="840">
        <v>45350</v>
      </c>
      <c r="F155" s="1763">
        <v>221283</v>
      </c>
      <c r="G155" s="838">
        <v>30</v>
      </c>
      <c r="H155" s="842">
        <f t="shared" si="16"/>
        <v>45380</v>
      </c>
      <c r="I155" s="843">
        <f t="shared" si="17"/>
        <v>3</v>
      </c>
      <c r="J155" s="843">
        <f t="shared" si="18"/>
        <v>221283</v>
      </c>
      <c r="K155" s="843">
        <f t="shared" si="19"/>
        <v>0</v>
      </c>
      <c r="L155" s="843">
        <f t="shared" si="20"/>
        <v>0</v>
      </c>
      <c r="M155" s="843">
        <f t="shared" si="21"/>
        <v>0</v>
      </c>
      <c r="N155" s="843">
        <f t="shared" si="22"/>
        <v>0</v>
      </c>
    </row>
    <row r="156" spans="1:14" ht="15.6">
      <c r="A156" s="838"/>
      <c r="B156" s="1762"/>
      <c r="C156" s="838"/>
      <c r="D156" s="839">
        <v>2252</v>
      </c>
      <c r="E156" s="840">
        <v>45351</v>
      </c>
      <c r="F156" s="1763">
        <v>306890</v>
      </c>
      <c r="G156" s="838">
        <v>30</v>
      </c>
      <c r="H156" s="842">
        <f t="shared" si="16"/>
        <v>45381</v>
      </c>
      <c r="I156" s="843">
        <f t="shared" si="17"/>
        <v>2</v>
      </c>
      <c r="J156" s="843">
        <f t="shared" si="18"/>
        <v>306890</v>
      </c>
      <c r="K156" s="843">
        <f t="shared" si="19"/>
        <v>0</v>
      </c>
      <c r="L156" s="843">
        <f t="shared" si="20"/>
        <v>0</v>
      </c>
      <c r="M156" s="843">
        <f t="shared" si="21"/>
        <v>0</v>
      </c>
      <c r="N156" s="843">
        <f t="shared" si="22"/>
        <v>0</v>
      </c>
    </row>
    <row r="157" spans="1:14" ht="15.6">
      <c r="A157" s="838"/>
      <c r="B157" s="1762"/>
      <c r="C157" s="838"/>
      <c r="D157" s="839">
        <v>2257</v>
      </c>
      <c r="E157" s="840">
        <v>45351</v>
      </c>
      <c r="F157" s="1763">
        <v>171584</v>
      </c>
      <c r="G157" s="838">
        <v>30</v>
      </c>
      <c r="H157" s="842">
        <f t="shared" si="16"/>
        <v>45381</v>
      </c>
      <c r="I157" s="843">
        <f t="shared" si="17"/>
        <v>2</v>
      </c>
      <c r="J157" s="843">
        <f t="shared" si="18"/>
        <v>171584</v>
      </c>
      <c r="K157" s="843">
        <f t="shared" si="19"/>
        <v>0</v>
      </c>
      <c r="L157" s="843">
        <f t="shared" si="20"/>
        <v>0</v>
      </c>
      <c r="M157" s="843">
        <f t="shared" si="21"/>
        <v>0</v>
      </c>
      <c r="N157" s="843">
        <f t="shared" si="22"/>
        <v>0</v>
      </c>
    </row>
    <row r="158" spans="1:14" ht="15.6">
      <c r="A158" s="838"/>
      <c r="B158" s="1762"/>
      <c r="C158" s="838"/>
      <c r="D158" s="839">
        <v>2261</v>
      </c>
      <c r="E158" s="840">
        <v>45352</v>
      </c>
      <c r="F158" s="1763">
        <v>187472</v>
      </c>
      <c r="G158" s="838">
        <v>30</v>
      </c>
      <c r="H158" s="842">
        <f t="shared" si="16"/>
        <v>45382</v>
      </c>
      <c r="I158" s="843">
        <f t="shared" si="17"/>
        <v>1</v>
      </c>
      <c r="J158" s="843">
        <f t="shared" si="18"/>
        <v>187472</v>
      </c>
      <c r="K158" s="843">
        <f t="shared" si="19"/>
        <v>0</v>
      </c>
      <c r="L158" s="843">
        <f t="shared" si="20"/>
        <v>0</v>
      </c>
      <c r="M158" s="843">
        <f t="shared" si="21"/>
        <v>0</v>
      </c>
      <c r="N158" s="843">
        <f t="shared" si="22"/>
        <v>0</v>
      </c>
    </row>
    <row r="159" spans="1:14" ht="15.6">
      <c r="A159" s="838"/>
      <c r="B159" s="1762"/>
      <c r="C159" s="838"/>
      <c r="D159" s="839">
        <v>2274</v>
      </c>
      <c r="E159" s="840">
        <v>45353</v>
      </c>
      <c r="F159" s="1763">
        <v>239759</v>
      </c>
      <c r="G159" s="838">
        <v>30</v>
      </c>
      <c r="H159" s="842">
        <f t="shared" si="16"/>
        <v>45383</v>
      </c>
      <c r="I159" s="843">
        <f t="shared" si="17"/>
        <v>0</v>
      </c>
      <c r="J159" s="843">
        <f t="shared" si="18"/>
        <v>239759</v>
      </c>
      <c r="K159" s="843">
        <f t="shared" si="19"/>
        <v>0</v>
      </c>
      <c r="L159" s="843">
        <f t="shared" si="20"/>
        <v>0</v>
      </c>
      <c r="M159" s="843">
        <f t="shared" si="21"/>
        <v>0</v>
      </c>
      <c r="N159" s="843">
        <f t="shared" si="22"/>
        <v>0</v>
      </c>
    </row>
    <row r="160" spans="1:14" ht="15.6">
      <c r="A160" s="838"/>
      <c r="B160" s="1762"/>
      <c r="C160" s="838"/>
      <c r="D160" s="839">
        <v>2276</v>
      </c>
      <c r="E160" s="840">
        <v>45353</v>
      </c>
      <c r="F160" s="1763">
        <v>481236</v>
      </c>
      <c r="G160" s="838">
        <v>30</v>
      </c>
      <c r="H160" s="842">
        <f t="shared" si="16"/>
        <v>45383</v>
      </c>
      <c r="I160" s="843">
        <f t="shared" si="17"/>
        <v>0</v>
      </c>
      <c r="J160" s="843">
        <f t="shared" si="18"/>
        <v>481236</v>
      </c>
      <c r="K160" s="843">
        <f t="shared" si="19"/>
        <v>0</v>
      </c>
      <c r="L160" s="843">
        <f t="shared" si="20"/>
        <v>0</v>
      </c>
      <c r="M160" s="843">
        <f t="shared" si="21"/>
        <v>0</v>
      </c>
      <c r="N160" s="843">
        <f t="shared" si="22"/>
        <v>0</v>
      </c>
    </row>
    <row r="161" spans="1:14" ht="15.6">
      <c r="A161" s="838"/>
      <c r="B161" s="1762"/>
      <c r="C161" s="838"/>
      <c r="D161" s="839">
        <v>2281</v>
      </c>
      <c r="E161" s="840">
        <v>45354</v>
      </c>
      <c r="F161" s="1763">
        <v>555484</v>
      </c>
      <c r="G161" s="838">
        <v>30</v>
      </c>
      <c r="H161" s="842">
        <f t="shared" si="16"/>
        <v>45384</v>
      </c>
      <c r="I161" s="843">
        <f t="shared" si="17"/>
        <v>-1</v>
      </c>
      <c r="J161" s="843">
        <f t="shared" si="18"/>
        <v>555484</v>
      </c>
      <c r="K161" s="843">
        <f t="shared" si="19"/>
        <v>0</v>
      </c>
      <c r="L161" s="843">
        <f t="shared" si="20"/>
        <v>0</v>
      </c>
      <c r="M161" s="843">
        <f t="shared" si="21"/>
        <v>0</v>
      </c>
      <c r="N161" s="843">
        <f t="shared" si="22"/>
        <v>0</v>
      </c>
    </row>
    <row r="162" spans="1:14" ht="15.6">
      <c r="A162" s="838"/>
      <c r="B162" s="1762"/>
      <c r="C162" s="838"/>
      <c r="D162" s="839">
        <v>2284</v>
      </c>
      <c r="E162" s="840">
        <v>45354</v>
      </c>
      <c r="F162" s="1763">
        <v>577759</v>
      </c>
      <c r="G162" s="838">
        <v>30</v>
      </c>
      <c r="H162" s="842">
        <f t="shared" si="16"/>
        <v>45384</v>
      </c>
      <c r="I162" s="843">
        <f t="shared" si="17"/>
        <v>-1</v>
      </c>
      <c r="J162" s="843">
        <f t="shared" si="18"/>
        <v>577759</v>
      </c>
      <c r="K162" s="843">
        <f t="shared" si="19"/>
        <v>0</v>
      </c>
      <c r="L162" s="843">
        <f t="shared" si="20"/>
        <v>0</v>
      </c>
      <c r="M162" s="843">
        <f t="shared" si="21"/>
        <v>0</v>
      </c>
      <c r="N162" s="843">
        <f t="shared" si="22"/>
        <v>0</v>
      </c>
    </row>
    <row r="163" spans="1:14" ht="15.6">
      <c r="A163" s="838"/>
      <c r="B163" s="1762"/>
      <c r="C163" s="838"/>
      <c r="D163" s="839">
        <v>2285</v>
      </c>
      <c r="E163" s="840">
        <v>45354</v>
      </c>
      <c r="F163" s="1763">
        <v>175923</v>
      </c>
      <c r="G163" s="838">
        <v>30</v>
      </c>
      <c r="H163" s="842">
        <f t="shared" si="16"/>
        <v>45384</v>
      </c>
      <c r="I163" s="843">
        <f t="shared" si="17"/>
        <v>-1</v>
      </c>
      <c r="J163" s="843">
        <f t="shared" si="18"/>
        <v>175923</v>
      </c>
      <c r="K163" s="843">
        <f t="shared" si="19"/>
        <v>0</v>
      </c>
      <c r="L163" s="843">
        <f t="shared" si="20"/>
        <v>0</v>
      </c>
      <c r="M163" s="843">
        <f t="shared" si="21"/>
        <v>0</v>
      </c>
      <c r="N163" s="843">
        <f t="shared" si="22"/>
        <v>0</v>
      </c>
    </row>
    <row r="164" spans="1:14" ht="15.6">
      <c r="A164" s="838"/>
      <c r="B164" s="1762"/>
      <c r="C164" s="838"/>
      <c r="D164" s="839">
        <v>2287</v>
      </c>
      <c r="E164" s="840">
        <v>45355</v>
      </c>
      <c r="F164" s="1763">
        <v>177989</v>
      </c>
      <c r="G164" s="838">
        <v>30</v>
      </c>
      <c r="H164" s="842">
        <f t="shared" si="16"/>
        <v>45385</v>
      </c>
      <c r="I164" s="843">
        <f t="shared" si="17"/>
        <v>-2</v>
      </c>
      <c r="J164" s="843">
        <f t="shared" si="18"/>
        <v>177989</v>
      </c>
      <c r="K164" s="843">
        <f t="shared" si="19"/>
        <v>0</v>
      </c>
      <c r="L164" s="843">
        <f t="shared" si="20"/>
        <v>0</v>
      </c>
      <c r="M164" s="843">
        <f t="shared" si="21"/>
        <v>0</v>
      </c>
      <c r="N164" s="843">
        <f t="shared" si="22"/>
        <v>0</v>
      </c>
    </row>
    <row r="165" spans="1:14" ht="15.6">
      <c r="A165" s="838"/>
      <c r="B165" s="1762"/>
      <c r="C165" s="838"/>
      <c r="D165" s="839">
        <v>2296</v>
      </c>
      <c r="E165" s="840">
        <v>45357</v>
      </c>
      <c r="F165" s="1763">
        <v>245979</v>
      </c>
      <c r="G165" s="838">
        <v>30</v>
      </c>
      <c r="H165" s="842">
        <f t="shared" si="16"/>
        <v>45387</v>
      </c>
      <c r="I165" s="843">
        <f t="shared" si="17"/>
        <v>-4</v>
      </c>
      <c r="J165" s="843">
        <f t="shared" si="18"/>
        <v>245979</v>
      </c>
      <c r="K165" s="843">
        <f t="shared" si="19"/>
        <v>0</v>
      </c>
      <c r="L165" s="843">
        <f t="shared" si="20"/>
        <v>0</v>
      </c>
      <c r="M165" s="843">
        <f t="shared" si="21"/>
        <v>0</v>
      </c>
      <c r="N165" s="843">
        <f t="shared" si="22"/>
        <v>0</v>
      </c>
    </row>
    <row r="166" spans="1:14" ht="15.6">
      <c r="A166" s="838"/>
      <c r="B166" s="1762"/>
      <c r="C166" s="838"/>
      <c r="D166" s="839">
        <v>2305</v>
      </c>
      <c r="E166" s="840">
        <v>45358</v>
      </c>
      <c r="F166" s="1763">
        <v>165997</v>
      </c>
      <c r="G166" s="838">
        <v>30</v>
      </c>
      <c r="H166" s="842">
        <f t="shared" si="16"/>
        <v>45388</v>
      </c>
      <c r="I166" s="843">
        <f t="shared" si="17"/>
        <v>-5</v>
      </c>
      <c r="J166" s="843">
        <f t="shared" si="18"/>
        <v>165997</v>
      </c>
      <c r="K166" s="843">
        <f t="shared" si="19"/>
        <v>0</v>
      </c>
      <c r="L166" s="843">
        <f t="shared" si="20"/>
        <v>0</v>
      </c>
      <c r="M166" s="843">
        <f t="shared" si="21"/>
        <v>0</v>
      </c>
      <c r="N166" s="843">
        <f t="shared" si="22"/>
        <v>0</v>
      </c>
    </row>
    <row r="167" spans="1:14" ht="15.6">
      <c r="A167" s="838"/>
      <c r="B167" s="1762"/>
      <c r="C167" s="838"/>
      <c r="D167" s="839">
        <v>2315</v>
      </c>
      <c r="E167" s="840">
        <v>45360</v>
      </c>
      <c r="F167" s="1763">
        <v>193524</v>
      </c>
      <c r="G167" s="838">
        <v>30</v>
      </c>
      <c r="H167" s="842">
        <f t="shared" si="16"/>
        <v>45390</v>
      </c>
      <c r="I167" s="843">
        <f t="shared" si="17"/>
        <v>-7</v>
      </c>
      <c r="J167" s="843">
        <f t="shared" si="18"/>
        <v>193524</v>
      </c>
      <c r="K167" s="843">
        <f t="shared" si="19"/>
        <v>0</v>
      </c>
      <c r="L167" s="843">
        <f t="shared" si="20"/>
        <v>0</v>
      </c>
      <c r="M167" s="843">
        <f t="shared" si="21"/>
        <v>0</v>
      </c>
      <c r="N167" s="843">
        <f t="shared" si="22"/>
        <v>0</v>
      </c>
    </row>
    <row r="168" spans="1:14" ht="15.6">
      <c r="A168" s="838"/>
      <c r="B168" s="1762"/>
      <c r="C168" s="838"/>
      <c r="D168" s="839">
        <v>2322</v>
      </c>
      <c r="E168" s="840">
        <v>45360</v>
      </c>
      <c r="F168" s="1763">
        <v>201349</v>
      </c>
      <c r="G168" s="838">
        <v>30</v>
      </c>
      <c r="H168" s="842">
        <f t="shared" si="16"/>
        <v>45390</v>
      </c>
      <c r="I168" s="843">
        <f t="shared" si="17"/>
        <v>-7</v>
      </c>
      <c r="J168" s="843">
        <f t="shared" si="18"/>
        <v>201349</v>
      </c>
      <c r="K168" s="843">
        <f t="shared" si="19"/>
        <v>0</v>
      </c>
      <c r="L168" s="843">
        <f t="shared" si="20"/>
        <v>0</v>
      </c>
      <c r="M168" s="843">
        <f t="shared" si="21"/>
        <v>0</v>
      </c>
      <c r="N168" s="843">
        <f t="shared" si="22"/>
        <v>0</v>
      </c>
    </row>
    <row r="169" spans="1:14" ht="15.6">
      <c r="A169" s="838"/>
      <c r="B169" s="1762"/>
      <c r="C169" s="838"/>
      <c r="D169" s="839">
        <v>2339</v>
      </c>
      <c r="E169" s="840">
        <v>45363</v>
      </c>
      <c r="F169" s="1763">
        <v>42924</v>
      </c>
      <c r="G169" s="838">
        <v>30</v>
      </c>
      <c r="H169" s="842">
        <f t="shared" si="16"/>
        <v>45393</v>
      </c>
      <c r="I169" s="843">
        <f t="shared" si="17"/>
        <v>-10</v>
      </c>
      <c r="J169" s="843">
        <f t="shared" si="18"/>
        <v>42924</v>
      </c>
      <c r="K169" s="843">
        <f t="shared" si="19"/>
        <v>0</v>
      </c>
      <c r="L169" s="843">
        <f t="shared" si="20"/>
        <v>0</v>
      </c>
      <c r="M169" s="843">
        <f t="shared" si="21"/>
        <v>0</v>
      </c>
      <c r="N169" s="843">
        <f t="shared" si="22"/>
        <v>0</v>
      </c>
    </row>
    <row r="170" spans="1:14" ht="15.6">
      <c r="A170" s="838"/>
      <c r="B170" s="1762"/>
      <c r="C170" s="838"/>
      <c r="D170" s="839">
        <v>2340</v>
      </c>
      <c r="E170" s="840">
        <v>45363</v>
      </c>
      <c r="F170" s="1763">
        <v>235386</v>
      </c>
      <c r="G170" s="838">
        <v>30</v>
      </c>
      <c r="H170" s="842">
        <f t="shared" si="16"/>
        <v>45393</v>
      </c>
      <c r="I170" s="843">
        <f t="shared" si="17"/>
        <v>-10</v>
      </c>
      <c r="J170" s="843">
        <f t="shared" si="18"/>
        <v>235386</v>
      </c>
      <c r="K170" s="843">
        <f t="shared" si="19"/>
        <v>0</v>
      </c>
      <c r="L170" s="843">
        <f t="shared" si="20"/>
        <v>0</v>
      </c>
      <c r="M170" s="843">
        <f t="shared" si="21"/>
        <v>0</v>
      </c>
      <c r="N170" s="843">
        <f t="shared" si="22"/>
        <v>0</v>
      </c>
    </row>
    <row r="171" spans="1:14" ht="15.6">
      <c r="A171" s="838"/>
      <c r="B171" s="1762"/>
      <c r="C171" s="838"/>
      <c r="D171" s="839">
        <v>2346</v>
      </c>
      <c r="E171" s="840">
        <v>45364</v>
      </c>
      <c r="F171" s="1763">
        <v>205643</v>
      </c>
      <c r="G171" s="838">
        <v>30</v>
      </c>
      <c r="H171" s="842">
        <f t="shared" si="16"/>
        <v>45394</v>
      </c>
      <c r="I171" s="843">
        <f t="shared" si="17"/>
        <v>-11</v>
      </c>
      <c r="J171" s="843">
        <f t="shared" si="18"/>
        <v>205643</v>
      </c>
      <c r="K171" s="843">
        <f t="shared" si="19"/>
        <v>0</v>
      </c>
      <c r="L171" s="843">
        <f t="shared" si="20"/>
        <v>0</v>
      </c>
      <c r="M171" s="843">
        <f t="shared" si="21"/>
        <v>0</v>
      </c>
      <c r="N171" s="843">
        <f t="shared" si="22"/>
        <v>0</v>
      </c>
    </row>
    <row r="172" spans="1:14" ht="15.6">
      <c r="A172" s="838"/>
      <c r="B172" s="1762"/>
      <c r="C172" s="838"/>
      <c r="D172" s="839">
        <v>2350</v>
      </c>
      <c r="E172" s="840">
        <v>45366</v>
      </c>
      <c r="F172" s="1763">
        <v>172359</v>
      </c>
      <c r="G172" s="838">
        <v>30</v>
      </c>
      <c r="H172" s="842">
        <f t="shared" si="16"/>
        <v>45396</v>
      </c>
      <c r="I172" s="843">
        <f t="shared" si="17"/>
        <v>-13</v>
      </c>
      <c r="J172" s="843">
        <f t="shared" si="18"/>
        <v>172359</v>
      </c>
      <c r="K172" s="843">
        <f t="shared" si="19"/>
        <v>0</v>
      </c>
      <c r="L172" s="843">
        <f t="shared" si="20"/>
        <v>0</v>
      </c>
      <c r="M172" s="843">
        <f t="shared" si="21"/>
        <v>0</v>
      </c>
      <c r="N172" s="843">
        <f t="shared" si="22"/>
        <v>0</v>
      </c>
    </row>
    <row r="173" spans="1:14" ht="15.6">
      <c r="A173" s="838"/>
      <c r="B173" s="1762"/>
      <c r="C173" s="838"/>
      <c r="D173" s="839">
        <v>2353</v>
      </c>
      <c r="E173" s="840">
        <v>45368</v>
      </c>
      <c r="F173" s="1763">
        <v>186817</v>
      </c>
      <c r="G173" s="838">
        <v>30</v>
      </c>
      <c r="H173" s="842">
        <f t="shared" si="16"/>
        <v>45398</v>
      </c>
      <c r="I173" s="843">
        <f t="shared" si="17"/>
        <v>-15</v>
      </c>
      <c r="J173" s="843">
        <f t="shared" si="18"/>
        <v>186817</v>
      </c>
      <c r="K173" s="843">
        <f t="shared" si="19"/>
        <v>0</v>
      </c>
      <c r="L173" s="843">
        <f t="shared" si="20"/>
        <v>0</v>
      </c>
      <c r="M173" s="843">
        <f t="shared" si="21"/>
        <v>0</v>
      </c>
      <c r="N173" s="843">
        <f t="shared" si="22"/>
        <v>0</v>
      </c>
    </row>
    <row r="174" spans="1:14" ht="15.6">
      <c r="A174" s="838"/>
      <c r="B174" s="1762"/>
      <c r="C174" s="838"/>
      <c r="D174" s="839">
        <v>2354</v>
      </c>
      <c r="E174" s="840">
        <v>45369</v>
      </c>
      <c r="F174" s="1763">
        <v>177140</v>
      </c>
      <c r="G174" s="838">
        <v>30</v>
      </c>
      <c r="H174" s="842">
        <f t="shared" si="16"/>
        <v>45399</v>
      </c>
      <c r="I174" s="843">
        <f t="shared" si="17"/>
        <v>-16</v>
      </c>
      <c r="J174" s="843">
        <f t="shared" si="18"/>
        <v>177140</v>
      </c>
      <c r="K174" s="843">
        <f t="shared" si="19"/>
        <v>0</v>
      </c>
      <c r="L174" s="843">
        <f t="shared" si="20"/>
        <v>0</v>
      </c>
      <c r="M174" s="843">
        <f t="shared" si="21"/>
        <v>0</v>
      </c>
      <c r="N174" s="843">
        <f t="shared" si="22"/>
        <v>0</v>
      </c>
    </row>
    <row r="175" spans="1:14" ht="15.6">
      <c r="A175" s="838"/>
      <c r="B175" s="1762"/>
      <c r="C175" s="838"/>
      <c r="D175" s="839">
        <v>2356</v>
      </c>
      <c r="E175" s="840">
        <v>45369</v>
      </c>
      <c r="F175" s="1763">
        <v>482893</v>
      </c>
      <c r="G175" s="838">
        <v>30</v>
      </c>
      <c r="H175" s="842">
        <f t="shared" si="16"/>
        <v>45399</v>
      </c>
      <c r="I175" s="843">
        <f t="shared" si="17"/>
        <v>-16</v>
      </c>
      <c r="J175" s="843">
        <f t="shared" si="18"/>
        <v>482893</v>
      </c>
      <c r="K175" s="843">
        <f t="shared" si="19"/>
        <v>0</v>
      </c>
      <c r="L175" s="843">
        <f t="shared" si="20"/>
        <v>0</v>
      </c>
      <c r="M175" s="843">
        <f t="shared" si="21"/>
        <v>0</v>
      </c>
      <c r="N175" s="843">
        <f t="shared" si="22"/>
        <v>0</v>
      </c>
    </row>
    <row r="176" spans="1:14" ht="15.6">
      <c r="A176" s="838"/>
      <c r="B176" s="1762"/>
      <c r="C176" s="838"/>
      <c r="D176" s="839">
        <v>2359</v>
      </c>
      <c r="E176" s="840">
        <v>45369</v>
      </c>
      <c r="F176" s="1763">
        <v>278651</v>
      </c>
      <c r="G176" s="838">
        <v>30</v>
      </c>
      <c r="H176" s="842">
        <f t="shared" si="16"/>
        <v>45399</v>
      </c>
      <c r="I176" s="843">
        <f t="shared" si="17"/>
        <v>-16</v>
      </c>
      <c r="J176" s="843">
        <f t="shared" si="18"/>
        <v>278651</v>
      </c>
      <c r="K176" s="843">
        <f t="shared" si="19"/>
        <v>0</v>
      </c>
      <c r="L176" s="843">
        <f t="shared" si="20"/>
        <v>0</v>
      </c>
      <c r="M176" s="843">
        <f t="shared" si="21"/>
        <v>0</v>
      </c>
      <c r="N176" s="843">
        <f t="shared" si="22"/>
        <v>0</v>
      </c>
    </row>
    <row r="177" spans="1:14" ht="15.6">
      <c r="A177" s="838"/>
      <c r="B177" s="1762"/>
      <c r="C177" s="838"/>
      <c r="D177" s="839">
        <v>2360</v>
      </c>
      <c r="E177" s="840">
        <v>45369</v>
      </c>
      <c r="F177" s="1763">
        <v>93833</v>
      </c>
      <c r="G177" s="838">
        <v>30</v>
      </c>
      <c r="H177" s="842">
        <f t="shared" si="16"/>
        <v>45399</v>
      </c>
      <c r="I177" s="843">
        <f t="shared" si="17"/>
        <v>-16</v>
      </c>
      <c r="J177" s="843">
        <f t="shared" si="18"/>
        <v>93833</v>
      </c>
      <c r="K177" s="843">
        <f t="shared" si="19"/>
        <v>0</v>
      </c>
      <c r="L177" s="843">
        <f t="shared" si="20"/>
        <v>0</v>
      </c>
      <c r="M177" s="843">
        <f t="shared" si="21"/>
        <v>0</v>
      </c>
      <c r="N177" s="843">
        <f t="shared" si="22"/>
        <v>0</v>
      </c>
    </row>
    <row r="178" spans="1:14" ht="15.6">
      <c r="A178" s="838"/>
      <c r="B178" s="1762"/>
      <c r="C178" s="838"/>
      <c r="D178" s="839">
        <v>2363</v>
      </c>
      <c r="E178" s="840">
        <v>45370</v>
      </c>
      <c r="F178" s="1763">
        <v>286448</v>
      </c>
      <c r="G178" s="838">
        <v>30</v>
      </c>
      <c r="H178" s="842">
        <f t="shared" si="16"/>
        <v>45400</v>
      </c>
      <c r="I178" s="843">
        <f t="shared" si="17"/>
        <v>-17</v>
      </c>
      <c r="J178" s="843">
        <f t="shared" si="18"/>
        <v>286448</v>
      </c>
      <c r="K178" s="843">
        <f t="shared" si="19"/>
        <v>0</v>
      </c>
      <c r="L178" s="843">
        <f t="shared" si="20"/>
        <v>0</v>
      </c>
      <c r="M178" s="843">
        <f t="shared" si="21"/>
        <v>0</v>
      </c>
      <c r="N178" s="843">
        <f t="shared" si="22"/>
        <v>0</v>
      </c>
    </row>
    <row r="179" spans="1:14" ht="15.6">
      <c r="A179" s="838"/>
      <c r="B179" s="1762"/>
      <c r="C179" s="838"/>
      <c r="D179" s="839">
        <v>2364</v>
      </c>
      <c r="E179" s="840">
        <v>45370</v>
      </c>
      <c r="F179" s="1763">
        <v>183679</v>
      </c>
      <c r="G179" s="838">
        <v>30</v>
      </c>
      <c r="H179" s="842">
        <f t="shared" si="16"/>
        <v>45400</v>
      </c>
      <c r="I179" s="843">
        <f t="shared" si="17"/>
        <v>-17</v>
      </c>
      <c r="J179" s="843">
        <f t="shared" si="18"/>
        <v>183679</v>
      </c>
      <c r="K179" s="843">
        <f t="shared" si="19"/>
        <v>0</v>
      </c>
      <c r="L179" s="843">
        <f t="shared" si="20"/>
        <v>0</v>
      </c>
      <c r="M179" s="843">
        <f t="shared" si="21"/>
        <v>0</v>
      </c>
      <c r="N179" s="843">
        <f t="shared" si="22"/>
        <v>0</v>
      </c>
    </row>
    <row r="180" spans="1:14" ht="15.6">
      <c r="A180" s="838"/>
      <c r="B180" s="1762"/>
      <c r="C180" s="838"/>
      <c r="D180" s="839">
        <v>2374</v>
      </c>
      <c r="E180" s="840">
        <v>45371</v>
      </c>
      <c r="F180" s="1763">
        <v>489032</v>
      </c>
      <c r="G180" s="838">
        <v>30</v>
      </c>
      <c r="H180" s="842">
        <f t="shared" si="16"/>
        <v>45401</v>
      </c>
      <c r="I180" s="843">
        <f t="shared" si="17"/>
        <v>-18</v>
      </c>
      <c r="J180" s="843">
        <f t="shared" si="18"/>
        <v>489032</v>
      </c>
      <c r="K180" s="843">
        <f t="shared" si="19"/>
        <v>0</v>
      </c>
      <c r="L180" s="843">
        <f t="shared" si="20"/>
        <v>0</v>
      </c>
      <c r="M180" s="843">
        <f t="shared" si="21"/>
        <v>0</v>
      </c>
      <c r="N180" s="843">
        <f t="shared" si="22"/>
        <v>0</v>
      </c>
    </row>
    <row r="181" spans="1:14" ht="15.6">
      <c r="A181" s="838"/>
      <c r="B181" s="1762"/>
      <c r="C181" s="838"/>
      <c r="D181" s="839">
        <v>2382</v>
      </c>
      <c r="E181" s="840">
        <v>45372</v>
      </c>
      <c r="F181" s="1763">
        <v>174944</v>
      </c>
      <c r="G181" s="838">
        <v>30</v>
      </c>
      <c r="H181" s="842">
        <f t="shared" ref="H181:H244" si="27">+E181+G181</f>
        <v>45402</v>
      </c>
      <c r="I181" s="843">
        <f t="shared" ref="I181:I244" si="28">+$Q$1-H181+1</f>
        <v>-19</v>
      </c>
      <c r="J181" s="843">
        <f t="shared" ref="J181:J244" si="29">IF(I181&lt;=30,F181,0)</f>
        <v>174944</v>
      </c>
      <c r="K181" s="843">
        <f t="shared" ref="K181:K244" si="30">IF(I181&lt;=30,0,IF(I181&gt;60,0,F181))</f>
        <v>0</v>
      </c>
      <c r="L181" s="843">
        <f t="shared" ref="L181:L244" si="31">IF(I181&lt;=60,0,IF(I181&gt;90,0,F181))</f>
        <v>0</v>
      </c>
      <c r="M181" s="843">
        <f t="shared" ref="M181:M244" si="32">IF(I181&lt;=90,0,IF(I181&gt;120,0,F181))</f>
        <v>0</v>
      </c>
      <c r="N181" s="843">
        <f t="shared" ref="N181:N244" si="33">IF(I181&lt;=120,0,F181)</f>
        <v>0</v>
      </c>
    </row>
    <row r="182" spans="1:14" ht="15.6">
      <c r="A182" s="838"/>
      <c r="B182" s="1762"/>
      <c r="C182" s="838"/>
      <c r="D182" s="839">
        <v>2393</v>
      </c>
      <c r="E182" s="840">
        <v>45374</v>
      </c>
      <c r="F182" s="1763">
        <v>187404</v>
      </c>
      <c r="G182" s="838">
        <v>30</v>
      </c>
      <c r="H182" s="842">
        <f t="shared" si="27"/>
        <v>45404</v>
      </c>
      <c r="I182" s="843">
        <f t="shared" si="28"/>
        <v>-21</v>
      </c>
      <c r="J182" s="843">
        <f t="shared" si="29"/>
        <v>187404</v>
      </c>
      <c r="K182" s="843">
        <f t="shared" si="30"/>
        <v>0</v>
      </c>
      <c r="L182" s="843">
        <f t="shared" si="31"/>
        <v>0</v>
      </c>
      <c r="M182" s="843">
        <f t="shared" si="32"/>
        <v>0</v>
      </c>
      <c r="N182" s="843">
        <f t="shared" si="33"/>
        <v>0</v>
      </c>
    </row>
    <row r="183" spans="1:14" ht="15.6">
      <c r="A183" s="838"/>
      <c r="B183" s="1762"/>
      <c r="C183" s="838"/>
      <c r="D183" s="839">
        <v>2398</v>
      </c>
      <c r="E183" s="840">
        <v>45375</v>
      </c>
      <c r="F183" s="1763">
        <v>195665</v>
      </c>
      <c r="G183" s="838">
        <v>30</v>
      </c>
      <c r="H183" s="842">
        <f t="shared" si="27"/>
        <v>45405</v>
      </c>
      <c r="I183" s="843">
        <f t="shared" si="28"/>
        <v>-22</v>
      </c>
      <c r="J183" s="843">
        <f t="shared" si="29"/>
        <v>195665</v>
      </c>
      <c r="K183" s="843">
        <f t="shared" si="30"/>
        <v>0</v>
      </c>
      <c r="L183" s="843">
        <f t="shared" si="31"/>
        <v>0</v>
      </c>
      <c r="M183" s="843">
        <f t="shared" si="32"/>
        <v>0</v>
      </c>
      <c r="N183" s="843">
        <f t="shared" si="33"/>
        <v>0</v>
      </c>
    </row>
    <row r="184" spans="1:14" ht="15.6">
      <c r="A184" s="838"/>
      <c r="B184" s="1762"/>
      <c r="C184" s="838"/>
      <c r="D184" s="839">
        <v>2400</v>
      </c>
      <c r="E184" s="840">
        <v>45375</v>
      </c>
      <c r="F184" s="1763">
        <v>145845</v>
      </c>
      <c r="G184" s="838">
        <v>30</v>
      </c>
      <c r="H184" s="842">
        <f t="shared" si="27"/>
        <v>45405</v>
      </c>
      <c r="I184" s="843">
        <f t="shared" si="28"/>
        <v>-22</v>
      </c>
      <c r="J184" s="843">
        <f t="shared" si="29"/>
        <v>145845</v>
      </c>
      <c r="K184" s="843">
        <f t="shared" si="30"/>
        <v>0</v>
      </c>
      <c r="L184" s="843">
        <f t="shared" si="31"/>
        <v>0</v>
      </c>
      <c r="M184" s="843">
        <f t="shared" si="32"/>
        <v>0</v>
      </c>
      <c r="N184" s="843">
        <f t="shared" si="33"/>
        <v>0</v>
      </c>
    </row>
    <row r="185" spans="1:14" ht="15.6">
      <c r="A185" s="838"/>
      <c r="B185" s="1762"/>
      <c r="C185" s="838"/>
      <c r="D185" s="839">
        <v>2403</v>
      </c>
      <c r="E185" s="840">
        <v>45375</v>
      </c>
      <c r="F185" s="1763">
        <v>105369</v>
      </c>
      <c r="G185" s="838">
        <v>30</v>
      </c>
      <c r="H185" s="842">
        <f t="shared" si="27"/>
        <v>45405</v>
      </c>
      <c r="I185" s="843">
        <f t="shared" si="28"/>
        <v>-22</v>
      </c>
      <c r="J185" s="843">
        <f t="shared" si="29"/>
        <v>105369</v>
      </c>
      <c r="K185" s="843">
        <f t="shared" si="30"/>
        <v>0</v>
      </c>
      <c r="L185" s="843">
        <f t="shared" si="31"/>
        <v>0</v>
      </c>
      <c r="M185" s="843">
        <f t="shared" si="32"/>
        <v>0</v>
      </c>
      <c r="N185" s="843">
        <f t="shared" si="33"/>
        <v>0</v>
      </c>
    </row>
    <row r="186" spans="1:14" ht="15.6">
      <c r="A186" s="838"/>
      <c r="B186" s="1762"/>
      <c r="C186" s="838"/>
      <c r="D186" s="839">
        <v>2404</v>
      </c>
      <c r="E186" s="840">
        <v>45375</v>
      </c>
      <c r="F186" s="1763">
        <v>708557</v>
      </c>
      <c r="G186" s="838">
        <v>30</v>
      </c>
      <c r="H186" s="842">
        <f t="shared" si="27"/>
        <v>45405</v>
      </c>
      <c r="I186" s="843">
        <f t="shared" si="28"/>
        <v>-22</v>
      </c>
      <c r="J186" s="843">
        <f t="shared" si="29"/>
        <v>708557</v>
      </c>
      <c r="K186" s="843">
        <f t="shared" si="30"/>
        <v>0</v>
      </c>
      <c r="L186" s="843">
        <f t="shared" si="31"/>
        <v>0</v>
      </c>
      <c r="M186" s="843">
        <f t="shared" si="32"/>
        <v>0</v>
      </c>
      <c r="N186" s="843">
        <f t="shared" si="33"/>
        <v>0</v>
      </c>
    </row>
    <row r="187" spans="1:14" ht="15.6">
      <c r="A187" s="838"/>
      <c r="B187" s="1762"/>
      <c r="C187" s="838"/>
      <c r="D187" s="839">
        <v>2414</v>
      </c>
      <c r="E187" s="840">
        <v>45378</v>
      </c>
      <c r="F187" s="1763">
        <v>174340</v>
      </c>
      <c r="G187" s="838">
        <v>30</v>
      </c>
      <c r="H187" s="842">
        <f t="shared" si="27"/>
        <v>45408</v>
      </c>
      <c r="I187" s="843">
        <f t="shared" si="28"/>
        <v>-25</v>
      </c>
      <c r="J187" s="843">
        <f t="shared" si="29"/>
        <v>174340</v>
      </c>
      <c r="K187" s="843">
        <f t="shared" si="30"/>
        <v>0</v>
      </c>
      <c r="L187" s="843">
        <f t="shared" si="31"/>
        <v>0</v>
      </c>
      <c r="M187" s="843">
        <f t="shared" si="32"/>
        <v>0</v>
      </c>
      <c r="N187" s="843">
        <f t="shared" si="33"/>
        <v>0</v>
      </c>
    </row>
    <row r="188" spans="1:14" ht="15.6">
      <c r="A188" s="838"/>
      <c r="B188" s="1762"/>
      <c r="C188" s="838"/>
      <c r="D188" s="839">
        <v>2421</v>
      </c>
      <c r="E188" s="840">
        <v>45379</v>
      </c>
      <c r="F188" s="1763">
        <v>274155</v>
      </c>
      <c r="G188" s="838">
        <v>30</v>
      </c>
      <c r="H188" s="842">
        <f t="shared" si="27"/>
        <v>45409</v>
      </c>
      <c r="I188" s="843">
        <f t="shared" si="28"/>
        <v>-26</v>
      </c>
      <c r="J188" s="843">
        <f t="shared" si="29"/>
        <v>274155</v>
      </c>
      <c r="K188" s="843">
        <f t="shared" si="30"/>
        <v>0</v>
      </c>
      <c r="L188" s="843">
        <f t="shared" si="31"/>
        <v>0</v>
      </c>
      <c r="M188" s="843">
        <f t="shared" si="32"/>
        <v>0</v>
      </c>
      <c r="N188" s="843">
        <f t="shared" si="33"/>
        <v>0</v>
      </c>
    </row>
    <row r="189" spans="1:14" ht="15.6">
      <c r="A189" s="838"/>
      <c r="B189" s="1762"/>
      <c r="C189" s="838"/>
      <c r="D189" s="839">
        <v>2423</v>
      </c>
      <c r="E189" s="840">
        <v>45379</v>
      </c>
      <c r="F189" s="1763">
        <v>498565</v>
      </c>
      <c r="G189" s="838">
        <v>30</v>
      </c>
      <c r="H189" s="842">
        <f t="shared" si="27"/>
        <v>45409</v>
      </c>
      <c r="I189" s="843">
        <f t="shared" si="28"/>
        <v>-26</v>
      </c>
      <c r="J189" s="843">
        <f t="shared" si="29"/>
        <v>498565</v>
      </c>
      <c r="K189" s="843">
        <f t="shared" si="30"/>
        <v>0</v>
      </c>
      <c r="L189" s="843">
        <f t="shared" si="31"/>
        <v>0</v>
      </c>
      <c r="M189" s="843">
        <f t="shared" si="32"/>
        <v>0</v>
      </c>
      <c r="N189" s="843">
        <f t="shared" si="33"/>
        <v>0</v>
      </c>
    </row>
    <row r="190" spans="1:14" ht="15.6">
      <c r="A190" s="838"/>
      <c r="B190" s="1762"/>
      <c r="C190" s="838"/>
      <c r="D190" s="839">
        <v>2433</v>
      </c>
      <c r="E190" s="840">
        <v>45380</v>
      </c>
      <c r="F190" s="1763">
        <v>21005</v>
      </c>
      <c r="G190" s="838">
        <v>30</v>
      </c>
      <c r="H190" s="842">
        <f t="shared" si="27"/>
        <v>45410</v>
      </c>
      <c r="I190" s="843">
        <f t="shared" si="28"/>
        <v>-27</v>
      </c>
      <c r="J190" s="843">
        <f t="shared" si="29"/>
        <v>21005</v>
      </c>
      <c r="K190" s="843">
        <f t="shared" si="30"/>
        <v>0</v>
      </c>
      <c r="L190" s="843">
        <f t="shared" si="31"/>
        <v>0</v>
      </c>
      <c r="M190" s="843">
        <f t="shared" si="32"/>
        <v>0</v>
      </c>
      <c r="N190" s="843">
        <f t="shared" si="33"/>
        <v>0</v>
      </c>
    </row>
    <row r="191" spans="1:14" ht="15.6">
      <c r="A191" s="838"/>
      <c r="B191" s="1762"/>
      <c r="C191" s="838"/>
      <c r="D191" s="839">
        <v>2435</v>
      </c>
      <c r="E191" s="840">
        <v>45380</v>
      </c>
      <c r="F191" s="1763">
        <v>476156</v>
      </c>
      <c r="G191" s="838">
        <v>30</v>
      </c>
      <c r="H191" s="842">
        <f t="shared" si="27"/>
        <v>45410</v>
      </c>
      <c r="I191" s="843">
        <f t="shared" si="28"/>
        <v>-27</v>
      </c>
      <c r="J191" s="843">
        <f t="shared" si="29"/>
        <v>476156</v>
      </c>
      <c r="K191" s="843">
        <f t="shared" si="30"/>
        <v>0</v>
      </c>
      <c r="L191" s="843">
        <f t="shared" si="31"/>
        <v>0</v>
      </c>
      <c r="M191" s="843">
        <f t="shared" si="32"/>
        <v>0</v>
      </c>
      <c r="N191" s="843">
        <f t="shared" si="33"/>
        <v>0</v>
      </c>
    </row>
    <row r="192" spans="1:14" ht="15.6">
      <c r="A192" s="838"/>
      <c r="B192" s="1762"/>
      <c r="C192" s="838"/>
      <c r="D192" s="839">
        <v>2440</v>
      </c>
      <c r="E192" s="840">
        <v>45380</v>
      </c>
      <c r="F192" s="1763">
        <v>227360</v>
      </c>
      <c r="G192" s="838">
        <v>30</v>
      </c>
      <c r="H192" s="842">
        <f t="shared" si="27"/>
        <v>45410</v>
      </c>
      <c r="I192" s="843">
        <f t="shared" si="28"/>
        <v>-27</v>
      </c>
      <c r="J192" s="843">
        <f t="shared" si="29"/>
        <v>227360</v>
      </c>
      <c r="K192" s="843">
        <f t="shared" si="30"/>
        <v>0</v>
      </c>
      <c r="L192" s="843">
        <f t="shared" si="31"/>
        <v>0</v>
      </c>
      <c r="M192" s="843">
        <f t="shared" si="32"/>
        <v>0</v>
      </c>
      <c r="N192" s="843">
        <f t="shared" si="33"/>
        <v>0</v>
      </c>
    </row>
    <row r="193" spans="1:16" ht="15.6">
      <c r="A193" s="838"/>
      <c r="B193" s="838"/>
      <c r="C193" s="838"/>
      <c r="D193" s="839" t="s">
        <v>3117</v>
      </c>
      <c r="E193" s="840">
        <v>45382</v>
      </c>
      <c r="F193" s="1764">
        <v>-178662</v>
      </c>
      <c r="G193" s="838">
        <v>30</v>
      </c>
      <c r="H193" s="842">
        <f t="shared" si="27"/>
        <v>45412</v>
      </c>
      <c r="I193" s="843">
        <f t="shared" si="28"/>
        <v>-29</v>
      </c>
      <c r="J193" s="843">
        <f t="shared" si="29"/>
        <v>-178662</v>
      </c>
      <c r="K193" s="843">
        <f t="shared" si="30"/>
        <v>0</v>
      </c>
      <c r="L193" s="843">
        <f t="shared" si="31"/>
        <v>0</v>
      </c>
      <c r="M193" s="843">
        <f t="shared" si="32"/>
        <v>0</v>
      </c>
      <c r="N193" s="843">
        <f t="shared" si="33"/>
        <v>0</v>
      </c>
    </row>
    <row r="194" spans="1:16" ht="15.6">
      <c r="A194" s="1765"/>
      <c r="B194" s="1765"/>
      <c r="C194" s="1765"/>
      <c r="D194" s="1771"/>
      <c r="E194" s="1772"/>
      <c r="F194" s="1773">
        <f>SUM(F132:F193)</f>
        <v>15353091</v>
      </c>
      <c r="G194" s="1765"/>
      <c r="H194" s="1766"/>
      <c r="I194" s="1768"/>
      <c r="J194" s="1773">
        <f>SUM(J132:J193)</f>
        <v>15353091</v>
      </c>
      <c r="K194" s="1773">
        <f t="shared" ref="K194:N194" si="34">SUM(K132:K193)</f>
        <v>0</v>
      </c>
      <c r="L194" s="1773">
        <f t="shared" si="34"/>
        <v>0</v>
      </c>
      <c r="M194" s="1773">
        <f t="shared" si="34"/>
        <v>0</v>
      </c>
      <c r="N194" s="1773">
        <f t="shared" si="34"/>
        <v>0</v>
      </c>
      <c r="O194" s="773">
        <f>+SUM(J194:N194)</f>
        <v>15353091</v>
      </c>
      <c r="P194" s="1769">
        <f>+F194-O194</f>
        <v>0</v>
      </c>
    </row>
    <row r="195" spans="1:16" ht="15.6">
      <c r="A195" s="838">
        <v>16</v>
      </c>
      <c r="B195" s="1762" t="s">
        <v>2982</v>
      </c>
      <c r="C195" s="838"/>
      <c r="D195" s="839">
        <v>2152</v>
      </c>
      <c r="E195" s="840">
        <v>45336</v>
      </c>
      <c r="F195" s="1774">
        <v>187260</v>
      </c>
      <c r="G195" s="838">
        <v>30</v>
      </c>
      <c r="H195" s="842">
        <f t="shared" si="27"/>
        <v>45366</v>
      </c>
      <c r="I195" s="843">
        <f t="shared" si="28"/>
        <v>17</v>
      </c>
      <c r="J195" s="843">
        <f t="shared" si="29"/>
        <v>187260</v>
      </c>
      <c r="K195" s="843">
        <f t="shared" si="30"/>
        <v>0</v>
      </c>
      <c r="L195" s="843">
        <f t="shared" si="31"/>
        <v>0</v>
      </c>
      <c r="M195" s="843">
        <f t="shared" si="32"/>
        <v>0</v>
      </c>
      <c r="N195" s="843">
        <f t="shared" si="33"/>
        <v>0</v>
      </c>
    </row>
    <row r="196" spans="1:16" ht="15.6">
      <c r="A196" s="838"/>
      <c r="B196" s="1788"/>
      <c r="C196" s="838"/>
      <c r="D196" s="839">
        <v>2163</v>
      </c>
      <c r="E196" s="840">
        <v>45338</v>
      </c>
      <c r="F196" s="1774">
        <v>238633</v>
      </c>
      <c r="G196" s="838">
        <v>30</v>
      </c>
      <c r="H196" s="842">
        <f t="shared" si="27"/>
        <v>45368</v>
      </c>
      <c r="I196" s="843">
        <f t="shared" si="28"/>
        <v>15</v>
      </c>
      <c r="J196" s="843">
        <f t="shared" si="29"/>
        <v>238633</v>
      </c>
      <c r="K196" s="843">
        <f t="shared" si="30"/>
        <v>0</v>
      </c>
      <c r="L196" s="843">
        <f t="shared" si="31"/>
        <v>0</v>
      </c>
      <c r="M196" s="843">
        <f t="shared" si="32"/>
        <v>0</v>
      </c>
      <c r="N196" s="843">
        <f t="shared" si="33"/>
        <v>0</v>
      </c>
    </row>
    <row r="197" spans="1:16" ht="15.6">
      <c r="A197" s="838"/>
      <c r="B197" s="1788"/>
      <c r="C197" s="838"/>
      <c r="D197" s="839">
        <v>2164</v>
      </c>
      <c r="E197" s="840">
        <v>45338</v>
      </c>
      <c r="F197" s="1774">
        <v>271822</v>
      </c>
      <c r="G197" s="838">
        <v>30</v>
      </c>
      <c r="H197" s="842">
        <f t="shared" si="27"/>
        <v>45368</v>
      </c>
      <c r="I197" s="843">
        <f t="shared" si="28"/>
        <v>15</v>
      </c>
      <c r="J197" s="843">
        <f t="shared" si="29"/>
        <v>271822</v>
      </c>
      <c r="K197" s="843">
        <f t="shared" si="30"/>
        <v>0</v>
      </c>
      <c r="L197" s="843">
        <f t="shared" si="31"/>
        <v>0</v>
      </c>
      <c r="M197" s="843">
        <f t="shared" si="32"/>
        <v>0</v>
      </c>
      <c r="N197" s="843">
        <f t="shared" si="33"/>
        <v>0</v>
      </c>
    </row>
    <row r="198" spans="1:16" ht="15.6">
      <c r="A198" s="838"/>
      <c r="B198" s="1788"/>
      <c r="C198" s="838"/>
      <c r="D198" s="839">
        <v>2167</v>
      </c>
      <c r="E198" s="840">
        <v>45339</v>
      </c>
      <c r="F198" s="1774">
        <v>276209</v>
      </c>
      <c r="G198" s="838">
        <v>30</v>
      </c>
      <c r="H198" s="842">
        <f t="shared" si="27"/>
        <v>45369</v>
      </c>
      <c r="I198" s="843">
        <f t="shared" si="28"/>
        <v>14</v>
      </c>
      <c r="J198" s="843">
        <f t="shared" si="29"/>
        <v>276209</v>
      </c>
      <c r="K198" s="843">
        <f t="shared" si="30"/>
        <v>0</v>
      </c>
      <c r="L198" s="843">
        <f t="shared" si="31"/>
        <v>0</v>
      </c>
      <c r="M198" s="843">
        <f t="shared" si="32"/>
        <v>0</v>
      </c>
      <c r="N198" s="843">
        <f t="shared" si="33"/>
        <v>0</v>
      </c>
    </row>
    <row r="199" spans="1:16" ht="15.6">
      <c r="A199" s="838"/>
      <c r="B199" s="1788"/>
      <c r="C199" s="838"/>
      <c r="D199" s="839">
        <v>2168</v>
      </c>
      <c r="E199" s="840">
        <v>45339</v>
      </c>
      <c r="F199" s="1774">
        <v>233678</v>
      </c>
      <c r="G199" s="838">
        <v>30</v>
      </c>
      <c r="H199" s="842">
        <f t="shared" si="27"/>
        <v>45369</v>
      </c>
      <c r="I199" s="843">
        <f t="shared" si="28"/>
        <v>14</v>
      </c>
      <c r="J199" s="843">
        <f t="shared" si="29"/>
        <v>233678</v>
      </c>
      <c r="K199" s="843">
        <f t="shared" si="30"/>
        <v>0</v>
      </c>
      <c r="L199" s="843">
        <f t="shared" si="31"/>
        <v>0</v>
      </c>
      <c r="M199" s="843">
        <f t="shared" si="32"/>
        <v>0</v>
      </c>
      <c r="N199" s="843">
        <f t="shared" si="33"/>
        <v>0</v>
      </c>
    </row>
    <row r="200" spans="1:16" ht="15.6">
      <c r="A200" s="838"/>
      <c r="B200" s="1788"/>
      <c r="C200" s="838"/>
      <c r="D200" s="839">
        <v>2171</v>
      </c>
      <c r="E200" s="840">
        <v>45340</v>
      </c>
      <c r="F200" s="1763">
        <v>153349</v>
      </c>
      <c r="G200" s="838">
        <v>30</v>
      </c>
      <c r="H200" s="842">
        <f t="shared" si="27"/>
        <v>45370</v>
      </c>
      <c r="I200" s="843">
        <f t="shared" si="28"/>
        <v>13</v>
      </c>
      <c r="J200" s="843">
        <f t="shared" si="29"/>
        <v>153349</v>
      </c>
      <c r="K200" s="843">
        <f t="shared" si="30"/>
        <v>0</v>
      </c>
      <c r="L200" s="843">
        <f t="shared" si="31"/>
        <v>0</v>
      </c>
      <c r="M200" s="843">
        <f t="shared" si="32"/>
        <v>0</v>
      </c>
      <c r="N200" s="843">
        <f t="shared" si="33"/>
        <v>0</v>
      </c>
    </row>
    <row r="201" spans="1:16" ht="15.6">
      <c r="A201" s="838"/>
      <c r="B201" s="1788"/>
      <c r="C201" s="838"/>
      <c r="D201" s="839">
        <v>2202</v>
      </c>
      <c r="E201" s="840">
        <v>45345</v>
      </c>
      <c r="F201" s="1763">
        <v>198816</v>
      </c>
      <c r="G201" s="838">
        <v>30</v>
      </c>
      <c r="H201" s="842">
        <f t="shared" si="27"/>
        <v>45375</v>
      </c>
      <c r="I201" s="843">
        <f t="shared" si="28"/>
        <v>8</v>
      </c>
      <c r="J201" s="843">
        <f t="shared" si="29"/>
        <v>198816</v>
      </c>
      <c r="K201" s="843">
        <f t="shared" si="30"/>
        <v>0</v>
      </c>
      <c r="L201" s="843">
        <f t="shared" si="31"/>
        <v>0</v>
      </c>
      <c r="M201" s="843">
        <f t="shared" si="32"/>
        <v>0</v>
      </c>
      <c r="N201" s="843">
        <f t="shared" si="33"/>
        <v>0</v>
      </c>
    </row>
    <row r="202" spans="1:16" ht="15.6">
      <c r="A202" s="838"/>
      <c r="B202" s="1788"/>
      <c r="C202" s="838"/>
      <c r="D202" s="839">
        <v>2219</v>
      </c>
      <c r="E202" s="840">
        <v>45346</v>
      </c>
      <c r="F202" s="1763">
        <v>204503</v>
      </c>
      <c r="G202" s="838">
        <v>30</v>
      </c>
      <c r="H202" s="842">
        <f t="shared" si="27"/>
        <v>45376</v>
      </c>
      <c r="I202" s="843">
        <f t="shared" si="28"/>
        <v>7</v>
      </c>
      <c r="J202" s="843">
        <f t="shared" si="29"/>
        <v>204503</v>
      </c>
      <c r="K202" s="843">
        <f t="shared" si="30"/>
        <v>0</v>
      </c>
      <c r="L202" s="843">
        <f t="shared" si="31"/>
        <v>0</v>
      </c>
      <c r="M202" s="843">
        <f t="shared" si="32"/>
        <v>0</v>
      </c>
      <c r="N202" s="843">
        <f t="shared" si="33"/>
        <v>0</v>
      </c>
    </row>
    <row r="203" spans="1:16" ht="15.6">
      <c r="A203" s="838"/>
      <c r="B203" s="1788"/>
      <c r="C203" s="838"/>
      <c r="D203" s="839">
        <v>2222</v>
      </c>
      <c r="E203" s="840">
        <v>45347</v>
      </c>
      <c r="F203" s="1763">
        <v>213356</v>
      </c>
      <c r="G203" s="838">
        <v>30</v>
      </c>
      <c r="H203" s="842">
        <f t="shared" si="27"/>
        <v>45377</v>
      </c>
      <c r="I203" s="843">
        <f t="shared" si="28"/>
        <v>6</v>
      </c>
      <c r="J203" s="843">
        <f t="shared" si="29"/>
        <v>213356</v>
      </c>
      <c r="K203" s="843">
        <f t="shared" si="30"/>
        <v>0</v>
      </c>
      <c r="L203" s="843">
        <f t="shared" si="31"/>
        <v>0</v>
      </c>
      <c r="M203" s="843">
        <f t="shared" si="32"/>
        <v>0</v>
      </c>
      <c r="N203" s="843">
        <f t="shared" si="33"/>
        <v>0</v>
      </c>
    </row>
    <row r="204" spans="1:16" ht="15.6">
      <c r="A204" s="838"/>
      <c r="B204" s="1788"/>
      <c r="C204" s="838"/>
      <c r="D204" s="839">
        <v>2223</v>
      </c>
      <c r="E204" s="840">
        <v>45347</v>
      </c>
      <c r="F204" s="1763">
        <v>176367</v>
      </c>
      <c r="G204" s="838">
        <v>30</v>
      </c>
      <c r="H204" s="842">
        <f t="shared" si="27"/>
        <v>45377</v>
      </c>
      <c r="I204" s="843">
        <f t="shared" si="28"/>
        <v>6</v>
      </c>
      <c r="J204" s="843">
        <f t="shared" si="29"/>
        <v>176367</v>
      </c>
      <c r="K204" s="843">
        <f t="shared" si="30"/>
        <v>0</v>
      </c>
      <c r="L204" s="843">
        <f t="shared" si="31"/>
        <v>0</v>
      </c>
      <c r="M204" s="843">
        <f t="shared" si="32"/>
        <v>0</v>
      </c>
      <c r="N204" s="843">
        <f t="shared" si="33"/>
        <v>0</v>
      </c>
    </row>
    <row r="205" spans="1:16" ht="15.6">
      <c r="A205" s="838"/>
      <c r="B205" s="1788"/>
      <c r="C205" s="838"/>
      <c r="D205" s="839">
        <v>2224</v>
      </c>
      <c r="E205" s="840">
        <v>45347</v>
      </c>
      <c r="F205" s="1763">
        <v>212551</v>
      </c>
      <c r="G205" s="838">
        <v>30</v>
      </c>
      <c r="H205" s="842">
        <f t="shared" si="27"/>
        <v>45377</v>
      </c>
      <c r="I205" s="843">
        <f t="shared" si="28"/>
        <v>6</v>
      </c>
      <c r="J205" s="843">
        <f t="shared" si="29"/>
        <v>212551</v>
      </c>
      <c r="K205" s="843">
        <f t="shared" si="30"/>
        <v>0</v>
      </c>
      <c r="L205" s="843">
        <f t="shared" si="31"/>
        <v>0</v>
      </c>
      <c r="M205" s="843">
        <f t="shared" si="32"/>
        <v>0</v>
      </c>
      <c r="N205" s="843">
        <f t="shared" si="33"/>
        <v>0</v>
      </c>
    </row>
    <row r="206" spans="1:16" ht="15.6">
      <c r="A206" s="838"/>
      <c r="B206" s="1788"/>
      <c r="C206" s="838"/>
      <c r="D206" s="839">
        <v>2250</v>
      </c>
      <c r="E206" s="840">
        <v>45351</v>
      </c>
      <c r="F206" s="1763">
        <v>194962</v>
      </c>
      <c r="G206" s="838">
        <v>30</v>
      </c>
      <c r="H206" s="842">
        <f t="shared" si="27"/>
        <v>45381</v>
      </c>
      <c r="I206" s="843">
        <f t="shared" si="28"/>
        <v>2</v>
      </c>
      <c r="J206" s="843">
        <f t="shared" si="29"/>
        <v>194962</v>
      </c>
      <c r="K206" s="843">
        <f t="shared" si="30"/>
        <v>0</v>
      </c>
      <c r="L206" s="843">
        <f t="shared" si="31"/>
        <v>0</v>
      </c>
      <c r="M206" s="843">
        <f t="shared" si="32"/>
        <v>0</v>
      </c>
      <c r="N206" s="843">
        <f t="shared" si="33"/>
        <v>0</v>
      </c>
    </row>
    <row r="207" spans="1:16" ht="15.6">
      <c r="A207" s="838"/>
      <c r="B207" s="1788"/>
      <c r="C207" s="838"/>
      <c r="D207" s="839">
        <v>2263</v>
      </c>
      <c r="E207" s="840">
        <v>45352</v>
      </c>
      <c r="F207" s="1763">
        <v>185967</v>
      </c>
      <c r="G207" s="838">
        <v>30</v>
      </c>
      <c r="H207" s="842">
        <f t="shared" si="27"/>
        <v>45382</v>
      </c>
      <c r="I207" s="843">
        <f t="shared" si="28"/>
        <v>1</v>
      </c>
      <c r="J207" s="843">
        <f t="shared" si="29"/>
        <v>185967</v>
      </c>
      <c r="K207" s="843">
        <f t="shared" si="30"/>
        <v>0</v>
      </c>
      <c r="L207" s="843">
        <f t="shared" si="31"/>
        <v>0</v>
      </c>
      <c r="M207" s="843">
        <f t="shared" si="32"/>
        <v>0</v>
      </c>
      <c r="N207" s="843">
        <f t="shared" si="33"/>
        <v>0</v>
      </c>
    </row>
    <row r="208" spans="1:16" ht="15.6">
      <c r="A208" s="838"/>
      <c r="B208" s="1788"/>
      <c r="C208" s="838"/>
      <c r="D208" s="839">
        <v>2264</v>
      </c>
      <c r="E208" s="840">
        <v>45352</v>
      </c>
      <c r="F208" s="1763">
        <v>265523</v>
      </c>
      <c r="G208" s="838">
        <v>30</v>
      </c>
      <c r="H208" s="842">
        <f t="shared" si="27"/>
        <v>45382</v>
      </c>
      <c r="I208" s="843">
        <f t="shared" si="28"/>
        <v>1</v>
      </c>
      <c r="J208" s="843">
        <f t="shared" si="29"/>
        <v>265523</v>
      </c>
      <c r="K208" s="843">
        <f t="shared" si="30"/>
        <v>0</v>
      </c>
      <c r="L208" s="843">
        <f t="shared" si="31"/>
        <v>0</v>
      </c>
      <c r="M208" s="843">
        <f t="shared" si="32"/>
        <v>0</v>
      </c>
      <c r="N208" s="843">
        <f t="shared" si="33"/>
        <v>0</v>
      </c>
    </row>
    <row r="209" spans="1:14" ht="15.6">
      <c r="A209" s="838"/>
      <c r="B209" s="1788"/>
      <c r="C209" s="838"/>
      <c r="D209" s="839">
        <v>2265</v>
      </c>
      <c r="E209" s="840">
        <v>45353</v>
      </c>
      <c r="F209" s="1763">
        <v>196568</v>
      </c>
      <c r="G209" s="838">
        <v>30</v>
      </c>
      <c r="H209" s="842">
        <f t="shared" si="27"/>
        <v>45383</v>
      </c>
      <c r="I209" s="843">
        <f t="shared" si="28"/>
        <v>0</v>
      </c>
      <c r="J209" s="843">
        <f t="shared" si="29"/>
        <v>196568</v>
      </c>
      <c r="K209" s="843">
        <f t="shared" si="30"/>
        <v>0</v>
      </c>
      <c r="L209" s="843">
        <f t="shared" si="31"/>
        <v>0</v>
      </c>
      <c r="M209" s="843">
        <f t="shared" si="32"/>
        <v>0</v>
      </c>
      <c r="N209" s="843">
        <f t="shared" si="33"/>
        <v>0</v>
      </c>
    </row>
    <row r="210" spans="1:14" ht="15.6">
      <c r="A210" s="838"/>
      <c r="B210" s="1788"/>
      <c r="C210" s="838"/>
      <c r="D210" s="839">
        <v>2266</v>
      </c>
      <c r="E210" s="840">
        <v>45353</v>
      </c>
      <c r="F210" s="1763">
        <v>187329</v>
      </c>
      <c r="G210" s="838">
        <v>30</v>
      </c>
      <c r="H210" s="842">
        <f t="shared" si="27"/>
        <v>45383</v>
      </c>
      <c r="I210" s="843">
        <f t="shared" si="28"/>
        <v>0</v>
      </c>
      <c r="J210" s="843">
        <f t="shared" si="29"/>
        <v>187329</v>
      </c>
      <c r="K210" s="843">
        <f t="shared" si="30"/>
        <v>0</v>
      </c>
      <c r="L210" s="843">
        <f t="shared" si="31"/>
        <v>0</v>
      </c>
      <c r="M210" s="843">
        <f t="shared" si="32"/>
        <v>0</v>
      </c>
      <c r="N210" s="843">
        <f t="shared" si="33"/>
        <v>0</v>
      </c>
    </row>
    <row r="211" spans="1:14" ht="15.6">
      <c r="A211" s="838"/>
      <c r="B211" s="1788"/>
      <c r="C211" s="838"/>
      <c r="D211" s="839">
        <v>2267</v>
      </c>
      <c r="E211" s="840">
        <v>45353</v>
      </c>
      <c r="F211" s="1763">
        <v>186440</v>
      </c>
      <c r="G211" s="838">
        <v>30</v>
      </c>
      <c r="H211" s="842">
        <f t="shared" si="27"/>
        <v>45383</v>
      </c>
      <c r="I211" s="843">
        <f t="shared" si="28"/>
        <v>0</v>
      </c>
      <c r="J211" s="843">
        <f t="shared" si="29"/>
        <v>186440</v>
      </c>
      <c r="K211" s="843">
        <f t="shared" si="30"/>
        <v>0</v>
      </c>
      <c r="L211" s="843">
        <f t="shared" si="31"/>
        <v>0</v>
      </c>
      <c r="M211" s="843">
        <f t="shared" si="32"/>
        <v>0</v>
      </c>
      <c r="N211" s="843">
        <f t="shared" si="33"/>
        <v>0</v>
      </c>
    </row>
    <row r="212" spans="1:14" ht="15.6">
      <c r="A212" s="838"/>
      <c r="B212" s="1788"/>
      <c r="C212" s="838"/>
      <c r="D212" s="839">
        <v>2268</v>
      </c>
      <c r="E212" s="840">
        <v>45353</v>
      </c>
      <c r="F212" s="1763">
        <v>204422</v>
      </c>
      <c r="G212" s="838">
        <v>30</v>
      </c>
      <c r="H212" s="842">
        <f t="shared" si="27"/>
        <v>45383</v>
      </c>
      <c r="I212" s="843">
        <f t="shared" si="28"/>
        <v>0</v>
      </c>
      <c r="J212" s="843">
        <f t="shared" si="29"/>
        <v>204422</v>
      </c>
      <c r="K212" s="843">
        <f t="shared" si="30"/>
        <v>0</v>
      </c>
      <c r="L212" s="843">
        <f t="shared" si="31"/>
        <v>0</v>
      </c>
      <c r="M212" s="843">
        <f t="shared" si="32"/>
        <v>0</v>
      </c>
      <c r="N212" s="843">
        <f t="shared" si="33"/>
        <v>0</v>
      </c>
    </row>
    <row r="213" spans="1:14" ht="15.6">
      <c r="A213" s="838"/>
      <c r="B213" s="1788"/>
      <c r="C213" s="838"/>
      <c r="D213" s="839">
        <v>2272</v>
      </c>
      <c r="E213" s="840">
        <v>45353</v>
      </c>
      <c r="F213" s="1763">
        <v>202721</v>
      </c>
      <c r="G213" s="838">
        <v>30</v>
      </c>
      <c r="H213" s="842">
        <f t="shared" si="27"/>
        <v>45383</v>
      </c>
      <c r="I213" s="843">
        <f t="shared" si="28"/>
        <v>0</v>
      </c>
      <c r="J213" s="843">
        <f t="shared" si="29"/>
        <v>202721</v>
      </c>
      <c r="K213" s="843">
        <f t="shared" si="30"/>
        <v>0</v>
      </c>
      <c r="L213" s="843">
        <f t="shared" si="31"/>
        <v>0</v>
      </c>
      <c r="M213" s="843">
        <f t="shared" si="32"/>
        <v>0</v>
      </c>
      <c r="N213" s="843">
        <f t="shared" si="33"/>
        <v>0</v>
      </c>
    </row>
    <row r="214" spans="1:14" ht="15.6">
      <c r="A214" s="838"/>
      <c r="B214" s="1788"/>
      <c r="C214" s="838"/>
      <c r="D214" s="839">
        <v>2277</v>
      </c>
      <c r="E214" s="840">
        <v>45354</v>
      </c>
      <c r="F214" s="1763">
        <v>205490</v>
      </c>
      <c r="G214" s="838">
        <v>30</v>
      </c>
      <c r="H214" s="842">
        <f t="shared" si="27"/>
        <v>45384</v>
      </c>
      <c r="I214" s="843">
        <f t="shared" si="28"/>
        <v>-1</v>
      </c>
      <c r="J214" s="843">
        <f t="shared" si="29"/>
        <v>205490</v>
      </c>
      <c r="K214" s="843">
        <f t="shared" si="30"/>
        <v>0</v>
      </c>
      <c r="L214" s="843">
        <f t="shared" si="31"/>
        <v>0</v>
      </c>
      <c r="M214" s="843">
        <f t="shared" si="32"/>
        <v>0</v>
      </c>
      <c r="N214" s="843">
        <f t="shared" si="33"/>
        <v>0</v>
      </c>
    </row>
    <row r="215" spans="1:14" ht="15.6">
      <c r="A215" s="838"/>
      <c r="B215" s="1788"/>
      <c r="C215" s="838"/>
      <c r="D215" s="839">
        <v>2280</v>
      </c>
      <c r="E215" s="840">
        <v>45354</v>
      </c>
      <c r="F215" s="1763">
        <v>213468</v>
      </c>
      <c r="G215" s="838">
        <v>30</v>
      </c>
      <c r="H215" s="842">
        <f t="shared" si="27"/>
        <v>45384</v>
      </c>
      <c r="I215" s="843">
        <f t="shared" si="28"/>
        <v>-1</v>
      </c>
      <c r="J215" s="843">
        <f t="shared" si="29"/>
        <v>213468</v>
      </c>
      <c r="K215" s="843">
        <f t="shared" si="30"/>
        <v>0</v>
      </c>
      <c r="L215" s="843">
        <f t="shared" si="31"/>
        <v>0</v>
      </c>
      <c r="M215" s="843">
        <f t="shared" si="32"/>
        <v>0</v>
      </c>
      <c r="N215" s="843">
        <f t="shared" si="33"/>
        <v>0</v>
      </c>
    </row>
    <row r="216" spans="1:14" ht="15.6">
      <c r="A216" s="838"/>
      <c r="B216" s="1788"/>
      <c r="C216" s="838"/>
      <c r="D216" s="839">
        <v>2283</v>
      </c>
      <c r="E216" s="840">
        <v>45354</v>
      </c>
      <c r="F216" s="1763">
        <v>199593</v>
      </c>
      <c r="G216" s="838">
        <v>30</v>
      </c>
      <c r="H216" s="842">
        <f t="shared" si="27"/>
        <v>45384</v>
      </c>
      <c r="I216" s="843">
        <f t="shared" si="28"/>
        <v>-1</v>
      </c>
      <c r="J216" s="843">
        <f t="shared" si="29"/>
        <v>199593</v>
      </c>
      <c r="K216" s="843">
        <f t="shared" si="30"/>
        <v>0</v>
      </c>
      <c r="L216" s="843">
        <f t="shared" si="31"/>
        <v>0</v>
      </c>
      <c r="M216" s="843">
        <f t="shared" si="32"/>
        <v>0</v>
      </c>
      <c r="N216" s="843">
        <f t="shared" si="33"/>
        <v>0</v>
      </c>
    </row>
    <row r="217" spans="1:14" ht="15.6">
      <c r="A217" s="838"/>
      <c r="B217" s="1788"/>
      <c r="C217" s="838"/>
      <c r="D217" s="839">
        <v>2289</v>
      </c>
      <c r="E217" s="840">
        <v>45355</v>
      </c>
      <c r="F217" s="1763">
        <v>141003</v>
      </c>
      <c r="G217" s="838">
        <v>30</v>
      </c>
      <c r="H217" s="842">
        <f t="shared" si="27"/>
        <v>45385</v>
      </c>
      <c r="I217" s="843">
        <f t="shared" si="28"/>
        <v>-2</v>
      </c>
      <c r="J217" s="843">
        <f t="shared" si="29"/>
        <v>141003</v>
      </c>
      <c r="K217" s="843">
        <f t="shared" si="30"/>
        <v>0</v>
      </c>
      <c r="L217" s="843">
        <f t="shared" si="31"/>
        <v>0</v>
      </c>
      <c r="M217" s="843">
        <f t="shared" si="32"/>
        <v>0</v>
      </c>
      <c r="N217" s="843">
        <f t="shared" si="33"/>
        <v>0</v>
      </c>
    </row>
    <row r="218" spans="1:14" ht="15.6">
      <c r="A218" s="838"/>
      <c r="B218" s="1788"/>
      <c r="C218" s="838"/>
      <c r="D218" s="839">
        <v>2303</v>
      </c>
      <c r="E218" s="840">
        <v>45357</v>
      </c>
      <c r="F218" s="1763">
        <v>256255</v>
      </c>
      <c r="G218" s="838">
        <v>30</v>
      </c>
      <c r="H218" s="842">
        <f t="shared" si="27"/>
        <v>45387</v>
      </c>
      <c r="I218" s="843">
        <f t="shared" si="28"/>
        <v>-4</v>
      </c>
      <c r="J218" s="843">
        <f t="shared" si="29"/>
        <v>256255</v>
      </c>
      <c r="K218" s="843">
        <f t="shared" si="30"/>
        <v>0</v>
      </c>
      <c r="L218" s="843">
        <f t="shared" si="31"/>
        <v>0</v>
      </c>
      <c r="M218" s="843">
        <f t="shared" si="32"/>
        <v>0</v>
      </c>
      <c r="N218" s="843">
        <f t="shared" si="33"/>
        <v>0</v>
      </c>
    </row>
    <row r="219" spans="1:14" ht="15.6">
      <c r="A219" s="838"/>
      <c r="B219" s="1788"/>
      <c r="C219" s="838"/>
      <c r="D219" s="839">
        <v>2309</v>
      </c>
      <c r="E219" s="840">
        <v>45358</v>
      </c>
      <c r="F219" s="1763">
        <v>249068</v>
      </c>
      <c r="G219" s="838">
        <v>30</v>
      </c>
      <c r="H219" s="842">
        <f t="shared" si="27"/>
        <v>45388</v>
      </c>
      <c r="I219" s="843">
        <f t="shared" si="28"/>
        <v>-5</v>
      </c>
      <c r="J219" s="843">
        <f t="shared" si="29"/>
        <v>249068</v>
      </c>
      <c r="K219" s="843">
        <f t="shared" si="30"/>
        <v>0</v>
      </c>
      <c r="L219" s="843">
        <f t="shared" si="31"/>
        <v>0</v>
      </c>
      <c r="M219" s="843">
        <f t="shared" si="32"/>
        <v>0</v>
      </c>
      <c r="N219" s="843">
        <f t="shared" si="33"/>
        <v>0</v>
      </c>
    </row>
    <row r="220" spans="1:14" ht="15.6">
      <c r="A220" s="838"/>
      <c r="B220" s="1788"/>
      <c r="C220" s="838"/>
      <c r="D220" s="839">
        <v>2311</v>
      </c>
      <c r="E220" s="840">
        <v>45358</v>
      </c>
      <c r="F220" s="1763">
        <v>207786</v>
      </c>
      <c r="G220" s="838">
        <v>30</v>
      </c>
      <c r="H220" s="842">
        <f t="shared" si="27"/>
        <v>45388</v>
      </c>
      <c r="I220" s="843">
        <f t="shared" si="28"/>
        <v>-5</v>
      </c>
      <c r="J220" s="843">
        <f t="shared" si="29"/>
        <v>207786</v>
      </c>
      <c r="K220" s="843">
        <f t="shared" si="30"/>
        <v>0</v>
      </c>
      <c r="L220" s="843">
        <f t="shared" si="31"/>
        <v>0</v>
      </c>
      <c r="M220" s="843">
        <f t="shared" si="32"/>
        <v>0</v>
      </c>
      <c r="N220" s="843">
        <f t="shared" si="33"/>
        <v>0</v>
      </c>
    </row>
    <row r="221" spans="1:14" ht="15.6">
      <c r="A221" s="838"/>
      <c r="B221" s="1788"/>
      <c r="C221" s="838"/>
      <c r="D221" s="839">
        <v>2314</v>
      </c>
      <c r="E221" s="840">
        <v>45360</v>
      </c>
      <c r="F221" s="1763">
        <v>255310</v>
      </c>
      <c r="G221" s="838">
        <v>30</v>
      </c>
      <c r="H221" s="842">
        <f t="shared" si="27"/>
        <v>45390</v>
      </c>
      <c r="I221" s="843">
        <f t="shared" si="28"/>
        <v>-7</v>
      </c>
      <c r="J221" s="843">
        <f t="shared" si="29"/>
        <v>255310</v>
      </c>
      <c r="K221" s="843">
        <f t="shared" si="30"/>
        <v>0</v>
      </c>
      <c r="L221" s="843">
        <f t="shared" si="31"/>
        <v>0</v>
      </c>
      <c r="M221" s="843">
        <f t="shared" si="32"/>
        <v>0</v>
      </c>
      <c r="N221" s="843">
        <f t="shared" si="33"/>
        <v>0</v>
      </c>
    </row>
    <row r="222" spans="1:14" ht="15.6">
      <c r="A222" s="838"/>
      <c r="B222" s="1788"/>
      <c r="C222" s="838"/>
      <c r="D222" s="839">
        <v>2316</v>
      </c>
      <c r="E222" s="840">
        <v>45360</v>
      </c>
      <c r="F222" s="1763">
        <v>207307</v>
      </c>
      <c r="G222" s="838">
        <v>30</v>
      </c>
      <c r="H222" s="842">
        <f t="shared" si="27"/>
        <v>45390</v>
      </c>
      <c r="I222" s="843">
        <f t="shared" si="28"/>
        <v>-7</v>
      </c>
      <c r="J222" s="843">
        <f t="shared" si="29"/>
        <v>207307</v>
      </c>
      <c r="K222" s="843">
        <f t="shared" si="30"/>
        <v>0</v>
      </c>
      <c r="L222" s="843">
        <f t="shared" si="31"/>
        <v>0</v>
      </c>
      <c r="M222" s="843">
        <f t="shared" si="32"/>
        <v>0</v>
      </c>
      <c r="N222" s="843">
        <f t="shared" si="33"/>
        <v>0</v>
      </c>
    </row>
    <row r="223" spans="1:14" ht="15.6">
      <c r="A223" s="838"/>
      <c r="B223" s="1788"/>
      <c r="C223" s="838"/>
      <c r="D223" s="839">
        <v>2320</v>
      </c>
      <c r="E223" s="840">
        <v>45360</v>
      </c>
      <c r="F223" s="1763">
        <v>183693</v>
      </c>
      <c r="G223" s="838">
        <v>30</v>
      </c>
      <c r="H223" s="842">
        <f t="shared" si="27"/>
        <v>45390</v>
      </c>
      <c r="I223" s="843">
        <f t="shared" si="28"/>
        <v>-7</v>
      </c>
      <c r="J223" s="843">
        <f t="shared" si="29"/>
        <v>183693</v>
      </c>
      <c r="K223" s="843">
        <f t="shared" si="30"/>
        <v>0</v>
      </c>
      <c r="L223" s="843">
        <f t="shared" si="31"/>
        <v>0</v>
      </c>
      <c r="M223" s="843">
        <f t="shared" si="32"/>
        <v>0</v>
      </c>
      <c r="N223" s="843">
        <f t="shared" si="33"/>
        <v>0</v>
      </c>
    </row>
    <row r="224" spans="1:14" ht="15.6">
      <c r="A224" s="838"/>
      <c r="B224" s="1788"/>
      <c r="C224" s="838"/>
      <c r="D224" s="839">
        <v>2321</v>
      </c>
      <c r="E224" s="840">
        <v>45360</v>
      </c>
      <c r="F224" s="1763">
        <v>197028</v>
      </c>
      <c r="G224" s="838">
        <v>30</v>
      </c>
      <c r="H224" s="842">
        <f t="shared" si="27"/>
        <v>45390</v>
      </c>
      <c r="I224" s="843">
        <f t="shared" si="28"/>
        <v>-7</v>
      </c>
      <c r="J224" s="843">
        <f t="shared" si="29"/>
        <v>197028</v>
      </c>
      <c r="K224" s="843">
        <f t="shared" si="30"/>
        <v>0</v>
      </c>
      <c r="L224" s="843">
        <f t="shared" si="31"/>
        <v>0</v>
      </c>
      <c r="M224" s="843">
        <f t="shared" si="32"/>
        <v>0</v>
      </c>
      <c r="N224" s="843">
        <f t="shared" si="33"/>
        <v>0</v>
      </c>
    </row>
    <row r="225" spans="1:14" ht="15.6">
      <c r="A225" s="838"/>
      <c r="B225" s="1788"/>
      <c r="C225" s="838"/>
      <c r="D225" s="839">
        <v>2323</v>
      </c>
      <c r="E225" s="840">
        <v>45361</v>
      </c>
      <c r="F225" s="1763">
        <v>196624</v>
      </c>
      <c r="G225" s="838">
        <v>30</v>
      </c>
      <c r="H225" s="842">
        <f t="shared" si="27"/>
        <v>45391</v>
      </c>
      <c r="I225" s="843">
        <f t="shared" si="28"/>
        <v>-8</v>
      </c>
      <c r="J225" s="843">
        <f t="shared" si="29"/>
        <v>196624</v>
      </c>
      <c r="K225" s="843">
        <f t="shared" si="30"/>
        <v>0</v>
      </c>
      <c r="L225" s="843">
        <f t="shared" si="31"/>
        <v>0</v>
      </c>
      <c r="M225" s="843">
        <f t="shared" si="32"/>
        <v>0</v>
      </c>
      <c r="N225" s="843">
        <f t="shared" si="33"/>
        <v>0</v>
      </c>
    </row>
    <row r="226" spans="1:14" ht="15.6">
      <c r="A226" s="838"/>
      <c r="B226" s="1788"/>
      <c r="C226" s="838"/>
      <c r="D226" s="839">
        <v>2326</v>
      </c>
      <c r="E226" s="840">
        <v>45361</v>
      </c>
      <c r="F226" s="1763">
        <v>196244</v>
      </c>
      <c r="G226" s="838">
        <v>30</v>
      </c>
      <c r="H226" s="842">
        <f t="shared" si="27"/>
        <v>45391</v>
      </c>
      <c r="I226" s="843">
        <f t="shared" si="28"/>
        <v>-8</v>
      </c>
      <c r="J226" s="843">
        <f t="shared" si="29"/>
        <v>196244</v>
      </c>
      <c r="K226" s="843">
        <f t="shared" si="30"/>
        <v>0</v>
      </c>
      <c r="L226" s="843">
        <f t="shared" si="31"/>
        <v>0</v>
      </c>
      <c r="M226" s="843">
        <f t="shared" si="32"/>
        <v>0</v>
      </c>
      <c r="N226" s="843">
        <f t="shared" si="33"/>
        <v>0</v>
      </c>
    </row>
    <row r="227" spans="1:14" ht="15.6">
      <c r="A227" s="838"/>
      <c r="B227" s="1788"/>
      <c r="C227" s="838"/>
      <c r="D227" s="839">
        <v>2337</v>
      </c>
      <c r="E227" s="840">
        <v>45362</v>
      </c>
      <c r="F227" s="1763">
        <v>208749</v>
      </c>
      <c r="G227" s="838">
        <v>30</v>
      </c>
      <c r="H227" s="842">
        <f t="shared" si="27"/>
        <v>45392</v>
      </c>
      <c r="I227" s="843">
        <f t="shared" si="28"/>
        <v>-9</v>
      </c>
      <c r="J227" s="843">
        <f t="shared" si="29"/>
        <v>208749</v>
      </c>
      <c r="K227" s="843">
        <f t="shared" si="30"/>
        <v>0</v>
      </c>
      <c r="L227" s="843">
        <f t="shared" si="31"/>
        <v>0</v>
      </c>
      <c r="M227" s="843">
        <f t="shared" si="32"/>
        <v>0</v>
      </c>
      <c r="N227" s="843">
        <f t="shared" si="33"/>
        <v>0</v>
      </c>
    </row>
    <row r="228" spans="1:14" ht="15.6">
      <c r="A228" s="838"/>
      <c r="B228" s="1788"/>
      <c r="C228" s="838"/>
      <c r="D228" s="839">
        <v>2338</v>
      </c>
      <c r="E228" s="840">
        <v>45362</v>
      </c>
      <c r="F228" s="1763">
        <v>199834</v>
      </c>
      <c r="G228" s="838">
        <v>30</v>
      </c>
      <c r="H228" s="842">
        <f t="shared" si="27"/>
        <v>45392</v>
      </c>
      <c r="I228" s="843">
        <f t="shared" si="28"/>
        <v>-9</v>
      </c>
      <c r="J228" s="843">
        <f t="shared" si="29"/>
        <v>199834</v>
      </c>
      <c r="K228" s="843">
        <f t="shared" si="30"/>
        <v>0</v>
      </c>
      <c r="L228" s="843">
        <f t="shared" si="31"/>
        <v>0</v>
      </c>
      <c r="M228" s="843">
        <f t="shared" si="32"/>
        <v>0</v>
      </c>
      <c r="N228" s="843">
        <f t="shared" si="33"/>
        <v>0</v>
      </c>
    </row>
    <row r="229" spans="1:14" ht="15.6">
      <c r="A229" s="838"/>
      <c r="B229" s="1788"/>
      <c r="C229" s="838"/>
      <c r="D229" s="839">
        <v>2355</v>
      </c>
      <c r="E229" s="840">
        <v>45369</v>
      </c>
      <c r="F229" s="1763">
        <v>186300</v>
      </c>
      <c r="G229" s="838">
        <v>30</v>
      </c>
      <c r="H229" s="842">
        <f t="shared" si="27"/>
        <v>45399</v>
      </c>
      <c r="I229" s="843">
        <f t="shared" si="28"/>
        <v>-16</v>
      </c>
      <c r="J229" s="843">
        <f t="shared" si="29"/>
        <v>186300</v>
      </c>
      <c r="K229" s="843">
        <f t="shared" si="30"/>
        <v>0</v>
      </c>
      <c r="L229" s="843">
        <f t="shared" si="31"/>
        <v>0</v>
      </c>
      <c r="M229" s="843">
        <f t="shared" si="32"/>
        <v>0</v>
      </c>
      <c r="N229" s="843">
        <f t="shared" si="33"/>
        <v>0</v>
      </c>
    </row>
    <row r="230" spans="1:14" ht="15.6">
      <c r="A230" s="838"/>
      <c r="B230" s="1788"/>
      <c r="C230" s="838"/>
      <c r="D230" s="839">
        <v>2372</v>
      </c>
      <c r="E230" s="840">
        <v>45370</v>
      </c>
      <c r="F230" s="1763">
        <v>213715</v>
      </c>
      <c r="G230" s="838">
        <v>30</v>
      </c>
      <c r="H230" s="842">
        <f t="shared" si="27"/>
        <v>45400</v>
      </c>
      <c r="I230" s="843">
        <f t="shared" si="28"/>
        <v>-17</v>
      </c>
      <c r="J230" s="843">
        <f t="shared" si="29"/>
        <v>213715</v>
      </c>
      <c r="K230" s="843">
        <f t="shared" si="30"/>
        <v>0</v>
      </c>
      <c r="L230" s="843">
        <f t="shared" si="31"/>
        <v>0</v>
      </c>
      <c r="M230" s="843">
        <f t="shared" si="32"/>
        <v>0</v>
      </c>
      <c r="N230" s="843">
        <f t="shared" si="33"/>
        <v>0</v>
      </c>
    </row>
    <row r="231" spans="1:14" ht="15.6">
      <c r="A231" s="838"/>
      <c r="B231" s="1788"/>
      <c r="C231" s="838"/>
      <c r="D231" s="839">
        <v>2378</v>
      </c>
      <c r="E231" s="840">
        <v>45371</v>
      </c>
      <c r="F231" s="1763">
        <v>240993</v>
      </c>
      <c r="G231" s="838">
        <v>30</v>
      </c>
      <c r="H231" s="842">
        <f t="shared" si="27"/>
        <v>45401</v>
      </c>
      <c r="I231" s="843">
        <f t="shared" si="28"/>
        <v>-18</v>
      </c>
      <c r="J231" s="843">
        <f t="shared" si="29"/>
        <v>240993</v>
      </c>
      <c r="K231" s="843">
        <f t="shared" si="30"/>
        <v>0</v>
      </c>
      <c r="L231" s="843">
        <f t="shared" si="31"/>
        <v>0</v>
      </c>
      <c r="M231" s="843">
        <f t="shared" si="32"/>
        <v>0</v>
      </c>
      <c r="N231" s="843">
        <f t="shared" si="33"/>
        <v>0</v>
      </c>
    </row>
    <row r="232" spans="1:14" ht="15.6">
      <c r="A232" s="838"/>
      <c r="B232" s="1788"/>
      <c r="C232" s="838"/>
      <c r="D232" s="839">
        <v>2379</v>
      </c>
      <c r="E232" s="840">
        <v>45371</v>
      </c>
      <c r="F232" s="1763">
        <v>185246</v>
      </c>
      <c r="G232" s="838">
        <v>30</v>
      </c>
      <c r="H232" s="842">
        <f t="shared" si="27"/>
        <v>45401</v>
      </c>
      <c r="I232" s="843">
        <f t="shared" si="28"/>
        <v>-18</v>
      </c>
      <c r="J232" s="843">
        <f t="shared" si="29"/>
        <v>185246</v>
      </c>
      <c r="K232" s="843">
        <f t="shared" si="30"/>
        <v>0</v>
      </c>
      <c r="L232" s="843">
        <f t="shared" si="31"/>
        <v>0</v>
      </c>
      <c r="M232" s="843">
        <f t="shared" si="32"/>
        <v>0</v>
      </c>
      <c r="N232" s="843">
        <f t="shared" si="33"/>
        <v>0</v>
      </c>
    </row>
    <row r="233" spans="1:14" ht="15.6">
      <c r="A233" s="838"/>
      <c r="B233" s="1788"/>
      <c r="C233" s="838"/>
      <c r="D233" s="839">
        <v>2381</v>
      </c>
      <c r="E233" s="840">
        <v>45371</v>
      </c>
      <c r="F233" s="1763">
        <v>203893</v>
      </c>
      <c r="G233" s="838">
        <v>30</v>
      </c>
      <c r="H233" s="842">
        <f t="shared" si="27"/>
        <v>45401</v>
      </c>
      <c r="I233" s="843">
        <f t="shared" si="28"/>
        <v>-18</v>
      </c>
      <c r="J233" s="843">
        <f t="shared" si="29"/>
        <v>203893</v>
      </c>
      <c r="K233" s="843">
        <f t="shared" si="30"/>
        <v>0</v>
      </c>
      <c r="L233" s="843">
        <f t="shared" si="31"/>
        <v>0</v>
      </c>
      <c r="M233" s="843">
        <f t="shared" si="32"/>
        <v>0</v>
      </c>
      <c r="N233" s="843">
        <f t="shared" si="33"/>
        <v>0</v>
      </c>
    </row>
    <row r="234" spans="1:14" ht="15.6">
      <c r="A234" s="838"/>
      <c r="B234" s="1788"/>
      <c r="C234" s="838"/>
      <c r="D234" s="839">
        <v>2390</v>
      </c>
      <c r="E234" s="840">
        <v>45373</v>
      </c>
      <c r="F234" s="1763">
        <v>245210</v>
      </c>
      <c r="G234" s="838">
        <v>30</v>
      </c>
      <c r="H234" s="842">
        <f t="shared" si="27"/>
        <v>45403</v>
      </c>
      <c r="I234" s="843">
        <f t="shared" si="28"/>
        <v>-20</v>
      </c>
      <c r="J234" s="843">
        <f t="shared" si="29"/>
        <v>245210</v>
      </c>
      <c r="K234" s="843">
        <f t="shared" si="30"/>
        <v>0</v>
      </c>
      <c r="L234" s="843">
        <f t="shared" si="31"/>
        <v>0</v>
      </c>
      <c r="M234" s="843">
        <f t="shared" si="32"/>
        <v>0</v>
      </c>
      <c r="N234" s="843">
        <f t="shared" si="33"/>
        <v>0</v>
      </c>
    </row>
    <row r="235" spans="1:14" ht="15.6">
      <c r="A235" s="838"/>
      <c r="B235" s="1788"/>
      <c r="C235" s="838"/>
      <c r="D235" s="839">
        <v>2394</v>
      </c>
      <c r="E235" s="840">
        <v>45374</v>
      </c>
      <c r="F235" s="1763">
        <v>212245</v>
      </c>
      <c r="G235" s="838">
        <v>30</v>
      </c>
      <c r="H235" s="842">
        <f t="shared" si="27"/>
        <v>45404</v>
      </c>
      <c r="I235" s="843">
        <f t="shared" si="28"/>
        <v>-21</v>
      </c>
      <c r="J235" s="843">
        <f t="shared" si="29"/>
        <v>212245</v>
      </c>
      <c r="K235" s="843">
        <f t="shared" si="30"/>
        <v>0</v>
      </c>
      <c r="L235" s="843">
        <f t="shared" si="31"/>
        <v>0</v>
      </c>
      <c r="M235" s="843">
        <f t="shared" si="32"/>
        <v>0</v>
      </c>
      <c r="N235" s="843">
        <f t="shared" si="33"/>
        <v>0</v>
      </c>
    </row>
    <row r="236" spans="1:14" ht="15.6">
      <c r="A236" s="838"/>
      <c r="B236" s="1788"/>
      <c r="C236" s="838"/>
      <c r="D236" s="839">
        <v>2395</v>
      </c>
      <c r="E236" s="840">
        <v>45374</v>
      </c>
      <c r="F236" s="1763">
        <v>287333</v>
      </c>
      <c r="G236" s="838">
        <v>30</v>
      </c>
      <c r="H236" s="842">
        <f t="shared" si="27"/>
        <v>45404</v>
      </c>
      <c r="I236" s="843">
        <f t="shared" si="28"/>
        <v>-21</v>
      </c>
      <c r="J236" s="843">
        <f t="shared" si="29"/>
        <v>287333</v>
      </c>
      <c r="K236" s="843">
        <f t="shared" si="30"/>
        <v>0</v>
      </c>
      <c r="L236" s="843">
        <f t="shared" si="31"/>
        <v>0</v>
      </c>
      <c r="M236" s="843">
        <f t="shared" si="32"/>
        <v>0</v>
      </c>
      <c r="N236" s="843">
        <f t="shared" si="33"/>
        <v>0</v>
      </c>
    </row>
    <row r="237" spans="1:14" ht="15.6">
      <c r="A237" s="838"/>
      <c r="B237" s="1788"/>
      <c r="C237" s="838"/>
      <c r="D237" s="839">
        <v>2397</v>
      </c>
      <c r="E237" s="840">
        <v>45374</v>
      </c>
      <c r="F237" s="1763">
        <v>182278</v>
      </c>
      <c r="G237" s="838">
        <v>30</v>
      </c>
      <c r="H237" s="842">
        <f t="shared" si="27"/>
        <v>45404</v>
      </c>
      <c r="I237" s="843">
        <f t="shared" si="28"/>
        <v>-21</v>
      </c>
      <c r="J237" s="843">
        <f t="shared" si="29"/>
        <v>182278</v>
      </c>
      <c r="K237" s="843">
        <f t="shared" si="30"/>
        <v>0</v>
      </c>
      <c r="L237" s="843">
        <f t="shared" si="31"/>
        <v>0</v>
      </c>
      <c r="M237" s="843">
        <f t="shared" si="32"/>
        <v>0</v>
      </c>
      <c r="N237" s="843">
        <f t="shared" si="33"/>
        <v>0</v>
      </c>
    </row>
    <row r="238" spans="1:14" ht="15.6">
      <c r="A238" s="838"/>
      <c r="B238" s="1788"/>
      <c r="C238" s="838"/>
      <c r="D238" s="839">
        <v>2399</v>
      </c>
      <c r="E238" s="840">
        <v>45375</v>
      </c>
      <c r="F238" s="1763">
        <v>132858</v>
      </c>
      <c r="G238" s="838">
        <v>30</v>
      </c>
      <c r="H238" s="842">
        <f t="shared" si="27"/>
        <v>45405</v>
      </c>
      <c r="I238" s="843">
        <f t="shared" si="28"/>
        <v>-22</v>
      </c>
      <c r="J238" s="843">
        <f t="shared" si="29"/>
        <v>132858</v>
      </c>
      <c r="K238" s="843">
        <f t="shared" si="30"/>
        <v>0</v>
      </c>
      <c r="L238" s="843">
        <f t="shared" si="31"/>
        <v>0</v>
      </c>
      <c r="M238" s="843">
        <f t="shared" si="32"/>
        <v>0</v>
      </c>
      <c r="N238" s="843">
        <f t="shared" si="33"/>
        <v>0</v>
      </c>
    </row>
    <row r="239" spans="1:14" ht="15.6">
      <c r="A239" s="838"/>
      <c r="B239" s="1788"/>
      <c r="C239" s="838"/>
      <c r="D239" s="839">
        <v>2405</v>
      </c>
      <c r="E239" s="840">
        <v>45375</v>
      </c>
      <c r="F239" s="1763">
        <v>245986</v>
      </c>
      <c r="G239" s="838">
        <v>30</v>
      </c>
      <c r="H239" s="842">
        <f t="shared" si="27"/>
        <v>45405</v>
      </c>
      <c r="I239" s="843">
        <f t="shared" si="28"/>
        <v>-22</v>
      </c>
      <c r="J239" s="843">
        <f t="shared" si="29"/>
        <v>245986</v>
      </c>
      <c r="K239" s="843">
        <f t="shared" si="30"/>
        <v>0</v>
      </c>
      <c r="L239" s="843">
        <f t="shared" si="31"/>
        <v>0</v>
      </c>
      <c r="M239" s="843">
        <f t="shared" si="32"/>
        <v>0</v>
      </c>
      <c r="N239" s="843">
        <f t="shared" si="33"/>
        <v>0</v>
      </c>
    </row>
    <row r="240" spans="1:14" ht="15.6">
      <c r="A240" s="838"/>
      <c r="B240" s="1788"/>
      <c r="C240" s="838"/>
      <c r="D240" s="839">
        <v>2409</v>
      </c>
      <c r="E240" s="840">
        <v>45377</v>
      </c>
      <c r="F240" s="1763">
        <v>223471</v>
      </c>
      <c r="G240" s="838">
        <v>30</v>
      </c>
      <c r="H240" s="842">
        <f t="shared" si="27"/>
        <v>45407</v>
      </c>
      <c r="I240" s="843">
        <f t="shared" si="28"/>
        <v>-24</v>
      </c>
      <c r="J240" s="843">
        <f t="shared" si="29"/>
        <v>223471</v>
      </c>
      <c r="K240" s="843">
        <f t="shared" si="30"/>
        <v>0</v>
      </c>
      <c r="L240" s="843">
        <f t="shared" si="31"/>
        <v>0</v>
      </c>
      <c r="M240" s="843">
        <f t="shared" si="32"/>
        <v>0</v>
      </c>
      <c r="N240" s="843">
        <f t="shared" si="33"/>
        <v>0</v>
      </c>
    </row>
    <row r="241" spans="1:16" ht="15.6">
      <c r="A241" s="838"/>
      <c r="B241" s="1788"/>
      <c r="C241" s="838"/>
      <c r="D241" s="839">
        <v>2413</v>
      </c>
      <c r="E241" s="840">
        <v>45378</v>
      </c>
      <c r="F241" s="1763">
        <v>493218</v>
      </c>
      <c r="G241" s="838">
        <v>30</v>
      </c>
      <c r="H241" s="842">
        <f t="shared" si="27"/>
        <v>45408</v>
      </c>
      <c r="I241" s="843">
        <f t="shared" si="28"/>
        <v>-25</v>
      </c>
      <c r="J241" s="843">
        <f t="shared" si="29"/>
        <v>493218</v>
      </c>
      <c r="K241" s="843">
        <f t="shared" si="30"/>
        <v>0</v>
      </c>
      <c r="L241" s="843">
        <f t="shared" si="31"/>
        <v>0</v>
      </c>
      <c r="M241" s="843">
        <f t="shared" si="32"/>
        <v>0</v>
      </c>
      <c r="N241" s="843">
        <f t="shared" si="33"/>
        <v>0</v>
      </c>
    </row>
    <row r="242" spans="1:16" ht="15.6">
      <c r="A242" s="838"/>
      <c r="B242" s="1788"/>
      <c r="C242" s="838"/>
      <c r="D242" s="839">
        <v>2417</v>
      </c>
      <c r="E242" s="840">
        <v>45378</v>
      </c>
      <c r="F242" s="1763">
        <v>217663</v>
      </c>
      <c r="G242" s="838">
        <v>30</v>
      </c>
      <c r="H242" s="842">
        <f t="shared" si="27"/>
        <v>45408</v>
      </c>
      <c r="I242" s="843">
        <f t="shared" si="28"/>
        <v>-25</v>
      </c>
      <c r="J242" s="843">
        <f t="shared" si="29"/>
        <v>217663</v>
      </c>
      <c r="K242" s="843">
        <f t="shared" si="30"/>
        <v>0</v>
      </c>
      <c r="L242" s="843">
        <f t="shared" si="31"/>
        <v>0</v>
      </c>
      <c r="M242" s="843">
        <f t="shared" si="32"/>
        <v>0</v>
      </c>
      <c r="N242" s="843">
        <f t="shared" si="33"/>
        <v>0</v>
      </c>
    </row>
    <row r="243" spans="1:16" ht="15.6">
      <c r="A243" s="838"/>
      <c r="B243" s="1788"/>
      <c r="C243" s="838"/>
      <c r="D243" s="839">
        <v>2434</v>
      </c>
      <c r="E243" s="840">
        <v>45380</v>
      </c>
      <c r="F243" s="1763">
        <v>201132</v>
      </c>
      <c r="G243" s="838">
        <v>30</v>
      </c>
      <c r="H243" s="842">
        <f t="shared" si="27"/>
        <v>45410</v>
      </c>
      <c r="I243" s="843">
        <f t="shared" si="28"/>
        <v>-27</v>
      </c>
      <c r="J243" s="843">
        <f t="shared" si="29"/>
        <v>201132</v>
      </c>
      <c r="K243" s="843">
        <f t="shared" si="30"/>
        <v>0</v>
      </c>
      <c r="L243" s="843">
        <f t="shared" si="31"/>
        <v>0</v>
      </c>
      <c r="M243" s="843">
        <f t="shared" si="32"/>
        <v>0</v>
      </c>
      <c r="N243" s="843">
        <f t="shared" si="33"/>
        <v>0</v>
      </c>
    </row>
    <row r="244" spans="1:16" ht="15.6">
      <c r="A244" s="838"/>
      <c r="B244" s="1788"/>
      <c r="C244" s="838"/>
      <c r="D244" s="839">
        <v>2436</v>
      </c>
      <c r="E244" s="840">
        <v>45380</v>
      </c>
      <c r="F244" s="1763">
        <v>207830</v>
      </c>
      <c r="G244" s="838">
        <v>30</v>
      </c>
      <c r="H244" s="842">
        <f t="shared" si="27"/>
        <v>45410</v>
      </c>
      <c r="I244" s="843">
        <f t="shared" si="28"/>
        <v>-27</v>
      </c>
      <c r="J244" s="843">
        <f t="shared" si="29"/>
        <v>207830</v>
      </c>
      <c r="K244" s="843">
        <f t="shared" si="30"/>
        <v>0</v>
      </c>
      <c r="L244" s="843">
        <f t="shared" si="31"/>
        <v>0</v>
      </c>
      <c r="M244" s="843">
        <f t="shared" si="32"/>
        <v>0</v>
      </c>
      <c r="N244" s="843">
        <f t="shared" si="33"/>
        <v>0</v>
      </c>
    </row>
    <row r="245" spans="1:16" ht="15.6">
      <c r="A245" s="838"/>
      <c r="B245" s="1788"/>
      <c r="C245" s="838"/>
      <c r="D245" s="839">
        <v>2437</v>
      </c>
      <c r="E245" s="840">
        <v>45380</v>
      </c>
      <c r="F245" s="1763">
        <v>204283</v>
      </c>
      <c r="G245" s="838">
        <v>30</v>
      </c>
      <c r="H245" s="842">
        <f t="shared" ref="H245:H248" si="35">+E245+G245</f>
        <v>45410</v>
      </c>
      <c r="I245" s="843">
        <f t="shared" ref="I245:I248" si="36">+$Q$1-H245+1</f>
        <v>-27</v>
      </c>
      <c r="J245" s="843">
        <f t="shared" ref="J245:J248" si="37">IF(I245&lt;=30,F245,0)</f>
        <v>204283</v>
      </c>
      <c r="K245" s="843">
        <f t="shared" ref="K245:K248" si="38">IF(I245&lt;=30,0,IF(I245&gt;60,0,F245))</f>
        <v>0</v>
      </c>
      <c r="L245" s="843">
        <f t="shared" ref="L245:L248" si="39">IF(I245&lt;=60,0,IF(I245&gt;90,0,F245))</f>
        <v>0</v>
      </c>
      <c r="M245" s="843">
        <f t="shared" ref="M245:M248" si="40">IF(I245&lt;=90,0,IF(I245&gt;120,0,F245))</f>
        <v>0</v>
      </c>
      <c r="N245" s="843">
        <f t="shared" ref="N245:N248" si="41">IF(I245&lt;=120,0,F245)</f>
        <v>0</v>
      </c>
    </row>
    <row r="246" spans="1:16" ht="15.6">
      <c r="A246" s="838"/>
      <c r="B246" s="1788"/>
      <c r="C246" s="838"/>
      <c r="D246" s="839">
        <v>2448</v>
      </c>
      <c r="E246" s="840">
        <v>45382</v>
      </c>
      <c r="F246" s="1763">
        <v>211814</v>
      </c>
      <c r="G246" s="838">
        <v>30</v>
      </c>
      <c r="H246" s="842">
        <f t="shared" si="35"/>
        <v>45412</v>
      </c>
      <c r="I246" s="843">
        <f t="shared" si="36"/>
        <v>-29</v>
      </c>
      <c r="J246" s="843">
        <f t="shared" si="37"/>
        <v>211814</v>
      </c>
      <c r="K246" s="843">
        <f t="shared" si="38"/>
        <v>0</v>
      </c>
      <c r="L246" s="843">
        <f t="shared" si="39"/>
        <v>0</v>
      </c>
      <c r="M246" s="843">
        <f t="shared" si="40"/>
        <v>0</v>
      </c>
      <c r="N246" s="843">
        <f t="shared" si="41"/>
        <v>0</v>
      </c>
    </row>
    <row r="247" spans="1:16" ht="15.6">
      <c r="A247" s="838"/>
      <c r="B247" s="1788"/>
      <c r="C247" s="838"/>
      <c r="D247" s="839">
        <v>2450</v>
      </c>
      <c r="E247" s="840">
        <v>45382</v>
      </c>
      <c r="F247" s="1763">
        <v>243426</v>
      </c>
      <c r="G247" s="838">
        <v>30</v>
      </c>
      <c r="H247" s="842">
        <f t="shared" si="35"/>
        <v>45412</v>
      </c>
      <c r="I247" s="843">
        <f t="shared" si="36"/>
        <v>-29</v>
      </c>
      <c r="J247" s="843">
        <f t="shared" si="37"/>
        <v>243426</v>
      </c>
      <c r="K247" s="843">
        <f t="shared" si="38"/>
        <v>0</v>
      </c>
      <c r="L247" s="843">
        <f t="shared" si="39"/>
        <v>0</v>
      </c>
      <c r="M247" s="843">
        <f t="shared" si="40"/>
        <v>0</v>
      </c>
      <c r="N247" s="843">
        <f t="shared" si="41"/>
        <v>0</v>
      </c>
    </row>
    <row r="248" spans="1:16" ht="15.6">
      <c r="A248" s="838"/>
      <c r="B248" s="1788"/>
      <c r="C248" s="838"/>
      <c r="D248" s="839"/>
      <c r="E248" s="840">
        <v>45382</v>
      </c>
      <c r="F248" s="1764">
        <v>2968</v>
      </c>
      <c r="G248" s="838">
        <v>30</v>
      </c>
      <c r="H248" s="842">
        <f t="shared" si="35"/>
        <v>45412</v>
      </c>
      <c r="I248" s="843">
        <f t="shared" si="36"/>
        <v>-29</v>
      </c>
      <c r="J248" s="843">
        <f t="shared" si="37"/>
        <v>2968</v>
      </c>
      <c r="K248" s="843">
        <f t="shared" si="38"/>
        <v>0</v>
      </c>
      <c r="L248" s="843">
        <f t="shared" si="39"/>
        <v>0</v>
      </c>
      <c r="M248" s="843">
        <f t="shared" si="40"/>
        <v>0</v>
      </c>
      <c r="N248" s="843">
        <f t="shared" si="41"/>
        <v>0</v>
      </c>
    </row>
    <row r="249" spans="1:16" ht="15.6">
      <c r="A249" s="1765"/>
      <c r="B249" s="1777"/>
      <c r="C249" s="1765"/>
      <c r="D249" s="1771"/>
      <c r="E249" s="1772"/>
      <c r="F249" s="1773">
        <f>SUM(F195:F248)</f>
        <v>11449790</v>
      </c>
      <c r="G249" s="1765"/>
      <c r="H249" s="1766"/>
      <c r="I249" s="1768"/>
      <c r="J249" s="1773">
        <f>SUM(J195:J248)</f>
        <v>11449790</v>
      </c>
      <c r="K249" s="1773">
        <f t="shared" ref="K249:N249" si="42">SUM(K195:K248)</f>
        <v>0</v>
      </c>
      <c r="L249" s="1773">
        <f t="shared" si="42"/>
        <v>0</v>
      </c>
      <c r="M249" s="1773">
        <f t="shared" si="42"/>
        <v>0</v>
      </c>
      <c r="N249" s="1773">
        <f t="shared" si="42"/>
        <v>0</v>
      </c>
      <c r="O249" s="773">
        <f>+SUM(J249:N249)</f>
        <v>11449790</v>
      </c>
      <c r="P249" s="1769">
        <f>+F249-O249</f>
        <v>0</v>
      </c>
    </row>
    <row r="250" spans="1:16" ht="15.6">
      <c r="A250" s="838">
        <v>17</v>
      </c>
      <c r="B250" s="1762" t="s">
        <v>2985</v>
      </c>
      <c r="C250" s="838"/>
      <c r="D250" s="839">
        <v>2441</v>
      </c>
      <c r="E250" s="840">
        <v>45381</v>
      </c>
      <c r="F250" s="1763">
        <v>51534</v>
      </c>
      <c r="G250" s="838">
        <v>30</v>
      </c>
      <c r="H250" s="842">
        <f t="shared" ref="H250:H253" si="43">+E250+G250</f>
        <v>45411</v>
      </c>
      <c r="I250" s="843">
        <f t="shared" ref="I250:I253" si="44">+$Q$1-H250+1</f>
        <v>-28</v>
      </c>
      <c r="J250" s="843">
        <f t="shared" ref="J250:J253" si="45">IF(I250&lt;=30,F250,0)</f>
        <v>51534</v>
      </c>
      <c r="K250" s="843">
        <f t="shared" ref="K250:K253" si="46">IF(I250&lt;=30,0,IF(I250&gt;60,0,F250))</f>
        <v>0</v>
      </c>
      <c r="L250" s="843">
        <f t="shared" ref="L250:L253" si="47">IF(I250&lt;=60,0,IF(I250&gt;90,0,F250))</f>
        <v>0</v>
      </c>
      <c r="M250" s="843">
        <f t="shared" ref="M250:M253" si="48">IF(I250&lt;=90,0,IF(I250&gt;120,0,F250))</f>
        <v>0</v>
      </c>
      <c r="N250" s="843">
        <f t="shared" ref="N250:N253" si="49">IF(I250&lt;=120,0,F250)</f>
        <v>0</v>
      </c>
    </row>
    <row r="251" spans="1:16" ht="15.6">
      <c r="A251" s="838"/>
      <c r="B251" s="838"/>
      <c r="C251" s="838"/>
      <c r="D251" s="839"/>
      <c r="E251" s="840"/>
      <c r="F251" s="1764"/>
      <c r="G251" s="838"/>
      <c r="H251" s="842"/>
      <c r="I251" s="843"/>
      <c r="J251" s="843">
        <f t="shared" si="45"/>
        <v>0</v>
      </c>
      <c r="K251" s="843">
        <f t="shared" si="46"/>
        <v>0</v>
      </c>
      <c r="L251" s="843">
        <f t="shared" si="47"/>
        <v>0</v>
      </c>
      <c r="M251" s="843">
        <f t="shared" si="48"/>
        <v>0</v>
      </c>
      <c r="N251" s="843">
        <f t="shared" si="49"/>
        <v>0</v>
      </c>
    </row>
    <row r="252" spans="1:16" ht="15.6">
      <c r="A252" s="1765"/>
      <c r="B252" s="1765"/>
      <c r="C252" s="1765"/>
      <c r="D252" s="1771"/>
      <c r="E252" s="1772"/>
      <c r="F252" s="1773">
        <f>SUM(F250:F251)</f>
        <v>51534</v>
      </c>
      <c r="G252" s="1765"/>
      <c r="H252" s="1766"/>
      <c r="I252" s="1768"/>
      <c r="J252" s="1773">
        <f>SUM(J250:J251)</f>
        <v>51534</v>
      </c>
      <c r="K252" s="1773">
        <f t="shared" ref="K252:N252" si="50">SUM(K250:K251)</f>
        <v>0</v>
      </c>
      <c r="L252" s="1773">
        <f t="shared" si="50"/>
        <v>0</v>
      </c>
      <c r="M252" s="1773">
        <f t="shared" si="50"/>
        <v>0</v>
      </c>
      <c r="N252" s="1773">
        <f t="shared" si="50"/>
        <v>0</v>
      </c>
      <c r="O252" s="773">
        <f>+SUM(J252:N252)</f>
        <v>51534</v>
      </c>
      <c r="P252" s="1769">
        <f>+F252-O252</f>
        <v>0</v>
      </c>
    </row>
    <row r="253" spans="1:16" ht="15.6">
      <c r="A253" s="838">
        <v>18</v>
      </c>
      <c r="B253" s="1762" t="s">
        <v>550</v>
      </c>
      <c r="C253" s="838"/>
      <c r="D253" s="839">
        <v>2384</v>
      </c>
      <c r="E253" s="840">
        <v>45372</v>
      </c>
      <c r="F253" s="1763">
        <v>231709</v>
      </c>
      <c r="G253" s="838">
        <v>30</v>
      </c>
      <c r="H253" s="842">
        <f t="shared" si="43"/>
        <v>45402</v>
      </c>
      <c r="I253" s="843">
        <f t="shared" si="44"/>
        <v>-19</v>
      </c>
      <c r="J253" s="843">
        <f t="shared" si="45"/>
        <v>231709</v>
      </c>
      <c r="K253" s="843">
        <f t="shared" si="46"/>
        <v>0</v>
      </c>
      <c r="L253" s="843">
        <f t="shared" si="47"/>
        <v>0</v>
      </c>
      <c r="M253" s="843">
        <f t="shared" si="48"/>
        <v>0</v>
      </c>
      <c r="N253" s="843">
        <f t="shared" si="49"/>
        <v>0</v>
      </c>
    </row>
    <row r="254" spans="1:16" ht="15.6">
      <c r="A254" s="838"/>
      <c r="B254" s="838"/>
      <c r="C254" s="838"/>
      <c r="D254" s="839"/>
      <c r="E254" s="840"/>
      <c r="F254" s="1764"/>
      <c r="G254" s="838"/>
      <c r="H254" s="842"/>
      <c r="I254" s="843"/>
      <c r="J254" s="843"/>
      <c r="K254" s="843"/>
      <c r="L254" s="843"/>
      <c r="M254" s="843"/>
      <c r="N254" s="843"/>
    </row>
    <row r="255" spans="1:16" ht="15.6">
      <c r="A255" s="1765"/>
      <c r="B255" s="1765"/>
      <c r="C255" s="1765"/>
      <c r="D255" s="1771"/>
      <c r="E255" s="1772"/>
      <c r="F255" s="1773">
        <f>SUM(F253:F254)</f>
        <v>231709</v>
      </c>
      <c r="G255" s="1765"/>
      <c r="H255" s="1766"/>
      <c r="I255" s="1768"/>
      <c r="J255" s="1773">
        <f>SUM(J253:J254)</f>
        <v>231709</v>
      </c>
      <c r="K255" s="1773">
        <f t="shared" ref="K255:N255" si="51">SUM(K253:K254)</f>
        <v>0</v>
      </c>
      <c r="L255" s="1773">
        <f t="shared" si="51"/>
        <v>0</v>
      </c>
      <c r="M255" s="1773">
        <f t="shared" si="51"/>
        <v>0</v>
      </c>
      <c r="N255" s="1773">
        <f t="shared" si="51"/>
        <v>0</v>
      </c>
      <c r="O255" s="773">
        <f>+SUM(J255:N255)</f>
        <v>231709</v>
      </c>
      <c r="P255" s="1769">
        <f>+F255-O255</f>
        <v>0</v>
      </c>
    </row>
    <row r="256" spans="1:16" ht="15.6">
      <c r="A256" s="838">
        <v>19</v>
      </c>
      <c r="B256" s="1762" t="s">
        <v>42</v>
      </c>
      <c r="C256" s="838"/>
      <c r="D256" s="839">
        <v>2142</v>
      </c>
      <c r="E256" s="840">
        <v>45335</v>
      </c>
      <c r="F256" s="1774">
        <v>85924</v>
      </c>
      <c r="G256" s="838">
        <v>30</v>
      </c>
      <c r="H256" s="842">
        <f t="shared" ref="H256:H302" si="52">+E256+G256</f>
        <v>45365</v>
      </c>
      <c r="I256" s="843">
        <f t="shared" ref="I256:I302" si="53">+$Q$1-H256+1</f>
        <v>18</v>
      </c>
      <c r="J256" s="843">
        <f t="shared" ref="J256:J302" si="54">IF(I256&lt;=30,F256,0)</f>
        <v>85924</v>
      </c>
      <c r="K256" s="843">
        <f t="shared" ref="K256:K302" si="55">IF(I256&lt;=30,0,IF(I256&gt;60,0,F256))</f>
        <v>0</v>
      </c>
      <c r="L256" s="843">
        <f t="shared" ref="L256:L302" si="56">IF(I256&lt;=60,0,IF(I256&gt;90,0,F256))</f>
        <v>0</v>
      </c>
      <c r="M256" s="843">
        <f t="shared" ref="M256:M302" si="57">IF(I256&lt;=90,0,IF(I256&gt;120,0,F256))</f>
        <v>0</v>
      </c>
      <c r="N256" s="843">
        <f t="shared" ref="N256:N302" si="58">IF(I256&lt;=120,0,F256)</f>
        <v>0</v>
      </c>
    </row>
    <row r="257" spans="1:14" ht="15.6">
      <c r="A257" s="838"/>
      <c r="B257" s="1762"/>
      <c r="C257" s="838"/>
      <c r="D257" s="839">
        <v>2153</v>
      </c>
      <c r="E257" s="840">
        <v>45336</v>
      </c>
      <c r="F257" s="1774">
        <v>342136</v>
      </c>
      <c r="G257" s="838">
        <v>30</v>
      </c>
      <c r="H257" s="842">
        <f t="shared" si="52"/>
        <v>45366</v>
      </c>
      <c r="I257" s="843">
        <f t="shared" si="53"/>
        <v>17</v>
      </c>
      <c r="J257" s="843">
        <f t="shared" si="54"/>
        <v>342136</v>
      </c>
      <c r="K257" s="843">
        <f t="shared" si="55"/>
        <v>0</v>
      </c>
      <c r="L257" s="843">
        <f t="shared" si="56"/>
        <v>0</v>
      </c>
      <c r="M257" s="843">
        <f t="shared" si="57"/>
        <v>0</v>
      </c>
      <c r="N257" s="843">
        <f t="shared" si="58"/>
        <v>0</v>
      </c>
    </row>
    <row r="258" spans="1:14" ht="15.6">
      <c r="A258" s="838"/>
      <c r="B258" s="1762"/>
      <c r="C258" s="838"/>
      <c r="D258" s="839">
        <v>2160</v>
      </c>
      <c r="E258" s="840">
        <v>45337</v>
      </c>
      <c r="F258" s="1774">
        <v>417220</v>
      </c>
      <c r="G258" s="838">
        <v>30</v>
      </c>
      <c r="H258" s="842">
        <f t="shared" si="52"/>
        <v>45367</v>
      </c>
      <c r="I258" s="843">
        <f t="shared" si="53"/>
        <v>16</v>
      </c>
      <c r="J258" s="843">
        <f t="shared" si="54"/>
        <v>417220</v>
      </c>
      <c r="K258" s="843">
        <f t="shared" si="55"/>
        <v>0</v>
      </c>
      <c r="L258" s="843">
        <f t="shared" si="56"/>
        <v>0</v>
      </c>
      <c r="M258" s="843">
        <f t="shared" si="57"/>
        <v>0</v>
      </c>
      <c r="N258" s="843">
        <f t="shared" si="58"/>
        <v>0</v>
      </c>
    </row>
    <row r="259" spans="1:14" ht="15.6">
      <c r="A259" s="838"/>
      <c r="B259" s="1762"/>
      <c r="C259" s="838"/>
      <c r="D259" s="839">
        <v>2161</v>
      </c>
      <c r="E259" s="840">
        <v>45337</v>
      </c>
      <c r="F259" s="1774">
        <v>286340</v>
      </c>
      <c r="G259" s="838">
        <v>30</v>
      </c>
      <c r="H259" s="842">
        <f t="shared" si="52"/>
        <v>45367</v>
      </c>
      <c r="I259" s="843">
        <f t="shared" si="53"/>
        <v>16</v>
      </c>
      <c r="J259" s="843">
        <f t="shared" si="54"/>
        <v>286340</v>
      </c>
      <c r="K259" s="843">
        <f t="shared" si="55"/>
        <v>0</v>
      </c>
      <c r="L259" s="843">
        <f t="shared" si="56"/>
        <v>0</v>
      </c>
      <c r="M259" s="843">
        <f t="shared" si="57"/>
        <v>0</v>
      </c>
      <c r="N259" s="843">
        <f t="shared" si="58"/>
        <v>0</v>
      </c>
    </row>
    <row r="260" spans="1:14" ht="15.6">
      <c r="A260" s="838"/>
      <c r="B260" s="1762"/>
      <c r="C260" s="838"/>
      <c r="D260" s="839">
        <v>2174</v>
      </c>
      <c r="E260" s="840">
        <v>45340</v>
      </c>
      <c r="F260" s="1763">
        <v>227136</v>
      </c>
      <c r="G260" s="838">
        <v>30</v>
      </c>
      <c r="H260" s="842">
        <f t="shared" si="52"/>
        <v>45370</v>
      </c>
      <c r="I260" s="843">
        <f t="shared" si="53"/>
        <v>13</v>
      </c>
      <c r="J260" s="843">
        <f t="shared" si="54"/>
        <v>227136</v>
      </c>
      <c r="K260" s="843">
        <f t="shared" si="55"/>
        <v>0</v>
      </c>
      <c r="L260" s="843">
        <f t="shared" si="56"/>
        <v>0</v>
      </c>
      <c r="M260" s="843">
        <f t="shared" si="57"/>
        <v>0</v>
      </c>
      <c r="N260" s="843">
        <f t="shared" si="58"/>
        <v>0</v>
      </c>
    </row>
    <row r="261" spans="1:14" ht="15.6">
      <c r="A261" s="838"/>
      <c r="B261" s="1762"/>
      <c r="C261" s="838"/>
      <c r="D261" s="839">
        <v>2176</v>
      </c>
      <c r="E261" s="840">
        <v>45341</v>
      </c>
      <c r="F261" s="1763">
        <v>69408</v>
      </c>
      <c r="G261" s="838">
        <v>30</v>
      </c>
      <c r="H261" s="842">
        <f t="shared" si="52"/>
        <v>45371</v>
      </c>
      <c r="I261" s="843">
        <f t="shared" si="53"/>
        <v>12</v>
      </c>
      <c r="J261" s="843">
        <f t="shared" si="54"/>
        <v>69408</v>
      </c>
      <c r="K261" s="843">
        <f t="shared" si="55"/>
        <v>0</v>
      </c>
      <c r="L261" s="843">
        <f t="shared" si="56"/>
        <v>0</v>
      </c>
      <c r="M261" s="843">
        <f t="shared" si="57"/>
        <v>0</v>
      </c>
      <c r="N261" s="843">
        <f t="shared" si="58"/>
        <v>0</v>
      </c>
    </row>
    <row r="262" spans="1:14" ht="15.6">
      <c r="A262" s="838"/>
      <c r="B262" s="1762"/>
      <c r="C262" s="838"/>
      <c r="D262" s="839">
        <v>2181</v>
      </c>
      <c r="E262" s="840">
        <v>45342</v>
      </c>
      <c r="F262" s="1763">
        <v>313812</v>
      </c>
      <c r="G262" s="838">
        <v>30</v>
      </c>
      <c r="H262" s="842">
        <f t="shared" si="52"/>
        <v>45372</v>
      </c>
      <c r="I262" s="843">
        <f t="shared" si="53"/>
        <v>11</v>
      </c>
      <c r="J262" s="843">
        <f t="shared" si="54"/>
        <v>313812</v>
      </c>
      <c r="K262" s="843">
        <f t="shared" si="55"/>
        <v>0</v>
      </c>
      <c r="L262" s="843">
        <f t="shared" si="56"/>
        <v>0</v>
      </c>
      <c r="M262" s="843">
        <f t="shared" si="57"/>
        <v>0</v>
      </c>
      <c r="N262" s="843">
        <f t="shared" si="58"/>
        <v>0</v>
      </c>
    </row>
    <row r="263" spans="1:14" ht="15.6">
      <c r="A263" s="838"/>
      <c r="B263" s="1762"/>
      <c r="C263" s="838"/>
      <c r="D263" s="839">
        <v>2183</v>
      </c>
      <c r="E263" s="840">
        <v>45342</v>
      </c>
      <c r="F263" s="1763">
        <v>57043</v>
      </c>
      <c r="G263" s="838">
        <v>30</v>
      </c>
      <c r="H263" s="842">
        <f t="shared" si="52"/>
        <v>45372</v>
      </c>
      <c r="I263" s="843">
        <f t="shared" si="53"/>
        <v>11</v>
      </c>
      <c r="J263" s="843">
        <f t="shared" si="54"/>
        <v>57043</v>
      </c>
      <c r="K263" s="843">
        <f t="shared" si="55"/>
        <v>0</v>
      </c>
      <c r="L263" s="843">
        <f t="shared" si="56"/>
        <v>0</v>
      </c>
      <c r="M263" s="843">
        <f t="shared" si="57"/>
        <v>0</v>
      </c>
      <c r="N263" s="843">
        <f t="shared" si="58"/>
        <v>0</v>
      </c>
    </row>
    <row r="264" spans="1:14" ht="15.6">
      <c r="A264" s="838"/>
      <c r="B264" s="1762"/>
      <c r="C264" s="838"/>
      <c r="D264" s="839">
        <v>2184</v>
      </c>
      <c r="E264" s="840">
        <v>45342</v>
      </c>
      <c r="F264" s="1763">
        <v>372501</v>
      </c>
      <c r="G264" s="838">
        <v>30</v>
      </c>
      <c r="H264" s="842">
        <f t="shared" si="52"/>
        <v>45372</v>
      </c>
      <c r="I264" s="843">
        <f t="shared" si="53"/>
        <v>11</v>
      </c>
      <c r="J264" s="843">
        <f t="shared" si="54"/>
        <v>372501</v>
      </c>
      <c r="K264" s="843">
        <f t="shared" si="55"/>
        <v>0</v>
      </c>
      <c r="L264" s="843">
        <f t="shared" si="56"/>
        <v>0</v>
      </c>
      <c r="M264" s="843">
        <f t="shared" si="57"/>
        <v>0</v>
      </c>
      <c r="N264" s="843">
        <f t="shared" si="58"/>
        <v>0</v>
      </c>
    </row>
    <row r="265" spans="1:14" ht="15.6">
      <c r="A265" s="838"/>
      <c r="B265" s="1762"/>
      <c r="C265" s="838"/>
      <c r="D265" s="839">
        <v>2194</v>
      </c>
      <c r="E265" s="840">
        <v>45344</v>
      </c>
      <c r="F265" s="1763">
        <v>242744</v>
      </c>
      <c r="G265" s="838">
        <v>30</v>
      </c>
      <c r="H265" s="842">
        <f t="shared" si="52"/>
        <v>45374</v>
      </c>
      <c r="I265" s="843">
        <f t="shared" si="53"/>
        <v>9</v>
      </c>
      <c r="J265" s="843">
        <f t="shared" si="54"/>
        <v>242744</v>
      </c>
      <c r="K265" s="843">
        <f t="shared" si="55"/>
        <v>0</v>
      </c>
      <c r="L265" s="843">
        <f t="shared" si="56"/>
        <v>0</v>
      </c>
      <c r="M265" s="843">
        <f t="shared" si="57"/>
        <v>0</v>
      </c>
      <c r="N265" s="843">
        <f t="shared" si="58"/>
        <v>0</v>
      </c>
    </row>
    <row r="266" spans="1:14" ht="15.6">
      <c r="A266" s="838"/>
      <c r="B266" s="1762"/>
      <c r="C266" s="838"/>
      <c r="D266" s="839">
        <v>2195</v>
      </c>
      <c r="E266" s="840">
        <v>45344</v>
      </c>
      <c r="F266" s="1763">
        <v>189614</v>
      </c>
      <c r="G266" s="838">
        <v>30</v>
      </c>
      <c r="H266" s="842">
        <f t="shared" si="52"/>
        <v>45374</v>
      </c>
      <c r="I266" s="843">
        <f t="shared" si="53"/>
        <v>9</v>
      </c>
      <c r="J266" s="843">
        <f t="shared" si="54"/>
        <v>189614</v>
      </c>
      <c r="K266" s="843">
        <f t="shared" si="55"/>
        <v>0</v>
      </c>
      <c r="L266" s="843">
        <f t="shared" si="56"/>
        <v>0</v>
      </c>
      <c r="M266" s="843">
        <f t="shared" si="57"/>
        <v>0</v>
      </c>
      <c r="N266" s="843">
        <f t="shared" si="58"/>
        <v>0</v>
      </c>
    </row>
    <row r="267" spans="1:14" ht="15.6">
      <c r="A267" s="838"/>
      <c r="B267" s="1762"/>
      <c r="C267" s="838"/>
      <c r="D267" s="839">
        <v>2197</v>
      </c>
      <c r="E267" s="840">
        <v>45344</v>
      </c>
      <c r="F267" s="1763">
        <v>281483</v>
      </c>
      <c r="G267" s="838">
        <v>30</v>
      </c>
      <c r="H267" s="842">
        <f t="shared" si="52"/>
        <v>45374</v>
      </c>
      <c r="I267" s="843">
        <f t="shared" si="53"/>
        <v>9</v>
      </c>
      <c r="J267" s="843">
        <f t="shared" si="54"/>
        <v>281483</v>
      </c>
      <c r="K267" s="843">
        <f t="shared" si="55"/>
        <v>0</v>
      </c>
      <c r="L267" s="843">
        <f t="shared" si="56"/>
        <v>0</v>
      </c>
      <c r="M267" s="843">
        <f t="shared" si="57"/>
        <v>0</v>
      </c>
      <c r="N267" s="843">
        <f t="shared" si="58"/>
        <v>0</v>
      </c>
    </row>
    <row r="268" spans="1:14" ht="15.6">
      <c r="A268" s="838"/>
      <c r="B268" s="1762"/>
      <c r="C268" s="838"/>
      <c r="D268" s="839">
        <v>2209</v>
      </c>
      <c r="E268" s="840">
        <v>45346</v>
      </c>
      <c r="F268" s="1763">
        <v>142054</v>
      </c>
      <c r="G268" s="838">
        <v>30</v>
      </c>
      <c r="H268" s="842">
        <f t="shared" si="52"/>
        <v>45376</v>
      </c>
      <c r="I268" s="843">
        <f t="shared" si="53"/>
        <v>7</v>
      </c>
      <c r="J268" s="843">
        <f t="shared" si="54"/>
        <v>142054</v>
      </c>
      <c r="K268" s="843">
        <f t="shared" si="55"/>
        <v>0</v>
      </c>
      <c r="L268" s="843">
        <f t="shared" si="56"/>
        <v>0</v>
      </c>
      <c r="M268" s="843">
        <f t="shared" si="57"/>
        <v>0</v>
      </c>
      <c r="N268" s="843">
        <f t="shared" si="58"/>
        <v>0</v>
      </c>
    </row>
    <row r="269" spans="1:14" ht="15.6">
      <c r="A269" s="838"/>
      <c r="B269" s="1762"/>
      <c r="C269" s="838"/>
      <c r="D269" s="839">
        <v>2210</v>
      </c>
      <c r="E269" s="840">
        <v>45346</v>
      </c>
      <c r="F269" s="1763">
        <v>176249</v>
      </c>
      <c r="G269" s="838">
        <v>30</v>
      </c>
      <c r="H269" s="842">
        <f t="shared" si="52"/>
        <v>45376</v>
      </c>
      <c r="I269" s="843">
        <f t="shared" si="53"/>
        <v>7</v>
      </c>
      <c r="J269" s="843">
        <f t="shared" si="54"/>
        <v>176249</v>
      </c>
      <c r="K269" s="843">
        <f t="shared" si="55"/>
        <v>0</v>
      </c>
      <c r="L269" s="843">
        <f t="shared" si="56"/>
        <v>0</v>
      </c>
      <c r="M269" s="843">
        <f t="shared" si="57"/>
        <v>0</v>
      </c>
      <c r="N269" s="843">
        <f t="shared" si="58"/>
        <v>0</v>
      </c>
    </row>
    <row r="270" spans="1:14" ht="15.6">
      <c r="A270" s="838"/>
      <c r="B270" s="1762"/>
      <c r="C270" s="838"/>
      <c r="D270" s="839">
        <v>2213</v>
      </c>
      <c r="E270" s="840">
        <v>45346</v>
      </c>
      <c r="F270" s="1763">
        <v>254422</v>
      </c>
      <c r="G270" s="838">
        <v>30</v>
      </c>
      <c r="H270" s="842">
        <f t="shared" si="52"/>
        <v>45376</v>
      </c>
      <c r="I270" s="843">
        <f t="shared" si="53"/>
        <v>7</v>
      </c>
      <c r="J270" s="843">
        <f t="shared" si="54"/>
        <v>254422</v>
      </c>
      <c r="K270" s="843">
        <f t="shared" si="55"/>
        <v>0</v>
      </c>
      <c r="L270" s="843">
        <f t="shared" si="56"/>
        <v>0</v>
      </c>
      <c r="M270" s="843">
        <f t="shared" si="57"/>
        <v>0</v>
      </c>
      <c r="N270" s="843">
        <f t="shared" si="58"/>
        <v>0</v>
      </c>
    </row>
    <row r="271" spans="1:14" ht="15.6">
      <c r="A271" s="838"/>
      <c r="B271" s="1762"/>
      <c r="C271" s="838"/>
      <c r="D271" s="839">
        <v>2220</v>
      </c>
      <c r="E271" s="840">
        <v>45347</v>
      </c>
      <c r="F271" s="1763">
        <v>246159</v>
      </c>
      <c r="G271" s="838">
        <v>30</v>
      </c>
      <c r="H271" s="842">
        <f t="shared" si="52"/>
        <v>45377</v>
      </c>
      <c r="I271" s="843">
        <f t="shared" si="53"/>
        <v>6</v>
      </c>
      <c r="J271" s="843">
        <f t="shared" si="54"/>
        <v>246159</v>
      </c>
      <c r="K271" s="843">
        <f t="shared" si="55"/>
        <v>0</v>
      </c>
      <c r="L271" s="843">
        <f t="shared" si="56"/>
        <v>0</v>
      </c>
      <c r="M271" s="843">
        <f t="shared" si="57"/>
        <v>0</v>
      </c>
      <c r="N271" s="843">
        <f t="shared" si="58"/>
        <v>0</v>
      </c>
    </row>
    <row r="272" spans="1:14" ht="15.6">
      <c r="A272" s="838"/>
      <c r="B272" s="1762"/>
      <c r="C272" s="838"/>
      <c r="D272" s="839">
        <v>2225</v>
      </c>
      <c r="E272" s="840">
        <v>45347</v>
      </c>
      <c r="F272" s="1763">
        <v>82177</v>
      </c>
      <c r="G272" s="838">
        <v>30</v>
      </c>
      <c r="H272" s="842">
        <f t="shared" si="52"/>
        <v>45377</v>
      </c>
      <c r="I272" s="843">
        <f t="shared" si="53"/>
        <v>6</v>
      </c>
      <c r="J272" s="843">
        <f t="shared" si="54"/>
        <v>82177</v>
      </c>
      <c r="K272" s="843">
        <f t="shared" si="55"/>
        <v>0</v>
      </c>
      <c r="L272" s="843">
        <f t="shared" si="56"/>
        <v>0</v>
      </c>
      <c r="M272" s="843">
        <f t="shared" si="57"/>
        <v>0</v>
      </c>
      <c r="N272" s="843">
        <f t="shared" si="58"/>
        <v>0</v>
      </c>
    </row>
    <row r="273" spans="1:14" ht="15.6">
      <c r="A273" s="838"/>
      <c r="B273" s="1762"/>
      <c r="C273" s="838"/>
      <c r="D273" s="839">
        <v>2226</v>
      </c>
      <c r="E273" s="840">
        <v>45347</v>
      </c>
      <c r="F273" s="1763">
        <v>176111</v>
      </c>
      <c r="G273" s="838">
        <v>30</v>
      </c>
      <c r="H273" s="842">
        <f t="shared" si="52"/>
        <v>45377</v>
      </c>
      <c r="I273" s="843">
        <f t="shared" si="53"/>
        <v>6</v>
      </c>
      <c r="J273" s="843">
        <f t="shared" si="54"/>
        <v>176111</v>
      </c>
      <c r="K273" s="843">
        <f t="shared" si="55"/>
        <v>0</v>
      </c>
      <c r="L273" s="843">
        <f t="shared" si="56"/>
        <v>0</v>
      </c>
      <c r="M273" s="843">
        <f t="shared" si="57"/>
        <v>0</v>
      </c>
      <c r="N273" s="843">
        <f t="shared" si="58"/>
        <v>0</v>
      </c>
    </row>
    <row r="274" spans="1:14" ht="15.6">
      <c r="A274" s="838"/>
      <c r="B274" s="1762"/>
      <c r="C274" s="838"/>
      <c r="D274" s="839">
        <v>2229</v>
      </c>
      <c r="E274" s="840">
        <v>45348</v>
      </c>
      <c r="F274" s="1763">
        <v>41161</v>
      </c>
      <c r="G274" s="838">
        <v>30</v>
      </c>
      <c r="H274" s="842">
        <f t="shared" si="52"/>
        <v>45378</v>
      </c>
      <c r="I274" s="843">
        <f t="shared" si="53"/>
        <v>5</v>
      </c>
      <c r="J274" s="843">
        <f t="shared" si="54"/>
        <v>41161</v>
      </c>
      <c r="K274" s="843">
        <f t="shared" si="55"/>
        <v>0</v>
      </c>
      <c r="L274" s="843">
        <f t="shared" si="56"/>
        <v>0</v>
      </c>
      <c r="M274" s="843">
        <f t="shared" si="57"/>
        <v>0</v>
      </c>
      <c r="N274" s="843">
        <f t="shared" si="58"/>
        <v>0</v>
      </c>
    </row>
    <row r="275" spans="1:14" ht="15.6">
      <c r="A275" s="838"/>
      <c r="B275" s="1762"/>
      <c r="C275" s="838"/>
      <c r="D275" s="839">
        <v>2230</v>
      </c>
      <c r="E275" s="840">
        <v>45348</v>
      </c>
      <c r="F275" s="1763">
        <v>221141</v>
      </c>
      <c r="G275" s="838">
        <v>30</v>
      </c>
      <c r="H275" s="842">
        <f t="shared" si="52"/>
        <v>45378</v>
      </c>
      <c r="I275" s="843">
        <f t="shared" si="53"/>
        <v>5</v>
      </c>
      <c r="J275" s="843">
        <f t="shared" si="54"/>
        <v>221141</v>
      </c>
      <c r="K275" s="843">
        <f t="shared" si="55"/>
        <v>0</v>
      </c>
      <c r="L275" s="843">
        <f t="shared" si="56"/>
        <v>0</v>
      </c>
      <c r="M275" s="843">
        <f t="shared" si="57"/>
        <v>0</v>
      </c>
      <c r="N275" s="843">
        <f t="shared" si="58"/>
        <v>0</v>
      </c>
    </row>
    <row r="276" spans="1:14" ht="15.6">
      <c r="A276" s="838"/>
      <c r="B276" s="1762"/>
      <c r="C276" s="838"/>
      <c r="D276" s="839">
        <v>2232</v>
      </c>
      <c r="E276" s="840">
        <v>45348</v>
      </c>
      <c r="F276" s="1763">
        <v>262327</v>
      </c>
      <c r="G276" s="838">
        <v>30</v>
      </c>
      <c r="H276" s="842">
        <f t="shared" si="52"/>
        <v>45378</v>
      </c>
      <c r="I276" s="843">
        <f t="shared" si="53"/>
        <v>5</v>
      </c>
      <c r="J276" s="843">
        <f t="shared" si="54"/>
        <v>262327</v>
      </c>
      <c r="K276" s="843">
        <f t="shared" si="55"/>
        <v>0</v>
      </c>
      <c r="L276" s="843">
        <f t="shared" si="56"/>
        <v>0</v>
      </c>
      <c r="M276" s="843">
        <f t="shared" si="57"/>
        <v>0</v>
      </c>
      <c r="N276" s="843">
        <f t="shared" si="58"/>
        <v>0</v>
      </c>
    </row>
    <row r="277" spans="1:14" ht="15.6">
      <c r="A277" s="838"/>
      <c r="B277" s="1762"/>
      <c r="C277" s="838"/>
      <c r="D277" s="839">
        <v>2240</v>
      </c>
      <c r="E277" s="840">
        <v>45349</v>
      </c>
      <c r="F277" s="1763">
        <v>199073</v>
      </c>
      <c r="G277" s="838">
        <v>30</v>
      </c>
      <c r="H277" s="842">
        <f t="shared" si="52"/>
        <v>45379</v>
      </c>
      <c r="I277" s="843">
        <f t="shared" si="53"/>
        <v>4</v>
      </c>
      <c r="J277" s="843">
        <f t="shared" si="54"/>
        <v>199073</v>
      </c>
      <c r="K277" s="843">
        <f t="shared" si="55"/>
        <v>0</v>
      </c>
      <c r="L277" s="843">
        <f t="shared" si="56"/>
        <v>0</v>
      </c>
      <c r="M277" s="843">
        <f t="shared" si="57"/>
        <v>0</v>
      </c>
      <c r="N277" s="843">
        <f t="shared" si="58"/>
        <v>0</v>
      </c>
    </row>
    <row r="278" spans="1:14" ht="15.6">
      <c r="A278" s="838"/>
      <c r="B278" s="1762"/>
      <c r="C278" s="838"/>
      <c r="D278" s="839">
        <v>2256</v>
      </c>
      <c r="E278" s="840">
        <v>45351</v>
      </c>
      <c r="F278" s="1763">
        <v>183709</v>
      </c>
      <c r="G278" s="838">
        <v>30</v>
      </c>
      <c r="H278" s="842">
        <f t="shared" si="52"/>
        <v>45381</v>
      </c>
      <c r="I278" s="843">
        <f t="shared" si="53"/>
        <v>2</v>
      </c>
      <c r="J278" s="843">
        <f t="shared" si="54"/>
        <v>183709</v>
      </c>
      <c r="K278" s="843">
        <f t="shared" si="55"/>
        <v>0</v>
      </c>
      <c r="L278" s="843">
        <f t="shared" si="56"/>
        <v>0</v>
      </c>
      <c r="M278" s="843">
        <f t="shared" si="57"/>
        <v>0</v>
      </c>
      <c r="N278" s="843">
        <f t="shared" si="58"/>
        <v>0</v>
      </c>
    </row>
    <row r="279" spans="1:14" ht="15.6">
      <c r="A279" s="838"/>
      <c r="B279" s="1762"/>
      <c r="C279" s="838"/>
      <c r="D279" s="839">
        <v>2293</v>
      </c>
      <c r="E279" s="840">
        <v>45356</v>
      </c>
      <c r="F279" s="1763">
        <v>95414</v>
      </c>
      <c r="G279" s="838">
        <v>30</v>
      </c>
      <c r="H279" s="842">
        <f t="shared" si="52"/>
        <v>45386</v>
      </c>
      <c r="I279" s="843">
        <f t="shared" si="53"/>
        <v>-3</v>
      </c>
      <c r="J279" s="843">
        <f t="shared" si="54"/>
        <v>95414</v>
      </c>
      <c r="K279" s="843">
        <f t="shared" si="55"/>
        <v>0</v>
      </c>
      <c r="L279" s="843">
        <f t="shared" si="56"/>
        <v>0</v>
      </c>
      <c r="M279" s="843">
        <f t="shared" si="57"/>
        <v>0</v>
      </c>
      <c r="N279" s="843">
        <f t="shared" si="58"/>
        <v>0</v>
      </c>
    </row>
    <row r="280" spans="1:14" ht="15.6">
      <c r="A280" s="838"/>
      <c r="B280" s="1762"/>
      <c r="C280" s="838"/>
      <c r="D280" s="839">
        <v>2298</v>
      </c>
      <c r="E280" s="840">
        <v>45357</v>
      </c>
      <c r="F280" s="1763">
        <v>159408</v>
      </c>
      <c r="G280" s="838">
        <v>30</v>
      </c>
      <c r="H280" s="842">
        <f t="shared" si="52"/>
        <v>45387</v>
      </c>
      <c r="I280" s="843">
        <f t="shared" si="53"/>
        <v>-4</v>
      </c>
      <c r="J280" s="843">
        <f t="shared" si="54"/>
        <v>159408</v>
      </c>
      <c r="K280" s="843">
        <f t="shared" si="55"/>
        <v>0</v>
      </c>
      <c r="L280" s="843">
        <f t="shared" si="56"/>
        <v>0</v>
      </c>
      <c r="M280" s="843">
        <f t="shared" si="57"/>
        <v>0</v>
      </c>
      <c r="N280" s="843">
        <f t="shared" si="58"/>
        <v>0</v>
      </c>
    </row>
    <row r="281" spans="1:14" ht="15.6">
      <c r="A281" s="838"/>
      <c r="B281" s="1762"/>
      <c r="C281" s="838"/>
      <c r="D281" s="839">
        <v>2299</v>
      </c>
      <c r="E281" s="840">
        <v>45357</v>
      </c>
      <c r="F281" s="1763">
        <v>160952</v>
      </c>
      <c r="G281" s="838">
        <v>30</v>
      </c>
      <c r="H281" s="842">
        <f t="shared" si="52"/>
        <v>45387</v>
      </c>
      <c r="I281" s="843">
        <f t="shared" si="53"/>
        <v>-4</v>
      </c>
      <c r="J281" s="843">
        <f t="shared" si="54"/>
        <v>160952</v>
      </c>
      <c r="K281" s="843">
        <f t="shared" si="55"/>
        <v>0</v>
      </c>
      <c r="L281" s="843">
        <f t="shared" si="56"/>
        <v>0</v>
      </c>
      <c r="M281" s="843">
        <f t="shared" si="57"/>
        <v>0</v>
      </c>
      <c r="N281" s="843">
        <f t="shared" si="58"/>
        <v>0</v>
      </c>
    </row>
    <row r="282" spans="1:14" ht="15.6">
      <c r="A282" s="838"/>
      <c r="B282" s="1762"/>
      <c r="C282" s="838"/>
      <c r="D282" s="839">
        <v>2300</v>
      </c>
      <c r="E282" s="840">
        <v>45357</v>
      </c>
      <c r="F282" s="1763">
        <v>267742</v>
      </c>
      <c r="G282" s="838">
        <v>30</v>
      </c>
      <c r="H282" s="842">
        <f t="shared" si="52"/>
        <v>45387</v>
      </c>
      <c r="I282" s="843">
        <f t="shared" si="53"/>
        <v>-4</v>
      </c>
      <c r="J282" s="843">
        <f t="shared" si="54"/>
        <v>267742</v>
      </c>
      <c r="K282" s="843">
        <f t="shared" si="55"/>
        <v>0</v>
      </c>
      <c r="L282" s="843">
        <f t="shared" si="56"/>
        <v>0</v>
      </c>
      <c r="M282" s="843">
        <f t="shared" si="57"/>
        <v>0</v>
      </c>
      <c r="N282" s="843">
        <f t="shared" si="58"/>
        <v>0</v>
      </c>
    </row>
    <row r="283" spans="1:14" ht="15.6">
      <c r="A283" s="838"/>
      <c r="B283" s="1762"/>
      <c r="C283" s="838"/>
      <c r="D283" s="839">
        <v>2301</v>
      </c>
      <c r="E283" s="840">
        <v>45357</v>
      </c>
      <c r="F283" s="1763">
        <v>130061</v>
      </c>
      <c r="G283" s="838">
        <v>30</v>
      </c>
      <c r="H283" s="842">
        <f t="shared" si="52"/>
        <v>45387</v>
      </c>
      <c r="I283" s="843">
        <f t="shared" si="53"/>
        <v>-4</v>
      </c>
      <c r="J283" s="843">
        <f t="shared" si="54"/>
        <v>130061</v>
      </c>
      <c r="K283" s="843">
        <f t="shared" si="55"/>
        <v>0</v>
      </c>
      <c r="L283" s="843">
        <f t="shared" si="56"/>
        <v>0</v>
      </c>
      <c r="M283" s="843">
        <f t="shared" si="57"/>
        <v>0</v>
      </c>
      <c r="N283" s="843">
        <f t="shared" si="58"/>
        <v>0</v>
      </c>
    </row>
    <row r="284" spans="1:14" ht="15.6">
      <c r="A284" s="838"/>
      <c r="B284" s="1762"/>
      <c r="C284" s="838"/>
      <c r="D284" s="839">
        <v>2308</v>
      </c>
      <c r="E284" s="840">
        <v>45358</v>
      </c>
      <c r="F284" s="1763">
        <v>232227</v>
      </c>
      <c r="G284" s="838">
        <v>30</v>
      </c>
      <c r="H284" s="842">
        <f t="shared" si="52"/>
        <v>45388</v>
      </c>
      <c r="I284" s="843">
        <f t="shared" si="53"/>
        <v>-5</v>
      </c>
      <c r="J284" s="843">
        <f t="shared" si="54"/>
        <v>232227</v>
      </c>
      <c r="K284" s="843">
        <f t="shared" si="55"/>
        <v>0</v>
      </c>
      <c r="L284" s="843">
        <f t="shared" si="56"/>
        <v>0</v>
      </c>
      <c r="M284" s="843">
        <f t="shared" si="57"/>
        <v>0</v>
      </c>
      <c r="N284" s="843">
        <f t="shared" si="58"/>
        <v>0</v>
      </c>
    </row>
    <row r="285" spans="1:14" ht="15.6">
      <c r="A285" s="838"/>
      <c r="B285" s="1762"/>
      <c r="C285" s="838"/>
      <c r="D285" s="839">
        <v>2318</v>
      </c>
      <c r="E285" s="840">
        <v>45360</v>
      </c>
      <c r="F285" s="1763">
        <v>292836</v>
      </c>
      <c r="G285" s="838">
        <v>30</v>
      </c>
      <c r="H285" s="842">
        <f t="shared" si="52"/>
        <v>45390</v>
      </c>
      <c r="I285" s="843">
        <f t="shared" si="53"/>
        <v>-7</v>
      </c>
      <c r="J285" s="843">
        <f t="shared" si="54"/>
        <v>292836</v>
      </c>
      <c r="K285" s="843">
        <f t="shared" si="55"/>
        <v>0</v>
      </c>
      <c r="L285" s="843">
        <f t="shared" si="56"/>
        <v>0</v>
      </c>
      <c r="M285" s="843">
        <f t="shared" si="57"/>
        <v>0</v>
      </c>
      <c r="N285" s="843">
        <f t="shared" si="58"/>
        <v>0</v>
      </c>
    </row>
    <row r="286" spans="1:14" ht="15.6">
      <c r="A286" s="838"/>
      <c r="B286" s="1762"/>
      <c r="C286" s="838"/>
      <c r="D286" s="839">
        <v>2333</v>
      </c>
      <c r="E286" s="840">
        <v>45362</v>
      </c>
      <c r="F286" s="1763">
        <v>117418</v>
      </c>
      <c r="G286" s="838">
        <v>30</v>
      </c>
      <c r="H286" s="842">
        <f t="shared" si="52"/>
        <v>45392</v>
      </c>
      <c r="I286" s="843">
        <f t="shared" si="53"/>
        <v>-9</v>
      </c>
      <c r="J286" s="843">
        <f t="shared" si="54"/>
        <v>117418</v>
      </c>
      <c r="K286" s="843">
        <f t="shared" si="55"/>
        <v>0</v>
      </c>
      <c r="L286" s="843">
        <f t="shared" si="56"/>
        <v>0</v>
      </c>
      <c r="M286" s="843">
        <f t="shared" si="57"/>
        <v>0</v>
      </c>
      <c r="N286" s="843">
        <f t="shared" si="58"/>
        <v>0</v>
      </c>
    </row>
    <row r="287" spans="1:14" ht="15.6">
      <c r="A287" s="838"/>
      <c r="B287" s="1762"/>
      <c r="C287" s="838"/>
      <c r="D287" s="839">
        <v>2347</v>
      </c>
      <c r="E287" s="840">
        <v>45364</v>
      </c>
      <c r="F287" s="1763">
        <v>164743</v>
      </c>
      <c r="G287" s="838">
        <v>30</v>
      </c>
      <c r="H287" s="842">
        <f t="shared" si="52"/>
        <v>45394</v>
      </c>
      <c r="I287" s="843">
        <f t="shared" si="53"/>
        <v>-11</v>
      </c>
      <c r="J287" s="843">
        <f t="shared" si="54"/>
        <v>164743</v>
      </c>
      <c r="K287" s="843">
        <f t="shared" si="55"/>
        <v>0</v>
      </c>
      <c r="L287" s="843">
        <f t="shared" si="56"/>
        <v>0</v>
      </c>
      <c r="M287" s="843">
        <f t="shared" si="57"/>
        <v>0</v>
      </c>
      <c r="N287" s="843">
        <f t="shared" si="58"/>
        <v>0</v>
      </c>
    </row>
    <row r="288" spans="1:14" ht="15.6">
      <c r="A288" s="838"/>
      <c r="B288" s="1762"/>
      <c r="C288" s="838"/>
      <c r="D288" s="839">
        <v>2349</v>
      </c>
      <c r="E288" s="840">
        <v>45366</v>
      </c>
      <c r="F288" s="1763">
        <v>66999</v>
      </c>
      <c r="G288" s="838">
        <v>30</v>
      </c>
      <c r="H288" s="842">
        <f t="shared" si="52"/>
        <v>45396</v>
      </c>
      <c r="I288" s="843">
        <f t="shared" si="53"/>
        <v>-13</v>
      </c>
      <c r="J288" s="843">
        <f t="shared" si="54"/>
        <v>66999</v>
      </c>
      <c r="K288" s="843">
        <f t="shared" si="55"/>
        <v>0</v>
      </c>
      <c r="L288" s="843">
        <f t="shared" si="56"/>
        <v>0</v>
      </c>
      <c r="M288" s="843">
        <f t="shared" si="57"/>
        <v>0</v>
      </c>
      <c r="N288" s="843">
        <f t="shared" si="58"/>
        <v>0</v>
      </c>
    </row>
    <row r="289" spans="1:16" ht="15.6">
      <c r="A289" s="838"/>
      <c r="B289" s="1762"/>
      <c r="C289" s="838"/>
      <c r="D289" s="839">
        <v>2358</v>
      </c>
      <c r="E289" s="840">
        <v>45369</v>
      </c>
      <c r="F289" s="1763">
        <v>195993</v>
      </c>
      <c r="G289" s="838">
        <v>30</v>
      </c>
      <c r="H289" s="842">
        <f t="shared" si="52"/>
        <v>45399</v>
      </c>
      <c r="I289" s="843">
        <f t="shared" si="53"/>
        <v>-16</v>
      </c>
      <c r="J289" s="843">
        <f t="shared" si="54"/>
        <v>195993</v>
      </c>
      <c r="K289" s="843">
        <f t="shared" si="55"/>
        <v>0</v>
      </c>
      <c r="L289" s="843">
        <f t="shared" si="56"/>
        <v>0</v>
      </c>
      <c r="M289" s="843">
        <f t="shared" si="57"/>
        <v>0</v>
      </c>
      <c r="N289" s="843">
        <f t="shared" si="58"/>
        <v>0</v>
      </c>
    </row>
    <row r="290" spans="1:16" ht="15.6">
      <c r="A290" s="838"/>
      <c r="B290" s="1762"/>
      <c r="C290" s="838"/>
      <c r="D290" s="839">
        <v>2361</v>
      </c>
      <c r="E290" s="840">
        <v>45369</v>
      </c>
      <c r="F290" s="1763">
        <v>359856</v>
      </c>
      <c r="G290" s="838">
        <v>30</v>
      </c>
      <c r="H290" s="842">
        <f t="shared" si="52"/>
        <v>45399</v>
      </c>
      <c r="I290" s="843">
        <f t="shared" si="53"/>
        <v>-16</v>
      </c>
      <c r="J290" s="843">
        <f t="shared" si="54"/>
        <v>359856</v>
      </c>
      <c r="K290" s="843">
        <f t="shared" si="55"/>
        <v>0</v>
      </c>
      <c r="L290" s="843">
        <f t="shared" si="56"/>
        <v>0</v>
      </c>
      <c r="M290" s="843">
        <f t="shared" si="57"/>
        <v>0</v>
      </c>
      <c r="N290" s="843">
        <f t="shared" si="58"/>
        <v>0</v>
      </c>
    </row>
    <row r="291" spans="1:16" ht="15.6">
      <c r="A291" s="838"/>
      <c r="B291" s="1762"/>
      <c r="C291" s="838"/>
      <c r="D291" s="839">
        <v>2369</v>
      </c>
      <c r="E291" s="840">
        <v>45370</v>
      </c>
      <c r="F291" s="1763">
        <v>128407</v>
      </c>
      <c r="G291" s="838">
        <v>30</v>
      </c>
      <c r="H291" s="842">
        <f t="shared" si="52"/>
        <v>45400</v>
      </c>
      <c r="I291" s="843">
        <f t="shared" si="53"/>
        <v>-17</v>
      </c>
      <c r="J291" s="843">
        <f t="shared" si="54"/>
        <v>128407</v>
      </c>
      <c r="K291" s="843">
        <f t="shared" si="55"/>
        <v>0</v>
      </c>
      <c r="L291" s="843">
        <f t="shared" si="56"/>
        <v>0</v>
      </c>
      <c r="M291" s="843">
        <f t="shared" si="57"/>
        <v>0</v>
      </c>
      <c r="N291" s="843">
        <f t="shared" si="58"/>
        <v>0</v>
      </c>
    </row>
    <row r="292" spans="1:16" ht="15.6">
      <c r="A292" s="838"/>
      <c r="B292" s="1762"/>
      <c r="C292" s="838"/>
      <c r="D292" s="839">
        <v>2370</v>
      </c>
      <c r="E292" s="840">
        <v>45370</v>
      </c>
      <c r="F292" s="1763">
        <v>204584</v>
      </c>
      <c r="G292" s="838">
        <v>30</v>
      </c>
      <c r="H292" s="842">
        <f t="shared" si="52"/>
        <v>45400</v>
      </c>
      <c r="I292" s="843">
        <f t="shared" si="53"/>
        <v>-17</v>
      </c>
      <c r="J292" s="843">
        <f t="shared" si="54"/>
        <v>204584</v>
      </c>
      <c r="K292" s="843">
        <f t="shared" si="55"/>
        <v>0</v>
      </c>
      <c r="L292" s="843">
        <f t="shared" si="56"/>
        <v>0</v>
      </c>
      <c r="M292" s="843">
        <f t="shared" si="57"/>
        <v>0</v>
      </c>
      <c r="N292" s="843">
        <f t="shared" si="58"/>
        <v>0</v>
      </c>
    </row>
    <row r="293" spans="1:16" ht="15.6">
      <c r="A293" s="838"/>
      <c r="B293" s="1762"/>
      <c r="C293" s="838"/>
      <c r="D293" s="839">
        <v>2408</v>
      </c>
      <c r="E293" s="840">
        <v>45377</v>
      </c>
      <c r="F293" s="1763">
        <v>28700</v>
      </c>
      <c r="G293" s="838">
        <v>30</v>
      </c>
      <c r="H293" s="842">
        <f t="shared" si="52"/>
        <v>45407</v>
      </c>
      <c r="I293" s="843">
        <f t="shared" si="53"/>
        <v>-24</v>
      </c>
      <c r="J293" s="843">
        <f t="shared" si="54"/>
        <v>28700</v>
      </c>
      <c r="K293" s="843">
        <f t="shared" si="55"/>
        <v>0</v>
      </c>
      <c r="L293" s="843">
        <f t="shared" si="56"/>
        <v>0</v>
      </c>
      <c r="M293" s="843">
        <f t="shared" si="57"/>
        <v>0</v>
      </c>
      <c r="N293" s="843">
        <f t="shared" si="58"/>
        <v>0</v>
      </c>
    </row>
    <row r="294" spans="1:16" ht="15.6">
      <c r="A294" s="838"/>
      <c r="B294" s="1762"/>
      <c r="C294" s="838"/>
      <c r="D294" s="839">
        <v>2419</v>
      </c>
      <c r="E294" s="840">
        <v>45378</v>
      </c>
      <c r="F294" s="1763">
        <v>202225</v>
      </c>
      <c r="G294" s="838">
        <v>30</v>
      </c>
      <c r="H294" s="842">
        <f t="shared" si="52"/>
        <v>45408</v>
      </c>
      <c r="I294" s="843">
        <f t="shared" si="53"/>
        <v>-25</v>
      </c>
      <c r="J294" s="843">
        <f t="shared" si="54"/>
        <v>202225</v>
      </c>
      <c r="K294" s="843">
        <f t="shared" si="55"/>
        <v>0</v>
      </c>
      <c r="L294" s="843">
        <f t="shared" si="56"/>
        <v>0</v>
      </c>
      <c r="M294" s="843">
        <f t="shared" si="57"/>
        <v>0</v>
      </c>
      <c r="N294" s="843">
        <f t="shared" si="58"/>
        <v>0</v>
      </c>
    </row>
    <row r="295" spans="1:16" ht="15.6">
      <c r="A295" s="838"/>
      <c r="B295" s="1762"/>
      <c r="C295" s="838"/>
      <c r="D295" s="839">
        <v>2420</v>
      </c>
      <c r="E295" s="840">
        <v>45378</v>
      </c>
      <c r="F295" s="1763">
        <v>25117</v>
      </c>
      <c r="G295" s="838">
        <v>30</v>
      </c>
      <c r="H295" s="842">
        <f t="shared" si="52"/>
        <v>45408</v>
      </c>
      <c r="I295" s="843">
        <f t="shared" si="53"/>
        <v>-25</v>
      </c>
      <c r="J295" s="843">
        <f t="shared" si="54"/>
        <v>25117</v>
      </c>
      <c r="K295" s="843">
        <f t="shared" si="55"/>
        <v>0</v>
      </c>
      <c r="L295" s="843">
        <f t="shared" si="56"/>
        <v>0</v>
      </c>
      <c r="M295" s="843">
        <f t="shared" si="57"/>
        <v>0</v>
      </c>
      <c r="N295" s="843">
        <f t="shared" si="58"/>
        <v>0</v>
      </c>
    </row>
    <row r="296" spans="1:16" ht="15.6">
      <c r="A296" s="838"/>
      <c r="B296" s="1762"/>
      <c r="C296" s="838"/>
      <c r="D296" s="839">
        <v>2424</v>
      </c>
      <c r="E296" s="840">
        <v>45379</v>
      </c>
      <c r="F296" s="1763">
        <v>313582</v>
      </c>
      <c r="G296" s="838">
        <v>30</v>
      </c>
      <c r="H296" s="842">
        <f t="shared" si="52"/>
        <v>45409</v>
      </c>
      <c r="I296" s="843">
        <f t="shared" si="53"/>
        <v>-26</v>
      </c>
      <c r="J296" s="843">
        <f t="shared" si="54"/>
        <v>313582</v>
      </c>
      <c r="K296" s="843">
        <f t="shared" si="55"/>
        <v>0</v>
      </c>
      <c r="L296" s="843">
        <f t="shared" si="56"/>
        <v>0</v>
      </c>
      <c r="M296" s="843">
        <f t="shared" si="57"/>
        <v>0</v>
      </c>
      <c r="N296" s="843">
        <f t="shared" si="58"/>
        <v>0</v>
      </c>
    </row>
    <row r="297" spans="1:16" ht="15.6">
      <c r="A297" s="838"/>
      <c r="B297" s="1762"/>
      <c r="C297" s="838"/>
      <c r="D297" s="839">
        <v>2425</v>
      </c>
      <c r="E297" s="840">
        <v>45379</v>
      </c>
      <c r="F297" s="1763">
        <v>73268</v>
      </c>
      <c r="G297" s="838">
        <v>30</v>
      </c>
      <c r="H297" s="842">
        <f t="shared" si="52"/>
        <v>45409</v>
      </c>
      <c r="I297" s="843">
        <f t="shared" si="53"/>
        <v>-26</v>
      </c>
      <c r="J297" s="843">
        <f t="shared" si="54"/>
        <v>73268</v>
      </c>
      <c r="K297" s="843">
        <f t="shared" si="55"/>
        <v>0</v>
      </c>
      <c r="L297" s="843">
        <f t="shared" si="56"/>
        <v>0</v>
      </c>
      <c r="M297" s="843">
        <f t="shared" si="57"/>
        <v>0</v>
      </c>
      <c r="N297" s="843">
        <f t="shared" si="58"/>
        <v>0</v>
      </c>
    </row>
    <row r="298" spans="1:16" ht="15.6">
      <c r="A298" s="838"/>
      <c r="B298" s="1762"/>
      <c r="C298" s="838"/>
      <c r="D298" s="839">
        <v>2431</v>
      </c>
      <c r="E298" s="840">
        <v>45379</v>
      </c>
      <c r="F298" s="1763">
        <v>273899</v>
      </c>
      <c r="G298" s="838">
        <v>30</v>
      </c>
      <c r="H298" s="842">
        <f t="shared" si="52"/>
        <v>45409</v>
      </c>
      <c r="I298" s="843">
        <f t="shared" si="53"/>
        <v>-26</v>
      </c>
      <c r="J298" s="843">
        <f t="shared" si="54"/>
        <v>273899</v>
      </c>
      <c r="K298" s="843">
        <f t="shared" si="55"/>
        <v>0</v>
      </c>
      <c r="L298" s="843">
        <f t="shared" si="56"/>
        <v>0</v>
      </c>
      <c r="M298" s="843">
        <f t="shared" si="57"/>
        <v>0</v>
      </c>
      <c r="N298" s="843">
        <f t="shared" si="58"/>
        <v>0</v>
      </c>
    </row>
    <row r="299" spans="1:16" ht="15.6">
      <c r="A299" s="838"/>
      <c r="B299" s="1762"/>
      <c r="C299" s="838"/>
      <c r="D299" s="839">
        <v>2442</v>
      </c>
      <c r="E299" s="840">
        <v>45382</v>
      </c>
      <c r="F299" s="1763">
        <v>44290</v>
      </c>
      <c r="G299" s="838">
        <v>30</v>
      </c>
      <c r="H299" s="842">
        <f t="shared" si="52"/>
        <v>45412</v>
      </c>
      <c r="I299" s="843">
        <f t="shared" si="53"/>
        <v>-29</v>
      </c>
      <c r="J299" s="843">
        <f t="shared" si="54"/>
        <v>44290</v>
      </c>
      <c r="K299" s="843">
        <f t="shared" si="55"/>
        <v>0</v>
      </c>
      <c r="L299" s="843">
        <f t="shared" si="56"/>
        <v>0</v>
      </c>
      <c r="M299" s="843">
        <f t="shared" si="57"/>
        <v>0</v>
      </c>
      <c r="N299" s="843">
        <f t="shared" si="58"/>
        <v>0</v>
      </c>
    </row>
    <row r="300" spans="1:16" ht="15.6">
      <c r="A300" s="838"/>
      <c r="B300" s="1762"/>
      <c r="C300" s="838"/>
      <c r="D300" s="839">
        <v>2445</v>
      </c>
      <c r="E300" s="840">
        <v>45382</v>
      </c>
      <c r="F300" s="1763">
        <v>254768</v>
      </c>
      <c r="G300" s="838">
        <v>30</v>
      </c>
      <c r="H300" s="842">
        <f t="shared" si="52"/>
        <v>45412</v>
      </c>
      <c r="I300" s="843">
        <f t="shared" si="53"/>
        <v>-29</v>
      </c>
      <c r="J300" s="843">
        <f t="shared" si="54"/>
        <v>254768</v>
      </c>
      <c r="K300" s="843">
        <f t="shared" si="55"/>
        <v>0</v>
      </c>
      <c r="L300" s="843">
        <f t="shared" si="56"/>
        <v>0</v>
      </c>
      <c r="M300" s="843">
        <f t="shared" si="57"/>
        <v>0</v>
      </c>
      <c r="N300" s="843">
        <f t="shared" si="58"/>
        <v>0</v>
      </c>
    </row>
    <row r="301" spans="1:16" ht="15.6">
      <c r="A301" s="838"/>
      <c r="B301" s="1762"/>
      <c r="C301" s="838"/>
      <c r="D301" s="839">
        <v>2446</v>
      </c>
      <c r="E301" s="840">
        <v>45382</v>
      </c>
      <c r="F301" s="1763">
        <v>49916</v>
      </c>
      <c r="G301" s="838">
        <v>30</v>
      </c>
      <c r="H301" s="842">
        <f t="shared" si="52"/>
        <v>45412</v>
      </c>
      <c r="I301" s="843">
        <f t="shared" si="53"/>
        <v>-29</v>
      </c>
      <c r="J301" s="843">
        <f t="shared" si="54"/>
        <v>49916</v>
      </c>
      <c r="K301" s="843">
        <f t="shared" si="55"/>
        <v>0</v>
      </c>
      <c r="L301" s="843">
        <f t="shared" si="56"/>
        <v>0</v>
      </c>
      <c r="M301" s="843">
        <f t="shared" si="57"/>
        <v>0</v>
      </c>
      <c r="N301" s="843">
        <f t="shared" si="58"/>
        <v>0</v>
      </c>
    </row>
    <row r="302" spans="1:16" ht="15.6">
      <c r="A302" s="838"/>
      <c r="B302" s="838"/>
      <c r="C302" s="838"/>
      <c r="D302" s="839"/>
      <c r="E302" s="840">
        <v>45382</v>
      </c>
      <c r="F302" s="1775">
        <v>222</v>
      </c>
      <c r="G302" s="838">
        <v>30</v>
      </c>
      <c r="H302" s="842">
        <f t="shared" si="52"/>
        <v>45412</v>
      </c>
      <c r="I302" s="843">
        <f t="shared" si="53"/>
        <v>-29</v>
      </c>
      <c r="J302" s="843">
        <f t="shared" si="54"/>
        <v>222</v>
      </c>
      <c r="K302" s="843">
        <f t="shared" si="55"/>
        <v>0</v>
      </c>
      <c r="L302" s="843">
        <f t="shared" si="56"/>
        <v>0</v>
      </c>
      <c r="M302" s="843">
        <f t="shared" si="57"/>
        <v>0</v>
      </c>
      <c r="N302" s="843">
        <f t="shared" si="58"/>
        <v>0</v>
      </c>
    </row>
    <row r="303" spans="1:16" ht="15.6">
      <c r="A303" s="1765"/>
      <c r="B303" s="1765"/>
      <c r="C303" s="1765"/>
      <c r="D303" s="1771"/>
      <c r="E303" s="1772"/>
      <c r="F303" s="1776">
        <f>SUM(F256:F302)</f>
        <v>8712571</v>
      </c>
      <c r="G303" s="1765"/>
      <c r="H303" s="1766"/>
      <c r="I303" s="1768"/>
      <c r="J303" s="1776">
        <f>SUM(J256:J302)</f>
        <v>8712571</v>
      </c>
      <c r="K303" s="1776">
        <f t="shared" ref="K303:N303" si="59">SUM(K256:K302)</f>
        <v>0</v>
      </c>
      <c r="L303" s="1776">
        <f t="shared" si="59"/>
        <v>0</v>
      </c>
      <c r="M303" s="1776">
        <f t="shared" si="59"/>
        <v>0</v>
      </c>
      <c r="N303" s="1776">
        <f t="shared" si="59"/>
        <v>0</v>
      </c>
      <c r="O303" s="773">
        <f>+SUM(J303:N303)</f>
        <v>8712571</v>
      </c>
      <c r="P303" s="1769">
        <f>+F303-O303</f>
        <v>0</v>
      </c>
    </row>
    <row r="304" spans="1:16" ht="15.6">
      <c r="A304" s="838">
        <v>20</v>
      </c>
      <c r="B304" s="1762" t="s">
        <v>332</v>
      </c>
      <c r="C304" s="838"/>
      <c r="D304" s="839">
        <v>2114</v>
      </c>
      <c r="E304" s="840">
        <v>45329</v>
      </c>
      <c r="F304" s="1774">
        <v>128797</v>
      </c>
      <c r="G304" s="838">
        <v>30</v>
      </c>
      <c r="H304" s="842">
        <f t="shared" ref="H304:H306" si="60">+E304+G304</f>
        <v>45359</v>
      </c>
      <c r="I304" s="843">
        <f t="shared" ref="I304:I306" si="61">+$Q$1-H304+1</f>
        <v>24</v>
      </c>
      <c r="J304" s="843">
        <f t="shared" ref="J304:J306" si="62">IF(I304&lt;=30,F304,0)</f>
        <v>128797</v>
      </c>
      <c r="K304" s="843">
        <f t="shared" ref="K304:K306" si="63">IF(I304&lt;=30,0,IF(I304&gt;60,0,F304))</f>
        <v>0</v>
      </c>
      <c r="L304" s="843">
        <f t="shared" ref="L304:L306" si="64">IF(I304&lt;=60,0,IF(I304&gt;90,0,F304))</f>
        <v>0</v>
      </c>
      <c r="M304" s="843">
        <f t="shared" ref="M304:M306" si="65">IF(I304&lt;=90,0,IF(I304&gt;120,0,F304))</f>
        <v>0</v>
      </c>
      <c r="N304" s="843">
        <f t="shared" ref="N304:N306" si="66">IF(I304&lt;=120,0,F304)</f>
        <v>0</v>
      </c>
    </row>
    <row r="305" spans="1:16" ht="15.6">
      <c r="A305" s="838"/>
      <c r="B305" s="1762"/>
      <c r="C305" s="838"/>
      <c r="D305" s="839">
        <v>2237</v>
      </c>
      <c r="E305" s="840">
        <v>45348</v>
      </c>
      <c r="F305" s="1763">
        <v>299259</v>
      </c>
      <c r="G305" s="838">
        <v>30</v>
      </c>
      <c r="H305" s="842">
        <f t="shared" si="60"/>
        <v>45378</v>
      </c>
      <c r="I305" s="843">
        <f t="shared" si="61"/>
        <v>5</v>
      </c>
      <c r="J305" s="843">
        <f t="shared" si="62"/>
        <v>299259</v>
      </c>
      <c r="K305" s="843">
        <f t="shared" si="63"/>
        <v>0</v>
      </c>
      <c r="L305" s="843">
        <f t="shared" si="64"/>
        <v>0</v>
      </c>
      <c r="M305" s="843">
        <f t="shared" si="65"/>
        <v>0</v>
      </c>
      <c r="N305" s="843">
        <f t="shared" si="66"/>
        <v>0</v>
      </c>
    </row>
    <row r="306" spans="1:16" ht="15.6">
      <c r="A306" s="838"/>
      <c r="B306" s="1762"/>
      <c r="C306" s="838"/>
      <c r="D306" s="839">
        <v>2348</v>
      </c>
      <c r="E306" s="840">
        <v>45364</v>
      </c>
      <c r="F306" s="1763">
        <v>291841</v>
      </c>
      <c r="G306" s="838">
        <v>30</v>
      </c>
      <c r="H306" s="842">
        <f t="shared" si="60"/>
        <v>45394</v>
      </c>
      <c r="I306" s="843">
        <f t="shared" si="61"/>
        <v>-11</v>
      </c>
      <c r="J306" s="843">
        <f t="shared" si="62"/>
        <v>291841</v>
      </c>
      <c r="K306" s="843">
        <f t="shared" si="63"/>
        <v>0</v>
      </c>
      <c r="L306" s="843">
        <f t="shared" si="64"/>
        <v>0</v>
      </c>
      <c r="M306" s="843">
        <f t="shared" si="65"/>
        <v>0</v>
      </c>
      <c r="N306" s="843">
        <f t="shared" si="66"/>
        <v>0</v>
      </c>
    </row>
    <row r="307" spans="1:16" ht="15.6">
      <c r="A307" s="838"/>
      <c r="B307" s="1762"/>
      <c r="C307" s="838"/>
      <c r="D307" s="839"/>
      <c r="E307" s="840"/>
      <c r="F307" s="1775"/>
      <c r="G307" s="838"/>
      <c r="H307" s="842"/>
      <c r="I307" s="843"/>
      <c r="J307" s="843"/>
      <c r="K307" s="843"/>
      <c r="L307" s="843"/>
      <c r="M307" s="843"/>
      <c r="N307" s="843"/>
    </row>
    <row r="308" spans="1:16" ht="15.6">
      <c r="A308" s="1765"/>
      <c r="B308" s="1787"/>
      <c r="C308" s="1765"/>
      <c r="D308" s="1771"/>
      <c r="E308" s="1772"/>
      <c r="F308" s="1776">
        <f>SUM(F304:F307)</f>
        <v>719897</v>
      </c>
      <c r="G308" s="1765"/>
      <c r="H308" s="1766"/>
      <c r="I308" s="1768"/>
      <c r="J308" s="1767">
        <f>SUM(J304:J307)</f>
        <v>719897</v>
      </c>
      <c r="K308" s="1767">
        <f t="shared" ref="K308:N308" si="67">SUM(K304:K307)</f>
        <v>0</v>
      </c>
      <c r="L308" s="1767">
        <f t="shared" si="67"/>
        <v>0</v>
      </c>
      <c r="M308" s="1767">
        <f t="shared" si="67"/>
        <v>0</v>
      </c>
      <c r="N308" s="1767">
        <f t="shared" si="67"/>
        <v>0</v>
      </c>
      <c r="O308" s="773">
        <f>+SUM(J308:N308)</f>
        <v>719897</v>
      </c>
      <c r="P308" s="1769">
        <f>+F308-O308</f>
        <v>0</v>
      </c>
    </row>
    <row r="309" spans="1:16" ht="15.6">
      <c r="A309" s="838">
        <v>21</v>
      </c>
      <c r="B309" s="1762" t="s">
        <v>414</v>
      </c>
      <c r="C309" s="838"/>
      <c r="D309" s="839">
        <v>2380</v>
      </c>
      <c r="E309" s="840">
        <v>45371</v>
      </c>
      <c r="F309" s="1763">
        <v>221637</v>
      </c>
      <c r="G309" s="838">
        <v>30</v>
      </c>
      <c r="H309" s="842">
        <f t="shared" ref="H309" si="68">+E309+G309</f>
        <v>45401</v>
      </c>
      <c r="I309" s="843">
        <f t="shared" ref="I309" si="69">+$Q$1-H309+1</f>
        <v>-18</v>
      </c>
      <c r="J309" s="843">
        <f t="shared" ref="J309" si="70">IF(I309&lt;=30,F309,0)</f>
        <v>221637</v>
      </c>
      <c r="K309" s="843">
        <f t="shared" ref="K309" si="71">IF(I309&lt;=30,0,IF(I309&gt;60,0,F309))</f>
        <v>0</v>
      </c>
      <c r="L309" s="843">
        <f t="shared" ref="L309" si="72">IF(I309&lt;=60,0,IF(I309&gt;90,0,F309))</f>
        <v>0</v>
      </c>
      <c r="M309" s="843">
        <f t="shared" ref="M309" si="73">IF(I309&lt;=90,0,IF(I309&gt;120,0,F309))</f>
        <v>0</v>
      </c>
      <c r="N309" s="843">
        <f t="shared" ref="N309" si="74">IF(I309&lt;=120,0,F309)</f>
        <v>0</v>
      </c>
    </row>
    <row r="310" spans="1:16" ht="15.6">
      <c r="A310" s="838"/>
      <c r="B310" s="838"/>
      <c r="C310" s="838"/>
      <c r="D310" s="839"/>
      <c r="E310" s="840"/>
      <c r="F310" s="1764"/>
      <c r="G310" s="838"/>
      <c r="H310" s="842"/>
      <c r="I310" s="843"/>
      <c r="J310" s="843"/>
      <c r="K310" s="843"/>
      <c r="L310" s="843"/>
      <c r="M310" s="843"/>
      <c r="N310" s="843"/>
    </row>
    <row r="311" spans="1:16" ht="15.6">
      <c r="A311" s="1765"/>
      <c r="B311" s="1765"/>
      <c r="C311" s="1765"/>
      <c r="D311" s="1771"/>
      <c r="E311" s="1772"/>
      <c r="F311" s="1773">
        <f>SUM(F309:F310)</f>
        <v>221637</v>
      </c>
      <c r="G311" s="1765"/>
      <c r="H311" s="1766"/>
      <c r="I311" s="1768"/>
      <c r="J311" s="1767">
        <f>SUM(J309:J310)</f>
        <v>221637</v>
      </c>
      <c r="K311" s="1767">
        <f t="shared" ref="K311:N311" si="75">SUM(K309:K310)</f>
        <v>0</v>
      </c>
      <c r="L311" s="1767">
        <f t="shared" si="75"/>
        <v>0</v>
      </c>
      <c r="M311" s="1767">
        <f t="shared" si="75"/>
        <v>0</v>
      </c>
      <c r="N311" s="1767">
        <f t="shared" si="75"/>
        <v>0</v>
      </c>
      <c r="O311" s="773">
        <f>+SUM(J311:N311)</f>
        <v>221637</v>
      </c>
      <c r="P311" s="1769">
        <f>+F311-O311</f>
        <v>0</v>
      </c>
    </row>
    <row r="312" spans="1:16" ht="15.6">
      <c r="A312" s="838">
        <v>22</v>
      </c>
      <c r="B312" s="1762" t="s">
        <v>3005</v>
      </c>
      <c r="C312" s="838"/>
      <c r="D312" s="839">
        <v>2233</v>
      </c>
      <c r="E312" s="840">
        <v>45348</v>
      </c>
      <c r="F312" s="1763">
        <f>306572</f>
        <v>306572</v>
      </c>
      <c r="G312" s="838">
        <v>30</v>
      </c>
      <c r="H312" s="842">
        <f t="shared" ref="H312" si="76">+E312+G312</f>
        <v>45378</v>
      </c>
      <c r="I312" s="843">
        <f t="shared" ref="I312" si="77">+$Q$1-H312+1</f>
        <v>5</v>
      </c>
      <c r="J312" s="843">
        <f t="shared" ref="J312" si="78">IF(I312&lt;=30,F312,0)</f>
        <v>306572</v>
      </c>
      <c r="K312" s="843">
        <f t="shared" ref="K312" si="79">IF(I312&lt;=30,0,IF(I312&gt;60,0,F312))</f>
        <v>0</v>
      </c>
      <c r="L312" s="843">
        <f t="shared" ref="L312" si="80">IF(I312&lt;=60,0,IF(I312&gt;90,0,F312))</f>
        <v>0</v>
      </c>
      <c r="M312" s="843">
        <f t="shared" ref="M312" si="81">IF(I312&lt;=90,0,IF(I312&gt;120,0,F312))</f>
        <v>0</v>
      </c>
      <c r="N312" s="843">
        <f t="shared" ref="N312" si="82">IF(I312&lt;=120,0,F312)</f>
        <v>0</v>
      </c>
    </row>
    <row r="313" spans="1:16" ht="15.6">
      <c r="A313" s="838"/>
      <c r="B313" s="838"/>
      <c r="C313" s="838"/>
      <c r="D313" s="1782"/>
      <c r="E313" s="1783"/>
      <c r="F313" s="1764"/>
      <c r="G313" s="838"/>
      <c r="H313" s="842"/>
      <c r="I313" s="843"/>
      <c r="J313" s="843"/>
      <c r="K313" s="843"/>
      <c r="L313" s="843"/>
      <c r="M313" s="843"/>
      <c r="N313" s="843"/>
    </row>
    <row r="314" spans="1:16" ht="15.6">
      <c r="A314" s="1765"/>
      <c r="B314" s="1765"/>
      <c r="C314" s="1765"/>
      <c r="D314" s="1784"/>
      <c r="E314" s="1785"/>
      <c r="F314" s="1773">
        <f>SUM(F312:F313)</f>
        <v>306572</v>
      </c>
      <c r="G314" s="1765"/>
      <c r="H314" s="1766"/>
      <c r="I314" s="1768"/>
      <c r="J314" s="1773">
        <f>SUM(J312:J313)</f>
        <v>306572</v>
      </c>
      <c r="K314" s="1773">
        <f t="shared" ref="K314:N314" si="83">SUM(K312:K313)</f>
        <v>0</v>
      </c>
      <c r="L314" s="1773">
        <f t="shared" si="83"/>
        <v>0</v>
      </c>
      <c r="M314" s="1773">
        <f t="shared" si="83"/>
        <v>0</v>
      </c>
      <c r="N314" s="1773">
        <f t="shared" si="83"/>
        <v>0</v>
      </c>
      <c r="O314" s="773">
        <f>+SUM(J314:N314)</f>
        <v>306572</v>
      </c>
      <c r="P314" s="1769">
        <f>+F314-O314</f>
        <v>0</v>
      </c>
    </row>
    <row r="315" spans="1:16" ht="15.6">
      <c r="A315" s="838">
        <v>23</v>
      </c>
      <c r="B315" s="1762" t="s">
        <v>451</v>
      </c>
      <c r="C315" s="838"/>
      <c r="D315" s="839">
        <v>2030</v>
      </c>
      <c r="E315" s="840">
        <v>45317</v>
      </c>
      <c r="F315" s="1774">
        <v>482018</v>
      </c>
      <c r="G315" s="838">
        <v>30</v>
      </c>
      <c r="H315" s="842">
        <f t="shared" ref="H315:H352" si="84">+E315+G315</f>
        <v>45347</v>
      </c>
      <c r="I315" s="843">
        <f t="shared" ref="I315:I352" si="85">+$Q$1-H315+1</f>
        <v>36</v>
      </c>
      <c r="J315" s="843">
        <f t="shared" ref="J315:J352" si="86">IF(I315&lt;=30,F315,0)</f>
        <v>0</v>
      </c>
      <c r="K315" s="843">
        <f t="shared" ref="K315:K352" si="87">IF(I315&lt;=30,0,IF(I315&gt;60,0,F315))</f>
        <v>482018</v>
      </c>
      <c r="L315" s="843">
        <f t="shared" ref="L315:L352" si="88">IF(I315&lt;=60,0,IF(I315&gt;90,0,F315))</f>
        <v>0</v>
      </c>
      <c r="M315" s="843">
        <f t="shared" ref="M315:M352" si="89">IF(I315&lt;=90,0,IF(I315&gt;120,0,F315))</f>
        <v>0</v>
      </c>
      <c r="N315" s="843">
        <f t="shared" ref="N315:N352" si="90">IF(I315&lt;=120,0,F315)</f>
        <v>0</v>
      </c>
    </row>
    <row r="316" spans="1:16" ht="15.6">
      <c r="A316" s="838"/>
      <c r="B316" s="1762"/>
      <c r="C316" s="838"/>
      <c r="D316" s="839">
        <v>2051</v>
      </c>
      <c r="E316" s="840">
        <v>45321</v>
      </c>
      <c r="F316" s="1774">
        <v>451237</v>
      </c>
      <c r="G316" s="838">
        <v>30</v>
      </c>
      <c r="H316" s="842">
        <f t="shared" si="84"/>
        <v>45351</v>
      </c>
      <c r="I316" s="843">
        <f t="shared" si="85"/>
        <v>32</v>
      </c>
      <c r="J316" s="843">
        <f t="shared" si="86"/>
        <v>0</v>
      </c>
      <c r="K316" s="843">
        <f t="shared" si="87"/>
        <v>451237</v>
      </c>
      <c r="L316" s="843">
        <f t="shared" si="88"/>
        <v>0</v>
      </c>
      <c r="M316" s="843">
        <f t="shared" si="89"/>
        <v>0</v>
      </c>
      <c r="N316" s="843">
        <f t="shared" si="90"/>
        <v>0</v>
      </c>
    </row>
    <row r="317" spans="1:16" ht="15.6">
      <c r="A317" s="838"/>
      <c r="B317" s="1762"/>
      <c r="C317" s="838"/>
      <c r="D317" s="839">
        <v>2054</v>
      </c>
      <c r="E317" s="840">
        <v>45321</v>
      </c>
      <c r="F317" s="1774">
        <v>417159</v>
      </c>
      <c r="G317" s="838">
        <v>30</v>
      </c>
      <c r="H317" s="842">
        <f t="shared" si="84"/>
        <v>45351</v>
      </c>
      <c r="I317" s="843">
        <f t="shared" si="85"/>
        <v>32</v>
      </c>
      <c r="J317" s="843">
        <f t="shared" si="86"/>
        <v>0</v>
      </c>
      <c r="K317" s="843">
        <f t="shared" si="87"/>
        <v>417159</v>
      </c>
      <c r="L317" s="843">
        <f t="shared" si="88"/>
        <v>0</v>
      </c>
      <c r="M317" s="843">
        <f t="shared" si="89"/>
        <v>0</v>
      </c>
      <c r="N317" s="843">
        <f t="shared" si="90"/>
        <v>0</v>
      </c>
    </row>
    <row r="318" spans="1:16" ht="15.6">
      <c r="A318" s="838"/>
      <c r="B318" s="1762"/>
      <c r="C318" s="838"/>
      <c r="D318" s="839">
        <v>2058</v>
      </c>
      <c r="E318" s="840">
        <v>45322</v>
      </c>
      <c r="F318" s="1774">
        <v>465888</v>
      </c>
      <c r="G318" s="838">
        <v>30</v>
      </c>
      <c r="H318" s="842">
        <f t="shared" si="84"/>
        <v>45352</v>
      </c>
      <c r="I318" s="843">
        <f t="shared" si="85"/>
        <v>31</v>
      </c>
      <c r="J318" s="843">
        <f t="shared" si="86"/>
        <v>0</v>
      </c>
      <c r="K318" s="843">
        <f t="shared" si="87"/>
        <v>465888</v>
      </c>
      <c r="L318" s="843">
        <f t="shared" si="88"/>
        <v>0</v>
      </c>
      <c r="M318" s="843">
        <f t="shared" si="89"/>
        <v>0</v>
      </c>
      <c r="N318" s="843">
        <f t="shared" si="90"/>
        <v>0</v>
      </c>
    </row>
    <row r="319" spans="1:16" ht="15.6">
      <c r="A319" s="838"/>
      <c r="B319" s="1762"/>
      <c r="C319" s="838"/>
      <c r="D319" s="839">
        <v>2065</v>
      </c>
      <c r="E319" s="840">
        <v>45323</v>
      </c>
      <c r="F319" s="1774">
        <v>483541</v>
      </c>
      <c r="G319" s="838">
        <v>30</v>
      </c>
      <c r="H319" s="842">
        <f t="shared" si="84"/>
        <v>45353</v>
      </c>
      <c r="I319" s="843">
        <f t="shared" si="85"/>
        <v>30</v>
      </c>
      <c r="J319" s="843">
        <f t="shared" si="86"/>
        <v>483541</v>
      </c>
      <c r="K319" s="843">
        <f t="shared" si="87"/>
        <v>0</v>
      </c>
      <c r="L319" s="843">
        <f t="shared" si="88"/>
        <v>0</v>
      </c>
      <c r="M319" s="843">
        <f t="shared" si="89"/>
        <v>0</v>
      </c>
      <c r="N319" s="843">
        <f t="shared" si="90"/>
        <v>0</v>
      </c>
    </row>
    <row r="320" spans="1:16" ht="15.6">
      <c r="A320" s="838"/>
      <c r="B320" s="1762"/>
      <c r="C320" s="838"/>
      <c r="D320" s="839">
        <v>2077</v>
      </c>
      <c r="E320" s="840">
        <v>45324</v>
      </c>
      <c r="F320" s="1774">
        <v>459056</v>
      </c>
      <c r="G320" s="838">
        <v>30</v>
      </c>
      <c r="H320" s="842">
        <f t="shared" si="84"/>
        <v>45354</v>
      </c>
      <c r="I320" s="843">
        <f t="shared" si="85"/>
        <v>29</v>
      </c>
      <c r="J320" s="843">
        <f t="shared" si="86"/>
        <v>459056</v>
      </c>
      <c r="K320" s="843">
        <f t="shared" si="87"/>
        <v>0</v>
      </c>
      <c r="L320" s="843">
        <f t="shared" si="88"/>
        <v>0</v>
      </c>
      <c r="M320" s="843">
        <f t="shared" si="89"/>
        <v>0</v>
      </c>
      <c r="N320" s="843">
        <f t="shared" si="90"/>
        <v>0</v>
      </c>
    </row>
    <row r="321" spans="1:14" ht="15.6">
      <c r="A321" s="838"/>
      <c r="B321" s="1762"/>
      <c r="C321" s="838"/>
      <c r="D321" s="839">
        <v>2090</v>
      </c>
      <c r="E321" s="840">
        <v>45326</v>
      </c>
      <c r="F321" s="1774">
        <v>137149</v>
      </c>
      <c r="G321" s="838">
        <v>30</v>
      </c>
      <c r="H321" s="842">
        <f t="shared" si="84"/>
        <v>45356</v>
      </c>
      <c r="I321" s="843">
        <f t="shared" si="85"/>
        <v>27</v>
      </c>
      <c r="J321" s="843">
        <f t="shared" si="86"/>
        <v>137149</v>
      </c>
      <c r="K321" s="843">
        <f t="shared" si="87"/>
        <v>0</v>
      </c>
      <c r="L321" s="843">
        <f t="shared" si="88"/>
        <v>0</v>
      </c>
      <c r="M321" s="843">
        <f t="shared" si="89"/>
        <v>0</v>
      </c>
      <c r="N321" s="843">
        <f t="shared" si="90"/>
        <v>0</v>
      </c>
    </row>
    <row r="322" spans="1:14" ht="15.6">
      <c r="A322" s="838"/>
      <c r="B322" s="1762"/>
      <c r="C322" s="838"/>
      <c r="D322" s="839">
        <v>2091</v>
      </c>
      <c r="E322" s="840">
        <v>45326</v>
      </c>
      <c r="F322" s="1774">
        <v>326050</v>
      </c>
      <c r="G322" s="838">
        <v>30</v>
      </c>
      <c r="H322" s="842">
        <f t="shared" si="84"/>
        <v>45356</v>
      </c>
      <c r="I322" s="843">
        <f t="shared" si="85"/>
        <v>27</v>
      </c>
      <c r="J322" s="843">
        <f t="shared" si="86"/>
        <v>326050</v>
      </c>
      <c r="K322" s="843">
        <f t="shared" si="87"/>
        <v>0</v>
      </c>
      <c r="L322" s="843">
        <f t="shared" si="88"/>
        <v>0</v>
      </c>
      <c r="M322" s="843">
        <f t="shared" si="89"/>
        <v>0</v>
      </c>
      <c r="N322" s="843">
        <f t="shared" si="90"/>
        <v>0</v>
      </c>
    </row>
    <row r="323" spans="1:14" ht="15.6">
      <c r="A323" s="838"/>
      <c r="B323" s="1762"/>
      <c r="C323" s="838"/>
      <c r="D323" s="839">
        <v>2092</v>
      </c>
      <c r="E323" s="840">
        <v>45326</v>
      </c>
      <c r="F323" s="1774">
        <v>439871</v>
      </c>
      <c r="G323" s="838">
        <v>30</v>
      </c>
      <c r="H323" s="842">
        <f t="shared" si="84"/>
        <v>45356</v>
      </c>
      <c r="I323" s="843">
        <f t="shared" si="85"/>
        <v>27</v>
      </c>
      <c r="J323" s="843">
        <f t="shared" si="86"/>
        <v>439871</v>
      </c>
      <c r="K323" s="843">
        <f t="shared" si="87"/>
        <v>0</v>
      </c>
      <c r="L323" s="843">
        <f t="shared" si="88"/>
        <v>0</v>
      </c>
      <c r="M323" s="843">
        <f t="shared" si="89"/>
        <v>0</v>
      </c>
      <c r="N323" s="843">
        <f t="shared" si="90"/>
        <v>0</v>
      </c>
    </row>
    <row r="324" spans="1:14" ht="15.6">
      <c r="A324" s="838"/>
      <c r="B324" s="1762"/>
      <c r="C324" s="838"/>
      <c r="D324" s="839">
        <v>2094</v>
      </c>
      <c r="E324" s="840">
        <v>45327</v>
      </c>
      <c r="F324" s="1774">
        <v>464740</v>
      </c>
      <c r="G324" s="838">
        <v>30</v>
      </c>
      <c r="H324" s="842">
        <f t="shared" si="84"/>
        <v>45357</v>
      </c>
      <c r="I324" s="843">
        <f t="shared" si="85"/>
        <v>26</v>
      </c>
      <c r="J324" s="843">
        <f t="shared" si="86"/>
        <v>464740</v>
      </c>
      <c r="K324" s="843">
        <f t="shared" si="87"/>
        <v>0</v>
      </c>
      <c r="L324" s="843">
        <f t="shared" si="88"/>
        <v>0</v>
      </c>
      <c r="M324" s="843">
        <f t="shared" si="89"/>
        <v>0</v>
      </c>
      <c r="N324" s="843">
        <f t="shared" si="90"/>
        <v>0</v>
      </c>
    </row>
    <row r="325" spans="1:14" ht="15.6">
      <c r="A325" s="838"/>
      <c r="B325" s="1762"/>
      <c r="C325" s="838"/>
      <c r="D325" s="839">
        <v>2119</v>
      </c>
      <c r="E325" s="840">
        <v>45331</v>
      </c>
      <c r="F325" s="1774">
        <v>493543</v>
      </c>
      <c r="G325" s="838">
        <v>30</v>
      </c>
      <c r="H325" s="842">
        <f t="shared" si="84"/>
        <v>45361</v>
      </c>
      <c r="I325" s="843">
        <f t="shared" si="85"/>
        <v>22</v>
      </c>
      <c r="J325" s="843">
        <f t="shared" si="86"/>
        <v>493543</v>
      </c>
      <c r="K325" s="843">
        <f t="shared" si="87"/>
        <v>0</v>
      </c>
      <c r="L325" s="843">
        <f t="shared" si="88"/>
        <v>0</v>
      </c>
      <c r="M325" s="843">
        <f t="shared" si="89"/>
        <v>0</v>
      </c>
      <c r="N325" s="843">
        <f t="shared" si="90"/>
        <v>0</v>
      </c>
    </row>
    <row r="326" spans="1:14" ht="15.6">
      <c r="A326" s="838"/>
      <c r="B326" s="1762"/>
      <c r="C326" s="838"/>
      <c r="D326" s="839">
        <v>2130</v>
      </c>
      <c r="E326" s="840">
        <v>45333</v>
      </c>
      <c r="F326" s="1774">
        <v>411258</v>
      </c>
      <c r="G326" s="838">
        <v>30</v>
      </c>
      <c r="H326" s="842">
        <f t="shared" si="84"/>
        <v>45363</v>
      </c>
      <c r="I326" s="843">
        <f t="shared" si="85"/>
        <v>20</v>
      </c>
      <c r="J326" s="843">
        <f t="shared" si="86"/>
        <v>411258</v>
      </c>
      <c r="K326" s="843">
        <f t="shared" si="87"/>
        <v>0</v>
      </c>
      <c r="L326" s="843">
        <f t="shared" si="88"/>
        <v>0</v>
      </c>
      <c r="M326" s="843">
        <f t="shared" si="89"/>
        <v>0</v>
      </c>
      <c r="N326" s="843">
        <f t="shared" si="90"/>
        <v>0</v>
      </c>
    </row>
    <row r="327" spans="1:14" ht="15.6">
      <c r="A327" s="838"/>
      <c r="B327" s="1762"/>
      <c r="C327" s="838"/>
      <c r="D327" s="839">
        <v>2134</v>
      </c>
      <c r="E327" s="840">
        <v>45334</v>
      </c>
      <c r="F327" s="1774">
        <v>450447</v>
      </c>
      <c r="G327" s="838">
        <v>30</v>
      </c>
      <c r="H327" s="842">
        <f t="shared" si="84"/>
        <v>45364</v>
      </c>
      <c r="I327" s="843">
        <f t="shared" si="85"/>
        <v>19</v>
      </c>
      <c r="J327" s="843">
        <f t="shared" si="86"/>
        <v>450447</v>
      </c>
      <c r="K327" s="843">
        <f t="shared" si="87"/>
        <v>0</v>
      </c>
      <c r="L327" s="843">
        <f t="shared" si="88"/>
        <v>0</v>
      </c>
      <c r="M327" s="843">
        <f t="shared" si="89"/>
        <v>0</v>
      </c>
      <c r="N327" s="843">
        <f t="shared" si="90"/>
        <v>0</v>
      </c>
    </row>
    <row r="328" spans="1:14" ht="15.6">
      <c r="A328" s="838"/>
      <c r="B328" s="1762"/>
      <c r="C328" s="838"/>
      <c r="D328" s="839">
        <v>2139</v>
      </c>
      <c r="E328" s="840">
        <v>45335</v>
      </c>
      <c r="F328" s="1774">
        <v>648091</v>
      </c>
      <c r="G328" s="838">
        <v>30</v>
      </c>
      <c r="H328" s="842">
        <f t="shared" si="84"/>
        <v>45365</v>
      </c>
      <c r="I328" s="843">
        <f t="shared" si="85"/>
        <v>18</v>
      </c>
      <c r="J328" s="843">
        <f t="shared" si="86"/>
        <v>648091</v>
      </c>
      <c r="K328" s="843">
        <f t="shared" si="87"/>
        <v>0</v>
      </c>
      <c r="L328" s="843">
        <f t="shared" si="88"/>
        <v>0</v>
      </c>
      <c r="M328" s="843">
        <f t="shared" si="89"/>
        <v>0</v>
      </c>
      <c r="N328" s="843">
        <f t="shared" si="90"/>
        <v>0</v>
      </c>
    </row>
    <row r="329" spans="1:14" ht="15.6">
      <c r="A329" s="838"/>
      <c r="B329" s="1762"/>
      <c r="C329" s="838"/>
      <c r="D329" s="839">
        <v>2140</v>
      </c>
      <c r="E329" s="840">
        <v>45335</v>
      </c>
      <c r="F329" s="1774">
        <v>744266</v>
      </c>
      <c r="G329" s="838">
        <v>30</v>
      </c>
      <c r="H329" s="842">
        <f t="shared" si="84"/>
        <v>45365</v>
      </c>
      <c r="I329" s="843">
        <f t="shared" si="85"/>
        <v>18</v>
      </c>
      <c r="J329" s="843">
        <f t="shared" si="86"/>
        <v>744266</v>
      </c>
      <c r="K329" s="843">
        <f t="shared" si="87"/>
        <v>0</v>
      </c>
      <c r="L329" s="843">
        <f t="shared" si="88"/>
        <v>0</v>
      </c>
      <c r="M329" s="843">
        <f t="shared" si="89"/>
        <v>0</v>
      </c>
      <c r="N329" s="843">
        <f t="shared" si="90"/>
        <v>0</v>
      </c>
    </row>
    <row r="330" spans="1:14" ht="15.6">
      <c r="A330" s="838"/>
      <c r="B330" s="1762"/>
      <c r="C330" s="838"/>
      <c r="D330" s="839">
        <v>2178</v>
      </c>
      <c r="E330" s="840">
        <v>45341</v>
      </c>
      <c r="F330" s="1763">
        <v>474413</v>
      </c>
      <c r="G330" s="838">
        <v>30</v>
      </c>
      <c r="H330" s="842">
        <f t="shared" si="84"/>
        <v>45371</v>
      </c>
      <c r="I330" s="843">
        <f t="shared" si="85"/>
        <v>12</v>
      </c>
      <c r="J330" s="843">
        <f t="shared" si="86"/>
        <v>474413</v>
      </c>
      <c r="K330" s="843">
        <f t="shared" si="87"/>
        <v>0</v>
      </c>
      <c r="L330" s="843">
        <f t="shared" si="88"/>
        <v>0</v>
      </c>
      <c r="M330" s="843">
        <f t="shared" si="89"/>
        <v>0</v>
      </c>
      <c r="N330" s="843">
        <f t="shared" si="90"/>
        <v>0</v>
      </c>
    </row>
    <row r="331" spans="1:14" ht="15.6">
      <c r="A331" s="838"/>
      <c r="B331" s="1762"/>
      <c r="C331" s="838"/>
      <c r="D331" s="839">
        <v>2179</v>
      </c>
      <c r="E331" s="840">
        <v>45341</v>
      </c>
      <c r="F331" s="1763">
        <v>477584</v>
      </c>
      <c r="G331" s="838">
        <v>30</v>
      </c>
      <c r="H331" s="842">
        <f t="shared" si="84"/>
        <v>45371</v>
      </c>
      <c r="I331" s="843">
        <f t="shared" si="85"/>
        <v>12</v>
      </c>
      <c r="J331" s="843">
        <f t="shared" si="86"/>
        <v>477584</v>
      </c>
      <c r="K331" s="843">
        <f t="shared" si="87"/>
        <v>0</v>
      </c>
      <c r="L331" s="843">
        <f t="shared" si="88"/>
        <v>0</v>
      </c>
      <c r="M331" s="843">
        <f t="shared" si="89"/>
        <v>0</v>
      </c>
      <c r="N331" s="843">
        <f t="shared" si="90"/>
        <v>0</v>
      </c>
    </row>
    <row r="332" spans="1:14" ht="15.6">
      <c r="A332" s="838"/>
      <c r="B332" s="1762"/>
      <c r="C332" s="838"/>
      <c r="D332" s="839">
        <v>2191</v>
      </c>
      <c r="E332" s="840">
        <v>45343</v>
      </c>
      <c r="F332" s="1763">
        <v>495106</v>
      </c>
      <c r="G332" s="838">
        <v>30</v>
      </c>
      <c r="H332" s="842">
        <f t="shared" si="84"/>
        <v>45373</v>
      </c>
      <c r="I332" s="843">
        <f t="shared" si="85"/>
        <v>10</v>
      </c>
      <c r="J332" s="843">
        <f t="shared" si="86"/>
        <v>495106</v>
      </c>
      <c r="K332" s="843">
        <f t="shared" si="87"/>
        <v>0</v>
      </c>
      <c r="L332" s="843">
        <f t="shared" si="88"/>
        <v>0</v>
      </c>
      <c r="M332" s="843">
        <f t="shared" si="89"/>
        <v>0</v>
      </c>
      <c r="N332" s="843">
        <f t="shared" si="90"/>
        <v>0</v>
      </c>
    </row>
    <row r="333" spans="1:14" ht="15.6">
      <c r="A333" s="838"/>
      <c r="B333" s="1762"/>
      <c r="C333" s="838"/>
      <c r="D333" s="839">
        <v>2199</v>
      </c>
      <c r="E333" s="840">
        <v>45345</v>
      </c>
      <c r="F333" s="1763">
        <v>441581</v>
      </c>
      <c r="G333" s="838">
        <v>30</v>
      </c>
      <c r="H333" s="842">
        <f t="shared" si="84"/>
        <v>45375</v>
      </c>
      <c r="I333" s="843">
        <f t="shared" si="85"/>
        <v>8</v>
      </c>
      <c r="J333" s="843">
        <f t="shared" si="86"/>
        <v>441581</v>
      </c>
      <c r="K333" s="843">
        <f t="shared" si="87"/>
        <v>0</v>
      </c>
      <c r="L333" s="843">
        <f t="shared" si="88"/>
        <v>0</v>
      </c>
      <c r="M333" s="843">
        <f t="shared" si="89"/>
        <v>0</v>
      </c>
      <c r="N333" s="843">
        <f t="shared" si="90"/>
        <v>0</v>
      </c>
    </row>
    <row r="334" spans="1:14" ht="15.6">
      <c r="A334" s="838"/>
      <c r="B334" s="1762"/>
      <c r="C334" s="838"/>
      <c r="D334" s="839">
        <v>2208</v>
      </c>
      <c r="E334" s="840">
        <v>45346</v>
      </c>
      <c r="F334" s="1763">
        <v>445064</v>
      </c>
      <c r="G334" s="838">
        <v>30</v>
      </c>
      <c r="H334" s="842">
        <f t="shared" si="84"/>
        <v>45376</v>
      </c>
      <c r="I334" s="843">
        <f t="shared" si="85"/>
        <v>7</v>
      </c>
      <c r="J334" s="843">
        <f t="shared" si="86"/>
        <v>445064</v>
      </c>
      <c r="K334" s="843">
        <f t="shared" si="87"/>
        <v>0</v>
      </c>
      <c r="L334" s="843">
        <f t="shared" si="88"/>
        <v>0</v>
      </c>
      <c r="M334" s="843">
        <f t="shared" si="89"/>
        <v>0</v>
      </c>
      <c r="N334" s="843">
        <f t="shared" si="90"/>
        <v>0</v>
      </c>
    </row>
    <row r="335" spans="1:14" ht="15.6">
      <c r="A335" s="838"/>
      <c r="B335" s="1762"/>
      <c r="C335" s="838"/>
      <c r="D335" s="839">
        <v>2246</v>
      </c>
      <c r="E335" s="840">
        <v>45350</v>
      </c>
      <c r="F335" s="1763">
        <v>446782</v>
      </c>
      <c r="G335" s="838">
        <v>30</v>
      </c>
      <c r="H335" s="842">
        <f t="shared" si="84"/>
        <v>45380</v>
      </c>
      <c r="I335" s="843">
        <f t="shared" si="85"/>
        <v>3</v>
      </c>
      <c r="J335" s="843">
        <f t="shared" si="86"/>
        <v>446782</v>
      </c>
      <c r="K335" s="843">
        <f t="shared" si="87"/>
        <v>0</v>
      </c>
      <c r="L335" s="843">
        <f t="shared" si="88"/>
        <v>0</v>
      </c>
      <c r="M335" s="843">
        <f t="shared" si="89"/>
        <v>0</v>
      </c>
      <c r="N335" s="843">
        <f t="shared" si="90"/>
        <v>0</v>
      </c>
    </row>
    <row r="336" spans="1:14" ht="15.6">
      <c r="A336" s="838"/>
      <c r="B336" s="1762"/>
      <c r="C336" s="838"/>
      <c r="D336" s="839">
        <v>2247</v>
      </c>
      <c r="E336" s="840">
        <v>45350</v>
      </c>
      <c r="F336" s="1763">
        <v>449354</v>
      </c>
      <c r="G336" s="838">
        <v>30</v>
      </c>
      <c r="H336" s="842">
        <f t="shared" si="84"/>
        <v>45380</v>
      </c>
      <c r="I336" s="843">
        <f t="shared" si="85"/>
        <v>3</v>
      </c>
      <c r="J336" s="843">
        <f t="shared" si="86"/>
        <v>449354</v>
      </c>
      <c r="K336" s="843">
        <f t="shared" si="87"/>
        <v>0</v>
      </c>
      <c r="L336" s="843">
        <f t="shared" si="88"/>
        <v>0</v>
      </c>
      <c r="M336" s="843">
        <f t="shared" si="89"/>
        <v>0</v>
      </c>
      <c r="N336" s="843">
        <f t="shared" si="90"/>
        <v>0</v>
      </c>
    </row>
    <row r="337" spans="1:14" ht="15.6">
      <c r="A337" s="838"/>
      <c r="B337" s="1762"/>
      <c r="C337" s="838"/>
      <c r="D337" s="839">
        <v>2254</v>
      </c>
      <c r="E337" s="840">
        <v>45351</v>
      </c>
      <c r="F337" s="1763">
        <v>145246</v>
      </c>
      <c r="G337" s="838">
        <v>30</v>
      </c>
      <c r="H337" s="842">
        <f t="shared" si="84"/>
        <v>45381</v>
      </c>
      <c r="I337" s="843">
        <f t="shared" si="85"/>
        <v>2</v>
      </c>
      <c r="J337" s="843">
        <f t="shared" si="86"/>
        <v>145246</v>
      </c>
      <c r="K337" s="843">
        <f t="shared" si="87"/>
        <v>0</v>
      </c>
      <c r="L337" s="843">
        <f t="shared" si="88"/>
        <v>0</v>
      </c>
      <c r="M337" s="843">
        <f t="shared" si="89"/>
        <v>0</v>
      </c>
      <c r="N337" s="843">
        <f t="shared" si="90"/>
        <v>0</v>
      </c>
    </row>
    <row r="338" spans="1:14" ht="15.6">
      <c r="A338" s="838"/>
      <c r="B338" s="1762"/>
      <c r="C338" s="838"/>
      <c r="D338" s="839">
        <v>2279</v>
      </c>
      <c r="E338" s="840">
        <v>45354</v>
      </c>
      <c r="F338" s="1763">
        <v>605981</v>
      </c>
      <c r="G338" s="838">
        <v>30</v>
      </c>
      <c r="H338" s="842">
        <f t="shared" si="84"/>
        <v>45384</v>
      </c>
      <c r="I338" s="843">
        <f t="shared" si="85"/>
        <v>-1</v>
      </c>
      <c r="J338" s="843">
        <f t="shared" si="86"/>
        <v>605981</v>
      </c>
      <c r="K338" s="843">
        <f t="shared" si="87"/>
        <v>0</v>
      </c>
      <c r="L338" s="843">
        <f t="shared" si="88"/>
        <v>0</v>
      </c>
      <c r="M338" s="843">
        <f t="shared" si="89"/>
        <v>0</v>
      </c>
      <c r="N338" s="843">
        <f t="shared" si="90"/>
        <v>0</v>
      </c>
    </row>
    <row r="339" spans="1:14" ht="15.6">
      <c r="A339" s="838"/>
      <c r="B339" s="1762"/>
      <c r="C339" s="838"/>
      <c r="D339" s="839">
        <v>2310</v>
      </c>
      <c r="E339" s="840">
        <v>45358</v>
      </c>
      <c r="F339" s="1763">
        <v>706024</v>
      </c>
      <c r="G339" s="838">
        <v>30</v>
      </c>
      <c r="H339" s="842">
        <f t="shared" si="84"/>
        <v>45388</v>
      </c>
      <c r="I339" s="843">
        <f t="shared" si="85"/>
        <v>-5</v>
      </c>
      <c r="J339" s="843">
        <f t="shared" si="86"/>
        <v>706024</v>
      </c>
      <c r="K339" s="843">
        <f t="shared" si="87"/>
        <v>0</v>
      </c>
      <c r="L339" s="843">
        <f t="shared" si="88"/>
        <v>0</v>
      </c>
      <c r="M339" s="843">
        <f t="shared" si="89"/>
        <v>0</v>
      </c>
      <c r="N339" s="843">
        <f t="shared" si="90"/>
        <v>0</v>
      </c>
    </row>
    <row r="340" spans="1:14" ht="15.6">
      <c r="A340" s="838"/>
      <c r="B340" s="1762"/>
      <c r="C340" s="838"/>
      <c r="D340" s="839">
        <v>2330</v>
      </c>
      <c r="E340" s="840">
        <v>45361</v>
      </c>
      <c r="F340" s="1763">
        <v>475444</v>
      </c>
      <c r="G340" s="838">
        <v>30</v>
      </c>
      <c r="H340" s="842">
        <f t="shared" si="84"/>
        <v>45391</v>
      </c>
      <c r="I340" s="843">
        <f t="shared" si="85"/>
        <v>-8</v>
      </c>
      <c r="J340" s="843">
        <f t="shared" si="86"/>
        <v>475444</v>
      </c>
      <c r="K340" s="843">
        <f t="shared" si="87"/>
        <v>0</v>
      </c>
      <c r="L340" s="843">
        <f t="shared" si="88"/>
        <v>0</v>
      </c>
      <c r="M340" s="843">
        <f t="shared" si="89"/>
        <v>0</v>
      </c>
      <c r="N340" s="843">
        <f t="shared" si="90"/>
        <v>0</v>
      </c>
    </row>
    <row r="341" spans="1:14" ht="15.6">
      <c r="A341" s="838"/>
      <c r="B341" s="1762"/>
      <c r="C341" s="838"/>
      <c r="D341" s="839">
        <v>2334</v>
      </c>
      <c r="E341" s="840">
        <v>45362</v>
      </c>
      <c r="F341" s="1763">
        <v>528066</v>
      </c>
      <c r="G341" s="838">
        <v>30</v>
      </c>
      <c r="H341" s="842">
        <f t="shared" si="84"/>
        <v>45392</v>
      </c>
      <c r="I341" s="843">
        <f t="shared" si="85"/>
        <v>-9</v>
      </c>
      <c r="J341" s="843">
        <f t="shared" si="86"/>
        <v>528066</v>
      </c>
      <c r="K341" s="843">
        <f t="shared" si="87"/>
        <v>0</v>
      </c>
      <c r="L341" s="843">
        <f t="shared" si="88"/>
        <v>0</v>
      </c>
      <c r="M341" s="843">
        <f t="shared" si="89"/>
        <v>0</v>
      </c>
      <c r="N341" s="843">
        <f t="shared" si="90"/>
        <v>0</v>
      </c>
    </row>
    <row r="342" spans="1:14" ht="15.6">
      <c r="A342" s="838"/>
      <c r="B342" s="1762"/>
      <c r="C342" s="838"/>
      <c r="D342" s="839">
        <v>2336</v>
      </c>
      <c r="E342" s="840">
        <v>45362</v>
      </c>
      <c r="F342" s="1763">
        <v>613058</v>
      </c>
      <c r="G342" s="838">
        <v>30</v>
      </c>
      <c r="H342" s="842">
        <f t="shared" si="84"/>
        <v>45392</v>
      </c>
      <c r="I342" s="843">
        <f t="shared" si="85"/>
        <v>-9</v>
      </c>
      <c r="J342" s="843">
        <f t="shared" si="86"/>
        <v>613058</v>
      </c>
      <c r="K342" s="843">
        <f t="shared" si="87"/>
        <v>0</v>
      </c>
      <c r="L342" s="843">
        <f t="shared" si="88"/>
        <v>0</v>
      </c>
      <c r="M342" s="843">
        <f t="shared" si="89"/>
        <v>0</v>
      </c>
      <c r="N342" s="843">
        <f t="shared" si="90"/>
        <v>0</v>
      </c>
    </row>
    <row r="343" spans="1:14" ht="15.6">
      <c r="A343" s="838"/>
      <c r="B343" s="1762"/>
      <c r="C343" s="838"/>
      <c r="D343" s="839">
        <v>2341</v>
      </c>
      <c r="E343" s="840">
        <v>45363</v>
      </c>
      <c r="F343" s="1763">
        <v>490105</v>
      </c>
      <c r="G343" s="838">
        <v>30</v>
      </c>
      <c r="H343" s="842">
        <f t="shared" si="84"/>
        <v>45393</v>
      </c>
      <c r="I343" s="843">
        <f t="shared" si="85"/>
        <v>-10</v>
      </c>
      <c r="J343" s="843">
        <f t="shared" si="86"/>
        <v>490105</v>
      </c>
      <c r="K343" s="843">
        <f t="shared" si="87"/>
        <v>0</v>
      </c>
      <c r="L343" s="843">
        <f t="shared" si="88"/>
        <v>0</v>
      </c>
      <c r="M343" s="843">
        <f t="shared" si="89"/>
        <v>0</v>
      </c>
      <c r="N343" s="843">
        <f t="shared" si="90"/>
        <v>0</v>
      </c>
    </row>
    <row r="344" spans="1:14" ht="15.6">
      <c r="A344" s="838"/>
      <c r="B344" s="1762"/>
      <c r="C344" s="838"/>
      <c r="D344" s="839">
        <v>2351</v>
      </c>
      <c r="E344" s="840">
        <v>45368</v>
      </c>
      <c r="F344" s="1763">
        <v>86102</v>
      </c>
      <c r="G344" s="838">
        <v>30</v>
      </c>
      <c r="H344" s="842">
        <f t="shared" si="84"/>
        <v>45398</v>
      </c>
      <c r="I344" s="843">
        <f t="shared" si="85"/>
        <v>-15</v>
      </c>
      <c r="J344" s="843">
        <f t="shared" si="86"/>
        <v>86102</v>
      </c>
      <c r="K344" s="843">
        <f t="shared" si="87"/>
        <v>0</v>
      </c>
      <c r="L344" s="843">
        <f t="shared" si="88"/>
        <v>0</v>
      </c>
      <c r="M344" s="843">
        <f t="shared" si="89"/>
        <v>0</v>
      </c>
      <c r="N344" s="843">
        <f t="shared" si="90"/>
        <v>0</v>
      </c>
    </row>
    <row r="345" spans="1:14" ht="15.6">
      <c r="A345" s="838"/>
      <c r="B345" s="1762"/>
      <c r="C345" s="838"/>
      <c r="D345" s="839">
        <v>2352</v>
      </c>
      <c r="E345" s="840">
        <v>45368</v>
      </c>
      <c r="F345" s="1763">
        <v>732849</v>
      </c>
      <c r="G345" s="838">
        <v>30</v>
      </c>
      <c r="H345" s="842">
        <f t="shared" si="84"/>
        <v>45398</v>
      </c>
      <c r="I345" s="843">
        <f t="shared" si="85"/>
        <v>-15</v>
      </c>
      <c r="J345" s="843">
        <f t="shared" si="86"/>
        <v>732849</v>
      </c>
      <c r="K345" s="843">
        <f t="shared" si="87"/>
        <v>0</v>
      </c>
      <c r="L345" s="843">
        <f t="shared" si="88"/>
        <v>0</v>
      </c>
      <c r="M345" s="843">
        <f t="shared" si="89"/>
        <v>0</v>
      </c>
      <c r="N345" s="843">
        <f t="shared" si="90"/>
        <v>0</v>
      </c>
    </row>
    <row r="346" spans="1:14" ht="15.6">
      <c r="A346" s="838"/>
      <c r="B346" s="1762"/>
      <c r="C346" s="838"/>
      <c r="D346" s="839">
        <v>2368</v>
      </c>
      <c r="E346" s="840">
        <v>45370</v>
      </c>
      <c r="F346" s="1763">
        <v>60400</v>
      </c>
      <c r="G346" s="838">
        <v>30</v>
      </c>
      <c r="H346" s="842">
        <f t="shared" si="84"/>
        <v>45400</v>
      </c>
      <c r="I346" s="843">
        <f t="shared" si="85"/>
        <v>-17</v>
      </c>
      <c r="J346" s="843">
        <f t="shared" si="86"/>
        <v>60400</v>
      </c>
      <c r="K346" s="843">
        <f t="shared" si="87"/>
        <v>0</v>
      </c>
      <c r="L346" s="843">
        <f t="shared" si="88"/>
        <v>0</v>
      </c>
      <c r="M346" s="843">
        <f t="shared" si="89"/>
        <v>0</v>
      </c>
      <c r="N346" s="843">
        <f t="shared" si="90"/>
        <v>0</v>
      </c>
    </row>
    <row r="347" spans="1:14" ht="15.6">
      <c r="A347" s="838"/>
      <c r="B347" s="1762"/>
      <c r="C347" s="838"/>
      <c r="D347" s="839">
        <v>2377</v>
      </c>
      <c r="E347" s="840">
        <v>45371</v>
      </c>
      <c r="F347" s="1763">
        <v>51251</v>
      </c>
      <c r="G347" s="838">
        <v>30</v>
      </c>
      <c r="H347" s="842">
        <f t="shared" si="84"/>
        <v>45401</v>
      </c>
      <c r="I347" s="843">
        <f t="shared" si="85"/>
        <v>-18</v>
      </c>
      <c r="J347" s="843">
        <f t="shared" si="86"/>
        <v>51251</v>
      </c>
      <c r="K347" s="843">
        <f t="shared" si="87"/>
        <v>0</v>
      </c>
      <c r="L347" s="843">
        <f t="shared" si="88"/>
        <v>0</v>
      </c>
      <c r="M347" s="843">
        <f t="shared" si="89"/>
        <v>0</v>
      </c>
      <c r="N347" s="843">
        <f t="shared" si="90"/>
        <v>0</v>
      </c>
    </row>
    <row r="348" spans="1:14" ht="15.6">
      <c r="A348" s="838"/>
      <c r="B348" s="1762"/>
      <c r="C348" s="838"/>
      <c r="D348" s="839">
        <v>2388</v>
      </c>
      <c r="E348" s="840">
        <v>45373</v>
      </c>
      <c r="F348" s="1763">
        <v>611063</v>
      </c>
      <c r="G348" s="838">
        <v>30</v>
      </c>
      <c r="H348" s="842">
        <f t="shared" si="84"/>
        <v>45403</v>
      </c>
      <c r="I348" s="843">
        <f t="shared" si="85"/>
        <v>-20</v>
      </c>
      <c r="J348" s="843">
        <f t="shared" si="86"/>
        <v>611063</v>
      </c>
      <c r="K348" s="843">
        <f t="shared" si="87"/>
        <v>0</v>
      </c>
      <c r="L348" s="843">
        <f t="shared" si="88"/>
        <v>0</v>
      </c>
      <c r="M348" s="843">
        <f t="shared" si="89"/>
        <v>0</v>
      </c>
      <c r="N348" s="843">
        <f t="shared" si="90"/>
        <v>0</v>
      </c>
    </row>
    <row r="349" spans="1:14" ht="15.6">
      <c r="A349" s="838"/>
      <c r="B349" s="1762"/>
      <c r="C349" s="838"/>
      <c r="D349" s="839">
        <v>2396</v>
      </c>
      <c r="E349" s="840">
        <v>45374</v>
      </c>
      <c r="F349" s="1763">
        <v>70631</v>
      </c>
      <c r="G349" s="838">
        <v>30</v>
      </c>
      <c r="H349" s="842">
        <f t="shared" si="84"/>
        <v>45404</v>
      </c>
      <c r="I349" s="843">
        <f t="shared" si="85"/>
        <v>-21</v>
      </c>
      <c r="J349" s="843">
        <f t="shared" si="86"/>
        <v>70631</v>
      </c>
      <c r="K349" s="843">
        <f t="shared" si="87"/>
        <v>0</v>
      </c>
      <c r="L349" s="843">
        <f t="shared" si="88"/>
        <v>0</v>
      </c>
      <c r="M349" s="843">
        <f t="shared" si="89"/>
        <v>0</v>
      </c>
      <c r="N349" s="843">
        <f t="shared" si="90"/>
        <v>0</v>
      </c>
    </row>
    <row r="350" spans="1:14" ht="15.6">
      <c r="A350" s="838"/>
      <c r="B350" s="1762"/>
      <c r="C350" s="838"/>
      <c r="D350" s="839">
        <v>2447</v>
      </c>
      <c r="E350" s="840">
        <v>45382</v>
      </c>
      <c r="F350" s="1763">
        <v>18774</v>
      </c>
      <c r="G350" s="838">
        <v>30</v>
      </c>
      <c r="H350" s="842">
        <f t="shared" si="84"/>
        <v>45412</v>
      </c>
      <c r="I350" s="843">
        <f t="shared" si="85"/>
        <v>-29</v>
      </c>
      <c r="J350" s="843">
        <f t="shared" si="86"/>
        <v>18774</v>
      </c>
      <c r="K350" s="843">
        <f t="shared" si="87"/>
        <v>0</v>
      </c>
      <c r="L350" s="843">
        <f t="shared" si="88"/>
        <v>0</v>
      </c>
      <c r="M350" s="843">
        <f t="shared" si="89"/>
        <v>0</v>
      </c>
      <c r="N350" s="843">
        <f t="shared" si="90"/>
        <v>0</v>
      </c>
    </row>
    <row r="351" spans="1:14" ht="15.6">
      <c r="A351" s="838"/>
      <c r="B351" s="1762"/>
      <c r="C351" s="838"/>
      <c r="D351" s="839">
        <v>2449</v>
      </c>
      <c r="E351" s="840">
        <v>45382</v>
      </c>
      <c r="F351" s="1763">
        <v>60022</v>
      </c>
      <c r="G351" s="838">
        <v>30</v>
      </c>
      <c r="H351" s="842">
        <f t="shared" si="84"/>
        <v>45412</v>
      </c>
      <c r="I351" s="843">
        <f t="shared" si="85"/>
        <v>-29</v>
      </c>
      <c r="J351" s="843">
        <f t="shared" si="86"/>
        <v>60022</v>
      </c>
      <c r="K351" s="843">
        <f t="shared" si="87"/>
        <v>0</v>
      </c>
      <c r="L351" s="843">
        <f t="shared" si="88"/>
        <v>0</v>
      </c>
      <c r="M351" s="843">
        <f t="shared" si="89"/>
        <v>0</v>
      </c>
      <c r="N351" s="843">
        <f t="shared" si="90"/>
        <v>0</v>
      </c>
    </row>
    <row r="352" spans="1:14" ht="15.6">
      <c r="A352" s="838"/>
      <c r="B352" s="838"/>
      <c r="C352" s="838"/>
      <c r="D352" s="839"/>
      <c r="E352" s="840">
        <v>45382</v>
      </c>
      <c r="F352" s="1764">
        <v>-454713</v>
      </c>
      <c r="G352" s="838">
        <v>30</v>
      </c>
      <c r="H352" s="842">
        <f t="shared" si="84"/>
        <v>45412</v>
      </c>
      <c r="I352" s="843">
        <f t="shared" si="85"/>
        <v>-29</v>
      </c>
      <c r="J352" s="843">
        <f t="shared" si="86"/>
        <v>-454713</v>
      </c>
      <c r="K352" s="843">
        <f t="shared" si="87"/>
        <v>0</v>
      </c>
      <c r="L352" s="843">
        <f t="shared" si="88"/>
        <v>0</v>
      </c>
      <c r="M352" s="843">
        <f t="shared" si="89"/>
        <v>0</v>
      </c>
      <c r="N352" s="843">
        <f t="shared" si="90"/>
        <v>0</v>
      </c>
    </row>
    <row r="353" spans="1:16" ht="15.6">
      <c r="A353" s="1765"/>
      <c r="B353" s="1765"/>
      <c r="C353" s="1765"/>
      <c r="D353" s="1771"/>
      <c r="E353" s="1772"/>
      <c r="F353" s="1773">
        <f>SUM(F315:F352)</f>
        <v>14904501</v>
      </c>
      <c r="G353" s="1765"/>
      <c r="H353" s="1766"/>
      <c r="I353" s="1768"/>
      <c r="J353" s="1773">
        <f>SUM(J315:J352)</f>
        <v>13088199</v>
      </c>
      <c r="K353" s="1773">
        <f t="shared" ref="K353:N353" si="91">SUM(K315:K352)</f>
        <v>1816302</v>
      </c>
      <c r="L353" s="1773">
        <f t="shared" si="91"/>
        <v>0</v>
      </c>
      <c r="M353" s="1773">
        <f t="shared" si="91"/>
        <v>0</v>
      </c>
      <c r="N353" s="1773">
        <f t="shared" si="91"/>
        <v>0</v>
      </c>
      <c r="O353" s="773">
        <f>+SUM(J353:N353)</f>
        <v>14904501</v>
      </c>
      <c r="P353" s="1769">
        <f>+F353-O353</f>
        <v>0</v>
      </c>
    </row>
    <row r="354" spans="1:16">
      <c r="A354" s="838"/>
      <c r="B354" s="838"/>
      <c r="C354" s="838"/>
      <c r="D354" s="838"/>
      <c r="E354" s="842"/>
      <c r="F354" s="843"/>
      <c r="G354" s="838"/>
      <c r="H354" s="842"/>
      <c r="I354" s="843"/>
      <c r="J354" s="843">
        <f t="shared" ref="J354" si="92">IF(I354&lt;=30,F354,0)</f>
        <v>0</v>
      </c>
      <c r="K354" s="843">
        <f t="shared" ref="K354" si="93">IF(I354&lt;=30,0,IF(I354&gt;60,0,F354))</f>
        <v>0</v>
      </c>
      <c r="L354" s="843">
        <f t="shared" ref="L354" si="94">IF(I354&lt;=60,0,IF(I354&gt;90,0,F354))</f>
        <v>0</v>
      </c>
      <c r="M354" s="843">
        <f t="shared" ref="M354" si="95">IF(I354&lt;=90,0,IF(I354&gt;120,0,F354))</f>
        <v>0</v>
      </c>
      <c r="N354" s="843">
        <f t="shared" ref="N354" si="96">IF(I354&lt;=120,0,F354)</f>
        <v>0</v>
      </c>
    </row>
    <row r="355" spans="1:16" ht="24" customHeight="1">
      <c r="A355" s="1789"/>
      <c r="B355" s="1790" t="s">
        <v>824</v>
      </c>
      <c r="C355" s="1789"/>
      <c r="D355" s="1790"/>
      <c r="E355" s="1791"/>
      <c r="F355" s="1792">
        <f>+F14+F17+F27+F30+F33+F36+F39+F111+F116+F119+F122+F125+F131+F194+F249+F252+F255+F303+F308+F311+F314+F353</f>
        <v>80927803</v>
      </c>
      <c r="G355" s="1793"/>
      <c r="H355" s="1791"/>
      <c r="I355" s="1793"/>
      <c r="J355" s="1792">
        <f>+J14+J17+J27+J30+J33+J36+J39+J111+J116+J119+J122+J125+J131+J194+J249+J252+J255+J303+J308+J311+J314+J353</f>
        <v>79062228</v>
      </c>
      <c r="K355" s="1792">
        <f>+K14+K17+K27+K30+K33+K36+K39+K111+K116+K119+K122+K125+K131+K194+K249+K252+K255+K303+K308+K311+K314+K353</f>
        <v>1865575</v>
      </c>
      <c r="L355" s="1792">
        <f>+L14+L17+L27+L30+L33+L36+L39+L111+L116+L119+L122+L125+L131+L194+L249+L252+L255+L303+L308+L311+L314+L353</f>
        <v>0</v>
      </c>
      <c r="M355" s="1792">
        <f>+M14+M17+M27+M30+M33+M36+M39+M111+M116+M119+M122+M125+M131+M194+M249+M252+M255+M303+M308+M311+M314+M353</f>
        <v>0</v>
      </c>
      <c r="N355" s="1792">
        <f>+N14+N17+N27+N30+N33+N36+N39+N111+N116+N119+N122+N125+N131+N194+N249+N252+N255+N303+N308+N311+N314+N353</f>
        <v>0</v>
      </c>
    </row>
    <row r="356" spans="1:16">
      <c r="B356" s="762"/>
      <c r="C356" s="763"/>
      <c r="D356" s="728"/>
      <c r="E356" s="764"/>
      <c r="F356" s="765"/>
      <c r="G356" s="766"/>
      <c r="H356" s="764"/>
      <c r="I356" s="728"/>
      <c r="J356" s="728"/>
    </row>
    <row r="357" spans="1:16">
      <c r="B357" s="762"/>
      <c r="C357" s="763"/>
      <c r="D357" s="728"/>
      <c r="E357" s="767"/>
      <c r="F357" s="765"/>
      <c r="G357" s="766"/>
      <c r="H357" s="764"/>
      <c r="I357" s="728"/>
      <c r="J357" s="773">
        <f>+F359</f>
        <v>1651</v>
      </c>
      <c r="N357" s="773">
        <f>+F358</f>
        <v>231314</v>
      </c>
    </row>
    <row r="358" spans="1:16" ht="18">
      <c r="B358" s="1794" t="s">
        <v>3118</v>
      </c>
      <c r="C358" s="1795"/>
      <c r="D358" s="1796" t="s">
        <v>3119</v>
      </c>
      <c r="E358" s="1797"/>
      <c r="F358" s="1798">
        <v>231314</v>
      </c>
      <c r="G358" s="1799"/>
      <c r="H358" s="764"/>
      <c r="I358" s="728"/>
      <c r="J358" s="728"/>
    </row>
    <row r="359" spans="1:16" ht="18">
      <c r="B359" s="1794" t="s">
        <v>3120</v>
      </c>
      <c r="C359" s="1795"/>
      <c r="D359" s="1796" t="s">
        <v>3121</v>
      </c>
      <c r="E359" s="1797"/>
      <c r="F359" s="1798">
        <v>1651</v>
      </c>
      <c r="G359" s="766"/>
      <c r="H359" s="764"/>
      <c r="I359" s="728"/>
      <c r="J359" s="728"/>
    </row>
    <row r="360" spans="1:16">
      <c r="B360" s="762"/>
      <c r="C360" s="763"/>
      <c r="D360" s="728" t="s">
        <v>2002</v>
      </c>
      <c r="E360" s="767"/>
      <c r="F360" s="1800">
        <f>8-5</f>
        <v>3</v>
      </c>
      <c r="G360" s="766"/>
      <c r="H360" s="764"/>
      <c r="I360" s="728"/>
      <c r="J360" s="728"/>
    </row>
    <row r="361" spans="1:16" ht="19.8">
      <c r="B361" s="762"/>
      <c r="C361" s="763"/>
      <c r="D361" s="728"/>
      <c r="E361" s="767"/>
      <c r="F361" s="1801">
        <f>SUM(F355:F360)</f>
        <v>81160771</v>
      </c>
      <c r="G361" s="766"/>
      <c r="H361" s="764"/>
      <c r="I361" s="728"/>
      <c r="J361" s="770"/>
    </row>
    <row r="362" spans="1:16">
      <c r="B362" s="762"/>
      <c r="C362" s="763"/>
      <c r="D362" s="728"/>
      <c r="E362" s="764"/>
      <c r="F362" s="765"/>
      <c r="G362" s="766"/>
      <c r="H362" s="764"/>
      <c r="I362" s="728"/>
      <c r="J362" s="728"/>
    </row>
    <row r="363" spans="1:16">
      <c r="B363" s="762"/>
      <c r="C363" s="763"/>
      <c r="D363" s="728"/>
      <c r="E363" s="764"/>
      <c r="F363" s="765"/>
      <c r="G363" s="766"/>
      <c r="H363" s="764"/>
      <c r="I363" s="728"/>
      <c r="J363" s="728"/>
    </row>
    <row r="364" spans="1:16">
      <c r="B364" s="762"/>
      <c r="C364" s="763"/>
      <c r="D364" s="728"/>
      <c r="E364" s="764"/>
      <c r="F364" s="765"/>
      <c r="G364" s="766"/>
      <c r="H364" s="764"/>
      <c r="I364" s="728"/>
      <c r="J364" s="728"/>
    </row>
  </sheetData>
  <customSheetViews>
    <customSheetView guid="{ADEA4918-0326-423A-8D00-FB47A486004B}" scale="85" showPageBreaks="1" printArea="1" view="pageBreakPreview" topLeftCell="C350">
      <selection activeCell="J355" sqref="J355:N357"/>
      <colBreaks count="1" manualBreakCount="1">
        <brk id="14" max="1048575" man="1"/>
      </colBreaks>
      <pageMargins left="0.31496062992125984" right="0" top="0.74803149606299213" bottom="0.74803149606299213" header="0.31496062992125984" footer="0.31496062992125984"/>
      <pageSetup paperSize="9" scale="55" orientation="landscape" r:id="rId1"/>
    </customSheetView>
    <customSheetView guid="{2A78E287-3113-4387-BB62-BE98FA5C13C2}" scale="85" showPageBreaks="1" printArea="1" view="pageBreakPreview" topLeftCell="A349">
      <selection activeCell="H46" sqref="H46"/>
      <colBreaks count="1" manualBreakCount="1">
        <brk id="14" max="1048575" man="1"/>
      </colBreaks>
      <pageMargins left="0.31496062992125984" right="0" top="0.74803149606299213" bottom="0.74803149606299213" header="0.31496062992125984" footer="0.31496062992125984"/>
      <pageSetup paperSize="9" scale="55" orientation="landscape" r:id="rId2"/>
    </customSheetView>
    <customSheetView guid="{DC5DA12B-0FA6-4F41-A983-6E433AD4604D}" scale="85" showPageBreaks="1" printArea="1" view="pageBreakPreview" topLeftCell="A349">
      <selection activeCell="H46" sqref="H46"/>
      <colBreaks count="1" manualBreakCount="1">
        <brk id="14" max="1048575" man="1"/>
      </colBreaks>
      <pageMargins left="0.31496062992125984" right="0" top="0.74803149606299213" bottom="0.74803149606299213" header="0.31496062992125984" footer="0.31496062992125984"/>
      <pageSetup paperSize="9" scale="55" orientation="landscape" r:id="rId3"/>
    </customSheetView>
  </customSheetViews>
  <mergeCells count="12">
    <mergeCell ref="I5:I6"/>
    <mergeCell ref="J5:N5"/>
    <mergeCell ref="A1:N1"/>
    <mergeCell ref="A3:N3"/>
    <mergeCell ref="A5:A6"/>
    <mergeCell ref="B5:B6"/>
    <mergeCell ref="C5:C6"/>
    <mergeCell ref="D5:D6"/>
    <mergeCell ref="E5:E6"/>
    <mergeCell ref="F5:F6"/>
    <mergeCell ref="G5:G6"/>
    <mergeCell ref="H5:H6"/>
  </mergeCells>
  <pageMargins left="0.31496062992125984" right="0" top="0.74803149606299213" bottom="0.74803149606299213" header="0.31496062992125984" footer="0.31496062992125984"/>
  <pageSetup paperSize="9" scale="55" orientation="landscape" r:id="rId4"/>
  <colBreaks count="1" manualBreakCount="1">
    <brk id="14" max="1048575" man="1"/>
  </colBreaks>
  <legacy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E57"/>
  <sheetViews>
    <sheetView workbookViewId="0">
      <selection activeCell="H46" sqref="H46"/>
    </sheetView>
  </sheetViews>
  <sheetFormatPr defaultRowHeight="14.4"/>
  <cols>
    <col min="1" max="2" width="5.6640625" customWidth="1"/>
    <col min="3" max="3" width="30.44140625" bestFit="1" customWidth="1"/>
    <col min="4" max="15" width="4.6640625" customWidth="1"/>
    <col min="16" max="16" width="6.6640625" customWidth="1"/>
    <col min="17" max="17" width="4.6640625" customWidth="1"/>
    <col min="18" max="18" width="6.6640625" customWidth="1"/>
    <col min="19" max="19" width="4.6640625" customWidth="1"/>
    <col min="20" max="20" width="7.33203125" bestFit="1" customWidth="1"/>
    <col min="21" max="21" width="10.6640625" customWidth="1"/>
    <col min="22" max="22" width="11.5546875" bestFit="1" customWidth="1"/>
    <col min="23" max="23" width="10.44140625" bestFit="1" customWidth="1"/>
    <col min="24" max="24" width="10.6640625" customWidth="1"/>
    <col min="27" max="27" width="9.33203125" bestFit="1" customWidth="1"/>
  </cols>
  <sheetData>
    <row r="2" spans="1:31" ht="17.399999999999999">
      <c r="A2" s="2590" t="s">
        <v>702</v>
      </c>
      <c r="B2" s="2590"/>
      <c r="C2" s="2590"/>
      <c r="D2" s="2590"/>
      <c r="E2" s="2590"/>
      <c r="F2" s="2590"/>
      <c r="G2" s="2590"/>
      <c r="H2" s="2590"/>
      <c r="I2" s="2590"/>
      <c r="J2" s="2590"/>
      <c r="K2" s="2590"/>
      <c r="L2" s="2590"/>
      <c r="M2" s="2590"/>
      <c r="N2" s="2590"/>
      <c r="O2" s="2590"/>
      <c r="P2" s="2590"/>
      <c r="Q2" s="2590"/>
      <c r="R2" s="2590"/>
      <c r="S2" s="2590"/>
      <c r="T2" s="2590"/>
      <c r="U2" s="2590"/>
      <c r="V2" s="2590"/>
      <c r="W2" s="2590"/>
      <c r="X2" s="2590"/>
    </row>
    <row r="3" spans="1:31" ht="15.6">
      <c r="A3" s="2591" t="s">
        <v>2513</v>
      </c>
      <c r="B3" s="2591"/>
      <c r="C3" s="2591"/>
      <c r="D3" s="2591"/>
      <c r="E3" s="2591"/>
      <c r="F3" s="2591"/>
      <c r="G3" s="2591"/>
      <c r="H3" s="2591"/>
      <c r="I3" s="2591"/>
      <c r="J3" s="2591"/>
      <c r="K3" s="2591"/>
      <c r="L3" s="2591"/>
      <c r="M3" s="2591"/>
      <c r="N3" s="2591"/>
      <c r="O3" s="2591"/>
      <c r="P3" s="2591"/>
      <c r="Q3" s="2591"/>
      <c r="R3" s="2591"/>
      <c r="S3" s="2591"/>
      <c r="T3" s="2591"/>
      <c r="U3" s="2591"/>
      <c r="V3" s="2591"/>
      <c r="W3" s="2591"/>
      <c r="X3" s="2591"/>
    </row>
    <row r="5" spans="1:31">
      <c r="A5" s="695" t="s">
        <v>2514</v>
      </c>
      <c r="B5" s="696"/>
      <c r="C5" s="695" t="s">
        <v>2515</v>
      </c>
      <c r="D5" s="2585" t="s">
        <v>2516</v>
      </c>
      <c r="E5" s="2586"/>
      <c r="F5" s="2586"/>
      <c r="G5" s="2586"/>
      <c r="H5" s="2586"/>
      <c r="I5" s="2586"/>
      <c r="J5" s="2586"/>
      <c r="K5" s="2586"/>
      <c r="L5" s="2586"/>
      <c r="M5" s="2586"/>
      <c r="N5" s="2586"/>
      <c r="O5" s="2587"/>
      <c r="P5" s="2588" t="s">
        <v>2517</v>
      </c>
      <c r="Q5" s="2589"/>
      <c r="R5" s="2588" t="s">
        <v>2517</v>
      </c>
      <c r="S5" s="2589"/>
      <c r="T5" s="697" t="s">
        <v>2107</v>
      </c>
      <c r="U5" s="697" t="s">
        <v>2518</v>
      </c>
      <c r="V5" s="697" t="s">
        <v>2519</v>
      </c>
      <c r="W5" s="697" t="s">
        <v>2519</v>
      </c>
      <c r="X5" s="697" t="s">
        <v>2107</v>
      </c>
    </row>
    <row r="6" spans="1:31">
      <c r="A6" s="698"/>
      <c r="B6" s="699"/>
      <c r="C6" s="698"/>
      <c r="D6" s="698"/>
      <c r="E6" s="698"/>
      <c r="F6" s="698"/>
      <c r="G6" s="698"/>
      <c r="H6" s="698"/>
      <c r="I6" s="698"/>
      <c r="J6" s="698"/>
      <c r="K6" s="698"/>
      <c r="L6" s="698"/>
      <c r="M6" s="698"/>
      <c r="N6" s="698"/>
      <c r="O6" s="698"/>
      <c r="P6" s="2581" t="s">
        <v>2520</v>
      </c>
      <c r="Q6" s="2582"/>
      <c r="R6" s="2581" t="s">
        <v>2521</v>
      </c>
      <c r="S6" s="2582"/>
      <c r="T6" s="700" t="s">
        <v>2517</v>
      </c>
      <c r="U6" s="700" t="s">
        <v>2522</v>
      </c>
      <c r="V6" s="700" t="s">
        <v>2520</v>
      </c>
      <c r="W6" s="700" t="s">
        <v>2521</v>
      </c>
      <c r="X6" s="700" t="s">
        <v>1975</v>
      </c>
    </row>
    <row r="7" spans="1:31">
      <c r="A7" s="698"/>
      <c r="B7" s="699"/>
      <c r="C7" s="698"/>
      <c r="D7" s="698">
        <v>4</v>
      </c>
      <c r="E7" s="698">
        <v>5</v>
      </c>
      <c r="F7" s="698">
        <v>6</v>
      </c>
      <c r="G7" s="698">
        <v>7</v>
      </c>
      <c r="H7" s="698">
        <v>8</v>
      </c>
      <c r="I7" s="698">
        <v>9</v>
      </c>
      <c r="J7" s="698">
        <v>10</v>
      </c>
      <c r="K7" s="698">
        <v>11</v>
      </c>
      <c r="L7" s="698">
        <v>12</v>
      </c>
      <c r="M7" s="698">
        <v>1</v>
      </c>
      <c r="N7" s="698">
        <v>2</v>
      </c>
      <c r="O7" s="698">
        <v>3</v>
      </c>
      <c r="P7" s="2581" t="s">
        <v>2523</v>
      </c>
      <c r="Q7" s="2582"/>
      <c r="R7" s="2581" t="s">
        <v>2523</v>
      </c>
      <c r="S7" s="2582"/>
      <c r="T7" s="700"/>
      <c r="U7" s="700" t="s">
        <v>2524</v>
      </c>
      <c r="V7" s="700" t="s">
        <v>2523</v>
      </c>
      <c r="W7" s="700" t="s">
        <v>2523</v>
      </c>
      <c r="X7" s="700" t="s">
        <v>2524</v>
      </c>
    </row>
    <row r="8" spans="1:31" ht="15" thickBot="1">
      <c r="A8" s="701"/>
      <c r="B8" s="702"/>
      <c r="C8" s="701"/>
      <c r="D8" s="701"/>
      <c r="E8" s="701"/>
      <c r="F8" s="701"/>
      <c r="G8" s="701"/>
      <c r="H8" s="701"/>
      <c r="I8" s="701"/>
      <c r="J8" s="701"/>
      <c r="K8" s="701"/>
      <c r="L8" s="701"/>
      <c r="M8" s="701"/>
      <c r="N8" s="701"/>
      <c r="O8" s="701"/>
      <c r="P8" s="2583" t="s">
        <v>2525</v>
      </c>
      <c r="Q8" s="2584"/>
      <c r="R8" s="2583" t="s">
        <v>2526</v>
      </c>
      <c r="S8" s="2584"/>
      <c r="T8" s="703"/>
      <c r="U8" s="703"/>
      <c r="V8" s="703" t="s">
        <v>2525</v>
      </c>
      <c r="W8" s="703" t="s">
        <v>2526</v>
      </c>
      <c r="X8" s="703"/>
    </row>
    <row r="9" spans="1:31" ht="24.9" customHeight="1" thickTop="1">
      <c r="A9" s="704">
        <v>1</v>
      </c>
      <c r="B9" s="705" t="s">
        <v>2527</v>
      </c>
      <c r="C9" s="706" t="s">
        <v>2528</v>
      </c>
      <c r="D9" s="707">
        <v>22</v>
      </c>
      <c r="E9" s="707">
        <v>26</v>
      </c>
      <c r="F9" s="707">
        <v>24</v>
      </c>
      <c r="G9" s="707">
        <v>21</v>
      </c>
      <c r="H9" s="707">
        <v>20</v>
      </c>
      <c r="I9" s="707">
        <v>17</v>
      </c>
      <c r="J9" s="707">
        <v>25</v>
      </c>
      <c r="K9" s="707">
        <v>22</v>
      </c>
      <c r="L9" s="707">
        <v>24</v>
      </c>
      <c r="M9" s="708">
        <v>23</v>
      </c>
      <c r="N9" s="708">
        <v>19</v>
      </c>
      <c r="O9" s="709">
        <v>22</v>
      </c>
      <c r="P9" s="710">
        <f t="shared" ref="P9:P33" si="0">SUM(D9:L9)</f>
        <v>201</v>
      </c>
      <c r="Q9" s="704">
        <f t="shared" ref="Q9:Q33" si="1">ROUND(P9/20,0)</f>
        <v>10</v>
      </c>
      <c r="R9" s="711">
        <f>SUM(M9:O9)</f>
        <v>64</v>
      </c>
      <c r="S9" s="711">
        <f t="shared" ref="S9:S33" si="2">ROUND(R9/20,0)</f>
        <v>3</v>
      </c>
      <c r="T9" s="712">
        <f>SUM(Q9+S9)</f>
        <v>13</v>
      </c>
      <c r="U9" s="712">
        <f>ROUND(AA9*60%,0)</f>
        <v>30600</v>
      </c>
      <c r="V9" s="713">
        <f>ROUND(U9/26*Q9,0)</f>
        <v>11769</v>
      </c>
      <c r="W9" s="714">
        <f>ROUND(U9/26*S9,0)</f>
        <v>3531</v>
      </c>
      <c r="X9" s="715">
        <f>SUM(V9:W9)</f>
        <v>15300</v>
      </c>
      <c r="AA9">
        <v>51000</v>
      </c>
      <c r="AC9" s="716"/>
      <c r="AD9" s="716"/>
      <c r="AE9" s="717"/>
    </row>
    <row r="10" spans="1:31" ht="24.9" customHeight="1">
      <c r="A10" s="704">
        <v>2</v>
      </c>
      <c r="B10" s="705" t="s">
        <v>2527</v>
      </c>
      <c r="C10" s="706" t="s">
        <v>2529</v>
      </c>
      <c r="D10" s="704">
        <v>23</v>
      </c>
      <c r="E10" s="704">
        <v>7</v>
      </c>
      <c r="F10" s="704">
        <v>18</v>
      </c>
      <c r="G10" s="704">
        <v>24</v>
      </c>
      <c r="H10" s="704">
        <v>27</v>
      </c>
      <c r="I10" s="704">
        <v>23</v>
      </c>
      <c r="J10" s="704">
        <v>22</v>
      </c>
      <c r="K10" s="704">
        <v>23</v>
      </c>
      <c r="L10" s="704">
        <v>23</v>
      </c>
      <c r="M10" s="708">
        <v>25</v>
      </c>
      <c r="N10" s="708">
        <v>26</v>
      </c>
      <c r="O10" s="709">
        <v>25</v>
      </c>
      <c r="P10" s="710">
        <f t="shared" si="0"/>
        <v>190</v>
      </c>
      <c r="Q10" s="704">
        <f t="shared" si="1"/>
        <v>10</v>
      </c>
      <c r="R10" s="711">
        <f t="shared" ref="R10:R33" si="3">SUM(M10:O10)</f>
        <v>76</v>
      </c>
      <c r="S10" s="711">
        <f t="shared" si="2"/>
        <v>4</v>
      </c>
      <c r="T10" s="712">
        <f t="shared" ref="T10:T33" si="4">SUM(Q10+S10)</f>
        <v>14</v>
      </c>
      <c r="U10" s="712">
        <f t="shared" ref="U10:U33" si="5">ROUND(AA10*60%,0)</f>
        <v>16200</v>
      </c>
      <c r="V10" s="713">
        <f t="shared" ref="V10:V33" si="6">ROUND(U10/26*Q10,0)</f>
        <v>6231</v>
      </c>
      <c r="W10" s="714">
        <f t="shared" ref="W10:W33" si="7">ROUND(U10/26*S10,0)</f>
        <v>2492</v>
      </c>
      <c r="X10" s="715">
        <f t="shared" ref="X10:X33" si="8">SUM(V10:W10)</f>
        <v>8723</v>
      </c>
      <c r="AA10">
        <v>27000</v>
      </c>
      <c r="AC10" s="716"/>
      <c r="AD10" s="716"/>
      <c r="AE10" s="717"/>
    </row>
    <row r="11" spans="1:31" ht="24.9" customHeight="1">
      <c r="A11" s="704">
        <v>3</v>
      </c>
      <c r="B11" s="705" t="s">
        <v>2527</v>
      </c>
      <c r="C11" s="706" t="s">
        <v>2530</v>
      </c>
      <c r="D11" s="707">
        <v>25</v>
      </c>
      <c r="E11" s="707">
        <v>26</v>
      </c>
      <c r="F11" s="707">
        <v>19</v>
      </c>
      <c r="G11" s="707">
        <v>25</v>
      </c>
      <c r="H11" s="707">
        <v>21</v>
      </c>
      <c r="I11" s="707">
        <v>24</v>
      </c>
      <c r="J11" s="707">
        <v>21</v>
      </c>
      <c r="K11" s="707">
        <v>24</v>
      </c>
      <c r="L11" s="707">
        <v>18</v>
      </c>
      <c r="M11" s="708">
        <v>26</v>
      </c>
      <c r="N11" s="708">
        <v>26</v>
      </c>
      <c r="O11" s="709">
        <v>24</v>
      </c>
      <c r="P11" s="710">
        <f t="shared" si="0"/>
        <v>203</v>
      </c>
      <c r="Q11" s="704">
        <f t="shared" si="1"/>
        <v>10</v>
      </c>
      <c r="R11" s="711">
        <f t="shared" si="3"/>
        <v>76</v>
      </c>
      <c r="S11" s="711">
        <f t="shared" si="2"/>
        <v>4</v>
      </c>
      <c r="T11" s="712">
        <f t="shared" si="4"/>
        <v>14</v>
      </c>
      <c r="U11" s="712">
        <f t="shared" si="5"/>
        <v>13200</v>
      </c>
      <c r="V11" s="713">
        <f t="shared" si="6"/>
        <v>5077</v>
      </c>
      <c r="W11" s="714">
        <f t="shared" si="7"/>
        <v>2031</v>
      </c>
      <c r="X11" s="715">
        <f t="shared" si="8"/>
        <v>7108</v>
      </c>
      <c r="AA11">
        <v>22000</v>
      </c>
      <c r="AC11" s="716"/>
      <c r="AD11" s="716"/>
      <c r="AE11" s="717"/>
    </row>
    <row r="12" spans="1:31" ht="24.9" customHeight="1">
      <c r="A12" s="704">
        <v>4</v>
      </c>
      <c r="B12" s="705" t="s">
        <v>2527</v>
      </c>
      <c r="C12" s="706" t="s">
        <v>2531</v>
      </c>
      <c r="D12" s="704">
        <v>26</v>
      </c>
      <c r="E12" s="704">
        <v>24</v>
      </c>
      <c r="F12" s="704">
        <v>26</v>
      </c>
      <c r="G12" s="704">
        <v>22</v>
      </c>
      <c r="H12" s="704">
        <v>26</v>
      </c>
      <c r="I12" s="704">
        <v>25</v>
      </c>
      <c r="J12" s="704">
        <v>25</v>
      </c>
      <c r="K12" s="704">
        <v>12</v>
      </c>
      <c r="L12" s="704">
        <v>25</v>
      </c>
      <c r="M12" s="708">
        <v>23</v>
      </c>
      <c r="N12" s="708">
        <v>26</v>
      </c>
      <c r="O12" s="709">
        <v>22</v>
      </c>
      <c r="P12" s="710">
        <f t="shared" si="0"/>
        <v>211</v>
      </c>
      <c r="Q12" s="704">
        <f t="shared" si="1"/>
        <v>11</v>
      </c>
      <c r="R12" s="711">
        <f t="shared" si="3"/>
        <v>71</v>
      </c>
      <c r="S12" s="711">
        <f t="shared" si="2"/>
        <v>4</v>
      </c>
      <c r="T12" s="712">
        <f t="shared" si="4"/>
        <v>15</v>
      </c>
      <c r="U12" s="712">
        <f t="shared" si="5"/>
        <v>13200</v>
      </c>
      <c r="V12" s="713">
        <f t="shared" si="6"/>
        <v>5585</v>
      </c>
      <c r="W12" s="714">
        <f t="shared" si="7"/>
        <v>2031</v>
      </c>
      <c r="X12" s="715">
        <f t="shared" si="8"/>
        <v>7616</v>
      </c>
      <c r="AA12">
        <v>22000</v>
      </c>
      <c r="AC12" s="716"/>
      <c r="AD12" s="716"/>
      <c r="AE12" s="717"/>
    </row>
    <row r="13" spans="1:31" ht="24.9" customHeight="1">
      <c r="A13" s="704">
        <v>5</v>
      </c>
      <c r="B13" s="705" t="s">
        <v>2527</v>
      </c>
      <c r="C13" s="706" t="s">
        <v>393</v>
      </c>
      <c r="D13" s="707">
        <v>25</v>
      </c>
      <c r="E13" s="707">
        <v>21</v>
      </c>
      <c r="F13" s="707">
        <v>23</v>
      </c>
      <c r="G13" s="707">
        <v>25</v>
      </c>
      <c r="H13" s="707">
        <v>26</v>
      </c>
      <c r="I13" s="707">
        <v>22</v>
      </c>
      <c r="J13" s="707">
        <v>27</v>
      </c>
      <c r="K13" s="707">
        <v>25</v>
      </c>
      <c r="L13" s="707">
        <v>25</v>
      </c>
      <c r="M13" s="708">
        <v>26</v>
      </c>
      <c r="N13" s="708">
        <v>26</v>
      </c>
      <c r="O13" s="709">
        <v>25</v>
      </c>
      <c r="P13" s="710">
        <f t="shared" si="0"/>
        <v>219</v>
      </c>
      <c r="Q13" s="704">
        <f t="shared" si="1"/>
        <v>11</v>
      </c>
      <c r="R13" s="711">
        <f t="shared" si="3"/>
        <v>77</v>
      </c>
      <c r="S13" s="711">
        <f t="shared" si="2"/>
        <v>4</v>
      </c>
      <c r="T13" s="712">
        <f t="shared" si="4"/>
        <v>15</v>
      </c>
      <c r="U13" s="712">
        <f t="shared" si="5"/>
        <v>9060</v>
      </c>
      <c r="V13" s="713">
        <f t="shared" si="6"/>
        <v>3833</v>
      </c>
      <c r="W13" s="714">
        <f t="shared" si="7"/>
        <v>1394</v>
      </c>
      <c r="X13" s="715">
        <f t="shared" si="8"/>
        <v>5227</v>
      </c>
      <c r="AA13">
        <v>15100</v>
      </c>
      <c r="AC13" s="716"/>
      <c r="AD13" s="716"/>
      <c r="AE13" s="717"/>
    </row>
    <row r="14" spans="1:31" ht="24.9" customHeight="1">
      <c r="A14" s="704">
        <v>6</v>
      </c>
      <c r="B14" s="705" t="s">
        <v>2527</v>
      </c>
      <c r="C14" s="706" t="s">
        <v>2532</v>
      </c>
      <c r="D14" s="704">
        <v>21</v>
      </c>
      <c r="E14" s="704">
        <v>24</v>
      </c>
      <c r="F14" s="704">
        <v>23</v>
      </c>
      <c r="G14" s="704">
        <v>25</v>
      </c>
      <c r="H14" s="704">
        <v>26</v>
      </c>
      <c r="I14" s="704">
        <v>24</v>
      </c>
      <c r="J14" s="704">
        <v>23</v>
      </c>
      <c r="K14" s="704">
        <v>24</v>
      </c>
      <c r="L14" s="704">
        <v>25</v>
      </c>
      <c r="M14" s="708">
        <v>23</v>
      </c>
      <c r="N14" s="708">
        <v>23</v>
      </c>
      <c r="O14" s="709">
        <v>23</v>
      </c>
      <c r="P14" s="710">
        <f t="shared" si="0"/>
        <v>215</v>
      </c>
      <c r="Q14" s="704">
        <f t="shared" si="1"/>
        <v>11</v>
      </c>
      <c r="R14" s="711">
        <f t="shared" si="3"/>
        <v>69</v>
      </c>
      <c r="S14" s="711">
        <f t="shared" si="2"/>
        <v>3</v>
      </c>
      <c r="T14" s="712">
        <f t="shared" si="4"/>
        <v>14</v>
      </c>
      <c r="U14" s="712">
        <f t="shared" si="5"/>
        <v>9060</v>
      </c>
      <c r="V14" s="713">
        <f t="shared" si="6"/>
        <v>3833</v>
      </c>
      <c r="W14" s="714">
        <f t="shared" si="7"/>
        <v>1045</v>
      </c>
      <c r="X14" s="715">
        <f t="shared" si="8"/>
        <v>4878</v>
      </c>
      <c r="AA14">
        <v>15100</v>
      </c>
      <c r="AC14" s="716"/>
      <c r="AD14" s="716"/>
      <c r="AE14" s="717"/>
    </row>
    <row r="15" spans="1:31" ht="24.9" customHeight="1">
      <c r="A15" s="704">
        <v>7</v>
      </c>
      <c r="B15" s="705" t="s">
        <v>2527</v>
      </c>
      <c r="C15" s="706" t="s">
        <v>2533</v>
      </c>
      <c r="D15" s="707">
        <v>24</v>
      </c>
      <c r="E15" s="707">
        <v>25</v>
      </c>
      <c r="F15" s="707">
        <v>25</v>
      </c>
      <c r="G15" s="707">
        <v>26</v>
      </c>
      <c r="H15" s="707">
        <v>22</v>
      </c>
      <c r="I15" s="707">
        <v>23</v>
      </c>
      <c r="J15" s="707">
        <v>25</v>
      </c>
      <c r="K15" s="707">
        <v>25</v>
      </c>
      <c r="L15" s="707">
        <v>24</v>
      </c>
      <c r="M15" s="708">
        <v>26</v>
      </c>
      <c r="N15" s="708">
        <v>26</v>
      </c>
      <c r="O15" s="709">
        <v>25</v>
      </c>
      <c r="P15" s="710">
        <f t="shared" si="0"/>
        <v>219</v>
      </c>
      <c r="Q15" s="704">
        <f t="shared" si="1"/>
        <v>11</v>
      </c>
      <c r="R15" s="711">
        <f t="shared" si="3"/>
        <v>77</v>
      </c>
      <c r="S15" s="711">
        <f t="shared" si="2"/>
        <v>4</v>
      </c>
      <c r="T15" s="712">
        <f t="shared" si="4"/>
        <v>15</v>
      </c>
      <c r="U15" s="712">
        <f t="shared" si="5"/>
        <v>9060</v>
      </c>
      <c r="V15" s="713">
        <f t="shared" si="6"/>
        <v>3833</v>
      </c>
      <c r="W15" s="714">
        <f t="shared" si="7"/>
        <v>1394</v>
      </c>
      <c r="X15" s="715">
        <f t="shared" si="8"/>
        <v>5227</v>
      </c>
      <c r="AA15">
        <v>15100</v>
      </c>
      <c r="AC15" s="716"/>
      <c r="AD15" s="716"/>
      <c r="AE15" s="717"/>
    </row>
    <row r="16" spans="1:31" ht="24.9" customHeight="1">
      <c r="A16" s="704">
        <v>8</v>
      </c>
      <c r="B16" s="705" t="s">
        <v>2527</v>
      </c>
      <c r="C16" s="706" t="s">
        <v>2534</v>
      </c>
      <c r="D16" s="704">
        <v>24</v>
      </c>
      <c r="E16" s="704">
        <v>24</v>
      </c>
      <c r="F16" s="704">
        <v>22</v>
      </c>
      <c r="G16" s="704">
        <v>26</v>
      </c>
      <c r="H16" s="704">
        <v>22</v>
      </c>
      <c r="I16" s="704">
        <v>24</v>
      </c>
      <c r="J16" s="704">
        <v>22</v>
      </c>
      <c r="K16" s="704">
        <v>24</v>
      </c>
      <c r="L16" s="704">
        <v>22</v>
      </c>
      <c r="M16" s="708">
        <v>23</v>
      </c>
      <c r="N16" s="708">
        <v>26</v>
      </c>
      <c r="O16" s="709">
        <v>24</v>
      </c>
      <c r="P16" s="710">
        <f t="shared" si="0"/>
        <v>210</v>
      </c>
      <c r="Q16" s="704">
        <f t="shared" si="1"/>
        <v>11</v>
      </c>
      <c r="R16" s="711">
        <f t="shared" si="3"/>
        <v>73</v>
      </c>
      <c r="S16" s="711">
        <f t="shared" si="2"/>
        <v>4</v>
      </c>
      <c r="T16" s="712">
        <f t="shared" si="4"/>
        <v>15</v>
      </c>
      <c r="U16" s="712">
        <f t="shared" si="5"/>
        <v>8280</v>
      </c>
      <c r="V16" s="713">
        <f t="shared" si="6"/>
        <v>3503</v>
      </c>
      <c r="W16" s="714">
        <f t="shared" si="7"/>
        <v>1274</v>
      </c>
      <c r="X16" s="715">
        <f t="shared" si="8"/>
        <v>4777</v>
      </c>
      <c r="AA16">
        <v>13800</v>
      </c>
      <c r="AC16" s="716"/>
      <c r="AD16" s="716"/>
      <c r="AE16" s="717"/>
    </row>
    <row r="17" spans="1:31" ht="24.9" customHeight="1">
      <c r="A17" s="704">
        <v>9</v>
      </c>
      <c r="B17" s="705" t="s">
        <v>2527</v>
      </c>
      <c r="C17" s="706" t="s">
        <v>2535</v>
      </c>
      <c r="D17" s="707">
        <v>24</v>
      </c>
      <c r="E17" s="707">
        <v>21</v>
      </c>
      <c r="F17" s="707">
        <v>23</v>
      </c>
      <c r="G17" s="707">
        <v>23</v>
      </c>
      <c r="H17" s="707">
        <v>25</v>
      </c>
      <c r="I17" s="707">
        <v>21</v>
      </c>
      <c r="J17" s="707">
        <v>25</v>
      </c>
      <c r="K17" s="707">
        <v>25</v>
      </c>
      <c r="L17" s="707">
        <v>21</v>
      </c>
      <c r="M17" s="708">
        <v>26</v>
      </c>
      <c r="N17" s="708">
        <v>20</v>
      </c>
      <c r="O17" s="709">
        <v>26</v>
      </c>
      <c r="P17" s="710">
        <f t="shared" si="0"/>
        <v>208</v>
      </c>
      <c r="Q17" s="704">
        <f t="shared" si="1"/>
        <v>10</v>
      </c>
      <c r="R17" s="711">
        <f t="shared" si="3"/>
        <v>72</v>
      </c>
      <c r="S17" s="711">
        <f t="shared" si="2"/>
        <v>4</v>
      </c>
      <c r="T17" s="712">
        <f t="shared" si="4"/>
        <v>14</v>
      </c>
      <c r="U17" s="712">
        <f t="shared" si="5"/>
        <v>8520</v>
      </c>
      <c r="V17" s="713">
        <f t="shared" si="6"/>
        <v>3277</v>
      </c>
      <c r="W17" s="714">
        <f t="shared" si="7"/>
        <v>1311</v>
      </c>
      <c r="X17" s="715">
        <f t="shared" si="8"/>
        <v>4588</v>
      </c>
      <c r="AA17">
        <v>14200</v>
      </c>
      <c r="AC17" s="716"/>
      <c r="AD17" s="716"/>
      <c r="AE17" s="717"/>
    </row>
    <row r="18" spans="1:31" ht="24.9" customHeight="1">
      <c r="A18" s="704">
        <v>10</v>
      </c>
      <c r="B18" s="705" t="s">
        <v>2527</v>
      </c>
      <c r="C18" s="706" t="s">
        <v>2536</v>
      </c>
      <c r="D18" s="704">
        <v>22</v>
      </c>
      <c r="E18" s="704">
        <v>22</v>
      </c>
      <c r="F18" s="704">
        <v>22</v>
      </c>
      <c r="G18" s="704">
        <v>22</v>
      </c>
      <c r="H18" s="704">
        <v>23</v>
      </c>
      <c r="I18" s="704">
        <v>19</v>
      </c>
      <c r="J18" s="704">
        <v>22</v>
      </c>
      <c r="K18" s="704">
        <v>24</v>
      </c>
      <c r="L18" s="704">
        <v>21</v>
      </c>
      <c r="M18" s="708">
        <v>23</v>
      </c>
      <c r="N18" s="708">
        <v>20</v>
      </c>
      <c r="O18" s="709">
        <v>22</v>
      </c>
      <c r="P18" s="710">
        <f t="shared" si="0"/>
        <v>197</v>
      </c>
      <c r="Q18" s="704">
        <f t="shared" si="1"/>
        <v>10</v>
      </c>
      <c r="R18" s="711">
        <f t="shared" si="3"/>
        <v>65</v>
      </c>
      <c r="S18" s="711">
        <f t="shared" si="2"/>
        <v>3</v>
      </c>
      <c r="T18" s="712">
        <f t="shared" si="4"/>
        <v>13</v>
      </c>
      <c r="U18" s="712">
        <f t="shared" si="5"/>
        <v>8340</v>
      </c>
      <c r="V18" s="713">
        <f t="shared" si="6"/>
        <v>3208</v>
      </c>
      <c r="W18" s="714">
        <f t="shared" si="7"/>
        <v>962</v>
      </c>
      <c r="X18" s="715">
        <f t="shared" si="8"/>
        <v>4170</v>
      </c>
      <c r="AA18">
        <v>13900</v>
      </c>
      <c r="AC18" s="716"/>
      <c r="AD18" s="716"/>
      <c r="AE18" s="717"/>
    </row>
    <row r="19" spans="1:31" ht="24.9" customHeight="1">
      <c r="A19" s="704">
        <v>11</v>
      </c>
      <c r="B19" s="705" t="s">
        <v>2527</v>
      </c>
      <c r="C19" s="706" t="s">
        <v>2537</v>
      </c>
      <c r="D19" s="707">
        <v>25</v>
      </c>
      <c r="E19" s="707">
        <v>22</v>
      </c>
      <c r="F19" s="707">
        <v>25</v>
      </c>
      <c r="G19" s="707">
        <v>22</v>
      </c>
      <c r="H19" s="707">
        <v>25</v>
      </c>
      <c r="I19" s="707">
        <v>22</v>
      </c>
      <c r="J19" s="707">
        <v>24</v>
      </c>
      <c r="K19" s="707">
        <v>16</v>
      </c>
      <c r="L19" s="707">
        <v>24</v>
      </c>
      <c r="M19" s="708">
        <v>22</v>
      </c>
      <c r="N19" s="708">
        <v>26</v>
      </c>
      <c r="O19" s="709">
        <v>23</v>
      </c>
      <c r="P19" s="710">
        <f t="shared" si="0"/>
        <v>205</v>
      </c>
      <c r="Q19" s="704">
        <f t="shared" si="1"/>
        <v>10</v>
      </c>
      <c r="R19" s="711">
        <f t="shared" si="3"/>
        <v>71</v>
      </c>
      <c r="S19" s="711">
        <f t="shared" si="2"/>
        <v>4</v>
      </c>
      <c r="T19" s="712">
        <f t="shared" si="4"/>
        <v>14</v>
      </c>
      <c r="U19" s="712">
        <f t="shared" si="5"/>
        <v>8400</v>
      </c>
      <c r="V19" s="713">
        <f t="shared" si="6"/>
        <v>3231</v>
      </c>
      <c r="W19" s="714">
        <f t="shared" si="7"/>
        <v>1292</v>
      </c>
      <c r="X19" s="715">
        <f t="shared" si="8"/>
        <v>4523</v>
      </c>
      <c r="AA19">
        <v>14000</v>
      </c>
      <c r="AC19" s="716"/>
      <c r="AD19" s="716"/>
      <c r="AE19" s="717"/>
    </row>
    <row r="20" spans="1:31" ht="24.9" customHeight="1">
      <c r="A20" s="704">
        <v>12</v>
      </c>
      <c r="B20" s="705" t="s">
        <v>2527</v>
      </c>
      <c r="C20" s="718" t="s">
        <v>2538</v>
      </c>
      <c r="D20" s="704">
        <v>22</v>
      </c>
      <c r="E20" s="704">
        <v>24</v>
      </c>
      <c r="F20" s="704">
        <v>18</v>
      </c>
      <c r="G20" s="704">
        <v>21</v>
      </c>
      <c r="H20" s="704">
        <v>20</v>
      </c>
      <c r="I20" s="704">
        <v>21</v>
      </c>
      <c r="J20" s="704">
        <v>25</v>
      </c>
      <c r="K20" s="704">
        <v>24</v>
      </c>
      <c r="L20" s="704">
        <v>17</v>
      </c>
      <c r="M20" s="708">
        <v>22</v>
      </c>
      <c r="N20" s="708">
        <v>21</v>
      </c>
      <c r="O20" s="709">
        <v>22</v>
      </c>
      <c r="P20" s="710">
        <f t="shared" si="0"/>
        <v>192</v>
      </c>
      <c r="Q20" s="704">
        <f t="shared" si="1"/>
        <v>10</v>
      </c>
      <c r="R20" s="711">
        <f t="shared" si="3"/>
        <v>65</v>
      </c>
      <c r="S20" s="711">
        <f t="shared" si="2"/>
        <v>3</v>
      </c>
      <c r="T20" s="712">
        <f t="shared" si="4"/>
        <v>13</v>
      </c>
      <c r="U20" s="712">
        <f t="shared" si="5"/>
        <v>7560</v>
      </c>
      <c r="V20" s="713">
        <f t="shared" si="6"/>
        <v>2908</v>
      </c>
      <c r="W20" s="714">
        <f t="shared" si="7"/>
        <v>872</v>
      </c>
      <c r="X20" s="715">
        <f t="shared" si="8"/>
        <v>3780</v>
      </c>
      <c r="AA20">
        <v>12600</v>
      </c>
      <c r="AC20" s="716"/>
      <c r="AD20" s="716"/>
      <c r="AE20" s="717"/>
    </row>
    <row r="21" spans="1:31" ht="24.9" customHeight="1">
      <c r="A21" s="704">
        <v>13</v>
      </c>
      <c r="B21" s="705" t="s">
        <v>2527</v>
      </c>
      <c r="C21" s="706" t="s">
        <v>2539</v>
      </c>
      <c r="D21" s="707">
        <v>23</v>
      </c>
      <c r="E21" s="707">
        <v>17</v>
      </c>
      <c r="F21" s="707">
        <v>23</v>
      </c>
      <c r="G21" s="707">
        <v>24</v>
      </c>
      <c r="H21" s="707">
        <v>24</v>
      </c>
      <c r="I21" s="707">
        <v>19</v>
      </c>
      <c r="J21" s="707">
        <v>26</v>
      </c>
      <c r="K21" s="707">
        <v>22</v>
      </c>
      <c r="L21" s="707">
        <v>23</v>
      </c>
      <c r="M21" s="708">
        <v>23</v>
      </c>
      <c r="N21" s="708">
        <v>26</v>
      </c>
      <c r="O21" s="709">
        <v>23</v>
      </c>
      <c r="P21" s="710">
        <f t="shared" si="0"/>
        <v>201</v>
      </c>
      <c r="Q21" s="704">
        <f t="shared" si="1"/>
        <v>10</v>
      </c>
      <c r="R21" s="711">
        <f t="shared" si="3"/>
        <v>72</v>
      </c>
      <c r="S21" s="711">
        <f t="shared" si="2"/>
        <v>4</v>
      </c>
      <c r="T21" s="712">
        <f t="shared" si="4"/>
        <v>14</v>
      </c>
      <c r="U21" s="712">
        <f t="shared" si="5"/>
        <v>7140</v>
      </c>
      <c r="V21" s="713">
        <f t="shared" si="6"/>
        <v>2746</v>
      </c>
      <c r="W21" s="714">
        <f t="shared" si="7"/>
        <v>1098</v>
      </c>
      <c r="X21" s="715">
        <f t="shared" si="8"/>
        <v>3844</v>
      </c>
      <c r="AA21">
        <v>11900</v>
      </c>
      <c r="AC21" s="716"/>
      <c r="AD21" s="716"/>
      <c r="AE21" s="717"/>
    </row>
    <row r="22" spans="1:31" ht="24.9" customHeight="1">
      <c r="A22" s="704">
        <v>14</v>
      </c>
      <c r="B22" s="705" t="s">
        <v>2527</v>
      </c>
      <c r="C22" s="706" t="s">
        <v>2540</v>
      </c>
      <c r="D22" s="704">
        <v>23</v>
      </c>
      <c r="E22" s="704">
        <v>22</v>
      </c>
      <c r="F22" s="704">
        <v>18</v>
      </c>
      <c r="G22" s="704">
        <v>24</v>
      </c>
      <c r="H22" s="704">
        <v>20</v>
      </c>
      <c r="I22" s="704">
        <v>21</v>
      </c>
      <c r="J22" s="704">
        <v>23</v>
      </c>
      <c r="K22" s="704">
        <v>17</v>
      </c>
      <c r="L22" s="704">
        <v>22</v>
      </c>
      <c r="M22" s="708">
        <v>21</v>
      </c>
      <c r="N22" s="708">
        <v>21</v>
      </c>
      <c r="O22" s="709">
        <v>18</v>
      </c>
      <c r="P22" s="710">
        <f t="shared" si="0"/>
        <v>190</v>
      </c>
      <c r="Q22" s="704">
        <f t="shared" si="1"/>
        <v>10</v>
      </c>
      <c r="R22" s="711">
        <f t="shared" si="3"/>
        <v>60</v>
      </c>
      <c r="S22" s="711">
        <f t="shared" si="2"/>
        <v>3</v>
      </c>
      <c r="T22" s="712">
        <f t="shared" si="4"/>
        <v>13</v>
      </c>
      <c r="U22" s="712">
        <f t="shared" si="5"/>
        <v>6720</v>
      </c>
      <c r="V22" s="713">
        <f t="shared" si="6"/>
        <v>2585</v>
      </c>
      <c r="W22" s="714">
        <f t="shared" si="7"/>
        <v>775</v>
      </c>
      <c r="X22" s="715">
        <f t="shared" si="8"/>
        <v>3360</v>
      </c>
      <c r="AA22">
        <v>11200</v>
      </c>
      <c r="AC22" s="716"/>
      <c r="AD22" s="716"/>
      <c r="AE22" s="717"/>
    </row>
    <row r="23" spans="1:31" ht="24.9" customHeight="1">
      <c r="A23" s="704">
        <v>15</v>
      </c>
      <c r="B23" s="705" t="s">
        <v>2527</v>
      </c>
      <c r="C23" s="706" t="s">
        <v>2541</v>
      </c>
      <c r="D23" s="707">
        <v>13</v>
      </c>
      <c r="E23" s="707">
        <v>26</v>
      </c>
      <c r="F23" s="707">
        <v>24</v>
      </c>
      <c r="G23" s="707">
        <v>24</v>
      </c>
      <c r="H23" s="707">
        <v>25</v>
      </c>
      <c r="I23" s="707">
        <v>5</v>
      </c>
      <c r="J23" s="707">
        <v>21</v>
      </c>
      <c r="K23" s="707">
        <v>25</v>
      </c>
      <c r="L23" s="707">
        <v>25</v>
      </c>
      <c r="M23" s="708">
        <v>27</v>
      </c>
      <c r="N23" s="708">
        <v>26</v>
      </c>
      <c r="O23" s="709">
        <v>24</v>
      </c>
      <c r="P23" s="710">
        <f t="shared" si="0"/>
        <v>188</v>
      </c>
      <c r="Q23" s="704">
        <f t="shared" si="1"/>
        <v>9</v>
      </c>
      <c r="R23" s="711">
        <f t="shared" si="3"/>
        <v>77</v>
      </c>
      <c r="S23" s="711">
        <f t="shared" si="2"/>
        <v>4</v>
      </c>
      <c r="T23" s="712">
        <f t="shared" si="4"/>
        <v>13</v>
      </c>
      <c r="U23" s="712">
        <f t="shared" si="5"/>
        <v>10560</v>
      </c>
      <c r="V23" s="713">
        <f t="shared" si="6"/>
        <v>3655</v>
      </c>
      <c r="W23" s="714">
        <f t="shared" si="7"/>
        <v>1625</v>
      </c>
      <c r="X23" s="715">
        <f t="shared" si="8"/>
        <v>5280</v>
      </c>
      <c r="AA23">
        <v>17600</v>
      </c>
      <c r="AC23" s="716"/>
      <c r="AD23" s="716"/>
      <c r="AE23" s="717"/>
    </row>
    <row r="24" spans="1:31" ht="24.9" customHeight="1">
      <c r="A24" s="704">
        <v>16</v>
      </c>
      <c r="B24" s="705" t="s">
        <v>2527</v>
      </c>
      <c r="C24" s="706" t="s">
        <v>2542</v>
      </c>
      <c r="D24" s="704">
        <v>22</v>
      </c>
      <c r="E24" s="704">
        <v>21</v>
      </c>
      <c r="F24" s="704">
        <v>14</v>
      </c>
      <c r="G24" s="704">
        <v>22</v>
      </c>
      <c r="H24" s="704">
        <v>20</v>
      </c>
      <c r="I24" s="704">
        <v>19</v>
      </c>
      <c r="J24" s="704">
        <v>22</v>
      </c>
      <c r="K24" s="704">
        <v>23</v>
      </c>
      <c r="L24" s="704">
        <v>19</v>
      </c>
      <c r="M24" s="708">
        <v>17</v>
      </c>
      <c r="N24" s="708">
        <v>16</v>
      </c>
      <c r="O24" s="709">
        <v>17</v>
      </c>
      <c r="P24" s="710">
        <f t="shared" si="0"/>
        <v>182</v>
      </c>
      <c r="Q24" s="704">
        <f t="shared" si="1"/>
        <v>9</v>
      </c>
      <c r="R24" s="711">
        <f t="shared" si="3"/>
        <v>50</v>
      </c>
      <c r="S24" s="711">
        <f t="shared" si="2"/>
        <v>3</v>
      </c>
      <c r="T24" s="712">
        <f t="shared" si="4"/>
        <v>12</v>
      </c>
      <c r="U24" s="712">
        <f t="shared" si="5"/>
        <v>9720</v>
      </c>
      <c r="V24" s="713">
        <f t="shared" si="6"/>
        <v>3365</v>
      </c>
      <c r="W24" s="714">
        <f t="shared" si="7"/>
        <v>1122</v>
      </c>
      <c r="X24" s="715">
        <f t="shared" si="8"/>
        <v>4487</v>
      </c>
      <c r="AA24">
        <v>16200</v>
      </c>
      <c r="AC24" s="716"/>
      <c r="AD24" s="716"/>
      <c r="AE24" s="717"/>
    </row>
    <row r="25" spans="1:31" ht="24.9" customHeight="1">
      <c r="A25" s="704">
        <v>17</v>
      </c>
      <c r="B25" s="705" t="s">
        <v>2527</v>
      </c>
      <c r="C25" s="706" t="s">
        <v>2543</v>
      </c>
      <c r="D25" s="707">
        <v>25</v>
      </c>
      <c r="E25" s="707">
        <v>26</v>
      </c>
      <c r="F25" s="707">
        <v>25</v>
      </c>
      <c r="G25" s="707">
        <v>26</v>
      </c>
      <c r="H25" s="707">
        <v>24</v>
      </c>
      <c r="I25" s="707">
        <v>24</v>
      </c>
      <c r="J25" s="707">
        <v>23</v>
      </c>
      <c r="K25" s="707">
        <v>24</v>
      </c>
      <c r="L25" s="707">
        <v>26</v>
      </c>
      <c r="M25" s="708">
        <v>25</v>
      </c>
      <c r="N25" s="708">
        <v>17</v>
      </c>
      <c r="O25" s="709">
        <v>27</v>
      </c>
      <c r="P25" s="710">
        <f t="shared" si="0"/>
        <v>223</v>
      </c>
      <c r="Q25" s="704">
        <f t="shared" si="1"/>
        <v>11</v>
      </c>
      <c r="R25" s="711">
        <f t="shared" si="3"/>
        <v>69</v>
      </c>
      <c r="S25" s="711">
        <f t="shared" si="2"/>
        <v>3</v>
      </c>
      <c r="T25" s="712">
        <f t="shared" si="4"/>
        <v>14</v>
      </c>
      <c r="U25" s="712">
        <f t="shared" si="5"/>
        <v>9900</v>
      </c>
      <c r="V25" s="713">
        <f t="shared" si="6"/>
        <v>4188</v>
      </c>
      <c r="W25" s="714">
        <f t="shared" si="7"/>
        <v>1142</v>
      </c>
      <c r="X25" s="715">
        <f t="shared" si="8"/>
        <v>5330</v>
      </c>
      <c r="AA25">
        <v>16500</v>
      </c>
      <c r="AC25" s="716"/>
      <c r="AD25" s="716"/>
      <c r="AE25" s="717"/>
    </row>
    <row r="26" spans="1:31" ht="24.9" customHeight="1">
      <c r="A26" s="704">
        <v>18</v>
      </c>
      <c r="B26" s="705" t="s">
        <v>2527</v>
      </c>
      <c r="C26" s="706" t="s">
        <v>2544</v>
      </c>
      <c r="D26" s="704">
        <v>25</v>
      </c>
      <c r="E26" s="704">
        <v>11</v>
      </c>
      <c r="F26" s="704">
        <v>20</v>
      </c>
      <c r="G26" s="704">
        <v>7</v>
      </c>
      <c r="H26" s="704">
        <v>18</v>
      </c>
      <c r="I26" s="704">
        <v>26</v>
      </c>
      <c r="J26" s="704">
        <v>20</v>
      </c>
      <c r="K26" s="704">
        <v>15</v>
      </c>
      <c r="L26" s="704">
        <v>22</v>
      </c>
      <c r="M26" s="708">
        <v>25</v>
      </c>
      <c r="N26" s="708">
        <v>26</v>
      </c>
      <c r="O26" s="709">
        <v>0</v>
      </c>
      <c r="P26" s="710">
        <f t="shared" si="0"/>
        <v>164</v>
      </c>
      <c r="Q26" s="704">
        <f t="shared" si="1"/>
        <v>8</v>
      </c>
      <c r="R26" s="711">
        <f t="shared" si="3"/>
        <v>51</v>
      </c>
      <c r="S26" s="711">
        <f t="shared" si="2"/>
        <v>3</v>
      </c>
      <c r="T26" s="712">
        <f t="shared" si="4"/>
        <v>11</v>
      </c>
      <c r="U26" s="712">
        <f t="shared" si="5"/>
        <v>6300</v>
      </c>
      <c r="V26" s="713">
        <f t="shared" si="6"/>
        <v>1938</v>
      </c>
      <c r="W26" s="714">
        <f t="shared" si="7"/>
        <v>727</v>
      </c>
      <c r="X26" s="715">
        <f t="shared" si="8"/>
        <v>2665</v>
      </c>
      <c r="AA26">
        <v>10500</v>
      </c>
      <c r="AC26" s="716"/>
      <c r="AD26" s="716"/>
      <c r="AE26" s="717"/>
    </row>
    <row r="27" spans="1:31" ht="24.9" customHeight="1">
      <c r="A27" s="704">
        <v>19</v>
      </c>
      <c r="B27" s="705" t="s">
        <v>2527</v>
      </c>
      <c r="C27" s="706" t="s">
        <v>2545</v>
      </c>
      <c r="D27" s="707">
        <v>16</v>
      </c>
      <c r="E27" s="707">
        <v>25</v>
      </c>
      <c r="F27" s="707">
        <v>20</v>
      </c>
      <c r="G27" s="707">
        <v>22</v>
      </c>
      <c r="H27" s="707">
        <v>22</v>
      </c>
      <c r="I27" s="707">
        <v>23</v>
      </c>
      <c r="J27" s="707">
        <v>26</v>
      </c>
      <c r="K27" s="707">
        <v>23</v>
      </c>
      <c r="L27" s="707">
        <v>24</v>
      </c>
      <c r="M27" s="708">
        <v>25</v>
      </c>
      <c r="N27" s="708">
        <v>26</v>
      </c>
      <c r="O27" s="709">
        <v>20</v>
      </c>
      <c r="P27" s="710">
        <f t="shared" si="0"/>
        <v>201</v>
      </c>
      <c r="Q27" s="704">
        <f t="shared" si="1"/>
        <v>10</v>
      </c>
      <c r="R27" s="711">
        <f t="shared" si="3"/>
        <v>71</v>
      </c>
      <c r="S27" s="711">
        <f t="shared" si="2"/>
        <v>4</v>
      </c>
      <c r="T27" s="712">
        <f t="shared" si="4"/>
        <v>14</v>
      </c>
      <c r="U27" s="712">
        <f t="shared" si="5"/>
        <v>9360</v>
      </c>
      <c r="V27" s="713">
        <f t="shared" si="6"/>
        <v>3600</v>
      </c>
      <c r="W27" s="714">
        <f t="shared" si="7"/>
        <v>1440</v>
      </c>
      <c r="X27" s="715">
        <f t="shared" si="8"/>
        <v>5040</v>
      </c>
      <c r="AA27">
        <v>15600</v>
      </c>
      <c r="AC27" s="716"/>
      <c r="AD27" s="716"/>
      <c r="AE27" s="717"/>
    </row>
    <row r="28" spans="1:31" ht="24.9" customHeight="1">
      <c r="A28" s="704">
        <v>20</v>
      </c>
      <c r="B28" s="705" t="s">
        <v>2527</v>
      </c>
      <c r="C28" s="719" t="s">
        <v>136</v>
      </c>
      <c r="D28" s="704">
        <v>21</v>
      </c>
      <c r="E28" s="704">
        <v>26</v>
      </c>
      <c r="F28" s="704">
        <v>18</v>
      </c>
      <c r="G28" s="704">
        <v>23</v>
      </c>
      <c r="H28" s="704">
        <v>23</v>
      </c>
      <c r="I28" s="704">
        <v>22</v>
      </c>
      <c r="J28" s="704">
        <v>23</v>
      </c>
      <c r="K28" s="704">
        <v>22</v>
      </c>
      <c r="L28" s="704">
        <v>19</v>
      </c>
      <c r="M28" s="708">
        <v>20</v>
      </c>
      <c r="N28" s="708">
        <v>21</v>
      </c>
      <c r="O28" s="709">
        <v>22</v>
      </c>
      <c r="P28" s="710">
        <f t="shared" si="0"/>
        <v>197</v>
      </c>
      <c r="Q28" s="704">
        <f t="shared" si="1"/>
        <v>10</v>
      </c>
      <c r="R28" s="711">
        <f t="shared" si="3"/>
        <v>63</v>
      </c>
      <c r="S28" s="711">
        <f t="shared" si="2"/>
        <v>3</v>
      </c>
      <c r="T28" s="712">
        <f t="shared" si="4"/>
        <v>13</v>
      </c>
      <c r="U28" s="712">
        <f t="shared" si="5"/>
        <v>8400</v>
      </c>
      <c r="V28" s="713">
        <f t="shared" si="6"/>
        <v>3231</v>
      </c>
      <c r="W28" s="714">
        <f t="shared" si="7"/>
        <v>969</v>
      </c>
      <c r="X28" s="715">
        <f t="shared" si="8"/>
        <v>4200</v>
      </c>
      <c r="AA28">
        <v>14000</v>
      </c>
      <c r="AC28" s="716"/>
      <c r="AD28" s="716"/>
      <c r="AE28" s="717"/>
    </row>
    <row r="29" spans="1:31" ht="24.9" customHeight="1">
      <c r="A29" s="704">
        <v>21</v>
      </c>
      <c r="B29" s="720" t="s">
        <v>2527</v>
      </c>
      <c r="C29" s="706" t="s">
        <v>2546</v>
      </c>
      <c r="D29" s="707">
        <v>23</v>
      </c>
      <c r="E29" s="707">
        <v>22</v>
      </c>
      <c r="F29" s="707">
        <v>18</v>
      </c>
      <c r="G29" s="707">
        <v>26</v>
      </c>
      <c r="H29" s="707">
        <v>23</v>
      </c>
      <c r="I29" s="707">
        <v>23</v>
      </c>
      <c r="J29" s="707">
        <v>25</v>
      </c>
      <c r="K29" s="707">
        <v>26</v>
      </c>
      <c r="L29" s="707">
        <v>22</v>
      </c>
      <c r="M29" s="708">
        <v>25</v>
      </c>
      <c r="N29" s="708">
        <v>21</v>
      </c>
      <c r="O29" s="709">
        <v>23</v>
      </c>
      <c r="P29" s="710">
        <f t="shared" si="0"/>
        <v>208</v>
      </c>
      <c r="Q29" s="704">
        <f t="shared" si="1"/>
        <v>10</v>
      </c>
      <c r="R29" s="711">
        <f t="shared" si="3"/>
        <v>69</v>
      </c>
      <c r="S29" s="711">
        <f t="shared" si="2"/>
        <v>3</v>
      </c>
      <c r="T29" s="712">
        <f t="shared" si="4"/>
        <v>13</v>
      </c>
      <c r="U29" s="712">
        <f t="shared" si="5"/>
        <v>21000</v>
      </c>
      <c r="V29" s="713">
        <f t="shared" si="6"/>
        <v>8077</v>
      </c>
      <c r="W29" s="714">
        <f t="shared" si="7"/>
        <v>2423</v>
      </c>
      <c r="X29" s="715">
        <f t="shared" si="8"/>
        <v>10500</v>
      </c>
      <c r="AA29">
        <v>35000</v>
      </c>
      <c r="AC29" s="716"/>
      <c r="AD29" s="716"/>
      <c r="AE29" s="717"/>
    </row>
    <row r="30" spans="1:31" ht="24.9" customHeight="1">
      <c r="A30" s="704">
        <v>22</v>
      </c>
      <c r="B30" s="705" t="s">
        <v>2527</v>
      </c>
      <c r="C30" s="706" t="s">
        <v>2547</v>
      </c>
      <c r="D30" s="704">
        <v>24</v>
      </c>
      <c r="E30" s="704">
        <v>25</v>
      </c>
      <c r="F30" s="704">
        <v>26</v>
      </c>
      <c r="G30" s="704">
        <v>26</v>
      </c>
      <c r="H30" s="704">
        <v>27</v>
      </c>
      <c r="I30" s="704">
        <v>25</v>
      </c>
      <c r="J30" s="704">
        <v>27</v>
      </c>
      <c r="K30" s="704">
        <v>26</v>
      </c>
      <c r="L30" s="704">
        <v>26</v>
      </c>
      <c r="M30" s="708">
        <v>18</v>
      </c>
      <c r="N30" s="708">
        <v>26</v>
      </c>
      <c r="O30" s="709">
        <v>25</v>
      </c>
      <c r="P30" s="710">
        <f t="shared" si="0"/>
        <v>232</v>
      </c>
      <c r="Q30" s="704">
        <f t="shared" si="1"/>
        <v>12</v>
      </c>
      <c r="R30" s="711">
        <f t="shared" si="3"/>
        <v>69</v>
      </c>
      <c r="S30" s="711">
        <f t="shared" si="2"/>
        <v>3</v>
      </c>
      <c r="T30" s="712">
        <f t="shared" si="4"/>
        <v>15</v>
      </c>
      <c r="U30" s="712">
        <f t="shared" si="5"/>
        <v>9000</v>
      </c>
      <c r="V30" s="713">
        <f t="shared" si="6"/>
        <v>4154</v>
      </c>
      <c r="W30" s="714">
        <f t="shared" si="7"/>
        <v>1038</v>
      </c>
      <c r="X30" s="715">
        <f t="shared" si="8"/>
        <v>5192</v>
      </c>
      <c r="AA30">
        <v>15000</v>
      </c>
      <c r="AC30" s="716"/>
      <c r="AD30" s="716"/>
      <c r="AE30" s="717"/>
    </row>
    <row r="31" spans="1:31" ht="24.9" customHeight="1">
      <c r="A31" s="721">
        <v>23</v>
      </c>
      <c r="B31" s="705" t="s">
        <v>2527</v>
      </c>
      <c r="C31" s="706" t="s">
        <v>2548</v>
      </c>
      <c r="D31" s="707">
        <v>26</v>
      </c>
      <c r="E31" s="707">
        <v>22</v>
      </c>
      <c r="F31" s="707">
        <v>16</v>
      </c>
      <c r="G31" s="707">
        <v>0</v>
      </c>
      <c r="H31" s="707">
        <v>0</v>
      </c>
      <c r="I31" s="707">
        <v>23</v>
      </c>
      <c r="J31" s="707">
        <v>26</v>
      </c>
      <c r="K31" s="707">
        <v>25</v>
      </c>
      <c r="L31" s="707">
        <v>27</v>
      </c>
      <c r="M31" s="708">
        <v>26</v>
      </c>
      <c r="N31" s="708">
        <v>26</v>
      </c>
      <c r="O31" s="709">
        <v>26</v>
      </c>
      <c r="P31" s="710">
        <f t="shared" si="0"/>
        <v>165</v>
      </c>
      <c r="Q31" s="704">
        <f t="shared" si="1"/>
        <v>8</v>
      </c>
      <c r="R31" s="711">
        <f t="shared" si="3"/>
        <v>78</v>
      </c>
      <c r="S31" s="711">
        <f t="shared" si="2"/>
        <v>4</v>
      </c>
      <c r="T31" s="712">
        <f t="shared" si="4"/>
        <v>12</v>
      </c>
      <c r="U31" s="712">
        <f t="shared" si="5"/>
        <v>8220</v>
      </c>
      <c r="V31" s="713">
        <f t="shared" si="6"/>
        <v>2529</v>
      </c>
      <c r="W31" s="714">
        <f t="shared" si="7"/>
        <v>1265</v>
      </c>
      <c r="X31" s="715">
        <f t="shared" si="8"/>
        <v>3794</v>
      </c>
      <c r="AA31">
        <v>13700</v>
      </c>
      <c r="AC31" s="716"/>
      <c r="AD31" s="716"/>
      <c r="AE31" s="717"/>
    </row>
    <row r="32" spans="1:31" ht="24.9" customHeight="1">
      <c r="A32" s="721">
        <v>24</v>
      </c>
      <c r="B32" s="705" t="s">
        <v>2527</v>
      </c>
      <c r="C32" s="706" t="s">
        <v>2549</v>
      </c>
      <c r="D32" s="704">
        <v>23</v>
      </c>
      <c r="E32" s="704">
        <v>22</v>
      </c>
      <c r="F32" s="704">
        <v>26</v>
      </c>
      <c r="G32" s="704">
        <v>26</v>
      </c>
      <c r="H32" s="704">
        <v>26</v>
      </c>
      <c r="I32" s="704">
        <v>26</v>
      </c>
      <c r="J32" s="704">
        <v>23</v>
      </c>
      <c r="K32" s="704">
        <v>24</v>
      </c>
      <c r="L32" s="704">
        <v>27</v>
      </c>
      <c r="M32" s="708">
        <v>26</v>
      </c>
      <c r="N32" s="708">
        <v>26</v>
      </c>
      <c r="O32" s="709">
        <v>23</v>
      </c>
      <c r="P32" s="710">
        <f t="shared" si="0"/>
        <v>223</v>
      </c>
      <c r="Q32" s="704">
        <f t="shared" si="1"/>
        <v>11</v>
      </c>
      <c r="R32" s="711">
        <f t="shared" si="3"/>
        <v>75</v>
      </c>
      <c r="S32" s="711">
        <f t="shared" si="2"/>
        <v>4</v>
      </c>
      <c r="T32" s="712">
        <f t="shared" si="4"/>
        <v>15</v>
      </c>
      <c r="U32" s="712">
        <f t="shared" si="5"/>
        <v>9000</v>
      </c>
      <c r="V32" s="713">
        <f t="shared" si="6"/>
        <v>3808</v>
      </c>
      <c r="W32" s="714">
        <f t="shared" si="7"/>
        <v>1385</v>
      </c>
      <c r="X32" s="715">
        <f t="shared" si="8"/>
        <v>5193</v>
      </c>
      <c r="AA32">
        <v>15000</v>
      </c>
      <c r="AC32" s="716"/>
      <c r="AD32" s="716"/>
      <c r="AE32" s="717"/>
    </row>
    <row r="33" spans="1:31" ht="24.9" customHeight="1">
      <c r="A33" s="721">
        <v>25</v>
      </c>
      <c r="B33" s="705" t="s">
        <v>2527</v>
      </c>
      <c r="C33" s="722" t="s">
        <v>2550</v>
      </c>
      <c r="D33" s="707">
        <v>0</v>
      </c>
      <c r="E33" s="707">
        <v>0</v>
      </c>
      <c r="F33" s="707">
        <v>19</v>
      </c>
      <c r="G33" s="707">
        <v>24</v>
      </c>
      <c r="H33" s="707">
        <v>24</v>
      </c>
      <c r="I33" s="707">
        <v>24</v>
      </c>
      <c r="J33" s="707">
        <v>25</v>
      </c>
      <c r="K33" s="707">
        <v>22</v>
      </c>
      <c r="L33" s="707">
        <v>25</v>
      </c>
      <c r="M33" s="708">
        <v>25</v>
      </c>
      <c r="N33" s="708">
        <v>22</v>
      </c>
      <c r="O33" s="709">
        <v>23</v>
      </c>
      <c r="P33" s="710">
        <f t="shared" si="0"/>
        <v>163</v>
      </c>
      <c r="Q33" s="704">
        <f t="shared" si="1"/>
        <v>8</v>
      </c>
      <c r="R33" s="711">
        <f t="shared" si="3"/>
        <v>70</v>
      </c>
      <c r="S33" s="711">
        <f t="shared" si="2"/>
        <v>4</v>
      </c>
      <c r="T33" s="712">
        <f t="shared" si="4"/>
        <v>12</v>
      </c>
      <c r="U33" s="712">
        <f t="shared" si="5"/>
        <v>6780</v>
      </c>
      <c r="V33" s="713">
        <f t="shared" si="6"/>
        <v>2086</v>
      </c>
      <c r="W33" s="714">
        <f t="shared" si="7"/>
        <v>1043</v>
      </c>
      <c r="X33" s="715">
        <f t="shared" si="8"/>
        <v>3129</v>
      </c>
      <c r="AA33">
        <v>11300</v>
      </c>
      <c r="AC33" s="716"/>
      <c r="AD33" s="716"/>
      <c r="AE33" s="717"/>
    </row>
    <row r="34" spans="1:31" ht="15.9" customHeight="1">
      <c r="A34" s="695" t="s">
        <v>2514</v>
      </c>
      <c r="B34" s="696"/>
      <c r="C34" s="695" t="s">
        <v>2515</v>
      </c>
      <c r="D34" s="2585" t="s">
        <v>2516</v>
      </c>
      <c r="E34" s="2586"/>
      <c r="F34" s="2586"/>
      <c r="G34" s="2586"/>
      <c r="H34" s="2586"/>
      <c r="I34" s="2586"/>
      <c r="J34" s="2586"/>
      <c r="K34" s="2586"/>
      <c r="L34" s="2586"/>
      <c r="M34" s="2586"/>
      <c r="N34" s="2586"/>
      <c r="O34" s="2587"/>
      <c r="P34" s="2588" t="s">
        <v>2517</v>
      </c>
      <c r="Q34" s="2589"/>
      <c r="R34" s="2588" t="s">
        <v>2517</v>
      </c>
      <c r="S34" s="2589"/>
      <c r="T34" s="697" t="s">
        <v>2107</v>
      </c>
      <c r="U34" s="697" t="s">
        <v>2518</v>
      </c>
      <c r="V34" s="697" t="s">
        <v>2519</v>
      </c>
      <c r="W34" s="697" t="s">
        <v>2519</v>
      </c>
      <c r="X34" s="697" t="s">
        <v>2107</v>
      </c>
      <c r="AC34" s="699"/>
      <c r="AD34" s="699"/>
      <c r="AE34" s="699"/>
    </row>
    <row r="35" spans="1:31" ht="15.9" customHeight="1">
      <c r="A35" s="698"/>
      <c r="B35" s="699"/>
      <c r="C35" s="698"/>
      <c r="D35" s="698"/>
      <c r="E35" s="698"/>
      <c r="F35" s="698"/>
      <c r="G35" s="698"/>
      <c r="H35" s="698"/>
      <c r="I35" s="698"/>
      <c r="J35" s="698"/>
      <c r="K35" s="698"/>
      <c r="L35" s="698"/>
      <c r="M35" s="698"/>
      <c r="N35" s="698"/>
      <c r="O35" s="698"/>
      <c r="P35" s="2581" t="s">
        <v>2520</v>
      </c>
      <c r="Q35" s="2582"/>
      <c r="R35" s="2581" t="s">
        <v>2521</v>
      </c>
      <c r="S35" s="2582"/>
      <c r="T35" s="700" t="s">
        <v>2517</v>
      </c>
      <c r="U35" s="700" t="s">
        <v>2522</v>
      </c>
      <c r="V35" s="700" t="s">
        <v>2520</v>
      </c>
      <c r="W35" s="700" t="s">
        <v>2521</v>
      </c>
      <c r="X35" s="700" t="s">
        <v>1975</v>
      </c>
      <c r="AC35" s="699"/>
      <c r="AD35" s="699"/>
      <c r="AE35" s="699"/>
    </row>
    <row r="36" spans="1:31" ht="15.9" customHeight="1">
      <c r="A36" s="698"/>
      <c r="B36" s="699"/>
      <c r="C36" s="698"/>
      <c r="D36" s="698">
        <v>4</v>
      </c>
      <c r="E36" s="698">
        <v>5</v>
      </c>
      <c r="F36" s="698">
        <v>6</v>
      </c>
      <c r="G36" s="698">
        <v>7</v>
      </c>
      <c r="H36" s="698">
        <v>8</v>
      </c>
      <c r="I36" s="698">
        <v>9</v>
      </c>
      <c r="J36" s="698">
        <v>10</v>
      </c>
      <c r="K36" s="698">
        <v>11</v>
      </c>
      <c r="L36" s="698">
        <v>12</v>
      </c>
      <c r="M36" s="698">
        <v>1</v>
      </c>
      <c r="N36" s="698">
        <v>2</v>
      </c>
      <c r="O36" s="698">
        <v>3</v>
      </c>
      <c r="P36" s="2581" t="s">
        <v>2523</v>
      </c>
      <c r="Q36" s="2582"/>
      <c r="R36" s="2581" t="s">
        <v>2523</v>
      </c>
      <c r="S36" s="2582"/>
      <c r="T36" s="700"/>
      <c r="U36" s="700" t="s">
        <v>2524</v>
      </c>
      <c r="V36" s="700" t="s">
        <v>2523</v>
      </c>
      <c r="W36" s="700" t="s">
        <v>2523</v>
      </c>
      <c r="X36" s="700" t="s">
        <v>2524</v>
      </c>
      <c r="AC36" s="699"/>
      <c r="AD36" s="699"/>
      <c r="AE36" s="699"/>
    </row>
    <row r="37" spans="1:31" ht="15.9" customHeight="1" thickBot="1">
      <c r="A37" s="701"/>
      <c r="B37" s="702"/>
      <c r="C37" s="701"/>
      <c r="D37" s="701"/>
      <c r="E37" s="701"/>
      <c r="F37" s="701"/>
      <c r="G37" s="701"/>
      <c r="H37" s="701"/>
      <c r="I37" s="701"/>
      <c r="J37" s="701"/>
      <c r="K37" s="701"/>
      <c r="L37" s="701"/>
      <c r="M37" s="701"/>
      <c r="N37" s="701"/>
      <c r="O37" s="701"/>
      <c r="P37" s="2583" t="s">
        <v>2525</v>
      </c>
      <c r="Q37" s="2584"/>
      <c r="R37" s="2583" t="s">
        <v>2526</v>
      </c>
      <c r="S37" s="2584"/>
      <c r="T37" s="703"/>
      <c r="U37" s="703"/>
      <c r="V37" s="703" t="s">
        <v>2525</v>
      </c>
      <c r="W37" s="703" t="s">
        <v>2526</v>
      </c>
      <c r="X37" s="703"/>
      <c r="AC37" s="699"/>
      <c r="AD37" s="699"/>
      <c r="AE37" s="699"/>
    </row>
    <row r="38" spans="1:31" ht="24.9" customHeight="1" thickTop="1">
      <c r="A38" s="721">
        <v>26</v>
      </c>
      <c r="B38" s="705" t="s">
        <v>2527</v>
      </c>
      <c r="C38" s="706" t="s">
        <v>2551</v>
      </c>
      <c r="D38" s="707">
        <v>24</v>
      </c>
      <c r="E38" s="707">
        <v>17</v>
      </c>
      <c r="F38" s="707">
        <v>24</v>
      </c>
      <c r="G38" s="707">
        <v>25</v>
      </c>
      <c r="H38" s="707">
        <v>24</v>
      </c>
      <c r="I38" s="707">
        <v>22</v>
      </c>
      <c r="J38" s="707">
        <v>21</v>
      </c>
      <c r="K38" s="707">
        <v>26</v>
      </c>
      <c r="L38" s="707">
        <v>25</v>
      </c>
      <c r="M38" s="708">
        <v>26</v>
      </c>
      <c r="N38" s="708">
        <v>22</v>
      </c>
      <c r="O38" s="709">
        <v>23</v>
      </c>
      <c r="P38" s="710">
        <f t="shared" ref="P38:P55" si="9">SUM(D38:L38)</f>
        <v>208</v>
      </c>
      <c r="Q38" s="704">
        <f t="shared" ref="Q38:Q55" si="10">ROUND(P38/20,0)</f>
        <v>10</v>
      </c>
      <c r="R38" s="711">
        <f t="shared" ref="R38:R55" si="11">SUM(M38:O38)</f>
        <v>71</v>
      </c>
      <c r="S38" s="711">
        <f t="shared" ref="S38:S55" si="12">ROUND(R38/20,0)</f>
        <v>4</v>
      </c>
      <c r="T38" s="712">
        <f t="shared" ref="T38:T55" si="13">SUM(Q38+S38)</f>
        <v>14</v>
      </c>
      <c r="U38" s="712">
        <f t="shared" ref="U38:U55" si="14">ROUND(AA38*60%,0)</f>
        <v>10200</v>
      </c>
      <c r="V38" s="713">
        <f t="shared" ref="V38:V55" si="15">ROUND(U38/26*Q38,0)</f>
        <v>3923</v>
      </c>
      <c r="W38" s="714">
        <f t="shared" ref="W38:W55" si="16">ROUND(U38/26*S38,0)</f>
        <v>1569</v>
      </c>
      <c r="X38" s="715">
        <f t="shared" ref="X38:X55" si="17">SUM(V38:W38)</f>
        <v>5492</v>
      </c>
      <c r="AA38">
        <v>17000</v>
      </c>
      <c r="AC38" s="716"/>
      <c r="AD38" s="716"/>
      <c r="AE38" s="717"/>
    </row>
    <row r="39" spans="1:31" ht="24.9" customHeight="1">
      <c r="A39" s="721">
        <v>27</v>
      </c>
      <c r="B39" s="705" t="s">
        <v>2527</v>
      </c>
      <c r="C39" s="706" t="s">
        <v>2552</v>
      </c>
      <c r="D39" s="704">
        <v>21</v>
      </c>
      <c r="E39" s="704">
        <v>25</v>
      </c>
      <c r="F39" s="704">
        <v>24</v>
      </c>
      <c r="G39" s="704">
        <v>27</v>
      </c>
      <c r="H39" s="704">
        <v>27</v>
      </c>
      <c r="I39" s="704">
        <v>23</v>
      </c>
      <c r="J39" s="704">
        <v>25</v>
      </c>
      <c r="K39" s="704">
        <v>26</v>
      </c>
      <c r="L39" s="704">
        <v>23</v>
      </c>
      <c r="M39" s="708">
        <v>25</v>
      </c>
      <c r="N39" s="708">
        <v>18</v>
      </c>
      <c r="O39" s="709">
        <v>23</v>
      </c>
      <c r="P39" s="710">
        <f t="shared" si="9"/>
        <v>221</v>
      </c>
      <c r="Q39" s="704">
        <f t="shared" si="10"/>
        <v>11</v>
      </c>
      <c r="R39" s="711">
        <f t="shared" si="11"/>
        <v>66</v>
      </c>
      <c r="S39" s="711">
        <f t="shared" si="12"/>
        <v>3</v>
      </c>
      <c r="T39" s="712">
        <f t="shared" si="13"/>
        <v>14</v>
      </c>
      <c r="U39" s="712">
        <f t="shared" si="14"/>
        <v>21000</v>
      </c>
      <c r="V39" s="713">
        <f t="shared" si="15"/>
        <v>8885</v>
      </c>
      <c r="W39" s="714">
        <f t="shared" si="16"/>
        <v>2423</v>
      </c>
      <c r="X39" s="715">
        <f t="shared" si="17"/>
        <v>11308</v>
      </c>
      <c r="AA39">
        <v>35000</v>
      </c>
      <c r="AC39" s="716"/>
      <c r="AD39" s="716"/>
      <c r="AE39" s="717"/>
    </row>
    <row r="40" spans="1:31" ht="24.9" customHeight="1">
      <c r="A40" s="721">
        <v>28</v>
      </c>
      <c r="B40" s="705" t="s">
        <v>2527</v>
      </c>
      <c r="C40" s="706" t="s">
        <v>2553</v>
      </c>
      <c r="D40" s="707">
        <v>12</v>
      </c>
      <c r="E40" s="707">
        <v>25</v>
      </c>
      <c r="F40" s="707">
        <v>25</v>
      </c>
      <c r="G40" s="707">
        <v>24</v>
      </c>
      <c r="H40" s="707">
        <v>22</v>
      </c>
      <c r="I40" s="707">
        <v>15</v>
      </c>
      <c r="J40" s="707">
        <v>23</v>
      </c>
      <c r="K40" s="707">
        <v>19</v>
      </c>
      <c r="L40" s="707">
        <v>25</v>
      </c>
      <c r="M40" s="708">
        <v>24</v>
      </c>
      <c r="N40" s="708">
        <v>26</v>
      </c>
      <c r="O40" s="709">
        <v>25</v>
      </c>
      <c r="P40" s="710">
        <f t="shared" si="9"/>
        <v>190</v>
      </c>
      <c r="Q40" s="704">
        <f t="shared" si="10"/>
        <v>10</v>
      </c>
      <c r="R40" s="711">
        <f t="shared" si="11"/>
        <v>75</v>
      </c>
      <c r="S40" s="711">
        <f t="shared" si="12"/>
        <v>4</v>
      </c>
      <c r="T40" s="712">
        <f t="shared" si="13"/>
        <v>14</v>
      </c>
      <c r="U40" s="712">
        <f t="shared" si="14"/>
        <v>11760</v>
      </c>
      <c r="V40" s="713">
        <f t="shared" si="15"/>
        <v>4523</v>
      </c>
      <c r="W40" s="714">
        <f t="shared" si="16"/>
        <v>1809</v>
      </c>
      <c r="X40" s="715">
        <f t="shared" si="17"/>
        <v>6332</v>
      </c>
      <c r="AA40">
        <v>19600</v>
      </c>
      <c r="AC40" s="716"/>
      <c r="AD40" s="716"/>
      <c r="AE40" s="717"/>
    </row>
    <row r="41" spans="1:31" ht="24.9" customHeight="1">
      <c r="A41" s="721">
        <v>29</v>
      </c>
      <c r="B41" s="705" t="s">
        <v>2527</v>
      </c>
      <c r="C41" s="706" t="s">
        <v>2554</v>
      </c>
      <c r="D41" s="704">
        <v>25</v>
      </c>
      <c r="E41" s="704">
        <v>23</v>
      </c>
      <c r="F41" s="704">
        <v>26</v>
      </c>
      <c r="G41" s="704">
        <v>25</v>
      </c>
      <c r="H41" s="704">
        <v>26</v>
      </c>
      <c r="I41" s="704">
        <v>25</v>
      </c>
      <c r="J41" s="704">
        <v>25</v>
      </c>
      <c r="K41" s="704">
        <v>26</v>
      </c>
      <c r="L41" s="704">
        <v>23</v>
      </c>
      <c r="M41" s="708">
        <v>27</v>
      </c>
      <c r="N41" s="708">
        <v>26</v>
      </c>
      <c r="O41" s="709">
        <v>26</v>
      </c>
      <c r="P41" s="710">
        <f t="shared" si="9"/>
        <v>224</v>
      </c>
      <c r="Q41" s="704">
        <f t="shared" si="10"/>
        <v>11</v>
      </c>
      <c r="R41" s="711">
        <f t="shared" si="11"/>
        <v>79</v>
      </c>
      <c r="S41" s="711">
        <f t="shared" si="12"/>
        <v>4</v>
      </c>
      <c r="T41" s="712">
        <f t="shared" si="13"/>
        <v>15</v>
      </c>
      <c r="U41" s="712">
        <f t="shared" si="14"/>
        <v>10500</v>
      </c>
      <c r="V41" s="713">
        <f t="shared" si="15"/>
        <v>4442</v>
      </c>
      <c r="W41" s="714">
        <f t="shared" si="16"/>
        <v>1615</v>
      </c>
      <c r="X41" s="715">
        <f t="shared" si="17"/>
        <v>6057</v>
      </c>
      <c r="AA41">
        <v>17500</v>
      </c>
      <c r="AC41" s="716"/>
      <c r="AD41" s="716"/>
      <c r="AE41" s="717"/>
    </row>
    <row r="42" spans="1:31" ht="24.9" customHeight="1">
      <c r="A42" s="721">
        <v>30</v>
      </c>
      <c r="B42" s="705" t="s">
        <v>2527</v>
      </c>
      <c r="C42" s="706" t="s">
        <v>2555</v>
      </c>
      <c r="D42" s="707">
        <v>5</v>
      </c>
      <c r="E42" s="707">
        <v>27</v>
      </c>
      <c r="F42" s="707">
        <v>18</v>
      </c>
      <c r="G42" s="707">
        <v>13</v>
      </c>
      <c r="H42" s="707">
        <v>26</v>
      </c>
      <c r="I42" s="707">
        <v>26</v>
      </c>
      <c r="J42" s="707">
        <v>24</v>
      </c>
      <c r="K42" s="707">
        <v>25</v>
      </c>
      <c r="L42" s="707">
        <v>27</v>
      </c>
      <c r="M42" s="708">
        <v>27</v>
      </c>
      <c r="N42" s="708">
        <v>14</v>
      </c>
      <c r="O42" s="709">
        <v>8</v>
      </c>
      <c r="P42" s="710">
        <f t="shared" si="9"/>
        <v>191</v>
      </c>
      <c r="Q42" s="704">
        <f t="shared" si="10"/>
        <v>10</v>
      </c>
      <c r="R42" s="711">
        <f t="shared" si="11"/>
        <v>49</v>
      </c>
      <c r="S42" s="711">
        <f t="shared" si="12"/>
        <v>2</v>
      </c>
      <c r="T42" s="712">
        <f t="shared" si="13"/>
        <v>12</v>
      </c>
      <c r="U42" s="712">
        <f t="shared" si="14"/>
        <v>11700</v>
      </c>
      <c r="V42" s="713">
        <f t="shared" si="15"/>
        <v>4500</v>
      </c>
      <c r="W42" s="714">
        <f t="shared" si="16"/>
        <v>900</v>
      </c>
      <c r="X42" s="715">
        <f t="shared" si="17"/>
        <v>5400</v>
      </c>
      <c r="AA42">
        <v>19500</v>
      </c>
      <c r="AC42" s="716"/>
      <c r="AD42" s="716"/>
      <c r="AE42" s="717"/>
    </row>
    <row r="43" spans="1:31" ht="24.9" customHeight="1">
      <c r="A43" s="721">
        <v>31</v>
      </c>
      <c r="B43" s="705" t="s">
        <v>2527</v>
      </c>
      <c r="C43" s="706" t="s">
        <v>2556</v>
      </c>
      <c r="D43" s="704">
        <v>26</v>
      </c>
      <c r="E43" s="704">
        <v>24</v>
      </c>
      <c r="F43" s="704">
        <v>26</v>
      </c>
      <c r="G43" s="704">
        <v>21</v>
      </c>
      <c r="H43" s="704">
        <v>24</v>
      </c>
      <c r="I43" s="704">
        <v>26</v>
      </c>
      <c r="J43" s="704">
        <v>20</v>
      </c>
      <c r="K43" s="704">
        <v>24</v>
      </c>
      <c r="L43" s="704">
        <v>27</v>
      </c>
      <c r="M43" s="708">
        <v>24</v>
      </c>
      <c r="N43" s="708">
        <v>26</v>
      </c>
      <c r="O43" s="709">
        <v>19</v>
      </c>
      <c r="P43" s="710">
        <f t="shared" si="9"/>
        <v>218</v>
      </c>
      <c r="Q43" s="704">
        <f t="shared" si="10"/>
        <v>11</v>
      </c>
      <c r="R43" s="711">
        <f t="shared" si="11"/>
        <v>69</v>
      </c>
      <c r="S43" s="711">
        <f t="shared" si="12"/>
        <v>3</v>
      </c>
      <c r="T43" s="712">
        <f t="shared" si="13"/>
        <v>14</v>
      </c>
      <c r="U43" s="712">
        <f t="shared" si="14"/>
        <v>10680</v>
      </c>
      <c r="V43" s="713">
        <f t="shared" si="15"/>
        <v>4518</v>
      </c>
      <c r="W43" s="714">
        <f t="shared" si="16"/>
        <v>1232</v>
      </c>
      <c r="X43" s="715">
        <f t="shared" si="17"/>
        <v>5750</v>
      </c>
      <c r="AA43">
        <v>17800</v>
      </c>
      <c r="AC43" s="716"/>
      <c r="AD43" s="716"/>
      <c r="AE43" s="717"/>
    </row>
    <row r="44" spans="1:31" ht="24.9" customHeight="1">
      <c r="A44" s="721">
        <v>32</v>
      </c>
      <c r="B44" s="705" t="s">
        <v>2527</v>
      </c>
      <c r="C44" s="706" t="s">
        <v>2557</v>
      </c>
      <c r="D44" s="707">
        <v>24</v>
      </c>
      <c r="E44" s="707">
        <v>25</v>
      </c>
      <c r="F44" s="707">
        <v>26</v>
      </c>
      <c r="G44" s="707">
        <v>27</v>
      </c>
      <c r="H44" s="707">
        <v>23</v>
      </c>
      <c r="I44" s="707">
        <v>23</v>
      </c>
      <c r="J44" s="707">
        <v>20</v>
      </c>
      <c r="K44" s="707">
        <v>25</v>
      </c>
      <c r="L44" s="707">
        <v>26</v>
      </c>
      <c r="M44" s="708">
        <v>26</v>
      </c>
      <c r="N44" s="708">
        <v>26</v>
      </c>
      <c r="O44" s="709">
        <v>26</v>
      </c>
      <c r="P44" s="710">
        <f t="shared" si="9"/>
        <v>219</v>
      </c>
      <c r="Q44" s="704">
        <f t="shared" si="10"/>
        <v>11</v>
      </c>
      <c r="R44" s="711">
        <f t="shared" si="11"/>
        <v>78</v>
      </c>
      <c r="S44" s="711">
        <f t="shared" si="12"/>
        <v>4</v>
      </c>
      <c r="T44" s="712">
        <f t="shared" si="13"/>
        <v>15</v>
      </c>
      <c r="U44" s="712">
        <f t="shared" si="14"/>
        <v>10260</v>
      </c>
      <c r="V44" s="713">
        <f t="shared" si="15"/>
        <v>4341</v>
      </c>
      <c r="W44" s="714">
        <f t="shared" si="16"/>
        <v>1578</v>
      </c>
      <c r="X44" s="715">
        <f t="shared" si="17"/>
        <v>5919</v>
      </c>
      <c r="AA44">
        <v>17100</v>
      </c>
      <c r="AC44" s="716"/>
      <c r="AD44" s="716"/>
      <c r="AE44" s="717"/>
    </row>
    <row r="45" spans="1:31" ht="24.9" customHeight="1">
      <c r="A45" s="721">
        <v>33</v>
      </c>
      <c r="B45" s="705" t="s">
        <v>2527</v>
      </c>
      <c r="C45" s="706" t="s">
        <v>2558</v>
      </c>
      <c r="D45" s="704">
        <v>24</v>
      </c>
      <c r="E45" s="704">
        <v>5</v>
      </c>
      <c r="F45" s="704">
        <v>0</v>
      </c>
      <c r="G45" s="704">
        <v>0</v>
      </c>
      <c r="H45" s="704">
        <v>9</v>
      </c>
      <c r="I45" s="704">
        <v>24</v>
      </c>
      <c r="J45" s="704">
        <v>26</v>
      </c>
      <c r="K45" s="704">
        <v>26</v>
      </c>
      <c r="L45" s="704">
        <v>12</v>
      </c>
      <c r="M45" s="708">
        <v>0</v>
      </c>
      <c r="N45" s="708">
        <v>0</v>
      </c>
      <c r="O45" s="709">
        <v>0</v>
      </c>
      <c r="P45" s="710">
        <f t="shared" si="9"/>
        <v>126</v>
      </c>
      <c r="Q45" s="704">
        <f t="shared" si="10"/>
        <v>6</v>
      </c>
      <c r="R45" s="711">
        <f t="shared" si="11"/>
        <v>0</v>
      </c>
      <c r="S45" s="711">
        <f t="shared" si="12"/>
        <v>0</v>
      </c>
      <c r="T45" s="712">
        <f t="shared" si="13"/>
        <v>6</v>
      </c>
      <c r="U45" s="712">
        <f t="shared" si="14"/>
        <v>10800</v>
      </c>
      <c r="V45" s="713">
        <f t="shared" si="15"/>
        <v>2492</v>
      </c>
      <c r="W45" s="714">
        <f t="shared" si="16"/>
        <v>0</v>
      </c>
      <c r="X45" s="715">
        <f t="shared" si="17"/>
        <v>2492</v>
      </c>
      <c r="AA45">
        <v>18000</v>
      </c>
      <c r="AC45" s="716"/>
      <c r="AD45" s="716"/>
      <c r="AE45" s="717"/>
    </row>
    <row r="46" spans="1:31" ht="24.9" customHeight="1">
      <c r="A46" s="721">
        <v>34</v>
      </c>
      <c r="B46" s="705" t="s">
        <v>2527</v>
      </c>
      <c r="C46" s="706" t="s">
        <v>2559</v>
      </c>
      <c r="D46" s="707">
        <v>23</v>
      </c>
      <c r="E46" s="707">
        <v>23</v>
      </c>
      <c r="F46" s="707">
        <v>24</v>
      </c>
      <c r="G46" s="707">
        <v>22</v>
      </c>
      <c r="H46" s="707">
        <v>10</v>
      </c>
      <c r="I46" s="707">
        <v>24</v>
      </c>
      <c r="J46" s="707">
        <v>23</v>
      </c>
      <c r="K46" s="707">
        <v>20</v>
      </c>
      <c r="L46" s="707">
        <v>24</v>
      </c>
      <c r="M46" s="708">
        <v>26</v>
      </c>
      <c r="N46" s="708">
        <v>20</v>
      </c>
      <c r="O46" s="709">
        <v>26</v>
      </c>
      <c r="P46" s="710">
        <f t="shared" si="9"/>
        <v>193</v>
      </c>
      <c r="Q46" s="704">
        <f t="shared" si="10"/>
        <v>10</v>
      </c>
      <c r="R46" s="711">
        <f t="shared" si="11"/>
        <v>72</v>
      </c>
      <c r="S46" s="711">
        <f t="shared" si="12"/>
        <v>4</v>
      </c>
      <c r="T46" s="712">
        <f t="shared" si="13"/>
        <v>14</v>
      </c>
      <c r="U46" s="712">
        <f t="shared" si="14"/>
        <v>9000</v>
      </c>
      <c r="V46" s="713">
        <f t="shared" si="15"/>
        <v>3462</v>
      </c>
      <c r="W46" s="714">
        <f t="shared" si="16"/>
        <v>1385</v>
      </c>
      <c r="X46" s="715">
        <f t="shared" si="17"/>
        <v>4847</v>
      </c>
      <c r="AA46">
        <v>15000</v>
      </c>
      <c r="AC46" s="716"/>
      <c r="AD46" s="716"/>
      <c r="AE46" s="717"/>
    </row>
    <row r="47" spans="1:31" ht="24.9" customHeight="1">
      <c r="A47" s="721">
        <v>35</v>
      </c>
      <c r="B47" s="705" t="s">
        <v>2527</v>
      </c>
      <c r="C47" s="706" t="s">
        <v>2560</v>
      </c>
      <c r="D47" s="704">
        <v>23</v>
      </c>
      <c r="E47" s="704">
        <v>26</v>
      </c>
      <c r="F47" s="704">
        <v>26</v>
      </c>
      <c r="G47" s="704">
        <v>27</v>
      </c>
      <c r="H47" s="704">
        <v>23</v>
      </c>
      <c r="I47" s="704">
        <v>26</v>
      </c>
      <c r="J47" s="704">
        <v>25</v>
      </c>
      <c r="K47" s="704">
        <v>22</v>
      </c>
      <c r="L47" s="704">
        <v>24</v>
      </c>
      <c r="M47" s="708">
        <v>24</v>
      </c>
      <c r="N47" s="708">
        <v>26</v>
      </c>
      <c r="O47" s="709">
        <v>23</v>
      </c>
      <c r="P47" s="710">
        <f t="shared" si="9"/>
        <v>222</v>
      </c>
      <c r="Q47" s="704">
        <f t="shared" si="10"/>
        <v>11</v>
      </c>
      <c r="R47" s="711">
        <f t="shared" si="11"/>
        <v>73</v>
      </c>
      <c r="S47" s="711">
        <f t="shared" si="12"/>
        <v>4</v>
      </c>
      <c r="T47" s="712">
        <f t="shared" si="13"/>
        <v>15</v>
      </c>
      <c r="U47" s="712">
        <f t="shared" si="14"/>
        <v>9000</v>
      </c>
      <c r="V47" s="713">
        <f t="shared" si="15"/>
        <v>3808</v>
      </c>
      <c r="W47" s="714">
        <f t="shared" si="16"/>
        <v>1385</v>
      </c>
      <c r="X47" s="715">
        <f t="shared" si="17"/>
        <v>5193</v>
      </c>
      <c r="AA47">
        <v>15000</v>
      </c>
      <c r="AC47" s="716"/>
      <c r="AD47" s="716"/>
      <c r="AE47" s="717"/>
    </row>
    <row r="48" spans="1:31" ht="24.9" customHeight="1">
      <c r="A48" s="721">
        <v>36</v>
      </c>
      <c r="B48" s="705" t="s">
        <v>2527</v>
      </c>
      <c r="C48" s="706" t="s">
        <v>2561</v>
      </c>
      <c r="D48" s="707">
        <v>21</v>
      </c>
      <c r="E48" s="707">
        <v>24</v>
      </c>
      <c r="F48" s="707">
        <v>18</v>
      </c>
      <c r="G48" s="707">
        <v>12</v>
      </c>
      <c r="H48" s="707">
        <v>25</v>
      </c>
      <c r="I48" s="707">
        <v>22</v>
      </c>
      <c r="J48" s="707">
        <v>23</v>
      </c>
      <c r="K48" s="707">
        <v>24</v>
      </c>
      <c r="L48" s="707">
        <v>25</v>
      </c>
      <c r="M48" s="708">
        <v>26</v>
      </c>
      <c r="N48" s="708">
        <v>26</v>
      </c>
      <c r="O48" s="709">
        <v>26</v>
      </c>
      <c r="P48" s="710">
        <f t="shared" si="9"/>
        <v>194</v>
      </c>
      <c r="Q48" s="704">
        <f t="shared" si="10"/>
        <v>10</v>
      </c>
      <c r="R48" s="711">
        <f t="shared" si="11"/>
        <v>78</v>
      </c>
      <c r="S48" s="711">
        <f t="shared" si="12"/>
        <v>4</v>
      </c>
      <c r="T48" s="712">
        <f t="shared" si="13"/>
        <v>14</v>
      </c>
      <c r="U48" s="712">
        <f t="shared" si="14"/>
        <v>8880</v>
      </c>
      <c r="V48" s="713">
        <f t="shared" si="15"/>
        <v>3415</v>
      </c>
      <c r="W48" s="714">
        <f t="shared" si="16"/>
        <v>1366</v>
      </c>
      <c r="X48" s="715">
        <f t="shared" si="17"/>
        <v>4781</v>
      </c>
      <c r="AA48">
        <v>14800</v>
      </c>
      <c r="AC48" s="716"/>
      <c r="AD48" s="716"/>
      <c r="AE48" s="717"/>
    </row>
    <row r="49" spans="1:31" ht="24.9" customHeight="1">
      <c r="A49" s="721">
        <v>37</v>
      </c>
      <c r="B49" s="705" t="s">
        <v>2527</v>
      </c>
      <c r="C49" s="718" t="s">
        <v>2562</v>
      </c>
      <c r="D49" s="704">
        <v>24</v>
      </c>
      <c r="E49" s="704">
        <v>24</v>
      </c>
      <c r="F49" s="704">
        <v>23</v>
      </c>
      <c r="G49" s="704">
        <v>23</v>
      </c>
      <c r="H49" s="704">
        <v>25</v>
      </c>
      <c r="I49" s="704">
        <v>25</v>
      </c>
      <c r="J49" s="704">
        <v>18</v>
      </c>
      <c r="K49" s="704">
        <v>16</v>
      </c>
      <c r="L49" s="704">
        <v>26</v>
      </c>
      <c r="M49" s="708">
        <v>27</v>
      </c>
      <c r="N49" s="708">
        <v>17</v>
      </c>
      <c r="O49" s="709">
        <v>18</v>
      </c>
      <c r="P49" s="710">
        <f t="shared" si="9"/>
        <v>204</v>
      </c>
      <c r="Q49" s="704">
        <f t="shared" si="10"/>
        <v>10</v>
      </c>
      <c r="R49" s="711">
        <f t="shared" si="11"/>
        <v>62</v>
      </c>
      <c r="S49" s="711">
        <f t="shared" si="12"/>
        <v>3</v>
      </c>
      <c r="T49" s="712">
        <f t="shared" si="13"/>
        <v>13</v>
      </c>
      <c r="U49" s="712">
        <f t="shared" si="14"/>
        <v>7320</v>
      </c>
      <c r="V49" s="713">
        <f t="shared" si="15"/>
        <v>2815</v>
      </c>
      <c r="W49" s="714">
        <f t="shared" si="16"/>
        <v>845</v>
      </c>
      <c r="X49" s="715">
        <f t="shared" si="17"/>
        <v>3660</v>
      </c>
      <c r="AA49">
        <v>12200</v>
      </c>
      <c r="AC49" s="716"/>
      <c r="AD49" s="716"/>
      <c r="AE49" s="717"/>
    </row>
    <row r="50" spans="1:31" ht="24.9" customHeight="1">
      <c r="A50" s="721">
        <v>38</v>
      </c>
      <c r="B50" s="705" t="s">
        <v>2527</v>
      </c>
      <c r="C50" s="706" t="s">
        <v>2563</v>
      </c>
      <c r="D50" s="707">
        <v>26</v>
      </c>
      <c r="E50" s="707">
        <v>14</v>
      </c>
      <c r="F50" s="707">
        <v>26</v>
      </c>
      <c r="G50" s="707">
        <v>27</v>
      </c>
      <c r="H50" s="707">
        <v>26</v>
      </c>
      <c r="I50" s="707">
        <v>25</v>
      </c>
      <c r="J50" s="707">
        <v>27</v>
      </c>
      <c r="K50" s="707">
        <v>25</v>
      </c>
      <c r="L50" s="707">
        <v>26</v>
      </c>
      <c r="M50" s="708">
        <v>26</v>
      </c>
      <c r="N50" s="708">
        <v>26</v>
      </c>
      <c r="O50" s="709">
        <v>25</v>
      </c>
      <c r="P50" s="710">
        <f t="shared" si="9"/>
        <v>222</v>
      </c>
      <c r="Q50" s="704">
        <f t="shared" si="10"/>
        <v>11</v>
      </c>
      <c r="R50" s="711">
        <f t="shared" si="11"/>
        <v>77</v>
      </c>
      <c r="S50" s="711">
        <f t="shared" si="12"/>
        <v>4</v>
      </c>
      <c r="T50" s="712">
        <f t="shared" si="13"/>
        <v>15</v>
      </c>
      <c r="U50" s="712">
        <f t="shared" si="14"/>
        <v>11700</v>
      </c>
      <c r="V50" s="713">
        <f t="shared" si="15"/>
        <v>4950</v>
      </c>
      <c r="W50" s="714">
        <f t="shared" si="16"/>
        <v>1800</v>
      </c>
      <c r="X50" s="715">
        <f t="shared" si="17"/>
        <v>6750</v>
      </c>
      <c r="AA50">
        <v>19500</v>
      </c>
      <c r="AC50" s="716"/>
      <c r="AD50" s="716"/>
      <c r="AE50" s="717"/>
    </row>
    <row r="51" spans="1:31" ht="24.9" customHeight="1">
      <c r="A51" s="721">
        <v>39</v>
      </c>
      <c r="B51" s="705" t="s">
        <v>2527</v>
      </c>
      <c r="C51" s="706" t="s">
        <v>2564</v>
      </c>
      <c r="D51" s="704">
        <v>26</v>
      </c>
      <c r="E51" s="704">
        <v>23</v>
      </c>
      <c r="F51" s="704">
        <v>18</v>
      </c>
      <c r="G51" s="704">
        <v>13</v>
      </c>
      <c r="H51" s="704">
        <v>26</v>
      </c>
      <c r="I51" s="704">
        <v>26</v>
      </c>
      <c r="J51" s="704">
        <v>18</v>
      </c>
      <c r="K51" s="704">
        <v>7</v>
      </c>
      <c r="L51" s="704">
        <v>27</v>
      </c>
      <c r="M51" s="708">
        <v>27</v>
      </c>
      <c r="N51" s="708">
        <v>26</v>
      </c>
      <c r="O51" s="709">
        <v>26</v>
      </c>
      <c r="P51" s="710">
        <f t="shared" si="9"/>
        <v>184</v>
      </c>
      <c r="Q51" s="704">
        <f t="shared" si="10"/>
        <v>9</v>
      </c>
      <c r="R51" s="711">
        <f t="shared" si="11"/>
        <v>79</v>
      </c>
      <c r="S51" s="711">
        <f t="shared" si="12"/>
        <v>4</v>
      </c>
      <c r="T51" s="712">
        <f t="shared" si="13"/>
        <v>13</v>
      </c>
      <c r="U51" s="712">
        <f t="shared" si="14"/>
        <v>9420</v>
      </c>
      <c r="V51" s="713">
        <f t="shared" si="15"/>
        <v>3261</v>
      </c>
      <c r="W51" s="714">
        <f t="shared" si="16"/>
        <v>1449</v>
      </c>
      <c r="X51" s="715">
        <f t="shared" si="17"/>
        <v>4710</v>
      </c>
      <c r="AA51">
        <v>15700</v>
      </c>
      <c r="AC51" s="716"/>
      <c r="AD51" s="716"/>
      <c r="AE51" s="717"/>
    </row>
    <row r="52" spans="1:31" ht="24.9" customHeight="1">
      <c r="A52" s="721">
        <v>40</v>
      </c>
      <c r="B52" s="705" t="s">
        <v>2527</v>
      </c>
      <c r="C52" s="706" t="s">
        <v>2565</v>
      </c>
      <c r="D52" s="707">
        <v>17</v>
      </c>
      <c r="E52" s="707">
        <v>21</v>
      </c>
      <c r="F52" s="707">
        <v>20</v>
      </c>
      <c r="G52" s="707">
        <v>20</v>
      </c>
      <c r="H52" s="707">
        <v>11</v>
      </c>
      <c r="I52" s="707">
        <v>18</v>
      </c>
      <c r="J52" s="707">
        <v>21</v>
      </c>
      <c r="K52" s="707">
        <v>18</v>
      </c>
      <c r="L52" s="707">
        <v>16</v>
      </c>
      <c r="M52" s="708">
        <v>14</v>
      </c>
      <c r="N52" s="708">
        <v>20</v>
      </c>
      <c r="O52" s="709">
        <v>16</v>
      </c>
      <c r="P52" s="710">
        <f t="shared" si="9"/>
        <v>162</v>
      </c>
      <c r="Q52" s="704">
        <f t="shared" si="10"/>
        <v>8</v>
      </c>
      <c r="R52" s="711">
        <f t="shared" si="11"/>
        <v>50</v>
      </c>
      <c r="S52" s="711">
        <f t="shared" si="12"/>
        <v>3</v>
      </c>
      <c r="T52" s="712">
        <f t="shared" si="13"/>
        <v>11</v>
      </c>
      <c r="U52" s="712">
        <f t="shared" si="14"/>
        <v>8820</v>
      </c>
      <c r="V52" s="713">
        <f t="shared" si="15"/>
        <v>2714</v>
      </c>
      <c r="W52" s="714">
        <f t="shared" si="16"/>
        <v>1018</v>
      </c>
      <c r="X52" s="715">
        <f t="shared" si="17"/>
        <v>3732</v>
      </c>
      <c r="AA52">
        <v>14700</v>
      </c>
      <c r="AC52" s="716"/>
      <c r="AD52" s="716"/>
      <c r="AE52" s="717"/>
    </row>
    <row r="53" spans="1:31" ht="24.9" customHeight="1">
      <c r="A53" s="721">
        <v>41</v>
      </c>
      <c r="B53" s="720" t="s">
        <v>2527</v>
      </c>
      <c r="C53" s="706" t="s">
        <v>2566</v>
      </c>
      <c r="D53" s="704">
        <v>24</v>
      </c>
      <c r="E53" s="704">
        <v>26</v>
      </c>
      <c r="F53" s="704">
        <v>20</v>
      </c>
      <c r="G53" s="704">
        <v>25</v>
      </c>
      <c r="H53" s="704">
        <v>12</v>
      </c>
      <c r="I53" s="704">
        <v>25</v>
      </c>
      <c r="J53" s="704">
        <v>27</v>
      </c>
      <c r="K53" s="704">
        <v>25</v>
      </c>
      <c r="L53" s="704">
        <v>25</v>
      </c>
      <c r="M53" s="708">
        <v>26</v>
      </c>
      <c r="N53" s="708">
        <v>26</v>
      </c>
      <c r="O53" s="709">
        <v>26</v>
      </c>
      <c r="P53" s="710">
        <f t="shared" si="9"/>
        <v>209</v>
      </c>
      <c r="Q53" s="704">
        <f t="shared" si="10"/>
        <v>10</v>
      </c>
      <c r="R53" s="711">
        <f t="shared" si="11"/>
        <v>78</v>
      </c>
      <c r="S53" s="711">
        <f t="shared" si="12"/>
        <v>4</v>
      </c>
      <c r="T53" s="712">
        <f t="shared" si="13"/>
        <v>14</v>
      </c>
      <c r="U53" s="712">
        <f t="shared" si="14"/>
        <v>9060</v>
      </c>
      <c r="V53" s="713">
        <f t="shared" si="15"/>
        <v>3485</v>
      </c>
      <c r="W53" s="714">
        <f t="shared" si="16"/>
        <v>1394</v>
      </c>
      <c r="X53" s="715">
        <f t="shared" si="17"/>
        <v>4879</v>
      </c>
      <c r="AA53">
        <v>15100</v>
      </c>
      <c r="AC53" s="716"/>
      <c r="AD53" s="716"/>
      <c r="AE53" s="717"/>
    </row>
    <row r="54" spans="1:31" ht="24.9" customHeight="1">
      <c r="A54" s="721">
        <v>42</v>
      </c>
      <c r="B54" s="720" t="s">
        <v>2527</v>
      </c>
      <c r="C54" s="718" t="s">
        <v>2567</v>
      </c>
      <c r="D54" s="707">
        <v>14</v>
      </c>
      <c r="E54" s="707">
        <v>24</v>
      </c>
      <c r="F54" s="707">
        <v>21</v>
      </c>
      <c r="G54" s="707">
        <v>22</v>
      </c>
      <c r="H54" s="707">
        <v>21</v>
      </c>
      <c r="I54" s="707">
        <v>20</v>
      </c>
      <c r="J54" s="707">
        <v>19</v>
      </c>
      <c r="K54" s="707">
        <v>0</v>
      </c>
      <c r="L54" s="707">
        <v>21</v>
      </c>
      <c r="M54" s="708">
        <v>23</v>
      </c>
      <c r="N54" s="708">
        <v>22</v>
      </c>
      <c r="O54" s="709">
        <v>23</v>
      </c>
      <c r="P54" s="710">
        <f t="shared" si="9"/>
        <v>162</v>
      </c>
      <c r="Q54" s="704">
        <f t="shared" si="10"/>
        <v>8</v>
      </c>
      <c r="R54" s="711">
        <f t="shared" si="11"/>
        <v>68</v>
      </c>
      <c r="S54" s="711">
        <f t="shared" si="12"/>
        <v>3</v>
      </c>
      <c r="T54" s="712">
        <f t="shared" si="13"/>
        <v>11</v>
      </c>
      <c r="U54" s="712">
        <f t="shared" si="14"/>
        <v>6900</v>
      </c>
      <c r="V54" s="713">
        <f t="shared" si="15"/>
        <v>2123</v>
      </c>
      <c r="W54" s="714">
        <f t="shared" si="16"/>
        <v>796</v>
      </c>
      <c r="X54" s="715">
        <f t="shared" si="17"/>
        <v>2919</v>
      </c>
      <c r="AA54">
        <v>11500</v>
      </c>
      <c r="AC54" s="716"/>
      <c r="AD54" s="716"/>
      <c r="AE54" s="717"/>
    </row>
    <row r="55" spans="1:31" ht="24.9" customHeight="1">
      <c r="A55" s="721">
        <v>43</v>
      </c>
      <c r="B55" s="720" t="s">
        <v>2527</v>
      </c>
      <c r="C55" s="718" t="s">
        <v>2568</v>
      </c>
      <c r="D55" s="704">
        <v>0</v>
      </c>
      <c r="E55" s="704">
        <v>27</v>
      </c>
      <c r="F55" s="704">
        <v>25</v>
      </c>
      <c r="G55" s="704">
        <v>26</v>
      </c>
      <c r="H55" s="704">
        <v>27</v>
      </c>
      <c r="I55" s="704">
        <v>27</v>
      </c>
      <c r="J55" s="704">
        <v>27</v>
      </c>
      <c r="K55" s="704">
        <v>26</v>
      </c>
      <c r="L55" s="704">
        <v>26</v>
      </c>
      <c r="M55" s="708">
        <v>24</v>
      </c>
      <c r="N55" s="708">
        <v>26</v>
      </c>
      <c r="O55" s="709">
        <v>27</v>
      </c>
      <c r="P55" s="710">
        <f t="shared" si="9"/>
        <v>211</v>
      </c>
      <c r="Q55" s="704">
        <f t="shared" si="10"/>
        <v>11</v>
      </c>
      <c r="R55" s="711">
        <f t="shared" si="11"/>
        <v>77</v>
      </c>
      <c r="S55" s="711">
        <f t="shared" si="12"/>
        <v>4</v>
      </c>
      <c r="T55" s="712">
        <f t="shared" si="13"/>
        <v>15</v>
      </c>
      <c r="U55" s="712">
        <f t="shared" si="14"/>
        <v>8880</v>
      </c>
      <c r="V55" s="713">
        <f t="shared" si="15"/>
        <v>3757</v>
      </c>
      <c r="W55" s="714">
        <f t="shared" si="16"/>
        <v>1366</v>
      </c>
      <c r="X55" s="715">
        <f t="shared" si="17"/>
        <v>5123</v>
      </c>
      <c r="AA55">
        <v>14800</v>
      </c>
      <c r="AC55" s="716"/>
      <c r="AD55" s="716"/>
      <c r="AE55" s="717"/>
    </row>
    <row r="56" spans="1:31" ht="20.100000000000001" customHeight="1" thickBot="1">
      <c r="A56" s="723"/>
      <c r="B56" s="2578" t="s">
        <v>2569</v>
      </c>
      <c r="C56" s="2579"/>
      <c r="D56" s="2579"/>
      <c r="E56" s="2579"/>
      <c r="F56" s="2579"/>
      <c r="G56" s="2579"/>
      <c r="H56" s="2579"/>
      <c r="I56" s="2579"/>
      <c r="J56" s="2579"/>
      <c r="K56" s="2579"/>
      <c r="L56" s="2579"/>
      <c r="M56" s="2579"/>
      <c r="N56" s="2579"/>
      <c r="O56" s="2579"/>
      <c r="P56" s="2579"/>
      <c r="Q56" s="2579"/>
      <c r="R56" s="2579"/>
      <c r="S56" s="2579"/>
      <c r="T56" s="2579"/>
      <c r="U56" s="2580"/>
      <c r="V56" s="724">
        <f>SUM(V9:V55)</f>
        <v>173664</v>
      </c>
      <c r="W56" s="724">
        <f>SUM(W9:W55)</f>
        <v>59611</v>
      </c>
      <c r="X56" s="724">
        <f>SUM(X9:X55)</f>
        <v>233275</v>
      </c>
    </row>
    <row r="57" spans="1:31" ht="15" thickTop="1"/>
  </sheetData>
  <customSheetViews>
    <customSheetView guid="{ADEA4918-0326-423A-8D00-FB47A486004B}" showPageBreaks="1" printArea="1" state="hidden">
      <selection activeCell="H46" sqref="H46"/>
      <rowBreaks count="1" manualBreakCount="1">
        <brk id="33" max="23" man="1"/>
      </rowBreaks>
      <colBreaks count="1" manualBreakCount="1">
        <brk id="24" max="1048575" man="1"/>
      </colBreaks>
      <pageMargins left="0.19685039370078741" right="0.19685039370078741" top="0.19685039370078741" bottom="0.19685039370078741" header="0.31496062992125984" footer="0.31496062992125984"/>
      <pageSetup scale="75" orientation="landscape" r:id="rId1"/>
    </customSheetView>
    <customSheetView guid="{2A78E287-3113-4387-BB62-BE98FA5C13C2}" state="hidden">
      <selection activeCell="H46" sqref="H46"/>
      <rowBreaks count="1" manualBreakCount="1">
        <brk id="33" max="23" man="1"/>
      </rowBreaks>
      <colBreaks count="1" manualBreakCount="1">
        <brk id="24" max="1048575" man="1"/>
      </colBreaks>
      <pageMargins left="0.19685039370078741" right="0.19685039370078741" top="0.19685039370078741" bottom="0.19685039370078741" header="0.31496062992125984" footer="0.31496062992125984"/>
      <pageSetup scale="75" orientation="landscape" r:id="rId2"/>
    </customSheetView>
    <customSheetView guid="{DC5DA12B-0FA6-4F41-A983-6E433AD4604D}" state="hidden">
      <selection activeCell="H46" sqref="H46"/>
      <rowBreaks count="1" manualBreakCount="1">
        <brk id="33" max="23" man="1"/>
      </rowBreaks>
      <colBreaks count="1" manualBreakCount="1">
        <brk id="24" max="1048575" man="1"/>
      </colBreaks>
      <pageMargins left="0.19685039370078741" right="0.19685039370078741" top="0.19685039370078741" bottom="0.19685039370078741" header="0.31496062992125984" footer="0.31496062992125984"/>
      <pageSetup scale="75" orientation="landscape" r:id="rId3"/>
    </customSheetView>
  </customSheetViews>
  <mergeCells count="21">
    <mergeCell ref="P6:Q6"/>
    <mergeCell ref="R6:S6"/>
    <mergeCell ref="A2:X2"/>
    <mergeCell ref="A3:X3"/>
    <mergeCell ref="D5:O5"/>
    <mergeCell ref="P5:Q5"/>
    <mergeCell ref="R5:S5"/>
    <mergeCell ref="P7:Q7"/>
    <mergeCell ref="R7:S7"/>
    <mergeCell ref="P8:Q8"/>
    <mergeCell ref="R8:S8"/>
    <mergeCell ref="D34:O34"/>
    <mergeCell ref="P34:Q34"/>
    <mergeCell ref="R34:S34"/>
    <mergeCell ref="B56:U56"/>
    <mergeCell ref="P35:Q35"/>
    <mergeCell ref="R35:S35"/>
    <mergeCell ref="P36:Q36"/>
    <mergeCell ref="R36:S36"/>
    <mergeCell ref="P37:Q37"/>
    <mergeCell ref="R37:S37"/>
  </mergeCells>
  <pageMargins left="0.19685039370078741" right="0.19685039370078741" top="0.19685039370078741" bottom="0.19685039370078741" header="0.31496062992125984" footer="0.31496062992125984"/>
  <pageSetup scale="75" orientation="landscape" r:id="rId4"/>
  <rowBreaks count="1" manualBreakCount="1">
    <brk id="33" max="23" man="1"/>
  </rowBreaks>
  <colBreaks count="1" manualBreakCount="1">
    <brk id="2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R76"/>
  <sheetViews>
    <sheetView topLeftCell="D40" zoomScaleNormal="100" workbookViewId="0">
      <selection activeCell="N48" sqref="N48"/>
    </sheetView>
  </sheetViews>
  <sheetFormatPr defaultColWidth="9.109375" defaultRowHeight="13.8"/>
  <cols>
    <col min="1" max="1" width="9.109375" style="1314"/>
    <col min="2" max="2" width="7.6640625" style="1312" customWidth="1"/>
    <col min="3" max="3" width="33.44140625" style="1314" bestFit="1" customWidth="1"/>
    <col min="4" max="4" width="31.109375" style="1314" customWidth="1"/>
    <col min="5" max="6" width="14.33203125" style="1314" customWidth="1"/>
    <col min="7" max="7" width="27.109375" style="1314" bestFit="1" customWidth="1"/>
    <col min="8" max="9" width="15.88671875" style="1314" customWidth="1"/>
    <col min="10" max="10" width="13.88671875" style="1314" customWidth="1"/>
    <col min="11" max="11" width="14.109375" style="1314" customWidth="1"/>
    <col min="12" max="12" width="9.109375" style="1314"/>
    <col min="13" max="13" width="27.5546875" style="1314" customWidth="1"/>
    <col min="14" max="16384" width="9.109375" style="1314"/>
  </cols>
  <sheetData>
    <row r="1" spans="2:13" ht="14.4" thickBot="1"/>
    <row r="2" spans="2:13" ht="18.600000000000001" thickBot="1">
      <c r="B2" s="2424" t="s">
        <v>702</v>
      </c>
      <c r="C2" s="2425"/>
      <c r="D2" s="2425"/>
      <c r="E2" s="2425"/>
      <c r="F2" s="2425"/>
      <c r="G2" s="2425"/>
      <c r="H2" s="2425"/>
      <c r="I2" s="2425"/>
      <c r="J2" s="2425"/>
      <c r="K2" s="2425"/>
      <c r="L2" s="2425"/>
      <c r="M2" s="2426"/>
    </row>
    <row r="3" spans="2:13" ht="18.600000000000001" thickBot="1">
      <c r="B3" s="2424" t="s">
        <v>3056</v>
      </c>
      <c r="C3" s="2425"/>
      <c r="D3" s="2425"/>
      <c r="E3" s="2425"/>
      <c r="F3" s="2425"/>
      <c r="G3" s="2425"/>
      <c r="H3" s="2425"/>
      <c r="I3" s="2425"/>
      <c r="J3" s="2425"/>
      <c r="K3" s="2425"/>
      <c r="L3" s="2425"/>
      <c r="M3" s="2426"/>
    </row>
    <row r="4" spans="2:13" ht="18">
      <c r="B4" s="1375" t="s">
        <v>2865</v>
      </c>
      <c r="C4" s="1374"/>
      <c r="D4" s="1260"/>
      <c r="E4" s="1260"/>
      <c r="F4" s="1260"/>
      <c r="G4" s="1260"/>
      <c r="H4" s="1260"/>
      <c r="I4" s="1260"/>
      <c r="J4" s="1260"/>
      <c r="K4" s="1260"/>
      <c r="L4" s="1260"/>
      <c r="M4" s="1261"/>
    </row>
    <row r="5" spans="2:13" s="1313" customFormat="1">
      <c r="B5" s="1376"/>
      <c r="C5" s="1316" t="s">
        <v>2779</v>
      </c>
      <c r="D5" s="1315" t="s">
        <v>2780</v>
      </c>
      <c r="E5" s="1315" t="s">
        <v>3090</v>
      </c>
      <c r="F5" s="1315" t="s">
        <v>2862</v>
      </c>
      <c r="G5" s="1315" t="s">
        <v>2782</v>
      </c>
      <c r="H5" s="1315" t="s">
        <v>3090</v>
      </c>
      <c r="I5" s="1315" t="s">
        <v>3091</v>
      </c>
      <c r="J5" s="1373">
        <v>45382</v>
      </c>
      <c r="K5" s="1373">
        <v>45016</v>
      </c>
      <c r="L5" s="1315" t="s">
        <v>2863</v>
      </c>
      <c r="M5" s="1377" t="s">
        <v>2864</v>
      </c>
    </row>
    <row r="6" spans="2:13">
      <c r="B6" s="1378"/>
      <c r="C6" s="1317"/>
      <c r="D6" s="1317"/>
      <c r="E6" s="1318"/>
      <c r="F6" s="1318"/>
      <c r="G6" s="1317"/>
      <c r="H6" s="1319"/>
      <c r="I6" s="1319"/>
      <c r="J6" s="1365"/>
      <c r="K6" s="1371"/>
      <c r="L6" s="1317"/>
      <c r="M6" s="1379"/>
    </row>
    <row r="7" spans="2:13" ht="96.6">
      <c r="B7" s="1378">
        <v>1</v>
      </c>
      <c r="C7" s="1320" t="s">
        <v>2783</v>
      </c>
      <c r="D7" s="1321" t="s">
        <v>2063</v>
      </c>
      <c r="E7" s="1322"/>
      <c r="F7" s="1322"/>
      <c r="G7" s="1321" t="s">
        <v>2064</v>
      </c>
      <c r="H7" s="1323"/>
      <c r="I7" s="1323"/>
      <c r="J7" s="1366">
        <f>E17/H17</f>
        <v>0.53359504242562594</v>
      </c>
      <c r="K7" s="1331">
        <f>F17/I17</f>
        <v>0.98084085000816357</v>
      </c>
      <c r="L7" s="1372">
        <f>+(K7-J7)/K7</f>
        <v>0.45598203580001301</v>
      </c>
      <c r="M7" s="1407" t="s">
        <v>4759</v>
      </c>
    </row>
    <row r="8" spans="2:13">
      <c r="B8" s="1378"/>
      <c r="C8" s="1324"/>
      <c r="D8" s="1325" t="s">
        <v>714</v>
      </c>
      <c r="E8" s="1326">
        <f>+BSPL!G17</f>
        <v>26923530.733266789</v>
      </c>
      <c r="F8" s="1326">
        <f>+BSPL!H17</f>
        <v>62662681</v>
      </c>
      <c r="G8" s="1325" t="s">
        <v>2784</v>
      </c>
      <c r="H8" s="1327">
        <f>+BSPL!G42</f>
        <v>109494915.47000001</v>
      </c>
      <c r="I8" s="1327">
        <f>+BSPL!H42</f>
        <v>91597921.990151003</v>
      </c>
      <c r="J8" s="1367"/>
      <c r="K8" s="1329"/>
      <c r="L8" s="1317"/>
      <c r="M8" s="1379"/>
    </row>
    <row r="9" spans="2:13">
      <c r="B9" s="1378"/>
      <c r="C9" s="1324"/>
      <c r="D9" s="1325" t="s">
        <v>2785</v>
      </c>
      <c r="E9" s="1328">
        <f>+BSPL!G19</f>
        <v>81160771.019999996</v>
      </c>
      <c r="F9" s="1328">
        <f>+BSPL!H19</f>
        <v>115802242.14</v>
      </c>
      <c r="G9" s="1325" t="s">
        <v>2786</v>
      </c>
      <c r="H9" s="1323">
        <f>+BSPL!G420+BSPL!G421</f>
        <v>25302059.859999999</v>
      </c>
      <c r="I9" s="1323">
        <f>+BSPL!H420+BSPL!H421</f>
        <v>23000016</v>
      </c>
      <c r="J9" s="1367"/>
      <c r="K9" s="1329"/>
      <c r="L9" s="1317"/>
      <c r="M9" s="1379"/>
    </row>
    <row r="10" spans="2:13">
      <c r="B10" s="1378"/>
      <c r="C10" s="1324"/>
      <c r="D10" s="1325" t="s">
        <v>2787</v>
      </c>
      <c r="E10" s="1328">
        <f>+BSPL!G20</f>
        <v>279466.64</v>
      </c>
      <c r="F10" s="1328">
        <f>+BSPL!H20</f>
        <v>239775.64</v>
      </c>
      <c r="G10" s="1325" t="s">
        <v>2788</v>
      </c>
      <c r="H10" s="1323"/>
      <c r="I10" s="1323"/>
      <c r="J10" s="1367"/>
      <c r="K10" s="1329"/>
      <c r="L10" s="1317"/>
      <c r="M10" s="1379"/>
    </row>
    <row r="11" spans="2:13">
      <c r="B11" s="1378"/>
      <c r="C11" s="1324"/>
      <c r="D11" s="1325" t="s">
        <v>2789</v>
      </c>
      <c r="E11" s="1328">
        <f>+BSPL!G297+BSPL!G298</f>
        <v>662573</v>
      </c>
      <c r="F11" s="1328">
        <f>+BSPL!H297+BSPL!H298</f>
        <v>398175</v>
      </c>
      <c r="G11" s="1325" t="s">
        <v>2790</v>
      </c>
      <c r="H11" s="1323">
        <f>+BSPL!G424</f>
        <v>89643931.159999996</v>
      </c>
      <c r="I11" s="1323">
        <f>+BSPL!H424</f>
        <v>78274677.280000001</v>
      </c>
      <c r="J11" s="1367"/>
      <c r="K11" s="1329"/>
      <c r="L11" s="1317"/>
      <c r="M11" s="1379"/>
    </row>
    <row r="12" spans="2:13">
      <c r="B12" s="1378"/>
      <c r="C12" s="1324"/>
      <c r="D12" s="1325" t="s">
        <v>2791</v>
      </c>
      <c r="E12" s="1328">
        <f>+BSPL!G286</f>
        <v>235000</v>
      </c>
      <c r="F12" s="1328">
        <f>+BSPL!H286</f>
        <v>344000</v>
      </c>
      <c r="G12" s="1325" t="s">
        <v>2792</v>
      </c>
      <c r="H12" s="1323"/>
      <c r="I12" s="1323"/>
      <c r="J12" s="1367"/>
      <c r="K12" s="1329"/>
      <c r="L12" s="1317"/>
      <c r="M12" s="1379"/>
    </row>
    <row r="13" spans="2:13">
      <c r="B13" s="1378"/>
      <c r="C13" s="1324"/>
      <c r="D13" s="1325" t="s">
        <v>2793</v>
      </c>
      <c r="E13" s="1328"/>
      <c r="F13" s="1328"/>
      <c r="G13" s="1325" t="s">
        <v>2794</v>
      </c>
      <c r="H13" s="1323"/>
      <c r="I13" s="1323"/>
      <c r="J13" s="1367"/>
      <c r="K13" s="1329"/>
      <c r="L13" s="1317"/>
      <c r="M13" s="1379"/>
    </row>
    <row r="14" spans="2:13">
      <c r="B14" s="1378"/>
      <c r="C14" s="1324"/>
      <c r="D14" s="1325" t="s">
        <v>2795</v>
      </c>
      <c r="E14" s="1328">
        <f>+BSPL!G295+BSPL!G296+BSPL!G293-'Ratio Analysis'!E12</f>
        <v>14123053.789999999</v>
      </c>
      <c r="F14" s="1328">
        <f>+BSPL!H295+BSPL!H296+BSPL!H293-'Ratio Analysis'!F12</f>
        <v>20244800.359999999</v>
      </c>
      <c r="G14" s="1325" t="s">
        <v>2355</v>
      </c>
      <c r="H14" s="1323">
        <f>+BSPL!G45</f>
        <v>1671857</v>
      </c>
      <c r="I14" s="1323">
        <f>+BSPL!H45</f>
        <v>2009575</v>
      </c>
      <c r="J14" s="1367"/>
      <c r="K14" s="1329"/>
      <c r="L14" s="1317"/>
      <c r="M14" s="1379"/>
    </row>
    <row r="15" spans="2:13">
      <c r="B15" s="1378"/>
      <c r="C15" s="1324"/>
      <c r="D15" s="1325"/>
      <c r="E15" s="1328"/>
      <c r="F15" s="1328"/>
      <c r="G15" s="1325" t="s">
        <v>2796</v>
      </c>
      <c r="H15" s="1323"/>
      <c r="I15" s="1323"/>
      <c r="J15" s="1367"/>
      <c r="K15" s="1329"/>
      <c r="L15" s="1317"/>
      <c r="M15" s="1379"/>
    </row>
    <row r="16" spans="2:13">
      <c r="B16" s="1378"/>
      <c r="C16" s="1324"/>
      <c r="D16" s="1325"/>
      <c r="E16" s="1328"/>
      <c r="F16" s="1328"/>
      <c r="G16" s="1325" t="s">
        <v>2797</v>
      </c>
      <c r="H16" s="1323">
        <f>+BSPL!G43+BSPL!G44</f>
        <v>5119510.75</v>
      </c>
      <c r="I16" s="1323">
        <f>+BSPL!H43+BSPL!H44</f>
        <v>8710139.8599999994</v>
      </c>
      <c r="J16" s="1367"/>
      <c r="K16" s="1329"/>
      <c r="L16" s="1317"/>
      <c r="M16" s="1379"/>
    </row>
    <row r="17" spans="2:15">
      <c r="B17" s="1378"/>
      <c r="C17" s="1324"/>
      <c r="D17" s="1325"/>
      <c r="E17" s="1330">
        <f>SUM(E8:E15)</f>
        <v>123384395.18326679</v>
      </c>
      <c r="F17" s="1330">
        <f>SUM(F8:F15)</f>
        <v>199691674.13999999</v>
      </c>
      <c r="G17" s="1325"/>
      <c r="H17" s="1330">
        <f>SUM(H8:H16)</f>
        <v>231232274.24000001</v>
      </c>
      <c r="I17" s="1330">
        <f>SUM(I8:I16)</f>
        <v>203592330.13015103</v>
      </c>
      <c r="K17" s="1317"/>
      <c r="L17" s="1317"/>
      <c r="M17" s="1379"/>
    </row>
    <row r="18" spans="2:15">
      <c r="B18" s="1378"/>
      <c r="C18" s="1332"/>
      <c r="D18" s="1325"/>
      <c r="E18" s="1330"/>
      <c r="F18" s="1330"/>
      <c r="G18" s="1325"/>
      <c r="H18" s="1333"/>
      <c r="I18" s="1333"/>
      <c r="J18" s="1368"/>
      <c r="K18" s="1334"/>
      <c r="L18" s="1317"/>
      <c r="M18" s="1379"/>
    </row>
    <row r="19" spans="2:15" s="1414" customFormat="1" ht="41.4">
      <c r="B19" s="1378">
        <v>2</v>
      </c>
      <c r="C19" s="1320" t="s">
        <v>2798</v>
      </c>
      <c r="D19" s="1320" t="s">
        <v>2799</v>
      </c>
      <c r="E19" s="1408"/>
      <c r="F19" s="1408"/>
      <c r="G19" s="1320" t="s">
        <v>2800</v>
      </c>
      <c r="H19" s="1409"/>
      <c r="I19" s="1409"/>
      <c r="J19" s="1410">
        <f>E20/H20</f>
        <v>1.8462362700234536</v>
      </c>
      <c r="K19" s="1411">
        <f>F20/I20</f>
        <v>1.3694811140491938</v>
      </c>
      <c r="L19" s="1412">
        <f>+(K19-J19)/K19</f>
        <v>-0.34812831742134853</v>
      </c>
      <c r="M19" s="1413" t="s">
        <v>2873</v>
      </c>
    </row>
    <row r="20" spans="2:15">
      <c r="B20" s="1378"/>
      <c r="C20" s="1320"/>
      <c r="D20" s="1325" t="s">
        <v>2801</v>
      </c>
      <c r="E20" s="1330">
        <f>+BSPL!G47-BSPL!G32</f>
        <v>343931068.94</v>
      </c>
      <c r="F20" s="1330">
        <f>+BSPL!H47-BSPL!H32</f>
        <v>323126181.83879948</v>
      </c>
      <c r="G20" s="1325" t="s">
        <v>2802</v>
      </c>
      <c r="H20" s="1336">
        <f>+BSPL!G32</f>
        <v>186287678.62719482</v>
      </c>
      <c r="I20" s="1336">
        <f>+BSPL!H32</f>
        <v>235947891.8868773</v>
      </c>
      <c r="K20" s="1317"/>
      <c r="L20" s="1317"/>
      <c r="M20" s="1379"/>
    </row>
    <row r="21" spans="2:15">
      <c r="B21" s="1378"/>
      <c r="C21" s="1320"/>
      <c r="D21" s="1325"/>
      <c r="E21" s="1330"/>
      <c r="F21" s="1330"/>
      <c r="G21" s="1325"/>
      <c r="H21" s="1336"/>
      <c r="I21" s="1336"/>
      <c r="J21" s="1369"/>
      <c r="K21" s="1334"/>
      <c r="L21" s="1317"/>
      <c r="M21" s="1379"/>
    </row>
    <row r="22" spans="2:15">
      <c r="B22" s="1378"/>
      <c r="C22" s="1320"/>
      <c r="D22" s="1325"/>
      <c r="E22" s="1330"/>
      <c r="F22" s="1330"/>
      <c r="G22" s="1325"/>
      <c r="H22" s="1333"/>
      <c r="I22" s="1333"/>
      <c r="J22" s="1368"/>
      <c r="K22" s="1334"/>
      <c r="L22" s="1317"/>
      <c r="M22" s="1379"/>
    </row>
    <row r="23" spans="2:15" ht="27.6">
      <c r="B23" s="1378">
        <v>3</v>
      </c>
      <c r="C23" s="1320" t="s">
        <v>2803</v>
      </c>
      <c r="D23" s="1321" t="s">
        <v>2804</v>
      </c>
      <c r="E23" s="1335"/>
      <c r="F23" s="1335"/>
      <c r="G23" s="1321" t="s">
        <v>2805</v>
      </c>
      <c r="H23" s="1323"/>
      <c r="I23" s="1323"/>
      <c r="J23" s="1366">
        <f>E24/H24</f>
        <v>-0.6116081989097979</v>
      </c>
      <c r="K23" s="1331">
        <f>F24/I24</f>
        <v>-0.94359741017447119</v>
      </c>
      <c r="L23" s="1372">
        <f>+(K23-J23)/K23</f>
        <v>0.35183353375597809</v>
      </c>
      <c r="M23" s="1407" t="s">
        <v>2874</v>
      </c>
    </row>
    <row r="24" spans="2:15" ht="69">
      <c r="B24" s="1378"/>
      <c r="C24" s="1320" t="s">
        <v>2806</v>
      </c>
      <c r="D24" s="1325" t="s">
        <v>2807</v>
      </c>
      <c r="E24" s="1330">
        <f>+BSPL!G101+BSPL!G87+BSPL!G88+BSPL!G550+BSPL!G551</f>
        <v>-15474947.259682491</v>
      </c>
      <c r="F24" s="1330">
        <f>+BSPL!H101+BSPL!H87+BSPL!H88</f>
        <v>-11060367.748925574</v>
      </c>
      <c r="G24" s="1325" t="s">
        <v>2808</v>
      </c>
      <c r="H24" s="1323">
        <f>+'Term Loans '!E30</f>
        <v>25302059.859999999</v>
      </c>
      <c r="I24" s="1323">
        <v>11721490.15</v>
      </c>
      <c r="K24" s="1317"/>
      <c r="L24" s="1317"/>
      <c r="M24" s="1415"/>
    </row>
    <row r="25" spans="2:15">
      <c r="B25" s="1378"/>
      <c r="C25" s="1320"/>
      <c r="D25" s="1325"/>
      <c r="E25" s="1330"/>
      <c r="F25" s="1330"/>
      <c r="G25" s="1325"/>
      <c r="H25" s="1336"/>
      <c r="I25" s="1336"/>
      <c r="J25" s="1369"/>
      <c r="K25" s="1334"/>
      <c r="L25" s="1317"/>
      <c r="M25" s="1379"/>
    </row>
    <row r="26" spans="2:15">
      <c r="B26" s="1378"/>
      <c r="C26" s="1320"/>
      <c r="D26" s="1325"/>
      <c r="E26" s="1330"/>
      <c r="F26" s="1330"/>
      <c r="G26" s="1325"/>
      <c r="H26" s="1336"/>
      <c r="I26" s="1336"/>
      <c r="J26" s="1369"/>
      <c r="K26" s="1334"/>
      <c r="L26" s="1317"/>
      <c r="M26" s="1379"/>
    </row>
    <row r="27" spans="2:15" ht="27.6">
      <c r="B27" s="1378">
        <v>4</v>
      </c>
      <c r="C27" s="1320" t="s">
        <v>2809</v>
      </c>
      <c r="D27" s="1321" t="s">
        <v>2810</v>
      </c>
      <c r="E27" s="1322"/>
      <c r="F27" s="1322"/>
      <c r="G27" s="1321" t="s">
        <v>2811</v>
      </c>
      <c r="H27" s="1323"/>
      <c r="I27" s="1323"/>
      <c r="J27" s="1370">
        <f>E28/H28</f>
        <v>-0.24209886532039143</v>
      </c>
      <c r="K27" s="1338">
        <f>F28/I28</f>
        <v>-0.14820011005453718</v>
      </c>
      <c r="L27" s="1372">
        <f>+(K27-J27)/K27</f>
        <v>-0.63359436933818614</v>
      </c>
      <c r="M27" s="1407" t="s">
        <v>2874</v>
      </c>
      <c r="O27" s="1337"/>
    </row>
    <row r="28" spans="2:15" ht="27.6">
      <c r="B28" s="1378"/>
      <c r="C28" s="1320"/>
      <c r="D28" s="1325" t="s">
        <v>2812</v>
      </c>
      <c r="E28" s="1328">
        <f>+BSPL!G101</f>
        <v>-51111376.259682491</v>
      </c>
      <c r="F28" s="1328">
        <f>+BSPL!H101</f>
        <v>-37729676.113122702</v>
      </c>
      <c r="G28" s="1325" t="s">
        <v>2813</v>
      </c>
      <c r="H28" s="1323">
        <f>+(BSPL!H32+BSPL!G32)/2</f>
        <v>211117785.25703606</v>
      </c>
      <c r="I28" s="1323">
        <v>254586019.53290248</v>
      </c>
      <c r="K28" s="1317"/>
      <c r="L28" s="1325"/>
      <c r="M28" s="1379"/>
      <c r="O28" s="1337"/>
    </row>
    <row r="29" spans="2:15">
      <c r="B29" s="1378"/>
      <c r="C29" s="1320"/>
      <c r="D29" s="1331"/>
      <c r="E29" s="1330"/>
      <c r="F29" s="1330"/>
      <c r="G29" s="1331"/>
      <c r="H29" s="1333"/>
      <c r="I29" s="1333"/>
      <c r="J29" s="1368"/>
      <c r="K29" s="1334"/>
      <c r="L29" s="1317"/>
      <c r="M29" s="1379"/>
    </row>
    <row r="30" spans="2:15">
      <c r="B30" s="1378"/>
      <c r="C30" s="1320"/>
      <c r="D30" s="1317"/>
      <c r="E30" s="1317"/>
      <c r="F30" s="1317"/>
      <c r="G30" s="1317"/>
      <c r="H30" s="1333"/>
      <c r="I30" s="1333"/>
      <c r="J30" s="1368"/>
      <c r="K30" s="1334"/>
      <c r="L30" s="1317"/>
      <c r="M30" s="1379"/>
    </row>
    <row r="31" spans="2:15">
      <c r="B31" s="1378"/>
      <c r="C31" s="1320"/>
      <c r="D31" s="1325"/>
      <c r="E31" s="1330"/>
      <c r="F31" s="1330"/>
      <c r="G31" s="1325"/>
      <c r="H31" s="1333"/>
      <c r="I31" s="1333"/>
      <c r="J31" s="1368"/>
      <c r="K31" s="1334"/>
      <c r="L31" s="1317"/>
      <c r="M31" s="1379"/>
    </row>
    <row r="32" spans="2:15">
      <c r="B32" s="1378">
        <v>5</v>
      </c>
      <c r="C32" s="1320" t="s">
        <v>2814</v>
      </c>
      <c r="D32" s="1321" t="s">
        <v>2815</v>
      </c>
      <c r="E32" s="1335"/>
      <c r="F32" s="1335"/>
      <c r="G32" s="1321" t="s">
        <v>2816</v>
      </c>
      <c r="H32" s="1333"/>
      <c r="I32" s="1333"/>
      <c r="J32" s="1366">
        <f>E33/H33</f>
        <v>17.811651893110241</v>
      </c>
      <c r="K32" s="1331">
        <f>F33/I33</f>
        <v>28.083283543405411</v>
      </c>
      <c r="L32" s="1372">
        <f>+(K32-J32)/K32</f>
        <v>0.36575607814589689</v>
      </c>
      <c r="M32" s="1380">
        <v>0</v>
      </c>
    </row>
    <row r="33" spans="2:18" ht="27.6">
      <c r="B33" s="1378"/>
      <c r="C33" s="1320"/>
      <c r="D33" s="1325" t="s">
        <v>2817</v>
      </c>
      <c r="E33" s="1330">
        <f>+BSPL!G83</f>
        <v>413929787.49000001</v>
      </c>
      <c r="F33" s="1330">
        <f>+BSPL!H83</f>
        <v>815123705.5</v>
      </c>
      <c r="G33" s="1325" t="s">
        <v>2818</v>
      </c>
      <c r="H33" s="1333">
        <f>+(BSPL!H239+BSPL!G239)/2</f>
        <v>23239270</v>
      </c>
      <c r="I33" s="1364">
        <v>29025227.9168192</v>
      </c>
      <c r="K33" s="1317"/>
      <c r="L33" s="1317"/>
      <c r="M33" s="1380"/>
    </row>
    <row r="34" spans="2:18">
      <c r="B34" s="1378"/>
      <c r="C34" s="1320"/>
      <c r="D34" s="1325"/>
      <c r="E34" s="1330"/>
      <c r="F34" s="1330"/>
      <c r="G34" s="1325"/>
      <c r="H34" s="1333"/>
      <c r="I34" s="1333"/>
      <c r="J34" s="1368"/>
      <c r="K34" s="1334"/>
      <c r="L34" s="1317"/>
      <c r="M34" s="1380"/>
    </row>
    <row r="35" spans="2:18">
      <c r="B35" s="1378"/>
      <c r="C35" s="1320"/>
      <c r="D35" s="1325"/>
      <c r="E35" s="1330"/>
      <c r="F35" s="1330"/>
      <c r="G35" s="1325"/>
      <c r="H35" s="1333"/>
      <c r="I35" s="1333"/>
      <c r="J35" s="1368"/>
      <c r="K35" s="1334"/>
      <c r="L35" s="1317"/>
      <c r="M35" s="1380"/>
    </row>
    <row r="36" spans="2:18">
      <c r="B36" s="1378">
        <v>6</v>
      </c>
      <c r="C36" s="1320" t="s">
        <v>2819</v>
      </c>
      <c r="D36" s="1321" t="s">
        <v>2820</v>
      </c>
      <c r="E36" s="1335"/>
      <c r="F36" s="1335"/>
      <c r="G36" s="1321" t="s">
        <v>2821</v>
      </c>
      <c r="H36" s="1333"/>
      <c r="I36" s="1333"/>
      <c r="J36" s="1366">
        <f>E37/H37</f>
        <v>5.9826684913820491</v>
      </c>
      <c r="K36" s="1331">
        <f>F37/I37</f>
        <v>7.4538102120260907</v>
      </c>
      <c r="L36" s="1372">
        <f>+(K36-J36)/K36</f>
        <v>0.19736774599794332</v>
      </c>
      <c r="M36" s="1380">
        <v>0</v>
      </c>
      <c r="R36" s="1314" t="s">
        <v>2822</v>
      </c>
    </row>
    <row r="37" spans="2:18" ht="27.6">
      <c r="B37" s="1378"/>
      <c r="C37" s="1320"/>
      <c r="D37" s="1325" t="s">
        <v>2823</v>
      </c>
      <c r="E37" s="1330">
        <f>+BSPL!G79</f>
        <v>589182206.39999998</v>
      </c>
      <c r="F37" s="1330">
        <f>+BSPL!H79</f>
        <v>1052317702.4200001</v>
      </c>
      <c r="G37" s="1325" t="s">
        <v>2824</v>
      </c>
      <c r="H37" s="1333">
        <f>+(BSPL!H19+BSPL!G19)/2</f>
        <v>98481506.579999998</v>
      </c>
      <c r="I37" s="1364">
        <v>141178494.285</v>
      </c>
      <c r="K37" s="1317"/>
      <c r="L37" s="1334"/>
      <c r="M37" s="1380"/>
    </row>
    <row r="38" spans="2:18">
      <c r="B38" s="1378"/>
      <c r="C38" s="1320"/>
      <c r="D38" s="1321"/>
      <c r="E38" s="1335"/>
      <c r="F38" s="1335"/>
      <c r="G38" s="1321"/>
      <c r="H38" s="1333"/>
      <c r="I38" s="1333"/>
      <c r="J38" s="1368"/>
      <c r="K38" s="1334"/>
      <c r="L38" s="1317"/>
      <c r="M38" s="1380"/>
    </row>
    <row r="39" spans="2:18">
      <c r="B39" s="1378"/>
      <c r="C39" s="1320"/>
      <c r="D39" s="1325"/>
      <c r="E39" s="1330"/>
      <c r="F39" s="1330"/>
      <c r="G39" s="1325"/>
      <c r="H39" s="1333"/>
      <c r="I39" s="1333"/>
      <c r="J39" s="1368"/>
      <c r="K39" s="1334"/>
      <c r="L39" s="1317"/>
      <c r="M39" s="1380"/>
    </row>
    <row r="40" spans="2:18">
      <c r="B40" s="1378">
        <v>7</v>
      </c>
      <c r="C40" s="1320" t="s">
        <v>2825</v>
      </c>
      <c r="D40" s="1321" t="s">
        <v>2826</v>
      </c>
      <c r="E40" s="1335"/>
      <c r="F40" s="1335"/>
      <c r="G40" s="1321" t="s">
        <v>2827</v>
      </c>
      <c r="H40" s="1333"/>
      <c r="I40" s="1333"/>
      <c r="J40" s="1366">
        <f>E41/H41</f>
        <v>3.8918030739661944</v>
      </c>
      <c r="K40" s="1331">
        <f>F41/I41</f>
        <v>9.2333545491752176</v>
      </c>
      <c r="L40" s="1372">
        <f>+(K40-J40)/K40</f>
        <v>0.57850605072737782</v>
      </c>
      <c r="M40" s="1380">
        <v>0</v>
      </c>
    </row>
    <row r="41" spans="2:18" ht="27.6">
      <c r="B41" s="1378"/>
      <c r="C41" s="1320"/>
      <c r="D41" s="1325" t="s">
        <v>2828</v>
      </c>
      <c r="E41" s="1330">
        <f>+BSPL!G496</f>
        <v>391306861.49000001</v>
      </c>
      <c r="F41" s="1330">
        <f>+BSPL!H496</f>
        <v>826174715.5</v>
      </c>
      <c r="G41" s="1325" t="s">
        <v>2829</v>
      </c>
      <c r="H41" s="1333">
        <f>+(BSPL!H42+BSPL!G42)/2</f>
        <v>100546418.73007551</v>
      </c>
      <c r="I41" s="1364">
        <v>89477200.415075496</v>
      </c>
      <c r="K41" s="1317"/>
      <c r="L41" s="1317"/>
      <c r="M41" s="1379"/>
    </row>
    <row r="42" spans="2:18">
      <c r="B42" s="1378"/>
      <c r="C42" s="1320"/>
      <c r="D42" s="1325"/>
      <c r="E42" s="1335"/>
      <c r="F42" s="1335"/>
      <c r="G42" s="1325"/>
      <c r="H42" s="1333"/>
      <c r="I42" s="1333"/>
      <c r="J42" s="1368"/>
      <c r="K42" s="1334"/>
      <c r="L42" s="1317"/>
      <c r="M42" s="1379"/>
    </row>
    <row r="43" spans="2:18">
      <c r="B43" s="1378"/>
      <c r="C43" s="1320"/>
      <c r="D43" s="1325"/>
      <c r="E43" s="1330"/>
      <c r="F43" s="1330"/>
      <c r="G43" s="1325"/>
      <c r="H43" s="1333"/>
      <c r="I43" s="1333"/>
      <c r="J43" s="1368"/>
      <c r="K43" s="1334"/>
      <c r="L43" s="1317"/>
      <c r="M43" s="1379"/>
    </row>
    <row r="44" spans="2:18" ht="41.4">
      <c r="B44" s="1378">
        <v>8</v>
      </c>
      <c r="C44" s="1320" t="s">
        <v>2830</v>
      </c>
      <c r="D44" s="1321" t="s">
        <v>2831</v>
      </c>
      <c r="E44" s="1335"/>
      <c r="F44" s="1335"/>
      <c r="G44" s="1321" t="s">
        <v>2832</v>
      </c>
      <c r="H44" s="1333"/>
      <c r="I44" s="1333"/>
      <c r="J44" s="1366">
        <f>E45/H45</f>
        <v>-5.4630857050982105</v>
      </c>
      <c r="K44" s="1331">
        <f>F45/I45</f>
        <v>-141.7559294491187</v>
      </c>
      <c r="L44" s="1372">
        <f>+(K44-J44)/K44</f>
        <v>0.96146132492426628</v>
      </c>
      <c r="M44" s="1407" t="s">
        <v>2872</v>
      </c>
      <c r="N44" s="1342"/>
      <c r="O44" s="1341"/>
    </row>
    <row r="45" spans="2:18" ht="27.6">
      <c r="B45" s="1378"/>
      <c r="C45" s="1320"/>
      <c r="D45" s="1325" t="s">
        <v>2833</v>
      </c>
      <c r="E45" s="1330">
        <f>+BSPL!G79</f>
        <v>589182206.39999998</v>
      </c>
      <c r="F45" s="1330">
        <f>+BSPL!H79</f>
        <v>1052317702.4200001</v>
      </c>
      <c r="G45" s="1325" t="s">
        <v>2834</v>
      </c>
      <c r="H45" s="1333">
        <f>+E17-H17</f>
        <v>-107847879.05673322</v>
      </c>
      <c r="I45" s="1333">
        <v>-7423447.5165126324</v>
      </c>
      <c r="K45" s="1317"/>
      <c r="L45" s="1317"/>
      <c r="M45" s="1381"/>
      <c r="N45" s="1342"/>
      <c r="O45" s="1337"/>
    </row>
    <row r="46" spans="2:18">
      <c r="B46" s="1378"/>
      <c r="C46" s="1320"/>
      <c r="D46" s="1321"/>
      <c r="E46" s="1335"/>
      <c r="F46" s="1335"/>
      <c r="G46" s="1321"/>
      <c r="H46" s="1333"/>
      <c r="I46" s="1333"/>
      <c r="J46" s="1368"/>
      <c r="K46" s="1329"/>
      <c r="L46" s="1317"/>
      <c r="M46" s="1379"/>
    </row>
    <row r="47" spans="2:18">
      <c r="B47" s="1378"/>
      <c r="C47" s="1320"/>
      <c r="D47" s="1325"/>
      <c r="E47" s="1330"/>
      <c r="F47" s="1330"/>
      <c r="G47" s="1325"/>
      <c r="H47" s="1333"/>
      <c r="I47" s="1333"/>
      <c r="J47" s="1368"/>
      <c r="K47" s="1329"/>
      <c r="L47" s="1317"/>
      <c r="M47" s="1379"/>
    </row>
    <row r="48" spans="2:18" ht="41.4">
      <c r="B48" s="1378">
        <v>9</v>
      </c>
      <c r="C48" s="1320" t="s">
        <v>2835</v>
      </c>
      <c r="D48" s="1321" t="s">
        <v>2836</v>
      </c>
      <c r="E48" s="1335"/>
      <c r="F48" s="1335"/>
      <c r="G48" s="1321" t="s">
        <v>2831</v>
      </c>
      <c r="H48" s="1333"/>
      <c r="I48" s="1333"/>
      <c r="J48" s="1370">
        <f>E49/H49</f>
        <v>-8.6749694244809925E-2</v>
      </c>
      <c r="K48" s="1338">
        <f>F49/I49</f>
        <v>-3.5853883315234841E-2</v>
      </c>
      <c r="L48" s="1372">
        <f>+(K48-J48)/K48</f>
        <v>-1.4195341263898382</v>
      </c>
      <c r="M48" s="1407" t="s">
        <v>4760</v>
      </c>
    </row>
    <row r="49" spans="2:15">
      <c r="B49" s="1378"/>
      <c r="C49" s="1320"/>
      <c r="D49" s="1325" t="s">
        <v>2837</v>
      </c>
      <c r="E49" s="1335">
        <f>+BSPL!G101</f>
        <v>-51111376.259682491</v>
      </c>
      <c r="F49" s="1335">
        <f>+BSPL!H101</f>
        <v>-37729676.113122702</v>
      </c>
      <c r="G49" s="1325" t="s">
        <v>1069</v>
      </c>
      <c r="H49" s="1333">
        <f>+BSPL!G79</f>
        <v>589182206.39999998</v>
      </c>
      <c r="I49" s="1333">
        <f>+BSPL!H79</f>
        <v>1052317702.4200001</v>
      </c>
      <c r="K49" s="1317"/>
      <c r="L49" s="1317"/>
      <c r="M49" s="1379"/>
    </row>
    <row r="50" spans="2:15">
      <c r="B50" s="1378"/>
      <c r="C50" s="1320"/>
      <c r="D50" s="1321"/>
      <c r="E50" s="1335"/>
      <c r="F50" s="1335"/>
      <c r="G50" s="1321"/>
      <c r="H50" s="1333"/>
      <c r="I50" s="1333"/>
      <c r="J50" s="1368"/>
      <c r="K50" s="1329"/>
      <c r="L50" s="1317"/>
      <c r="M50" s="1379"/>
    </row>
    <row r="51" spans="2:15">
      <c r="B51" s="1378"/>
      <c r="C51" s="1320"/>
      <c r="D51" s="1325"/>
      <c r="E51" s="1330"/>
      <c r="F51" s="1330"/>
      <c r="G51" s="1325"/>
      <c r="H51" s="1333"/>
      <c r="I51" s="1333"/>
      <c r="J51" s="1368"/>
      <c r="K51" s="1329"/>
      <c r="L51" s="1317"/>
      <c r="M51" s="1379"/>
    </row>
    <row r="52" spans="2:15" s="1337" customFormat="1" ht="27.6">
      <c r="B52" s="1416">
        <v>10</v>
      </c>
      <c r="C52" s="1321" t="s">
        <v>2838</v>
      </c>
      <c r="D52" s="1321" t="s">
        <v>2839</v>
      </c>
      <c r="E52" s="1335"/>
      <c r="F52" s="1335"/>
      <c r="G52" s="1321" t="s">
        <v>2840</v>
      </c>
      <c r="H52" s="1333"/>
      <c r="I52" s="1333"/>
      <c r="J52" s="1370">
        <f>E53/H53</f>
        <v>-0.17781224128766732</v>
      </c>
      <c r="K52" s="1338">
        <f>F53/I53</f>
        <v>-0.11613773774292681</v>
      </c>
      <c r="L52" s="1417">
        <f>+(K52-J52)/K52</f>
        <v>-0.53104619345400239</v>
      </c>
      <c r="M52" s="1415" t="s">
        <v>2874</v>
      </c>
    </row>
    <row r="53" spans="2:15" ht="41.4">
      <c r="B53" s="1378"/>
      <c r="C53" s="1320"/>
      <c r="D53" s="1325" t="s">
        <v>2841</v>
      </c>
      <c r="E53" s="1335">
        <f>+BSPL!G91+BSPL!G87</f>
        <v>-53075301.726733327</v>
      </c>
      <c r="F53" s="1335">
        <f>+BSPL!H91+BSPL!H87</f>
        <v>-41187407.144347906</v>
      </c>
      <c r="G53" s="1382" t="s">
        <v>2842</v>
      </c>
      <c r="H53" s="1329">
        <f>+BSPL!G32+BSPL!G35+BSPL!G37</f>
        <v>298490707.62719482</v>
      </c>
      <c r="I53" s="1333">
        <f>+BSPL!H32+BSPL!H35+BSPL!H37</f>
        <v>354642753.89552575</v>
      </c>
      <c r="K53" s="1317"/>
      <c r="L53" s="1317"/>
      <c r="M53" s="1379"/>
      <c r="N53" s="1337"/>
    </row>
    <row r="54" spans="2:15">
      <c r="B54" s="1378"/>
      <c r="C54" s="1320"/>
      <c r="D54" s="1321"/>
      <c r="E54" s="1335"/>
      <c r="F54" s="1335"/>
      <c r="G54" s="1321"/>
      <c r="H54" s="1333"/>
      <c r="I54" s="1333"/>
      <c r="J54" s="1368"/>
      <c r="K54" s="1334"/>
      <c r="L54" s="1317"/>
      <c r="M54" s="1379"/>
    </row>
    <row r="55" spans="2:15" ht="14.4" thickBot="1">
      <c r="B55" s="1383"/>
      <c r="C55" s="1384"/>
      <c r="D55" s="1385"/>
      <c r="E55" s="1386"/>
      <c r="F55" s="1386"/>
      <c r="G55" s="1385"/>
      <c r="H55" s="1387"/>
      <c r="I55" s="1387"/>
      <c r="J55" s="1388"/>
      <c r="K55" s="1389"/>
      <c r="L55" s="1390"/>
      <c r="M55" s="1391"/>
    </row>
    <row r="56" spans="2:15" s="1349" customFormat="1">
      <c r="B56" s="1343">
        <v>11</v>
      </c>
      <c r="C56" s="1344" t="s">
        <v>2843</v>
      </c>
      <c r="D56" s="1345" t="s">
        <v>2844</v>
      </c>
      <c r="E56" s="1346">
        <f>+E49</f>
        <v>-51111376.259682491</v>
      </c>
      <c r="F56" s="1346">
        <f>+F49</f>
        <v>-37729676.113122702</v>
      </c>
      <c r="G56" s="1345" t="s">
        <v>2845</v>
      </c>
      <c r="H56" s="1339">
        <f>[73]BS!E33</f>
        <v>0</v>
      </c>
      <c r="I56" s="1339"/>
      <c r="J56" s="1347"/>
      <c r="K56" s="1348"/>
      <c r="M56" s="1350"/>
      <c r="N56" s="1351"/>
      <c r="O56" s="1352"/>
    </row>
    <row r="57" spans="2:15">
      <c r="B57" s="1353"/>
      <c r="C57" s="1340"/>
      <c r="D57" s="1354"/>
      <c r="E57" s="1355"/>
      <c r="F57" s="1355"/>
      <c r="G57" s="1354"/>
      <c r="H57" s="1356"/>
      <c r="I57" s="1356"/>
      <c r="J57" s="1357"/>
      <c r="K57" s="1357"/>
    </row>
    <row r="58" spans="2:15">
      <c r="C58" s="1358"/>
    </row>
    <row r="59" spans="2:15">
      <c r="B59" s="1359"/>
      <c r="C59" s="1341" t="s">
        <v>2846</v>
      </c>
    </row>
    <row r="61" spans="2:15">
      <c r="C61" s="1314" t="s">
        <v>2847</v>
      </c>
    </row>
    <row r="62" spans="2:15">
      <c r="C62" s="1314" t="s">
        <v>2848</v>
      </c>
    </row>
    <row r="63" spans="2:15">
      <c r="C63" s="1314" t="s">
        <v>2849</v>
      </c>
    </row>
    <row r="65" spans="2:9">
      <c r="B65" s="1312" t="s">
        <v>2850</v>
      </c>
      <c r="C65" s="1314" t="s">
        <v>2851</v>
      </c>
    </row>
    <row r="66" spans="2:9">
      <c r="C66" s="1360" t="s">
        <v>2852</v>
      </c>
      <c r="H66" s="1361"/>
      <c r="I66" s="1361"/>
    </row>
    <row r="67" spans="2:9">
      <c r="C67" s="1362" t="s">
        <v>2853</v>
      </c>
    </row>
    <row r="69" spans="2:9">
      <c r="C69" s="1314" t="s">
        <v>2854</v>
      </c>
    </row>
    <row r="70" spans="2:9">
      <c r="C70" s="1363" t="s">
        <v>2855</v>
      </c>
    </row>
    <row r="71" spans="2:9">
      <c r="C71" s="1363" t="s">
        <v>2856</v>
      </c>
    </row>
    <row r="72" spans="2:9">
      <c r="C72" s="1363" t="s">
        <v>2857</v>
      </c>
    </row>
    <row r="73" spans="2:9">
      <c r="C73" s="1363" t="s">
        <v>2858</v>
      </c>
    </row>
    <row r="74" spans="2:9">
      <c r="C74" s="1363" t="s">
        <v>2859</v>
      </c>
    </row>
    <row r="75" spans="2:9">
      <c r="C75" s="1363" t="s">
        <v>2860</v>
      </c>
    </row>
    <row r="76" spans="2:9">
      <c r="C76" s="1314" t="s">
        <v>2861</v>
      </c>
    </row>
  </sheetData>
  <customSheetViews>
    <customSheetView guid="{ADEA4918-0326-423A-8D00-FB47A486004B}" showPageBreaks="1" fitToPage="1" printArea="1" topLeftCell="B13">
      <selection activeCell="I30" sqref="I30"/>
      <rowBreaks count="1" manualBreakCount="1">
        <brk id="38" min="1" max="10" man="1"/>
      </rowBreaks>
      <pageMargins left="0.31496062992125984" right="0.31496062992125984" top="0.15748031496062992" bottom="0.15748031496062992" header="0.31496062992125984" footer="0.31496062992125984"/>
      <printOptions horizontalCentered="1"/>
      <pageSetup paperSize="9" scale="10" orientation="portrait" r:id="rId1"/>
    </customSheetView>
    <customSheetView guid="{2A78E287-3113-4387-BB62-BE98FA5C13C2}" fitToPage="1" topLeftCell="B13">
      <selection activeCell="I30" sqref="I30"/>
      <rowBreaks count="1" manualBreakCount="1">
        <brk id="38" min="1" max="10" man="1"/>
      </rowBreaks>
      <pageMargins left="0.31496062992125984" right="0.31496062992125984" top="0.15748031496062992" bottom="0.15748031496062992" header="0.31496062992125984" footer="0.31496062992125984"/>
      <printOptions horizontalCentered="1"/>
      <pageSetup paperSize="9" scale="43" orientation="portrait" r:id="rId2"/>
    </customSheetView>
    <customSheetView guid="{DC5DA12B-0FA6-4F41-A983-6E433AD4604D}" fitToPage="1" topLeftCell="B13">
      <selection activeCell="I30" sqref="I30"/>
      <rowBreaks count="1" manualBreakCount="1">
        <brk id="38" min="1" max="10" man="1"/>
      </rowBreaks>
      <pageMargins left="0.31496062992125984" right="0.31496062992125984" top="0.15748031496062992" bottom="0.15748031496062992" header="0.31496062992125984" footer="0.31496062992125984"/>
      <printOptions horizontalCentered="1"/>
      <pageSetup paperSize="9" scale="43" orientation="portrait" r:id="rId3"/>
    </customSheetView>
  </customSheetViews>
  <mergeCells count="2">
    <mergeCell ref="B3:M3"/>
    <mergeCell ref="B2:M2"/>
  </mergeCells>
  <printOptions horizontalCentered="1"/>
  <pageMargins left="0.31496062992125984" right="0.31496062992125984" top="0.15748031496062992" bottom="0.15748031496062992" header="0.31496062992125984" footer="0.31496062992125984"/>
  <pageSetup paperSize="9" scale="43" orientation="portrait" r:id="rId4"/>
  <rowBreaks count="1" manualBreakCount="1">
    <brk id="38" min="1"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Q30"/>
  <sheetViews>
    <sheetView topLeftCell="A6" workbookViewId="0">
      <selection activeCell="E30" sqref="E30"/>
    </sheetView>
  </sheetViews>
  <sheetFormatPr defaultRowHeight="14.4"/>
  <cols>
    <col min="2" max="2" width="14.109375" customWidth="1"/>
    <col min="3" max="3" width="13.88671875" bestFit="1" customWidth="1"/>
    <col min="4" max="4" width="15.6640625" bestFit="1" customWidth="1"/>
    <col min="5" max="5" width="14.21875" bestFit="1" customWidth="1"/>
    <col min="6" max="6" width="12.5546875" customWidth="1"/>
    <col min="8" max="8" width="12.109375" customWidth="1"/>
    <col min="9" max="9" width="11.6640625" bestFit="1" customWidth="1"/>
    <col min="10" max="10" width="15.6640625" bestFit="1" customWidth="1"/>
    <col min="11" max="11" width="12.5546875" bestFit="1" customWidth="1"/>
    <col min="12" max="12" width="12.5546875" customWidth="1"/>
    <col min="14" max="14" width="13.33203125" customWidth="1"/>
    <col min="15" max="15" width="11.6640625" bestFit="1" customWidth="1"/>
    <col min="16" max="16" width="15.6640625" bestFit="1" customWidth="1"/>
    <col min="17" max="17" width="12.5546875" bestFit="1" customWidth="1"/>
  </cols>
  <sheetData>
    <row r="2" spans="2:17">
      <c r="B2" s="134" t="s">
        <v>2233</v>
      </c>
      <c r="C2" s="134"/>
      <c r="H2" s="134" t="s">
        <v>3151</v>
      </c>
      <c r="N2" s="134"/>
    </row>
    <row r="3" spans="2:17">
      <c r="B3" s="134" t="s">
        <v>2237</v>
      </c>
      <c r="H3" s="134" t="s">
        <v>2238</v>
      </c>
      <c r="N3" s="134"/>
    </row>
    <row r="4" spans="2:17">
      <c r="B4" s="377" t="s">
        <v>2234</v>
      </c>
      <c r="C4" s="377" t="s">
        <v>2236</v>
      </c>
      <c r="D4" s="377" t="s">
        <v>2235</v>
      </c>
      <c r="E4" s="377" t="s">
        <v>824</v>
      </c>
      <c r="F4" s="866" t="s">
        <v>2227</v>
      </c>
      <c r="H4" s="377" t="s">
        <v>2234</v>
      </c>
      <c r="I4" s="377" t="s">
        <v>2236</v>
      </c>
      <c r="J4" s="377" t="s">
        <v>2235</v>
      </c>
      <c r="K4" s="377" t="s">
        <v>824</v>
      </c>
      <c r="L4" s="866"/>
      <c r="N4" s="1823"/>
      <c r="O4" s="377"/>
      <c r="P4" s="377"/>
      <c r="Q4" s="377"/>
    </row>
    <row r="5" spans="2:17">
      <c r="B5" s="499">
        <v>45352</v>
      </c>
      <c r="C5" s="378"/>
      <c r="D5" s="378"/>
      <c r="E5" s="378">
        <f t="shared" ref="E5:E17" si="0">+C5+D5</f>
        <v>0</v>
      </c>
      <c r="F5" s="1829">
        <v>6263137</v>
      </c>
      <c r="L5" s="124">
        <v>11159826</v>
      </c>
      <c r="N5" s="1830"/>
      <c r="O5" s="378"/>
      <c r="P5" s="378"/>
      <c r="Q5" s="378"/>
    </row>
    <row r="6" spans="2:17">
      <c r="B6" s="499">
        <v>45383</v>
      </c>
      <c r="C6">
        <v>202778</v>
      </c>
      <c r="D6">
        <v>40783</v>
      </c>
      <c r="E6" s="378">
        <f t="shared" si="0"/>
        <v>243561</v>
      </c>
      <c r="F6" s="1829">
        <f t="shared" ref="F6:F17" si="1">+F5-C6</f>
        <v>6060359</v>
      </c>
      <c r="H6" s="1827">
        <v>45383</v>
      </c>
      <c r="I6" s="1506">
        <v>700000</v>
      </c>
      <c r="J6" s="1506">
        <v>40783</v>
      </c>
      <c r="K6" s="1506">
        <f t="shared" ref="K6:K17" si="2">+I6+J6</f>
        <v>740783</v>
      </c>
      <c r="L6" s="124">
        <f t="shared" ref="L6:L17" si="3">+L5-I6</f>
        <v>10459826</v>
      </c>
      <c r="M6" s="124"/>
      <c r="N6" s="1830"/>
      <c r="O6" s="378"/>
      <c r="P6" s="378"/>
      <c r="Q6" s="378"/>
    </row>
    <row r="7" spans="2:17">
      <c r="B7" s="1827">
        <v>45413</v>
      </c>
      <c r="C7" s="1506">
        <f t="shared" ref="C7:C17" si="4">+C6</f>
        <v>202778</v>
      </c>
      <c r="D7" s="1506">
        <v>38234</v>
      </c>
      <c r="E7" s="1506">
        <f t="shared" si="0"/>
        <v>241012</v>
      </c>
      <c r="F7" s="124">
        <f t="shared" si="1"/>
        <v>5857581</v>
      </c>
      <c r="H7" s="1827">
        <v>45413</v>
      </c>
      <c r="I7" s="1506">
        <v>0</v>
      </c>
      <c r="J7" s="1506">
        <v>38234</v>
      </c>
      <c r="K7" s="1506">
        <f t="shared" si="2"/>
        <v>38234</v>
      </c>
      <c r="L7" s="124">
        <f t="shared" si="3"/>
        <v>10459826</v>
      </c>
      <c r="M7" s="124"/>
      <c r="N7" s="1830"/>
      <c r="O7" s="378"/>
      <c r="P7" s="378"/>
      <c r="Q7" s="378"/>
    </row>
    <row r="8" spans="2:17">
      <c r="B8" s="1827">
        <v>45444</v>
      </c>
      <c r="C8" s="1506">
        <f t="shared" si="4"/>
        <v>202778</v>
      </c>
      <c r="D8" s="1828">
        <v>38234</v>
      </c>
      <c r="E8" s="1506">
        <f t="shared" si="0"/>
        <v>241012</v>
      </c>
      <c r="F8" s="124">
        <f t="shared" si="1"/>
        <v>5654803</v>
      </c>
      <c r="H8" s="1827">
        <v>45444</v>
      </c>
      <c r="I8" s="1506">
        <f>+I7</f>
        <v>0</v>
      </c>
      <c r="J8" s="1828">
        <v>38234</v>
      </c>
      <c r="K8" s="1506">
        <f t="shared" si="2"/>
        <v>38234</v>
      </c>
      <c r="L8" s="124">
        <f t="shared" si="3"/>
        <v>10459826</v>
      </c>
      <c r="M8" s="124"/>
      <c r="N8" s="1830"/>
      <c r="O8" s="378"/>
      <c r="P8" s="378"/>
      <c r="Q8" s="378"/>
    </row>
    <row r="9" spans="2:17">
      <c r="B9" s="1827">
        <v>45474</v>
      </c>
      <c r="C9" s="1506">
        <f t="shared" si="4"/>
        <v>202778</v>
      </c>
      <c r="D9" s="1828">
        <v>35767</v>
      </c>
      <c r="E9" s="1506">
        <f t="shared" si="0"/>
        <v>238545</v>
      </c>
      <c r="F9" s="124">
        <f t="shared" si="1"/>
        <v>5452025</v>
      </c>
      <c r="H9" s="1827">
        <v>45474</v>
      </c>
      <c r="I9" s="1506">
        <f>+I6</f>
        <v>700000</v>
      </c>
      <c r="J9" s="1828">
        <v>35767</v>
      </c>
      <c r="K9" s="1506">
        <f t="shared" si="2"/>
        <v>735767</v>
      </c>
      <c r="L9" s="124">
        <f t="shared" si="3"/>
        <v>9759826</v>
      </c>
      <c r="M9" s="124"/>
      <c r="N9" s="1830"/>
      <c r="O9" s="378"/>
      <c r="P9" s="378"/>
      <c r="Q9" s="378"/>
    </row>
    <row r="10" spans="2:17">
      <c r="B10" s="1827">
        <v>45505</v>
      </c>
      <c r="C10" s="1506">
        <f t="shared" si="4"/>
        <v>202778</v>
      </c>
      <c r="D10" s="1828">
        <v>35685</v>
      </c>
      <c r="E10" s="1506">
        <f t="shared" si="0"/>
        <v>238463</v>
      </c>
      <c r="F10" s="124">
        <f t="shared" si="1"/>
        <v>5249247</v>
      </c>
      <c r="H10" s="1827">
        <v>45505</v>
      </c>
      <c r="I10" s="1506">
        <v>0</v>
      </c>
      <c r="J10" s="1828">
        <v>35685</v>
      </c>
      <c r="K10" s="1506">
        <f t="shared" si="2"/>
        <v>35685</v>
      </c>
      <c r="L10" s="124">
        <f t="shared" si="3"/>
        <v>9759826</v>
      </c>
      <c r="M10" s="124"/>
      <c r="N10" s="1830"/>
      <c r="O10" s="378"/>
      <c r="P10" s="378"/>
      <c r="Q10" s="378"/>
    </row>
    <row r="11" spans="2:17">
      <c r="B11" s="1827">
        <v>45536</v>
      </c>
      <c r="C11" s="1506">
        <f t="shared" si="4"/>
        <v>202778</v>
      </c>
      <c r="D11" s="1828">
        <v>34410</v>
      </c>
      <c r="E11" s="1506">
        <f t="shared" si="0"/>
        <v>237188</v>
      </c>
      <c r="F11" s="124">
        <f t="shared" si="1"/>
        <v>5046469</v>
      </c>
      <c r="H11" s="1827">
        <v>45536</v>
      </c>
      <c r="I11" s="1506">
        <f>+I10</f>
        <v>0</v>
      </c>
      <c r="J11" s="1828">
        <v>34410</v>
      </c>
      <c r="K11" s="1506">
        <f t="shared" si="2"/>
        <v>34410</v>
      </c>
      <c r="L11" s="124">
        <f t="shared" si="3"/>
        <v>9759826</v>
      </c>
      <c r="M11" s="124"/>
      <c r="N11" s="1830"/>
      <c r="O11" s="378"/>
      <c r="P11" s="378"/>
      <c r="Q11" s="378"/>
    </row>
    <row r="12" spans="2:17">
      <c r="B12" s="1827">
        <v>45566</v>
      </c>
      <c r="C12" s="1506">
        <f t="shared" si="4"/>
        <v>202778</v>
      </c>
      <c r="D12" s="1828">
        <v>32067</v>
      </c>
      <c r="E12" s="1506">
        <f t="shared" si="0"/>
        <v>234845</v>
      </c>
      <c r="F12" s="124">
        <f t="shared" si="1"/>
        <v>4843691</v>
      </c>
      <c r="H12" s="1827">
        <v>45566</v>
      </c>
      <c r="I12" s="1506">
        <f>+I9</f>
        <v>700000</v>
      </c>
      <c r="J12" s="1828">
        <v>32067</v>
      </c>
      <c r="K12" s="1506">
        <f t="shared" si="2"/>
        <v>732067</v>
      </c>
      <c r="L12" s="124">
        <f t="shared" si="3"/>
        <v>9059826</v>
      </c>
      <c r="M12" s="124"/>
      <c r="N12" s="1830"/>
      <c r="O12" s="378"/>
      <c r="P12" s="378"/>
      <c r="Q12" s="378"/>
    </row>
    <row r="13" spans="2:17">
      <c r="B13" s="1827">
        <v>45597</v>
      </c>
      <c r="C13" s="1506">
        <f t="shared" si="4"/>
        <v>202778</v>
      </c>
      <c r="D13" s="1828">
        <v>31862</v>
      </c>
      <c r="E13" s="1506">
        <f t="shared" si="0"/>
        <v>234640</v>
      </c>
      <c r="F13" s="124">
        <f t="shared" si="1"/>
        <v>4640913</v>
      </c>
      <c r="H13" s="1827">
        <v>45597</v>
      </c>
      <c r="I13" s="1506">
        <v>0</v>
      </c>
      <c r="J13" s="1828">
        <v>31862</v>
      </c>
      <c r="K13" s="1506">
        <f t="shared" si="2"/>
        <v>31862</v>
      </c>
      <c r="L13" s="124">
        <f t="shared" si="3"/>
        <v>9059826</v>
      </c>
      <c r="M13" s="124"/>
      <c r="N13" s="1830"/>
      <c r="O13" s="378"/>
      <c r="P13" s="378"/>
      <c r="Q13" s="378"/>
    </row>
    <row r="14" spans="2:17">
      <c r="B14" s="1827">
        <v>45627</v>
      </c>
      <c r="C14" s="1506">
        <f t="shared" si="4"/>
        <v>202778</v>
      </c>
      <c r="D14" s="1828">
        <v>29600</v>
      </c>
      <c r="E14" s="1506">
        <f t="shared" si="0"/>
        <v>232378</v>
      </c>
      <c r="F14" s="124">
        <f t="shared" si="1"/>
        <v>4438135</v>
      </c>
      <c r="H14" s="1827">
        <v>45627</v>
      </c>
      <c r="I14" s="1506">
        <v>0</v>
      </c>
      <c r="J14" s="1828">
        <v>29600</v>
      </c>
      <c r="K14" s="1506">
        <f t="shared" si="2"/>
        <v>29600</v>
      </c>
      <c r="L14" s="124">
        <f t="shared" si="3"/>
        <v>9059826</v>
      </c>
      <c r="M14" s="124"/>
      <c r="N14" s="1830"/>
      <c r="O14" s="378"/>
      <c r="P14" s="378"/>
      <c r="Q14" s="378"/>
    </row>
    <row r="15" spans="2:17">
      <c r="B15" s="1827">
        <v>45658</v>
      </c>
      <c r="C15" s="1506">
        <f t="shared" si="4"/>
        <v>202778</v>
      </c>
      <c r="D15" s="1828">
        <v>29313</v>
      </c>
      <c r="E15" s="1506">
        <f t="shared" si="0"/>
        <v>232091</v>
      </c>
      <c r="F15" s="124">
        <f t="shared" si="1"/>
        <v>4235357</v>
      </c>
      <c r="H15" s="1827">
        <v>45658</v>
      </c>
      <c r="I15" s="1506">
        <f>+I12</f>
        <v>700000</v>
      </c>
      <c r="J15" s="1828">
        <v>29313</v>
      </c>
      <c r="K15" s="1506">
        <f t="shared" si="2"/>
        <v>729313</v>
      </c>
      <c r="L15" s="124">
        <f t="shared" si="3"/>
        <v>8359826</v>
      </c>
      <c r="M15" s="124"/>
      <c r="N15" s="1830"/>
      <c r="O15" s="378"/>
      <c r="P15" s="378"/>
      <c r="Q15" s="378"/>
    </row>
    <row r="16" spans="2:17">
      <c r="B16" s="1827">
        <v>45689</v>
      </c>
      <c r="C16" s="1506">
        <f t="shared" si="4"/>
        <v>202778</v>
      </c>
      <c r="D16" s="1828">
        <v>28038</v>
      </c>
      <c r="E16" s="1506">
        <f t="shared" si="0"/>
        <v>230816</v>
      </c>
      <c r="F16" s="124">
        <f t="shared" si="1"/>
        <v>4032579</v>
      </c>
      <c r="H16" s="1827">
        <v>45689</v>
      </c>
      <c r="I16" s="1506">
        <v>0</v>
      </c>
      <c r="J16" s="1828">
        <v>28038</v>
      </c>
      <c r="K16" s="1506">
        <f t="shared" si="2"/>
        <v>28038</v>
      </c>
      <c r="L16" s="124">
        <f t="shared" si="3"/>
        <v>8359826</v>
      </c>
      <c r="M16" s="124"/>
      <c r="N16" s="1830"/>
      <c r="O16" s="378"/>
      <c r="P16" s="378"/>
      <c r="Q16" s="378"/>
    </row>
    <row r="17" spans="2:17">
      <c r="B17" s="1827">
        <v>45717</v>
      </c>
      <c r="C17" s="1506">
        <f t="shared" si="4"/>
        <v>202778</v>
      </c>
      <c r="D17" s="1828">
        <v>24174</v>
      </c>
      <c r="E17" s="1506">
        <f t="shared" si="0"/>
        <v>226952</v>
      </c>
      <c r="F17" s="124">
        <f t="shared" si="1"/>
        <v>3829801</v>
      </c>
      <c r="H17" s="1827">
        <v>45717</v>
      </c>
      <c r="I17" s="1506">
        <v>0</v>
      </c>
      <c r="J17" s="1828">
        <v>24174</v>
      </c>
      <c r="K17" s="1506">
        <f t="shared" si="2"/>
        <v>24174</v>
      </c>
      <c r="L17" s="124">
        <f t="shared" si="3"/>
        <v>8359826</v>
      </c>
      <c r="M17" s="124"/>
      <c r="N17" s="1823"/>
      <c r="O17" s="500"/>
      <c r="P17" s="500"/>
      <c r="Q17" s="138"/>
    </row>
    <row r="18" spans="2:17">
      <c r="I18" s="124">
        <f>+SUM(I6:I17)</f>
        <v>2800000</v>
      </c>
    </row>
    <row r="24" spans="2:17">
      <c r="B24" t="s">
        <v>3148</v>
      </c>
      <c r="C24" t="s">
        <v>464</v>
      </c>
      <c r="D24" t="s">
        <v>3149</v>
      </c>
      <c r="E24" t="s">
        <v>3150</v>
      </c>
    </row>
    <row r="25" spans="2:17">
      <c r="B25">
        <v>40590939457</v>
      </c>
      <c r="C25" s="3">
        <f>+GETPIVOTDATA("Sum of Cr. Final 23-24",Pivot!$A$1,"PARTICULARS","S.B.I. ( COVID) A/C. 40590939457 (GECL30%) 73 Lakh","Note",13,"BS Main Head","Long Term Borrowings","BS Sub Head","Secured - From Banks - Term Loan")</f>
        <v>6263137</v>
      </c>
      <c r="D25" s="3">
        <f>+F5-E25</f>
        <v>3829801</v>
      </c>
      <c r="E25" s="3">
        <f>+SUM(C6:C17)</f>
        <v>2433336</v>
      </c>
    </row>
    <row r="26" spans="2:17">
      <c r="B26">
        <v>41345851422</v>
      </c>
      <c r="C26" s="3">
        <f>+GETPIVOTDATA("Sum of Cr. Final 23-24",Pivot!$A$1,"PARTICULARS","S.B.I. Add.Term  Loan (1.40lac)A/c.No.41345851422","Note",13,"BS Main Head","Long Term Borrowings","BS Sub Head","Secured - From Banks - Term Loan")</f>
        <v>11159826</v>
      </c>
      <c r="D26" s="3">
        <f>+C26-E26</f>
        <v>8359826</v>
      </c>
      <c r="E26" s="3">
        <f>+I18</f>
        <v>2800000</v>
      </c>
    </row>
    <row r="27" spans="2:17">
      <c r="B27">
        <v>40667225452</v>
      </c>
      <c r="C27" s="3">
        <f>+GETPIVOTDATA("Sum of Cr. Final 23-24",Pivot!$A$1,"PARTICULARS","S. B I. TERM LOAN  ( 7.75 Cr) A/c 40667225452","Note",13,"BS Main Head","Long Term Borrowings","BS Sub Head","Secured - From Banks - Term Loan")</f>
        <v>46199076</v>
      </c>
      <c r="D27" s="3">
        <f>+C27-E27</f>
        <v>30699076</v>
      </c>
      <c r="E27" s="3">
        <f>3875000*4</f>
        <v>15500000</v>
      </c>
    </row>
    <row r="28" spans="2:17">
      <c r="B28">
        <v>39366011281</v>
      </c>
      <c r="C28" s="3">
        <f>+GETPIVOTDATA("Sum of Cr. Final 23-24",Pivot!$A$1,"PARTICULARS","S.B.I. ( GECL)  Term Loan A/c 39366011281(1.46 Cr)","Note",13,"BS Main Head","Long Term Borrowings","BS Sub Head","Secured - From Banks - Term Loan")</f>
        <v>68723.86</v>
      </c>
      <c r="D28" s="3">
        <f>+C28-E28</f>
        <v>0</v>
      </c>
      <c r="E28" s="3">
        <v>68723.86</v>
      </c>
    </row>
    <row r="29" spans="2:17">
      <c r="B29">
        <v>42637205312</v>
      </c>
      <c r="C29" s="3">
        <f>+GETPIVOTDATA("Sum of Cr. Final 23-24",Pivot!$A$1,"PARTICULARS","SBI MSME-Term Loan A/c 42637205312 (3Crore)","Note",13,"BS Main Head","Long Term Borrowings","BS Sub Head","Secured - From Banks - Term Loan")</f>
        <v>28972386</v>
      </c>
      <c r="D29" s="3">
        <f>+C29-E29</f>
        <v>24472386</v>
      </c>
      <c r="E29" s="3">
        <f>1500000*3</f>
        <v>4500000</v>
      </c>
    </row>
    <row r="30" spans="2:17">
      <c r="C30" s="539">
        <f>+SUM(C25:C29)</f>
        <v>92663148.859999999</v>
      </c>
      <c r="D30" s="539">
        <f>+SUM(D25:D29)</f>
        <v>67361089</v>
      </c>
      <c r="E30" s="539">
        <f>+SUM(E25:E29)</f>
        <v>25302059.859999999</v>
      </c>
    </row>
  </sheetData>
  <customSheetViews>
    <customSheetView guid="{ADEA4918-0326-423A-8D00-FB47A486004B}" state="hidden">
      <selection activeCell="C17" sqref="C17"/>
      <pageMargins left="0.7" right="0.7" top="0.75" bottom="0.75" header="0.3" footer="0.3"/>
    </customSheetView>
    <customSheetView guid="{2A78E287-3113-4387-BB62-BE98FA5C13C2}">
      <selection activeCell="A30" sqref="A30:XFD30"/>
      <pageMargins left="0.7" right="0.7" top="0.75" bottom="0.75" header="0.3" footer="0.3"/>
    </customSheetView>
    <customSheetView guid="{DC5DA12B-0FA6-4F41-A983-6E433AD4604D}">
      <selection activeCell="A30" sqref="A30:XFD30"/>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5D7A-4BAA-4317-9EEC-DAEE1A4FD77F}">
  <sheetPr>
    <pageSetUpPr fitToPage="1"/>
  </sheetPr>
  <dimension ref="A2:Z1025"/>
  <sheetViews>
    <sheetView view="pageBreakPreview" zoomScale="80" zoomScaleNormal="100" zoomScaleSheetLayoutView="100" workbookViewId="0">
      <selection activeCell="B75" sqref="B3:H75"/>
    </sheetView>
  </sheetViews>
  <sheetFormatPr defaultColWidth="36.109375" defaultRowHeight="14.4"/>
  <cols>
    <col min="1" max="1" width="9.109375" customWidth="1"/>
    <col min="2" max="2" width="39.6640625" customWidth="1"/>
    <col min="3" max="3" width="15.44140625" customWidth="1"/>
    <col min="4" max="4" width="15.6640625" bestFit="1" customWidth="1"/>
    <col min="5" max="5" width="17.5546875" customWidth="1"/>
    <col min="6" max="6" width="14.88671875" customWidth="1"/>
    <col min="7" max="7" width="23.5546875" bestFit="1" customWidth="1"/>
    <col min="8" max="8" width="22.33203125" customWidth="1"/>
    <col min="9" max="9" width="28.88671875" customWidth="1"/>
    <col min="10" max="10" width="36.6640625" bestFit="1" customWidth="1"/>
    <col min="11" max="17" width="28.88671875" customWidth="1"/>
    <col min="18" max="18" width="20.6640625" style="632" customWidth="1"/>
    <col min="19" max="19" width="34.109375" customWidth="1"/>
    <col min="20" max="20" width="16.44140625" style="1" customWidth="1"/>
    <col min="21" max="21" width="16.33203125" style="1" bestFit="1" customWidth="1"/>
    <col min="22" max="22" width="14.109375" style="1" bestFit="1" customWidth="1"/>
    <col min="23" max="23" width="26.33203125" style="1" bestFit="1" customWidth="1"/>
    <col min="24" max="24" width="22.44140625" customWidth="1"/>
    <col min="25" max="25" width="14.6640625" bestFit="1" customWidth="1"/>
    <col min="26" max="26" width="18.6640625" bestFit="1" customWidth="1"/>
  </cols>
  <sheetData>
    <row r="2" spans="2:20" ht="15" thickBot="1">
      <c r="G2" s="1">
        <f>+G48-G28</f>
        <v>4.7840476036071777E-3</v>
      </c>
      <c r="H2" s="124">
        <f>+H48-H28</f>
        <v>0.33493530750274658</v>
      </c>
      <c r="I2" s="124"/>
      <c r="J2" s="124"/>
      <c r="K2" s="124"/>
      <c r="L2" s="124"/>
      <c r="M2" s="124"/>
      <c r="N2" s="124"/>
      <c r="O2" s="124"/>
      <c r="P2" s="124"/>
      <c r="Q2" s="124"/>
    </row>
    <row r="3" spans="2:20" ht="18">
      <c r="B3" s="2345" t="s">
        <v>702</v>
      </c>
      <c r="C3" s="2346"/>
      <c r="D3" s="2346"/>
      <c r="E3" s="2346"/>
      <c r="F3" s="2346"/>
      <c r="G3" s="2346"/>
      <c r="H3" s="2347"/>
      <c r="I3" s="1880"/>
      <c r="J3" s="1880"/>
      <c r="K3" s="1880"/>
      <c r="L3" s="1880"/>
      <c r="M3" s="1880"/>
      <c r="N3" s="1880"/>
      <c r="O3" s="1880"/>
      <c r="P3" s="1880"/>
      <c r="Q3" s="1880"/>
      <c r="S3">
        <f>+Depreciation!D11</f>
        <v>11551373</v>
      </c>
    </row>
    <row r="4" spans="2:20" ht="18">
      <c r="B4" s="2348" t="s">
        <v>3053</v>
      </c>
      <c r="C4" s="2349"/>
      <c r="D4" s="2349"/>
      <c r="E4" s="2349"/>
      <c r="F4" s="2349"/>
      <c r="G4" s="2349"/>
      <c r="H4" s="2350"/>
      <c r="I4" s="1880"/>
      <c r="J4" s="1880"/>
      <c r="K4" s="1880"/>
      <c r="L4" s="1880"/>
      <c r="M4" s="1880"/>
      <c r="N4" s="1880"/>
      <c r="O4" s="1880"/>
      <c r="P4" s="1880"/>
      <c r="Q4" s="1880"/>
    </row>
    <row r="5" spans="2:20" ht="18">
      <c r="B5" s="2047"/>
      <c r="C5" s="1880"/>
      <c r="D5" s="1880"/>
      <c r="E5" s="1880"/>
      <c r="F5" s="1880"/>
      <c r="G5" s="1880"/>
      <c r="H5" s="2219" t="s">
        <v>4749</v>
      </c>
      <c r="I5" s="1880"/>
      <c r="J5" s="1880"/>
      <c r="K5" s="1880"/>
      <c r="L5" s="1880"/>
      <c r="M5" s="1880"/>
      <c r="N5" s="1880"/>
      <c r="O5" s="1880"/>
      <c r="P5" s="1880"/>
      <c r="Q5" s="1880"/>
    </row>
    <row r="6" spans="2:20" ht="18">
      <c r="B6" s="1002" t="s">
        <v>463</v>
      </c>
      <c r="C6" s="1003"/>
      <c r="D6" s="1003"/>
      <c r="E6" s="1003"/>
      <c r="F6" s="2351" t="s">
        <v>703</v>
      </c>
      <c r="G6" s="1004" t="s">
        <v>704</v>
      </c>
      <c r="H6" s="1005" t="s">
        <v>704</v>
      </c>
      <c r="I6" s="1996"/>
      <c r="J6" s="1996"/>
      <c r="K6" s="1996"/>
      <c r="L6" s="1996"/>
      <c r="M6" s="1996"/>
      <c r="N6" s="1996"/>
      <c r="O6" s="1996"/>
      <c r="P6" s="1996"/>
      <c r="Q6" s="1996"/>
    </row>
    <row r="7" spans="2:20" ht="18">
      <c r="B7" s="1006"/>
      <c r="C7" s="5"/>
      <c r="D7" s="5"/>
      <c r="E7" s="5"/>
      <c r="F7" s="2352"/>
      <c r="G7" s="6" t="s">
        <v>3052</v>
      </c>
      <c r="H7" s="1007" t="s">
        <v>705</v>
      </c>
      <c r="I7" s="103"/>
      <c r="J7" s="103"/>
      <c r="K7" s="103"/>
      <c r="L7" s="103"/>
      <c r="M7" s="103"/>
      <c r="N7" s="103"/>
      <c r="O7" s="103"/>
      <c r="P7" s="103"/>
      <c r="Q7" s="103"/>
    </row>
    <row r="8" spans="2:20" ht="18">
      <c r="B8" s="1008" t="s">
        <v>707</v>
      </c>
      <c r="C8" s="1508"/>
      <c r="D8" s="1508"/>
      <c r="E8" s="1508"/>
      <c r="F8" s="315"/>
      <c r="G8" s="7"/>
      <c r="H8" s="1009"/>
      <c r="I8" s="20"/>
      <c r="J8" s="20"/>
      <c r="K8" s="20"/>
      <c r="L8" s="20"/>
      <c r="M8" s="20"/>
      <c r="N8" s="20"/>
      <c r="O8" s="20"/>
      <c r="P8" s="20"/>
      <c r="Q8" s="20"/>
    </row>
    <row r="9" spans="2:20" ht="18">
      <c r="B9" s="1008" t="s">
        <v>708</v>
      </c>
      <c r="C9" s="1508"/>
      <c r="D9" s="1508"/>
      <c r="E9" s="1508"/>
      <c r="F9" s="315"/>
      <c r="G9" s="7"/>
      <c r="H9" s="1009"/>
      <c r="I9" s="20"/>
      <c r="J9" s="20"/>
      <c r="K9" s="20"/>
      <c r="L9" s="20"/>
      <c r="M9" s="20"/>
      <c r="N9" s="20"/>
      <c r="O9" s="20"/>
      <c r="P9" s="20"/>
      <c r="Q9" s="20"/>
    </row>
    <row r="10" spans="2:20" ht="18">
      <c r="B10" s="1010" t="s">
        <v>77</v>
      </c>
      <c r="C10" s="1508"/>
      <c r="D10" s="1508"/>
      <c r="E10" s="1508"/>
      <c r="F10" s="2353">
        <v>2</v>
      </c>
      <c r="G10" s="2159">
        <f>+SUM(Depreciation!B25:I25)</f>
        <v>370179117.91074157</v>
      </c>
      <c r="H10" s="2160">
        <f>+SUM(Depreciation!B24:I24)</f>
        <v>193428260.50074148</v>
      </c>
      <c r="I10" s="1997"/>
      <c r="J10" s="1997"/>
      <c r="K10" s="1997"/>
      <c r="L10" s="1997"/>
      <c r="M10" s="1997"/>
      <c r="N10" s="1997"/>
      <c r="O10" s="1997"/>
      <c r="P10" s="1997"/>
      <c r="Q10" s="1997"/>
      <c r="R10" s="1883">
        <f>+G10/$G$28</f>
        <v>0.69816301217672183</v>
      </c>
      <c r="S10" s="410">
        <v>339748500.99000001</v>
      </c>
      <c r="T10" s="1">
        <f>+G10+G11-S10</f>
        <v>30430616.920741558</v>
      </c>
    </row>
    <row r="11" spans="2:20" ht="18">
      <c r="B11" s="1010" t="s">
        <v>709</v>
      </c>
      <c r="C11" s="1508"/>
      <c r="D11" s="1508"/>
      <c r="E11" s="1508"/>
      <c r="F11" s="2353"/>
      <c r="G11" s="1848">
        <f>+GETPIVOTDATA("Sum of Dr. Final 23-24",Pivot!$A$1,"Note",2,"BS Main Head","Property, Plant and Equipment","BS Sub Head","Capital WIP")</f>
        <v>0</v>
      </c>
      <c r="H11" s="2160">
        <f>+Depreciation!J24</f>
        <v>146447231.75</v>
      </c>
      <c r="I11" s="1997"/>
      <c r="J11" s="1997"/>
      <c r="K11" s="1997"/>
      <c r="L11" s="1997"/>
      <c r="M11" s="1997"/>
      <c r="N11" s="1997"/>
      <c r="O11" s="1997"/>
      <c r="P11" s="1997"/>
      <c r="Q11" s="1997"/>
      <c r="R11" s="1883">
        <f>+G11/$G$28</f>
        <v>0</v>
      </c>
      <c r="S11" s="124">
        <f>+S10-G10-G11</f>
        <v>-30430616.920741558</v>
      </c>
    </row>
    <row r="12" spans="2:20" ht="18">
      <c r="B12" s="1012" t="s">
        <v>13</v>
      </c>
      <c r="C12" s="1508"/>
      <c r="D12" s="1508"/>
      <c r="E12" s="1508"/>
      <c r="F12" s="9"/>
      <c r="G12" s="2050"/>
      <c r="H12" s="2054"/>
      <c r="I12" s="103"/>
      <c r="J12" s="103"/>
      <c r="K12" s="103"/>
      <c r="L12" s="103"/>
      <c r="M12" s="103"/>
      <c r="N12" s="103"/>
      <c r="O12" s="103"/>
      <c r="P12" s="103"/>
      <c r="Q12" s="103"/>
      <c r="R12" s="1884"/>
    </row>
    <row r="13" spans="2:20" ht="18">
      <c r="B13" s="1014" t="s">
        <v>710</v>
      </c>
      <c r="C13" s="1508"/>
      <c r="D13" s="1508"/>
      <c r="E13" s="1508"/>
      <c r="F13" s="9">
        <v>3</v>
      </c>
      <c r="G13" s="2049">
        <f>+G231</f>
        <v>3457331</v>
      </c>
      <c r="H13" s="2057">
        <f>+H231</f>
        <v>3469626</v>
      </c>
      <c r="I13" s="1874"/>
      <c r="J13" s="1874"/>
      <c r="K13" s="1874"/>
      <c r="L13" s="1874"/>
      <c r="M13" s="1874"/>
      <c r="N13" s="1874"/>
      <c r="O13" s="1874"/>
      <c r="P13" s="1874"/>
      <c r="Q13" s="1874"/>
      <c r="R13" s="1883">
        <f>+G13/$G$28</f>
        <v>6.5205747927520154E-3</v>
      </c>
    </row>
    <row r="14" spans="2:20" ht="18">
      <c r="B14" s="1016" t="s">
        <v>711</v>
      </c>
      <c r="C14" s="1508"/>
      <c r="D14" s="1508"/>
      <c r="E14" s="1508"/>
      <c r="F14" s="9">
        <v>4</v>
      </c>
      <c r="G14" s="2049">
        <f>+G238</f>
        <v>19206052</v>
      </c>
      <c r="H14" s="2057">
        <f>+H238</f>
        <v>16009672</v>
      </c>
      <c r="I14" s="1874"/>
      <c r="J14" s="1874"/>
      <c r="K14" s="1874"/>
      <c r="L14" s="1874"/>
      <c r="M14" s="1874"/>
      <c r="N14" s="1874"/>
      <c r="O14" s="1874"/>
      <c r="P14" s="1874"/>
      <c r="Q14" s="1874"/>
      <c r="R14" s="1883">
        <f>+G14/$G$28</f>
        <v>3.6222883646224335E-2</v>
      </c>
      <c r="S14" s="911">
        <f>+G14-16007912</f>
        <v>3198140</v>
      </c>
    </row>
    <row r="15" spans="2:20" ht="18">
      <c r="B15" s="1016" t="s">
        <v>4747</v>
      </c>
      <c r="C15" s="1508"/>
      <c r="D15" s="1508"/>
      <c r="E15" s="1508"/>
      <c r="F15" s="9">
        <v>14</v>
      </c>
      <c r="G15" s="2049">
        <f>-G414</f>
        <v>13503113.548402404</v>
      </c>
      <c r="H15" s="1047">
        <v>0</v>
      </c>
      <c r="I15" s="1874"/>
      <c r="J15" s="1874"/>
      <c r="K15" s="1874"/>
      <c r="L15" s="1874"/>
      <c r="M15" s="1874"/>
      <c r="N15" s="1874"/>
      <c r="O15" s="1874"/>
      <c r="P15" s="1874"/>
      <c r="Q15" s="1874"/>
      <c r="R15" s="1883"/>
      <c r="S15" s="911"/>
    </row>
    <row r="16" spans="2:20" ht="18">
      <c r="B16" s="1017" t="s">
        <v>712</v>
      </c>
      <c r="C16" s="1508"/>
      <c r="D16" s="1508"/>
      <c r="E16" s="1508"/>
      <c r="F16" s="9"/>
      <c r="G16" s="2162">
        <f>+SUM(G10:G15)</f>
        <v>406345614.459144</v>
      </c>
      <c r="H16" s="2163">
        <f>+SUM(H10:H14)</f>
        <v>359354790.25074148</v>
      </c>
      <c r="I16" s="1998"/>
      <c r="J16" s="1998"/>
      <c r="K16" s="1998"/>
      <c r="L16" s="1998"/>
      <c r="M16" s="1998"/>
      <c r="N16" s="1998"/>
      <c r="O16" s="1998"/>
      <c r="P16" s="1998"/>
      <c r="Q16" s="1998"/>
      <c r="R16" s="1884"/>
    </row>
    <row r="17" spans="2:19" ht="18">
      <c r="B17" s="1017" t="s">
        <v>713</v>
      </c>
      <c r="C17" s="1508"/>
      <c r="D17" s="1508"/>
      <c r="E17" s="1508"/>
      <c r="F17" s="9"/>
      <c r="G17" s="2048"/>
      <c r="H17" s="2054"/>
      <c r="I17" s="103"/>
      <c r="J17" s="103"/>
      <c r="K17" s="103"/>
      <c r="L17" s="103"/>
      <c r="M17" s="103"/>
      <c r="N17" s="103"/>
      <c r="O17" s="103"/>
      <c r="P17" s="103"/>
      <c r="Q17" s="103"/>
      <c r="R17" s="1884"/>
    </row>
    <row r="18" spans="2:19" ht="18">
      <c r="B18" s="1016" t="s">
        <v>714</v>
      </c>
      <c r="C18" s="1508"/>
      <c r="D18" s="1508"/>
      <c r="E18" s="1508"/>
      <c r="F18" s="9">
        <v>5</v>
      </c>
      <c r="G18" s="2049">
        <f>+G245</f>
        <v>26923530.733266789</v>
      </c>
      <c r="H18" s="2057">
        <f>+H245</f>
        <v>62662681</v>
      </c>
      <c r="I18" s="1874"/>
      <c r="J18" s="1874"/>
      <c r="K18" s="1874"/>
      <c r="L18" s="1874"/>
      <c r="M18" s="1874"/>
      <c r="N18" s="1874"/>
      <c r="O18" s="1874"/>
      <c r="P18" s="1874"/>
      <c r="Q18" s="1874"/>
      <c r="R18" s="1883">
        <f>+G18/$G$28</f>
        <v>5.0778156858924881E-2</v>
      </c>
    </row>
    <row r="19" spans="2:19" ht="18">
      <c r="B19" s="1016" t="s">
        <v>13</v>
      </c>
      <c r="C19" s="1508"/>
      <c r="D19" s="1508"/>
      <c r="E19" s="1508"/>
      <c r="F19" s="9"/>
      <c r="G19" s="2050"/>
      <c r="H19" s="2056"/>
      <c r="I19" s="1998"/>
      <c r="J19" s="1998"/>
      <c r="K19" s="1998"/>
      <c r="L19" s="1998"/>
      <c r="M19" s="1998"/>
      <c r="N19" s="1998"/>
      <c r="O19" s="1998"/>
      <c r="P19" s="1998"/>
      <c r="Q19" s="1998"/>
      <c r="R19" s="1884"/>
    </row>
    <row r="20" spans="2:19" ht="18">
      <c r="B20" s="1019" t="s">
        <v>715</v>
      </c>
      <c r="C20" s="1508"/>
      <c r="D20" s="1508"/>
      <c r="E20" s="1508"/>
      <c r="F20" s="9">
        <v>6</v>
      </c>
      <c r="G20" s="2049">
        <f>+G253</f>
        <v>81160771.019999996</v>
      </c>
      <c r="H20" s="2057">
        <f>+H253</f>
        <v>115802242.14</v>
      </c>
      <c r="I20" s="1874"/>
      <c r="J20" s="1874"/>
      <c r="K20" s="1874"/>
      <c r="L20" s="1874"/>
      <c r="M20" s="1874"/>
      <c r="N20" s="1874"/>
      <c r="O20" s="1874"/>
      <c r="P20" s="1874"/>
      <c r="Q20" s="1874"/>
      <c r="R20" s="1883">
        <f>+G20/$G$28</f>
        <v>0.15307035330818203</v>
      </c>
    </row>
    <row r="21" spans="2:19" ht="18">
      <c r="B21" s="1019" t="s">
        <v>716</v>
      </c>
      <c r="C21" s="1508"/>
      <c r="D21" s="1508"/>
      <c r="E21" s="1508"/>
      <c r="F21" s="9">
        <v>7</v>
      </c>
      <c r="G21" s="2049">
        <f>+G284</f>
        <v>279466.64</v>
      </c>
      <c r="H21" s="2057">
        <f>+H284</f>
        <v>239775.64</v>
      </c>
      <c r="I21" s="1874"/>
      <c r="J21" s="1874"/>
      <c r="K21" s="1874"/>
      <c r="L21" s="1874"/>
      <c r="M21" s="1874"/>
      <c r="N21" s="1874"/>
      <c r="O21" s="1874"/>
      <c r="P21" s="1874"/>
      <c r="Q21" s="1874"/>
      <c r="R21" s="1883">
        <f>+G21/$G$28</f>
        <v>5.2707800560579886E-4</v>
      </c>
    </row>
    <row r="22" spans="2:19" ht="18">
      <c r="B22" s="1019" t="s">
        <v>2256</v>
      </c>
      <c r="C22" s="1508"/>
      <c r="D22" s="1508"/>
      <c r="E22" s="1508"/>
      <c r="F22" s="9">
        <v>8</v>
      </c>
      <c r="G22" s="2049">
        <f>+G295</f>
        <v>7407950.3599999994</v>
      </c>
      <c r="H22" s="2057">
        <f>+H295</f>
        <v>10949791.359999999</v>
      </c>
      <c r="I22" s="1874"/>
      <c r="J22" s="1874"/>
      <c r="K22" s="1874"/>
      <c r="L22" s="1874"/>
      <c r="M22" s="1874"/>
      <c r="N22" s="1874"/>
      <c r="O22" s="1874"/>
      <c r="P22" s="1874"/>
      <c r="Q22" s="1874"/>
      <c r="R22" s="1883">
        <f>+G22/$G$28</f>
        <v>1.3971498356210098E-2</v>
      </c>
      <c r="S22" s="124"/>
    </row>
    <row r="23" spans="2:19" ht="18">
      <c r="B23" s="1016" t="s">
        <v>717</v>
      </c>
      <c r="C23" s="1508"/>
      <c r="D23" s="1508"/>
      <c r="E23" s="1508"/>
      <c r="F23" s="9">
        <v>9</v>
      </c>
      <c r="G23" s="2049">
        <f>+G301</f>
        <v>7612676.4299999997</v>
      </c>
      <c r="H23" s="2057">
        <f>+H301</f>
        <v>10037184</v>
      </c>
      <c r="I23" s="1874"/>
      <c r="J23" s="1874"/>
      <c r="K23" s="1874"/>
      <c r="L23" s="1874"/>
      <c r="M23" s="1874"/>
      <c r="N23" s="1874"/>
      <c r="O23" s="1874"/>
      <c r="P23" s="1874"/>
      <c r="Q23" s="1874"/>
      <c r="R23" s="1883">
        <f>+G23/$G$28</f>
        <v>1.4357614597744735E-2</v>
      </c>
      <c r="S23" s="911">
        <f>+G23-10038944</f>
        <v>-2426267.5700000003</v>
      </c>
    </row>
    <row r="24" spans="2:19" ht="18">
      <c r="B24" s="1016" t="s">
        <v>718</v>
      </c>
      <c r="C24" s="1508"/>
      <c r="D24" s="1508"/>
      <c r="E24" s="1508"/>
      <c r="F24" s="9">
        <v>10</v>
      </c>
      <c r="G24" s="2049">
        <f>+G304</f>
        <v>488737.92</v>
      </c>
      <c r="H24" s="2057">
        <f>+H304</f>
        <v>27609</v>
      </c>
      <c r="I24" s="1874"/>
      <c r="J24" s="1874"/>
      <c r="K24" s="1874"/>
      <c r="L24" s="1874"/>
      <c r="M24" s="1874"/>
      <c r="N24" s="1874"/>
      <c r="O24" s="1874"/>
      <c r="P24" s="1874"/>
      <c r="Q24" s="1874"/>
      <c r="R24" s="1883">
        <f>+G24/$G$28</f>
        <v>9.2176657699654762E-4</v>
      </c>
    </row>
    <row r="25" spans="2:19" ht="18">
      <c r="B25" s="1014"/>
      <c r="C25" s="1508"/>
      <c r="D25" s="1508"/>
      <c r="E25" s="14"/>
      <c r="F25" s="1523"/>
      <c r="G25" s="2162">
        <f>+SUM(G18:G24)</f>
        <v>123873133.10326679</v>
      </c>
      <c r="H25" s="2163">
        <f>+SUM(H18:H24)</f>
        <v>199719283.13999999</v>
      </c>
      <c r="I25" s="1998"/>
      <c r="J25" s="1998"/>
      <c r="K25" s="1998"/>
      <c r="L25" s="1998"/>
      <c r="M25" s="1998"/>
      <c r="N25" s="1998"/>
      <c r="O25" s="1998"/>
      <c r="P25" s="1998"/>
      <c r="Q25" s="1998"/>
    </row>
    <row r="26" spans="2:19" ht="18">
      <c r="B26" s="1014"/>
      <c r="C26" s="1508"/>
      <c r="D26" s="1508"/>
      <c r="E26" s="1508"/>
      <c r="F26" s="9"/>
      <c r="G26" s="2052"/>
      <c r="H26" s="2058"/>
      <c r="I26" s="103"/>
      <c r="J26" s="103"/>
      <c r="K26" s="103"/>
      <c r="L26" s="103"/>
      <c r="M26" s="103"/>
      <c r="N26" s="103"/>
      <c r="O26" s="103"/>
      <c r="P26" s="103"/>
      <c r="Q26" s="103"/>
    </row>
    <row r="27" spans="2:19" ht="18">
      <c r="B27" s="1021"/>
      <c r="C27" s="1508"/>
      <c r="D27" s="1508"/>
      <c r="E27" s="1508"/>
      <c r="F27" s="315"/>
      <c r="G27" s="2053"/>
      <c r="H27" s="2059"/>
      <c r="I27" s="20"/>
      <c r="J27" s="20"/>
      <c r="K27" s="20"/>
      <c r="L27" s="20"/>
      <c r="M27" s="20"/>
      <c r="N27" s="20"/>
      <c r="O27" s="20"/>
      <c r="P27" s="20"/>
      <c r="Q27" s="20"/>
    </row>
    <row r="28" spans="2:19" ht="18.600000000000001" thickBot="1">
      <c r="B28" s="1021" t="s">
        <v>719</v>
      </c>
      <c r="C28" s="1508"/>
      <c r="D28" s="1508"/>
      <c r="E28" s="1508"/>
      <c r="F28" s="315"/>
      <c r="G28" s="2165">
        <f>+G25+G16</f>
        <v>530218747.56241077</v>
      </c>
      <c r="H28" s="2166">
        <f>+H25+H16</f>
        <v>559074073.39074147</v>
      </c>
      <c r="I28" s="1999"/>
      <c r="J28" s="1999"/>
      <c r="K28" s="1999"/>
      <c r="L28" s="1999"/>
      <c r="M28" s="1999"/>
      <c r="N28" s="1999"/>
      <c r="O28" s="1999"/>
      <c r="P28" s="1999"/>
      <c r="Q28" s="1999"/>
      <c r="R28" s="633"/>
      <c r="S28" s="910"/>
    </row>
    <row r="29" spans="2:19" ht="18.600000000000001" thickTop="1">
      <c r="B29" s="1023" t="s">
        <v>720</v>
      </c>
      <c r="C29" s="1508"/>
      <c r="D29" s="1508"/>
      <c r="E29" s="1508"/>
      <c r="F29" s="9"/>
      <c r="G29" s="2048"/>
      <c r="H29" s="2054"/>
      <c r="I29" s="103"/>
      <c r="J29" s="103"/>
      <c r="K29" s="103"/>
      <c r="L29" s="103"/>
      <c r="M29" s="103"/>
      <c r="N29" s="103"/>
      <c r="O29" s="103"/>
      <c r="P29" s="103"/>
      <c r="Q29" s="103"/>
    </row>
    <row r="30" spans="2:19" ht="18">
      <c r="B30" s="1021" t="s">
        <v>721</v>
      </c>
      <c r="C30" s="1508"/>
      <c r="D30" s="1508"/>
      <c r="E30" s="1508"/>
      <c r="F30" s="9"/>
      <c r="G30" s="2048"/>
      <c r="H30" s="2054"/>
      <c r="I30" s="103"/>
      <c r="J30" s="103"/>
      <c r="K30" s="103"/>
      <c r="L30" s="103"/>
      <c r="M30" s="103"/>
      <c r="N30" s="103"/>
      <c r="O30" s="103"/>
      <c r="P30" s="103"/>
      <c r="Q30" s="103"/>
    </row>
    <row r="31" spans="2:19" ht="18">
      <c r="B31" s="1014" t="s">
        <v>722</v>
      </c>
      <c r="C31" s="1508"/>
      <c r="D31" s="1508"/>
      <c r="E31" s="1508"/>
      <c r="F31" s="2353">
        <v>11</v>
      </c>
      <c r="G31" s="2049">
        <f>+G149</f>
        <v>26922650</v>
      </c>
      <c r="H31" s="2057">
        <f>+H318</f>
        <v>26922650</v>
      </c>
      <c r="I31" s="1874"/>
      <c r="J31" s="1874"/>
      <c r="K31" s="1874"/>
      <c r="L31" s="1874"/>
      <c r="M31" s="1874"/>
      <c r="N31" s="1874"/>
      <c r="O31" s="1874"/>
      <c r="P31" s="1874"/>
      <c r="Q31" s="1874"/>
      <c r="R31" s="633">
        <f>+G31-H31</f>
        <v>0</v>
      </c>
    </row>
    <row r="32" spans="2:19" ht="18">
      <c r="B32" s="1014" t="s">
        <v>723</v>
      </c>
      <c r="C32" s="1508"/>
      <c r="D32" s="1508"/>
      <c r="E32" s="1508"/>
      <c r="F32" s="2353"/>
      <c r="G32" s="2159">
        <f>+G195</f>
        <v>159365028.62719482</v>
      </c>
      <c r="H32" s="2160">
        <f>+H195</f>
        <v>209025241.8868773</v>
      </c>
      <c r="I32" s="1874"/>
      <c r="J32" s="1874"/>
      <c r="K32" s="1874"/>
      <c r="L32" s="1874"/>
      <c r="M32" s="1874"/>
      <c r="N32" s="1874"/>
      <c r="O32" s="1874"/>
      <c r="P32" s="1874"/>
      <c r="Q32" s="1874"/>
      <c r="R32" s="1758">
        <f>+G32-H32</f>
        <v>-49660213.259682477</v>
      </c>
      <c r="S32" s="124">
        <f>+G32-208433086</f>
        <v>-49068057.372805178</v>
      </c>
    </row>
    <row r="33" spans="2:19" ht="18">
      <c r="B33" s="1021" t="s">
        <v>724</v>
      </c>
      <c r="C33" s="1508"/>
      <c r="D33" s="1508"/>
      <c r="E33" s="1508"/>
      <c r="F33" s="9"/>
      <c r="G33" s="2167">
        <f>+SUM(G31:G32)</f>
        <v>186287678.62719482</v>
      </c>
      <c r="H33" s="2168">
        <f>+SUM(H31:H32)</f>
        <v>235947891.8868773</v>
      </c>
      <c r="I33" s="1999"/>
      <c r="J33" s="1999"/>
      <c r="K33" s="1999"/>
      <c r="L33" s="1999"/>
      <c r="M33" s="1999"/>
      <c r="N33" s="1999"/>
      <c r="O33" s="1999"/>
      <c r="P33" s="1999"/>
      <c r="Q33" s="1999"/>
      <c r="R33" s="633"/>
    </row>
    <row r="34" spans="2:19" ht="18">
      <c r="B34" s="1021" t="s">
        <v>725</v>
      </c>
      <c r="C34" s="1508"/>
      <c r="D34" s="1508"/>
      <c r="E34" s="1508"/>
      <c r="F34" s="9"/>
      <c r="G34" s="2048"/>
      <c r="H34" s="2054"/>
      <c r="I34" s="103"/>
      <c r="J34" s="103"/>
      <c r="K34" s="103"/>
      <c r="L34" s="103"/>
      <c r="M34" s="103"/>
      <c r="N34" s="103"/>
      <c r="O34" s="103"/>
      <c r="P34" s="103"/>
      <c r="Q34" s="103"/>
    </row>
    <row r="35" spans="2:19" ht="18">
      <c r="B35" s="1014" t="s">
        <v>726</v>
      </c>
      <c r="C35" s="1508"/>
      <c r="D35" s="1508"/>
      <c r="E35" s="1508"/>
      <c r="F35" s="9"/>
      <c r="G35" s="2048"/>
      <c r="H35" s="2054"/>
      <c r="I35" s="103"/>
      <c r="J35" s="103"/>
      <c r="K35" s="103"/>
      <c r="L35" s="103"/>
      <c r="M35" s="103"/>
      <c r="N35" s="103"/>
      <c r="O35" s="103"/>
      <c r="P35" s="103"/>
      <c r="Q35" s="103"/>
    </row>
    <row r="36" spans="2:19" ht="18">
      <c r="B36" s="1014" t="s">
        <v>727</v>
      </c>
      <c r="C36" s="1508"/>
      <c r="D36" s="1508"/>
      <c r="E36" s="1508"/>
      <c r="F36" s="9">
        <v>12</v>
      </c>
      <c r="G36" s="2159">
        <f>+G393</f>
        <v>112203029</v>
      </c>
      <c r="H36" s="2160">
        <f>+H393</f>
        <v>114589105.09</v>
      </c>
      <c r="I36" s="1874"/>
      <c r="J36" s="1874"/>
      <c r="K36" s="1874"/>
      <c r="L36" s="1874"/>
      <c r="M36" s="1874"/>
      <c r="N36" s="1874"/>
      <c r="O36" s="1874"/>
      <c r="P36" s="1874"/>
      <c r="Q36" s="1874"/>
      <c r="R36" s="1758">
        <f>+G36-H36</f>
        <v>-2386076.0900000036</v>
      </c>
      <c r="S36" s="124">
        <f>+G36-114584771</f>
        <v>-2381742</v>
      </c>
    </row>
    <row r="37" spans="2:19" ht="18">
      <c r="B37" s="1014" t="s">
        <v>728</v>
      </c>
      <c r="C37" s="1508"/>
      <c r="D37" s="1508"/>
      <c r="E37" s="1508"/>
      <c r="F37" s="9">
        <v>13</v>
      </c>
      <c r="G37" s="2049">
        <f>+G401</f>
        <v>495765.69999999925</v>
      </c>
      <c r="H37" s="2057">
        <f>+H401</f>
        <v>838989.70000000019</v>
      </c>
      <c r="I37" s="1874"/>
      <c r="J37" s="1874"/>
      <c r="K37" s="1874"/>
      <c r="L37" s="1874"/>
      <c r="M37" s="1874"/>
      <c r="N37" s="1874"/>
      <c r="O37" s="1874"/>
      <c r="P37" s="1874"/>
      <c r="Q37" s="1874"/>
      <c r="R37" s="1758">
        <f>+G37-H37</f>
        <v>-343224.00000000093</v>
      </c>
    </row>
    <row r="38" spans="2:19" ht="18">
      <c r="B38" s="1014" t="s">
        <v>729</v>
      </c>
      <c r="C38" s="1508"/>
      <c r="D38" s="1508"/>
      <c r="E38" s="1508"/>
      <c r="F38" s="9">
        <v>14</v>
      </c>
      <c r="G38" s="1848">
        <v>0</v>
      </c>
      <c r="H38" s="2057">
        <f>+H416</f>
        <v>4105756.9186484311</v>
      </c>
      <c r="I38" s="1874"/>
      <c r="J38" s="1874"/>
      <c r="K38" s="1874"/>
      <c r="L38" s="1874"/>
      <c r="M38" s="1874"/>
      <c r="N38" s="1874"/>
      <c r="O38" s="1874"/>
      <c r="P38" s="1874"/>
      <c r="Q38" s="1874"/>
      <c r="R38" s="633">
        <f>+G38-H38</f>
        <v>-4105756.9186484311</v>
      </c>
      <c r="S38" s="911">
        <f>+G38-4278171</f>
        <v>-4278171</v>
      </c>
    </row>
    <row r="39" spans="2:19" ht="18">
      <c r="B39" s="1024"/>
      <c r="C39" s="1508"/>
      <c r="D39" s="1508"/>
      <c r="E39" s="1508"/>
      <c r="F39" s="9"/>
      <c r="G39" s="2167">
        <f>+SUM(G36:G38)</f>
        <v>112698794.7</v>
      </c>
      <c r="H39" s="2168">
        <f>+SUM(H36:H38)</f>
        <v>119533851.70864844</v>
      </c>
      <c r="I39" s="1999"/>
      <c r="J39" s="1999"/>
      <c r="K39" s="1999"/>
      <c r="L39" s="1999"/>
      <c r="M39" s="1999"/>
      <c r="N39" s="1999"/>
      <c r="O39" s="1999"/>
      <c r="P39" s="1999"/>
      <c r="Q39" s="1999"/>
    </row>
    <row r="40" spans="2:19" ht="18">
      <c r="B40" s="1021" t="s">
        <v>730</v>
      </c>
      <c r="C40" s="1508"/>
      <c r="D40" s="1508"/>
      <c r="E40" s="1508"/>
      <c r="F40" s="9"/>
      <c r="G40" s="2048"/>
      <c r="H40" s="2054"/>
      <c r="I40" s="103"/>
      <c r="J40" s="103"/>
      <c r="K40" s="103"/>
      <c r="L40" s="103"/>
      <c r="M40" s="103"/>
      <c r="N40" s="103"/>
      <c r="O40" s="103"/>
      <c r="P40" s="103"/>
      <c r="Q40" s="103"/>
    </row>
    <row r="41" spans="2:19" ht="18">
      <c r="B41" s="1014" t="s">
        <v>726</v>
      </c>
      <c r="C41" s="1508"/>
      <c r="D41" s="1508"/>
      <c r="E41" s="1508"/>
      <c r="F41" s="9"/>
      <c r="G41" s="2048"/>
      <c r="H41" s="2054"/>
      <c r="I41" s="103"/>
      <c r="J41" s="103"/>
      <c r="K41" s="103"/>
      <c r="L41" s="103"/>
      <c r="M41" s="103"/>
      <c r="N41" s="103"/>
      <c r="O41" s="103"/>
      <c r="P41" s="103"/>
      <c r="Q41" s="103"/>
    </row>
    <row r="42" spans="2:19" ht="18">
      <c r="B42" s="1014" t="s">
        <v>727</v>
      </c>
      <c r="C42" s="1508"/>
      <c r="D42" s="1508"/>
      <c r="E42" s="1508"/>
      <c r="F42" s="9">
        <v>15</v>
      </c>
      <c r="G42" s="2159">
        <f>+G429</f>
        <v>114945991.02</v>
      </c>
      <c r="H42" s="2160">
        <f>+H429</f>
        <v>101274693.28</v>
      </c>
      <c r="I42" s="1874"/>
      <c r="J42" s="1874"/>
      <c r="K42" s="1874"/>
      <c r="L42" s="1874"/>
      <c r="M42" s="1874"/>
      <c r="N42" s="1874"/>
      <c r="O42" s="1874"/>
      <c r="P42" s="1874"/>
      <c r="Q42" s="1874"/>
      <c r="R42" s="1758">
        <f>+G42-H42</f>
        <v>13671297.739999995</v>
      </c>
    </row>
    <row r="43" spans="2:19" ht="18">
      <c r="B43" s="1014" t="s">
        <v>731</v>
      </c>
      <c r="C43" s="1508"/>
      <c r="D43" s="1508"/>
      <c r="E43" s="1508"/>
      <c r="F43" s="9">
        <v>16</v>
      </c>
      <c r="G43" s="2159">
        <f>+G434</f>
        <v>109494915.47000001</v>
      </c>
      <c r="H43" s="2057">
        <f>+H434</f>
        <v>91597921.990151003</v>
      </c>
      <c r="I43" s="1874"/>
      <c r="J43" s="1874"/>
      <c r="K43" s="1874"/>
      <c r="L43" s="1874"/>
      <c r="M43" s="1874"/>
      <c r="N43" s="1874"/>
      <c r="O43" s="1874"/>
      <c r="P43" s="1874"/>
      <c r="Q43" s="1874"/>
      <c r="R43" s="1758">
        <f>+G43-H43</f>
        <v>17896993.479849011</v>
      </c>
    </row>
    <row r="44" spans="2:19" ht="18">
      <c r="B44" s="1014" t="s">
        <v>732</v>
      </c>
      <c r="C44" s="1508"/>
      <c r="D44" s="1508"/>
      <c r="E44" s="1508"/>
      <c r="F44" s="9">
        <v>17</v>
      </c>
      <c r="G44" s="2049">
        <f>+G473</f>
        <v>2576739</v>
      </c>
      <c r="H44" s="2057">
        <f>+H473</f>
        <v>6397608</v>
      </c>
      <c r="I44" s="1874"/>
      <c r="J44" s="1874"/>
      <c r="K44" s="1874"/>
      <c r="L44" s="1874"/>
      <c r="M44" s="1874"/>
      <c r="N44" s="1874"/>
      <c r="O44" s="1874"/>
      <c r="P44" s="1874"/>
      <c r="Q44" s="1874"/>
      <c r="R44" s="1758">
        <f>+G44-H44</f>
        <v>-3820869</v>
      </c>
    </row>
    <row r="45" spans="2:19" ht="18">
      <c r="B45" s="1014" t="s">
        <v>733</v>
      </c>
      <c r="C45" s="1508"/>
      <c r="D45" s="1508"/>
      <c r="E45" s="1508"/>
      <c r="F45" s="9">
        <v>18</v>
      </c>
      <c r="G45" s="2049">
        <f>+G477</f>
        <v>2542771.75</v>
      </c>
      <c r="H45" s="2057">
        <f>+H477</f>
        <v>2312531.8599999989</v>
      </c>
      <c r="I45" s="1874"/>
      <c r="J45" s="1874"/>
      <c r="K45" s="1874"/>
      <c r="L45" s="1874"/>
      <c r="M45" s="1874"/>
      <c r="N45" s="1874"/>
      <c r="O45" s="1874"/>
      <c r="P45" s="1874"/>
      <c r="Q45" s="1874"/>
      <c r="R45" s="1758">
        <f>+G45-H45</f>
        <v>230239.89000000106</v>
      </c>
      <c r="S45" s="124">
        <f>+G45-2609615</f>
        <v>-66843.25</v>
      </c>
    </row>
    <row r="46" spans="2:19" ht="18">
      <c r="B46" s="1014" t="s">
        <v>734</v>
      </c>
      <c r="C46" s="1508"/>
      <c r="D46" s="1508"/>
      <c r="E46" s="1508"/>
      <c r="F46" s="9">
        <v>19</v>
      </c>
      <c r="G46" s="2049">
        <f>+G482</f>
        <v>1671857</v>
      </c>
      <c r="H46" s="2057">
        <f>+H482</f>
        <v>2009575</v>
      </c>
      <c r="I46" s="1874"/>
      <c r="J46" s="1874"/>
      <c r="K46" s="1874"/>
      <c r="L46" s="1874"/>
      <c r="M46" s="1874"/>
      <c r="N46" s="1874"/>
      <c r="O46" s="1874"/>
      <c r="P46" s="1874"/>
      <c r="Q46" s="1874"/>
      <c r="R46" s="1758">
        <f>+G46-H46</f>
        <v>-337718</v>
      </c>
    </row>
    <row r="47" spans="2:19" ht="18">
      <c r="B47" s="1021" t="s">
        <v>735</v>
      </c>
      <c r="C47" s="1508"/>
      <c r="D47" s="1508"/>
      <c r="E47" s="1508"/>
      <c r="F47" s="9"/>
      <c r="G47" s="2169">
        <f>+SUM(G42:G46)</f>
        <v>231232274.24000001</v>
      </c>
      <c r="H47" s="2170">
        <f>+SUM(H42:H46)</f>
        <v>203592330.130151</v>
      </c>
      <c r="I47" s="1999"/>
      <c r="J47" s="1999"/>
      <c r="K47" s="1999"/>
      <c r="L47" s="1999"/>
      <c r="M47" s="1999"/>
      <c r="N47" s="1999"/>
      <c r="O47" s="1999"/>
      <c r="P47" s="1999"/>
      <c r="Q47" s="1999"/>
      <c r="R47" s="1406"/>
    </row>
    <row r="48" spans="2:19" ht="18.600000000000001" thickBot="1">
      <c r="B48" s="1023" t="s">
        <v>736</v>
      </c>
      <c r="C48" s="1508"/>
      <c r="D48" s="1508"/>
      <c r="E48" s="1508"/>
      <c r="F48" s="316"/>
      <c r="G48" s="2171">
        <f>+G47+G39+G33</f>
        <v>530218747.56719482</v>
      </c>
      <c r="H48" s="2172">
        <f>+H47+H39+H33</f>
        <v>559074073.72567677</v>
      </c>
      <c r="I48" s="1999"/>
      <c r="J48" s="1999"/>
      <c r="K48" s="1999"/>
      <c r="L48" s="1999"/>
      <c r="M48" s="1999"/>
      <c r="N48" s="1999"/>
      <c r="O48" s="1999"/>
      <c r="P48" s="1999"/>
      <c r="Q48" s="1999"/>
      <c r="R48" s="633"/>
      <c r="S48" s="124">
        <f>SUM(S32:S45)</f>
        <v>-55794813.622805178</v>
      </c>
    </row>
    <row r="49" spans="2:17" ht="18.600000000000001" thickTop="1">
      <c r="B49" s="1028" t="s">
        <v>737</v>
      </c>
      <c r="C49" s="5"/>
      <c r="D49" s="5"/>
      <c r="E49" s="5"/>
      <c r="F49" s="854" t="s">
        <v>2890</v>
      </c>
      <c r="G49" s="18"/>
      <c r="H49" s="1029"/>
      <c r="I49" s="19"/>
      <c r="J49" s="19"/>
      <c r="K49" s="19"/>
      <c r="L49" s="19"/>
      <c r="M49" s="19"/>
      <c r="N49" s="19"/>
      <c r="O49" s="19"/>
      <c r="P49" s="19"/>
      <c r="Q49" s="19"/>
    </row>
    <row r="50" spans="2:17" ht="18">
      <c r="B50" s="1023"/>
      <c r="C50" s="1508"/>
      <c r="D50" s="1508"/>
      <c r="E50" s="1508"/>
      <c r="F50" s="1517"/>
      <c r="G50" s="19"/>
      <c r="H50" s="1030"/>
      <c r="I50" s="19"/>
      <c r="J50" s="19"/>
      <c r="K50" s="19"/>
      <c r="L50" s="19"/>
      <c r="M50" s="19"/>
      <c r="N50" s="19"/>
      <c r="O50" s="19"/>
      <c r="P50" s="19"/>
      <c r="Q50" s="19"/>
    </row>
    <row r="51" spans="2:17" ht="18">
      <c r="B51" s="1023" t="s">
        <v>738</v>
      </c>
      <c r="C51" s="1508"/>
      <c r="D51" s="1508"/>
      <c r="E51" s="1508"/>
      <c r="F51" s="1510"/>
      <c r="G51" s="20"/>
      <c r="H51" s="1031"/>
      <c r="I51" s="20"/>
      <c r="J51" s="20"/>
      <c r="K51" s="20"/>
      <c r="L51" s="20"/>
      <c r="M51" s="20"/>
      <c r="N51" s="20"/>
      <c r="O51" s="20"/>
      <c r="P51" s="20"/>
      <c r="Q51" s="20"/>
    </row>
    <row r="52" spans="2:17" ht="18">
      <c r="B52" s="989" t="s">
        <v>739</v>
      </c>
      <c r="C52" s="990"/>
      <c r="D52" s="990"/>
      <c r="E52" s="990"/>
      <c r="F52" s="1504" t="s">
        <v>740</v>
      </c>
      <c r="G52" s="21"/>
      <c r="H52" s="1032"/>
      <c r="I52" s="21"/>
      <c r="J52" s="21"/>
      <c r="K52" s="21"/>
      <c r="L52" s="21"/>
      <c r="M52" s="21"/>
      <c r="N52" s="21"/>
      <c r="O52" s="21"/>
      <c r="P52" s="21"/>
      <c r="Q52" s="21"/>
    </row>
    <row r="53" spans="2:17" ht="18">
      <c r="B53" s="992"/>
      <c r="C53" s="1508"/>
      <c r="D53" s="1508"/>
      <c r="E53" s="1508"/>
      <c r="F53" s="1504"/>
      <c r="G53" s="21"/>
      <c r="H53" s="1032"/>
      <c r="I53" s="21"/>
      <c r="J53" s="21"/>
      <c r="K53" s="21"/>
      <c r="L53" s="21"/>
      <c r="M53" s="21"/>
      <c r="N53" s="21"/>
      <c r="O53" s="21"/>
      <c r="P53" s="21"/>
      <c r="Q53" s="21"/>
    </row>
    <row r="54" spans="2:17" ht="18">
      <c r="B54" s="992" t="s">
        <v>741</v>
      </c>
      <c r="C54" s="993"/>
      <c r="D54" s="993"/>
      <c r="E54" s="993"/>
      <c r="F54" s="1511" t="s">
        <v>742</v>
      </c>
      <c r="G54" s="23"/>
      <c r="H54" s="1033"/>
      <c r="I54" s="23"/>
      <c r="J54" s="23"/>
      <c r="K54" s="23"/>
      <c r="L54" s="23"/>
      <c r="M54" s="23"/>
      <c r="N54" s="23"/>
      <c r="O54" s="23"/>
      <c r="P54" s="23"/>
      <c r="Q54" s="23"/>
    </row>
    <row r="55" spans="2:17" ht="18">
      <c r="B55" s="992" t="s">
        <v>743</v>
      </c>
      <c r="C55" s="993"/>
      <c r="D55" s="993"/>
      <c r="E55" s="993"/>
      <c r="F55" s="1508" t="s">
        <v>744</v>
      </c>
      <c r="G55" s="21"/>
      <c r="H55" s="1032"/>
      <c r="I55" s="21"/>
      <c r="J55" s="21"/>
      <c r="K55" s="21"/>
      <c r="L55" s="21"/>
      <c r="M55" s="21"/>
      <c r="N55" s="21"/>
      <c r="O55" s="21"/>
      <c r="P55" s="21"/>
      <c r="Q55" s="21"/>
    </row>
    <row r="56" spans="2:17" ht="18">
      <c r="B56" s="992" t="s">
        <v>745</v>
      </c>
      <c r="C56" s="1508"/>
      <c r="D56" s="1508"/>
      <c r="E56" s="1508"/>
      <c r="F56" s="1508"/>
      <c r="G56" s="21"/>
      <c r="H56" s="1032"/>
      <c r="I56" s="21"/>
      <c r="J56" s="21"/>
      <c r="K56" s="21"/>
      <c r="L56" s="21"/>
      <c r="M56" s="21"/>
      <c r="N56" s="21"/>
      <c r="O56" s="21"/>
      <c r="P56" s="21"/>
      <c r="Q56" s="21"/>
    </row>
    <row r="57" spans="2:17" ht="18">
      <c r="B57" s="992"/>
      <c r="C57" s="993"/>
      <c r="D57" s="993"/>
      <c r="E57" s="993"/>
      <c r="F57" s="1508"/>
      <c r="G57" s="21"/>
      <c r="H57" s="1032"/>
      <c r="I57" s="21"/>
      <c r="J57" s="21"/>
      <c r="K57" s="21"/>
      <c r="L57" s="21"/>
      <c r="M57" s="21"/>
      <c r="N57" s="21"/>
      <c r="O57" s="21"/>
      <c r="P57" s="21"/>
      <c r="Q57" s="21"/>
    </row>
    <row r="58" spans="2:17" ht="18">
      <c r="B58" s="992"/>
      <c r="C58" s="993"/>
      <c r="D58" s="993"/>
      <c r="E58" s="993"/>
      <c r="F58" s="1508"/>
      <c r="G58" s="21"/>
      <c r="H58" s="1032"/>
      <c r="I58" s="21"/>
      <c r="J58" s="21"/>
      <c r="K58" s="21"/>
      <c r="L58" s="21"/>
      <c r="M58" s="21"/>
      <c r="N58" s="21"/>
      <c r="O58" s="21"/>
      <c r="P58" s="21"/>
      <c r="Q58" s="21"/>
    </row>
    <row r="59" spans="2:17" ht="18">
      <c r="B59" s="992"/>
      <c r="C59" s="993"/>
      <c r="D59" s="993"/>
      <c r="E59" s="993"/>
      <c r="F59" s="1511" t="s">
        <v>746</v>
      </c>
      <c r="G59" s="23"/>
      <c r="H59" s="1033"/>
      <c r="I59" s="23"/>
      <c r="J59" s="23"/>
      <c r="K59" s="23"/>
      <c r="L59" s="23"/>
      <c r="M59" s="23"/>
      <c r="N59" s="23"/>
      <c r="O59" s="23"/>
      <c r="P59" s="23"/>
      <c r="Q59" s="23"/>
    </row>
    <row r="60" spans="2:17" ht="18">
      <c r="B60" s="992" t="s">
        <v>2628</v>
      </c>
      <c r="C60" s="993"/>
      <c r="D60" s="993"/>
      <c r="E60" s="993"/>
      <c r="F60" s="1508" t="s">
        <v>747</v>
      </c>
      <c r="G60" s="21"/>
      <c r="H60" s="1032"/>
      <c r="I60" s="21"/>
      <c r="J60" s="21"/>
      <c r="K60" s="21"/>
      <c r="L60" s="21"/>
      <c r="M60" s="21"/>
      <c r="N60" s="21"/>
      <c r="O60" s="21"/>
      <c r="P60" s="21"/>
      <c r="Q60" s="21"/>
    </row>
    <row r="61" spans="2:17" ht="18">
      <c r="B61" s="992" t="s">
        <v>748</v>
      </c>
      <c r="C61" s="24"/>
      <c r="D61" s="24"/>
      <c r="E61" s="24"/>
      <c r="F61" s="1504"/>
      <c r="G61" s="21"/>
      <c r="H61" s="1032"/>
      <c r="I61" s="21"/>
      <c r="J61" s="21"/>
      <c r="K61" s="21"/>
      <c r="L61" s="21"/>
      <c r="M61" s="21"/>
      <c r="N61" s="21"/>
      <c r="O61" s="21"/>
      <c r="P61" s="21"/>
      <c r="Q61" s="21"/>
    </row>
    <row r="62" spans="2:17" ht="18">
      <c r="B62" s="992" t="s">
        <v>2630</v>
      </c>
      <c r="C62" s="25"/>
      <c r="D62" s="25"/>
      <c r="E62" s="25"/>
      <c r="F62" s="1504"/>
      <c r="G62" s="21"/>
      <c r="H62" s="1032"/>
      <c r="I62" s="21"/>
      <c r="J62" s="21"/>
      <c r="K62" s="21"/>
      <c r="L62" s="21"/>
      <c r="M62" s="21"/>
      <c r="N62" s="21"/>
      <c r="O62" s="21"/>
      <c r="P62" s="21"/>
      <c r="Q62" s="21"/>
    </row>
    <row r="63" spans="2:17" ht="18">
      <c r="B63" s="997"/>
      <c r="C63" s="25"/>
      <c r="D63" s="25"/>
      <c r="E63" s="25"/>
      <c r="F63" s="2354" t="s">
        <v>749</v>
      </c>
      <c r="G63" s="2354"/>
      <c r="H63" s="2355"/>
      <c r="I63" s="1888"/>
      <c r="J63" s="1888"/>
      <c r="K63" s="1888"/>
      <c r="L63" s="1888"/>
      <c r="M63" s="1888"/>
      <c r="N63" s="1888"/>
      <c r="O63" s="1888"/>
      <c r="P63" s="1888"/>
      <c r="Q63" s="1888"/>
    </row>
    <row r="64" spans="2:17" ht="18">
      <c r="B64" s="996" t="s">
        <v>750</v>
      </c>
      <c r="C64" s="25"/>
      <c r="D64" s="25"/>
      <c r="E64" s="25"/>
      <c r="F64" s="1508" t="s">
        <v>751</v>
      </c>
      <c r="G64" s="21"/>
      <c r="H64" s="1032"/>
      <c r="I64" s="21"/>
      <c r="J64" s="21"/>
      <c r="K64" s="21"/>
      <c r="L64" s="21"/>
      <c r="M64" s="21"/>
      <c r="N64" s="21"/>
      <c r="O64" s="21"/>
      <c r="P64" s="21"/>
      <c r="Q64" s="21"/>
    </row>
    <row r="65" spans="1:20" ht="18">
      <c r="B65" s="996" t="s">
        <v>4724</v>
      </c>
      <c r="C65" s="25"/>
      <c r="D65" s="25"/>
      <c r="E65" s="25"/>
      <c r="F65" s="1508"/>
      <c r="G65" s="21"/>
      <c r="H65" s="1032"/>
      <c r="I65" s="21"/>
      <c r="J65" s="21"/>
      <c r="K65" s="21"/>
      <c r="L65" s="21"/>
      <c r="M65" s="21"/>
      <c r="N65" s="21"/>
      <c r="O65" s="21"/>
      <c r="P65" s="21"/>
      <c r="Q65" s="21"/>
    </row>
    <row r="66" spans="1:20" ht="18">
      <c r="B66" s="996" t="s">
        <v>4763</v>
      </c>
      <c r="C66" s="25"/>
      <c r="D66" s="25"/>
      <c r="E66" s="25"/>
      <c r="F66" s="1508"/>
      <c r="G66" s="21"/>
      <c r="H66" s="1032"/>
      <c r="I66" s="21"/>
      <c r="J66" s="21"/>
      <c r="K66" s="21"/>
      <c r="L66" s="21"/>
      <c r="M66" s="21"/>
      <c r="N66" s="21"/>
      <c r="O66" s="21"/>
      <c r="P66" s="21"/>
      <c r="Q66" s="21"/>
    </row>
    <row r="67" spans="1:20" ht="18">
      <c r="B67" s="992"/>
      <c r="C67" s="25"/>
      <c r="D67" s="25"/>
      <c r="E67" s="25"/>
      <c r="F67" s="1508"/>
      <c r="G67" s="21"/>
      <c r="H67" s="1032"/>
      <c r="I67" s="21"/>
      <c r="J67" s="21"/>
      <c r="K67" s="21"/>
      <c r="L67" s="21"/>
      <c r="M67" s="21"/>
      <c r="N67" s="21"/>
      <c r="O67" s="21"/>
      <c r="P67" s="21"/>
      <c r="Q67" s="21"/>
    </row>
    <row r="68" spans="1:20" ht="18">
      <c r="B68" s="992"/>
      <c r="C68" s="25"/>
      <c r="D68" s="25"/>
      <c r="E68" s="25"/>
      <c r="F68" s="1511" t="s">
        <v>752</v>
      </c>
      <c r="G68" s="23"/>
      <c r="H68" s="1033"/>
      <c r="I68" s="23"/>
      <c r="J68" s="23"/>
      <c r="K68" s="23"/>
      <c r="L68" s="23"/>
      <c r="M68" s="23"/>
      <c r="N68" s="23"/>
      <c r="O68" s="23"/>
      <c r="P68" s="23"/>
      <c r="Q68" s="23"/>
    </row>
    <row r="69" spans="1:20" ht="18">
      <c r="B69" s="992"/>
      <c r="C69" s="25"/>
      <c r="D69" s="25"/>
      <c r="E69" s="25"/>
      <c r="F69" s="1508" t="s">
        <v>753</v>
      </c>
      <c r="G69" s="21"/>
      <c r="H69" s="1032"/>
      <c r="I69" s="21"/>
      <c r="J69" s="21"/>
      <c r="K69" s="21"/>
      <c r="L69" s="21"/>
      <c r="M69" s="21"/>
      <c r="N69" s="21"/>
      <c r="O69" s="21"/>
      <c r="P69" s="21"/>
      <c r="Q69" s="21"/>
    </row>
    <row r="70" spans="1:20" ht="18">
      <c r="B70" s="992"/>
      <c r="C70" s="25"/>
      <c r="D70" s="25"/>
      <c r="E70" s="25"/>
      <c r="F70" s="1508"/>
      <c r="G70" s="21"/>
      <c r="H70" s="1032"/>
      <c r="I70" s="21"/>
      <c r="J70" s="21"/>
      <c r="K70" s="21"/>
      <c r="L70" s="21"/>
      <c r="M70" s="21"/>
      <c r="N70" s="21"/>
      <c r="O70" s="21"/>
      <c r="P70" s="21"/>
      <c r="Q70" s="21"/>
    </row>
    <row r="71" spans="1:20" ht="18">
      <c r="B71" s="992"/>
      <c r="C71" s="25"/>
      <c r="D71" s="25"/>
      <c r="E71" s="25"/>
      <c r="F71" s="1508"/>
      <c r="G71" s="21"/>
      <c r="H71" s="1032"/>
      <c r="I71" s="21"/>
      <c r="J71" s="21"/>
      <c r="K71" s="21"/>
      <c r="L71" s="21"/>
      <c r="M71" s="21"/>
      <c r="N71" s="21"/>
      <c r="O71" s="21"/>
      <c r="P71" s="21"/>
      <c r="Q71" s="21"/>
    </row>
    <row r="72" spans="1:20" ht="18">
      <c r="B72" s="992"/>
      <c r="C72" s="25"/>
      <c r="D72" s="25"/>
      <c r="E72" s="25"/>
      <c r="F72" s="1508"/>
      <c r="G72" s="21"/>
      <c r="H72" s="1032"/>
      <c r="I72" s="21"/>
      <c r="J72" s="21"/>
      <c r="K72" s="21"/>
      <c r="L72" s="21"/>
      <c r="M72" s="21"/>
      <c r="N72" s="21"/>
      <c r="O72" s="21"/>
      <c r="P72" s="21"/>
      <c r="Q72" s="21"/>
    </row>
    <row r="73" spans="1:20" ht="18">
      <c r="B73" s="992"/>
      <c r="C73" s="25"/>
      <c r="D73" s="25"/>
      <c r="E73" s="25"/>
      <c r="F73" s="993" t="s">
        <v>754</v>
      </c>
      <c r="G73" s="26"/>
      <c r="H73" s="1034"/>
      <c r="I73" s="26"/>
      <c r="J73" s="26"/>
      <c r="K73" s="26"/>
      <c r="L73" s="26"/>
      <c r="M73" s="26"/>
      <c r="N73" s="26"/>
      <c r="O73" s="26"/>
      <c r="P73" s="26"/>
      <c r="Q73" s="26"/>
    </row>
    <row r="74" spans="1:20" ht="18">
      <c r="B74" s="992"/>
      <c r="C74" s="25"/>
      <c r="D74" s="25"/>
      <c r="E74" s="25"/>
      <c r="F74" s="1512" t="s">
        <v>750</v>
      </c>
      <c r="G74" s="27"/>
      <c r="H74" s="1035"/>
      <c r="I74" s="27"/>
      <c r="J74" s="27"/>
      <c r="K74" s="27"/>
      <c r="L74" s="27"/>
      <c r="M74" s="27"/>
      <c r="N74" s="27"/>
      <c r="O74" s="27"/>
      <c r="P74" s="27"/>
      <c r="Q74" s="27"/>
    </row>
    <row r="75" spans="1:20" ht="18.600000000000001" thickBot="1">
      <c r="B75" s="1063"/>
      <c r="C75" s="25"/>
      <c r="D75" s="25"/>
      <c r="E75" s="25"/>
      <c r="F75" s="1504" t="s">
        <v>4724</v>
      </c>
      <c r="G75" s="21"/>
      <c r="H75" s="1032"/>
      <c r="I75" s="21"/>
      <c r="J75" s="21"/>
      <c r="K75" s="21"/>
      <c r="L75" s="21"/>
      <c r="M75" s="21"/>
      <c r="N75" s="21"/>
      <c r="O75" s="21"/>
      <c r="P75" s="21"/>
      <c r="Q75" s="21"/>
    </row>
    <row r="76" spans="1:20" ht="18">
      <c r="A76" s="2222"/>
      <c r="B76" s="2356" t="s">
        <v>702</v>
      </c>
      <c r="C76" s="2357"/>
      <c r="D76" s="2357"/>
      <c r="E76" s="2357"/>
      <c r="F76" s="2357"/>
      <c r="G76" s="2357"/>
      <c r="H76" s="2358"/>
      <c r="I76" s="2000"/>
      <c r="J76" s="2000"/>
      <c r="K76" s="2000"/>
      <c r="L76" s="2000"/>
      <c r="M76" s="2000"/>
      <c r="N76" s="2000"/>
      <c r="O76" s="2000"/>
      <c r="P76" s="2000"/>
      <c r="Q76" s="2000"/>
    </row>
    <row r="77" spans="1:20" ht="18">
      <c r="A77" s="824"/>
      <c r="B77" s="2372" t="s">
        <v>3054</v>
      </c>
      <c r="C77" s="2373"/>
      <c r="D77" s="2373"/>
      <c r="E77" s="2373"/>
      <c r="F77" s="2373"/>
      <c r="G77" s="2373"/>
      <c r="H77" s="2374"/>
      <c r="I77" s="1889"/>
      <c r="J77" s="1889"/>
      <c r="K77" s="1889"/>
      <c r="L77" s="1889"/>
      <c r="M77" s="1889"/>
      <c r="N77" s="1889"/>
      <c r="O77" s="1889"/>
      <c r="P77" s="1889"/>
      <c r="Q77" s="1889"/>
    </row>
    <row r="78" spans="1:20" ht="18">
      <c r="A78" s="824"/>
      <c r="B78" s="1002" t="s">
        <v>463</v>
      </c>
      <c r="C78" s="1003"/>
      <c r="D78" s="1003"/>
      <c r="E78" s="1037"/>
      <c r="F78" s="2351" t="s">
        <v>755</v>
      </c>
      <c r="G78" s="1004" t="str">
        <f>+G6</f>
        <v xml:space="preserve">As At </v>
      </c>
      <c r="H78" s="1005" t="str">
        <f>+H6</f>
        <v xml:space="preserve">As At </v>
      </c>
      <c r="I78" s="1996"/>
      <c r="J78" s="1996"/>
      <c r="K78" s="1996"/>
      <c r="L78" s="1996"/>
      <c r="M78" s="1996"/>
      <c r="N78" s="1996"/>
      <c r="O78" s="1996"/>
      <c r="P78" s="1996"/>
      <c r="Q78" s="1996"/>
    </row>
    <row r="79" spans="1:20" ht="18">
      <c r="A79" s="824"/>
      <c r="B79" s="1006" t="s">
        <v>757</v>
      </c>
      <c r="C79" s="5"/>
      <c r="D79" s="5"/>
      <c r="E79" s="29"/>
      <c r="F79" s="2352"/>
      <c r="G79" s="30" t="str">
        <f>+G7</f>
        <v>March 31, 2024 (₹)</v>
      </c>
      <c r="H79" s="1038" t="str">
        <f>+H7</f>
        <v>March 31, 2023 (₹)</v>
      </c>
      <c r="I79" s="1996"/>
      <c r="J79" s="1996"/>
      <c r="K79" s="1996"/>
      <c r="L79" s="1996"/>
      <c r="M79" s="1996"/>
      <c r="N79" s="1996"/>
      <c r="O79" s="1996"/>
      <c r="P79" s="1996"/>
      <c r="Q79" s="1996"/>
    </row>
    <row r="80" spans="1:20" ht="18">
      <c r="A80" s="824"/>
      <c r="B80" s="1014" t="s">
        <v>758</v>
      </c>
      <c r="C80" s="1508"/>
      <c r="D80" s="1508"/>
      <c r="E80" s="1508"/>
      <c r="F80" s="1039">
        <v>20</v>
      </c>
      <c r="G80" s="2173">
        <f>+G490</f>
        <v>589182206.39999998</v>
      </c>
      <c r="H80" s="2174">
        <f>+H490</f>
        <v>1052317702.4200001</v>
      </c>
      <c r="I80" s="1874"/>
      <c r="J80" s="1874"/>
      <c r="K80" s="1874"/>
      <c r="L80" s="1874"/>
      <c r="M80" s="1874"/>
      <c r="N80" s="1874"/>
      <c r="O80" s="1874"/>
      <c r="P80" s="1874"/>
      <c r="Q80" s="1874"/>
      <c r="S80">
        <f>579958106.4+9444000</f>
        <v>589402106.39999998</v>
      </c>
      <c r="T80" s="1">
        <f>+G80-S80</f>
        <v>-219900</v>
      </c>
    </row>
    <row r="81" spans="1:18" ht="18">
      <c r="A81" s="824"/>
      <c r="B81" s="1014" t="s">
        <v>759</v>
      </c>
      <c r="C81" s="1508"/>
      <c r="D81" s="1508"/>
      <c r="E81" s="1508"/>
      <c r="F81" s="317">
        <v>21</v>
      </c>
      <c r="G81" s="2049">
        <f>+G495</f>
        <v>901779</v>
      </c>
      <c r="H81" s="2057">
        <f>+H495</f>
        <v>1091313.059849001</v>
      </c>
      <c r="I81" s="1874"/>
      <c r="J81" s="1874"/>
      <c r="K81" s="1874"/>
      <c r="L81" s="1874"/>
      <c r="M81" s="1874"/>
      <c r="N81" s="1874"/>
      <c r="O81" s="1874"/>
      <c r="P81" s="1874"/>
      <c r="Q81" s="1874"/>
    </row>
    <row r="82" spans="1:18" ht="18">
      <c r="A82" s="824"/>
      <c r="B82" s="1021" t="s">
        <v>760</v>
      </c>
      <c r="C82" s="1508"/>
      <c r="D82" s="1508"/>
      <c r="E82" s="1508"/>
      <c r="F82" s="316"/>
      <c r="G82" s="2162">
        <f>+G80+G81</f>
        <v>590083985.39999998</v>
      </c>
      <c r="H82" s="2163">
        <f>+H80+H81</f>
        <v>1053409015.4798491</v>
      </c>
      <c r="I82" s="1757"/>
      <c r="J82" s="1757"/>
      <c r="K82" s="1757"/>
      <c r="L82" s="1757"/>
      <c r="M82" s="1757"/>
      <c r="N82" s="1757"/>
      <c r="O82" s="1757"/>
      <c r="P82" s="1757"/>
      <c r="Q82" s="1757"/>
    </row>
    <row r="83" spans="1:18" ht="18">
      <c r="A83" s="824"/>
      <c r="B83" s="1042" t="s">
        <v>761</v>
      </c>
      <c r="C83" s="1508"/>
      <c r="D83" s="1508"/>
      <c r="E83" s="1508"/>
      <c r="F83" s="316"/>
      <c r="G83" s="2060"/>
      <c r="H83" s="2057"/>
      <c r="I83" s="20"/>
      <c r="J83" s="20"/>
      <c r="K83" s="20"/>
      <c r="L83" s="20"/>
      <c r="M83" s="20"/>
      <c r="N83" s="20"/>
      <c r="O83" s="20"/>
      <c r="P83" s="20"/>
      <c r="Q83" s="20"/>
    </row>
    <row r="84" spans="1:18" ht="18">
      <c r="A84" s="824"/>
      <c r="B84" s="1014" t="s">
        <v>762</v>
      </c>
      <c r="C84" s="1508"/>
      <c r="D84" s="1508"/>
      <c r="E84" s="1508"/>
      <c r="F84" s="317">
        <v>22</v>
      </c>
      <c r="G84" s="2159">
        <f>+G501</f>
        <v>413929787.49000001</v>
      </c>
      <c r="H84" s="2160">
        <f>+H501</f>
        <v>815123705.5</v>
      </c>
      <c r="I84" s="1874"/>
      <c r="J84" s="1874"/>
      <c r="K84" s="1874"/>
      <c r="L84" s="1874"/>
      <c r="M84" s="1874"/>
      <c r="N84" s="1874"/>
      <c r="O84" s="1874"/>
      <c r="P84" s="1874"/>
      <c r="Q84" s="1874"/>
      <c r="R84" s="911">
        <f>+G84-[72]BSPL!$E$81</f>
        <v>-401491485.17636156</v>
      </c>
    </row>
    <row r="85" spans="1:18" ht="18">
      <c r="A85" s="824"/>
      <c r="B85" s="1014" t="s">
        <v>763</v>
      </c>
      <c r="C85" s="1508"/>
      <c r="D85" s="1508"/>
      <c r="E85" s="1508"/>
      <c r="F85" s="317"/>
      <c r="G85" s="1848">
        <v>0</v>
      </c>
      <c r="H85" s="1047">
        <v>0</v>
      </c>
      <c r="I85" s="1874"/>
      <c r="J85" s="1874"/>
      <c r="K85" s="1874"/>
      <c r="L85" s="1874"/>
      <c r="M85" s="1874"/>
      <c r="N85" s="1874"/>
      <c r="O85" s="1874"/>
      <c r="P85" s="1874"/>
      <c r="Q85" s="1874"/>
    </row>
    <row r="86" spans="1:18" ht="18">
      <c r="A86" s="824"/>
      <c r="B86" s="1043" t="s">
        <v>764</v>
      </c>
      <c r="C86" s="1508"/>
      <c r="D86" s="1508"/>
      <c r="E86" s="1508"/>
      <c r="F86" s="317">
        <v>23</v>
      </c>
      <c r="G86" s="2049">
        <f>+G505</f>
        <v>12356119.266733212</v>
      </c>
      <c r="H86" s="2057">
        <f>+H505</f>
        <v>623065</v>
      </c>
      <c r="I86" s="1874"/>
      <c r="J86" s="1874"/>
      <c r="K86" s="1874"/>
      <c r="L86" s="1874"/>
      <c r="M86" s="1874"/>
      <c r="N86" s="1874"/>
      <c r="O86" s="1874"/>
      <c r="P86" s="1874"/>
      <c r="Q86" s="1874"/>
    </row>
    <row r="87" spans="1:18" ht="18">
      <c r="A87" s="824"/>
      <c r="B87" s="1014" t="s">
        <v>765</v>
      </c>
      <c r="C87" s="1508"/>
      <c r="D87" s="1508"/>
      <c r="E87" s="1508"/>
      <c r="F87" s="317">
        <v>24</v>
      </c>
      <c r="G87" s="2049">
        <f>+G510</f>
        <v>20598065</v>
      </c>
      <c r="H87" s="2057">
        <f>+H510</f>
        <v>18473732</v>
      </c>
      <c r="I87" s="1874"/>
      <c r="J87" s="1874"/>
      <c r="K87" s="1874"/>
      <c r="L87" s="1874"/>
      <c r="M87" s="1874"/>
      <c r="N87" s="1874"/>
      <c r="O87" s="1874"/>
      <c r="P87" s="1874"/>
      <c r="Q87" s="1874"/>
    </row>
    <row r="88" spans="1:18" ht="18">
      <c r="A88" s="824"/>
      <c r="B88" s="1014" t="s">
        <v>766</v>
      </c>
      <c r="C88" s="1508"/>
      <c r="D88" s="1508"/>
      <c r="E88" s="14"/>
      <c r="F88" s="317">
        <v>25</v>
      </c>
      <c r="G88" s="2049">
        <f>+G514</f>
        <v>15644945</v>
      </c>
      <c r="H88" s="2057">
        <f>+H514</f>
        <v>8587641</v>
      </c>
      <c r="I88" s="1874"/>
      <c r="J88" s="1874"/>
      <c r="K88" s="1874"/>
      <c r="L88" s="1874"/>
      <c r="M88" s="1874"/>
      <c r="N88" s="1874"/>
      <c r="O88" s="1874"/>
      <c r="P88" s="1874"/>
      <c r="Q88" s="1874"/>
      <c r="R88" s="633">
        <f>+G88-[72]BSPL!$E$85</f>
        <v>6935130</v>
      </c>
    </row>
    <row r="89" spans="1:18" ht="18">
      <c r="A89" s="824"/>
      <c r="B89" s="2265" t="s">
        <v>767</v>
      </c>
      <c r="C89" s="2266"/>
      <c r="D89" s="1518"/>
      <c r="E89" s="318"/>
      <c r="F89" s="317">
        <v>2</v>
      </c>
      <c r="G89" s="2049">
        <f>+SUM(Depreciation!B19:I19)</f>
        <v>19583896</v>
      </c>
      <c r="H89" s="2057">
        <f>+SUM(Depreciation!B16:I16)</f>
        <v>18081667.364197128</v>
      </c>
      <c r="I89" s="1874"/>
      <c r="J89" s="1874"/>
      <c r="K89" s="1874"/>
      <c r="L89" s="1874"/>
      <c r="M89" s="1874"/>
      <c r="N89" s="1874"/>
      <c r="O89" s="1874"/>
      <c r="P89" s="1874"/>
      <c r="Q89" s="1874"/>
    </row>
    <row r="90" spans="1:18" ht="18">
      <c r="A90" s="824"/>
      <c r="B90" s="1014" t="s">
        <v>768</v>
      </c>
      <c r="C90" s="1508"/>
      <c r="D90" s="1508"/>
      <c r="E90" s="14"/>
      <c r="F90" s="317">
        <v>26</v>
      </c>
      <c r="G90" s="2049">
        <f>+G570</f>
        <v>176691419.37</v>
      </c>
      <c r="H90" s="2057">
        <f>+H570</f>
        <v>242294252.75999999</v>
      </c>
      <c r="I90" s="1874"/>
      <c r="J90" s="1874"/>
      <c r="K90" s="1874"/>
      <c r="L90" s="1874"/>
      <c r="M90" s="1874"/>
      <c r="N90" s="1874"/>
      <c r="O90" s="1874"/>
      <c r="P90" s="1874"/>
      <c r="Q90" s="1874"/>
    </row>
    <row r="91" spans="1:18" ht="18">
      <c r="A91" s="824"/>
      <c r="B91" s="1021" t="s">
        <v>769</v>
      </c>
      <c r="C91" s="1508"/>
      <c r="D91" s="1508"/>
      <c r="E91" s="14"/>
      <c r="F91" s="316"/>
      <c r="G91" s="2162">
        <f>+SUM(G84:G90)</f>
        <v>658804232.1267333</v>
      </c>
      <c r="H91" s="2163">
        <f>+SUM(H84:H90)</f>
        <v>1103184063.624197</v>
      </c>
      <c r="I91" s="1757"/>
      <c r="J91" s="1757"/>
      <c r="K91" s="1757"/>
      <c r="L91" s="1757"/>
      <c r="M91" s="1757"/>
      <c r="N91" s="1757"/>
      <c r="O91" s="1757"/>
      <c r="P91" s="1757"/>
      <c r="Q91" s="1757"/>
    </row>
    <row r="92" spans="1:18" ht="18">
      <c r="A92" s="824"/>
      <c r="B92" s="1023" t="s">
        <v>770</v>
      </c>
      <c r="C92" s="1524"/>
      <c r="D92" s="1524"/>
      <c r="E92" s="319"/>
      <c r="F92" s="316"/>
      <c r="G92" s="2061">
        <f>+G82-G91</f>
        <v>-68720246.726733327</v>
      </c>
      <c r="H92" s="2062">
        <f>+H82-H91</f>
        <v>-49775048.144347906</v>
      </c>
      <c r="I92" s="1757"/>
      <c r="J92" s="1757"/>
      <c r="K92" s="1757"/>
      <c r="L92" s="1757"/>
      <c r="M92" s="1757"/>
      <c r="N92" s="1757"/>
      <c r="O92" s="1757"/>
      <c r="P92" s="1757"/>
      <c r="Q92" s="1757"/>
    </row>
    <row r="93" spans="1:18" ht="18">
      <c r="A93" s="824"/>
      <c r="B93" s="2265" t="s">
        <v>771</v>
      </c>
      <c r="C93" s="2266"/>
      <c r="D93" s="1518"/>
      <c r="E93" s="318"/>
      <c r="F93" s="316"/>
      <c r="G93" s="42">
        <v>0</v>
      </c>
      <c r="H93" s="1047">
        <v>0</v>
      </c>
      <c r="I93" s="20"/>
      <c r="J93" s="20"/>
      <c r="K93" s="20"/>
      <c r="L93" s="20"/>
      <c r="M93" s="20"/>
      <c r="N93" s="20"/>
      <c r="O93" s="20"/>
      <c r="P93" s="20"/>
      <c r="Q93" s="20"/>
    </row>
    <row r="94" spans="1:18" ht="18">
      <c r="A94" s="824"/>
      <c r="B94" s="1016"/>
      <c r="C94" s="1518"/>
      <c r="D94" s="1518"/>
      <c r="E94" s="1518"/>
      <c r="F94" s="316"/>
      <c r="G94" s="2060"/>
      <c r="H94" s="2057"/>
      <c r="I94" s="20"/>
      <c r="J94" s="20"/>
      <c r="K94" s="20"/>
      <c r="L94" s="20"/>
      <c r="M94" s="20"/>
      <c r="N94" s="20"/>
      <c r="O94" s="20"/>
      <c r="P94" s="20"/>
      <c r="Q94" s="20"/>
    </row>
    <row r="95" spans="1:18" ht="18">
      <c r="A95" s="824"/>
      <c r="B95" s="1021" t="s">
        <v>772</v>
      </c>
      <c r="C95" s="1508"/>
      <c r="D95" s="1508"/>
      <c r="E95" s="1508"/>
      <c r="F95" s="35"/>
      <c r="G95" s="2061">
        <f>+G92-G93</f>
        <v>-68720246.726733327</v>
      </c>
      <c r="H95" s="2062">
        <f>+H92-H93</f>
        <v>-49775048.144347906</v>
      </c>
      <c r="I95" s="1757"/>
      <c r="J95" s="1757"/>
      <c r="K95" s="1757"/>
      <c r="L95" s="1757"/>
      <c r="M95" s="1757"/>
      <c r="N95" s="1757"/>
      <c r="O95" s="1757"/>
      <c r="P95" s="1757"/>
      <c r="Q95" s="1757"/>
      <c r="R95" s="633">
        <f>+G95+G89</f>
        <v>-49136350.726733327</v>
      </c>
    </row>
    <row r="96" spans="1:18" ht="18">
      <c r="A96" s="824"/>
      <c r="B96" s="1014" t="s">
        <v>773</v>
      </c>
      <c r="C96" s="1508"/>
      <c r="D96" s="1508"/>
      <c r="E96" s="1508"/>
      <c r="F96" s="35"/>
      <c r="G96" s="2060"/>
      <c r="H96" s="2057"/>
      <c r="I96" s="20"/>
      <c r="J96" s="20"/>
      <c r="K96" s="20"/>
      <c r="L96" s="20"/>
      <c r="M96" s="20"/>
      <c r="N96" s="20"/>
      <c r="O96" s="20"/>
      <c r="P96" s="20"/>
      <c r="Q96" s="20"/>
    </row>
    <row r="97" spans="1:18" ht="18">
      <c r="A97" s="824"/>
      <c r="B97" s="1014" t="s">
        <v>774</v>
      </c>
      <c r="C97" s="1508"/>
      <c r="D97" s="1508"/>
      <c r="E97" s="1508"/>
      <c r="F97" s="317"/>
      <c r="G97" s="42">
        <v>0</v>
      </c>
      <c r="H97" s="1047">
        <v>0</v>
      </c>
      <c r="I97" s="1997"/>
      <c r="J97" s="1997"/>
      <c r="K97" s="1997"/>
      <c r="L97" s="1997"/>
      <c r="M97" s="1997"/>
      <c r="N97" s="1997"/>
      <c r="O97" s="1997"/>
      <c r="P97" s="1997"/>
      <c r="Q97" s="1997"/>
    </row>
    <row r="98" spans="1:18" ht="18">
      <c r="A98" s="824"/>
      <c r="B98" s="1014" t="s">
        <v>775</v>
      </c>
      <c r="C98" s="1508"/>
      <c r="D98" s="1508"/>
      <c r="E98" s="1508"/>
      <c r="F98" s="317"/>
      <c r="G98" s="42">
        <v>0</v>
      </c>
      <c r="H98" s="1047">
        <v>0</v>
      </c>
      <c r="I98" s="1997"/>
      <c r="J98" s="1997"/>
      <c r="K98" s="1997"/>
      <c r="L98" s="1997"/>
      <c r="M98" s="1997"/>
      <c r="N98" s="1997"/>
      <c r="O98" s="1997"/>
      <c r="P98" s="1997"/>
      <c r="Q98" s="1997"/>
    </row>
    <row r="99" spans="1:18" ht="18">
      <c r="A99" s="824"/>
      <c r="B99" s="1014" t="s">
        <v>2756</v>
      </c>
      <c r="C99" s="1508"/>
      <c r="D99" s="1508"/>
      <c r="E99" s="1508"/>
      <c r="F99" s="317"/>
      <c r="G99" s="42">
        <v>0</v>
      </c>
      <c r="H99" s="1047">
        <v>0</v>
      </c>
      <c r="I99" s="1874"/>
      <c r="J99" s="1874"/>
      <c r="K99" s="1874"/>
      <c r="L99" s="1874"/>
      <c r="M99" s="1874"/>
      <c r="N99" s="1874"/>
      <c r="O99" s="1874"/>
      <c r="P99" s="1874"/>
      <c r="Q99" s="1874"/>
    </row>
    <row r="100" spans="1:18" ht="18">
      <c r="A100" s="824"/>
      <c r="B100" s="1014" t="s">
        <v>776</v>
      </c>
      <c r="C100" s="1508"/>
      <c r="D100" s="1508"/>
      <c r="E100" s="1508"/>
      <c r="F100" s="317"/>
      <c r="G100" s="2060">
        <f>+DT!I35</f>
        <v>-17608870.467050835</v>
      </c>
      <c r="H100" s="2057">
        <v>-12045372.031225201</v>
      </c>
      <c r="I100" s="1874"/>
      <c r="J100" s="1874"/>
      <c r="K100" s="1874"/>
      <c r="L100" s="1874"/>
      <c r="M100" s="1874"/>
      <c r="N100" s="1874"/>
      <c r="O100" s="1874"/>
      <c r="P100" s="1874"/>
      <c r="Q100" s="1874"/>
      <c r="R100" s="911">
        <f>+G100-[72]BSPL!$E$97</f>
        <v>-5735912.0281683374</v>
      </c>
    </row>
    <row r="101" spans="1:18" ht="18">
      <c r="A101" s="824"/>
      <c r="B101" s="1014"/>
      <c r="C101" s="1508"/>
      <c r="D101" s="1508"/>
      <c r="E101" s="1508"/>
      <c r="F101" s="317"/>
      <c r="G101" s="2063">
        <f>+SUM(G97:G100)</f>
        <v>-17608870.467050835</v>
      </c>
      <c r="H101" s="2055">
        <f>+SUM(H97:H100)</f>
        <v>-12045372.031225201</v>
      </c>
      <c r="I101" s="1998"/>
      <c r="J101" s="1998"/>
      <c r="K101" s="1998"/>
      <c r="L101" s="1998"/>
      <c r="M101" s="1998"/>
      <c r="N101" s="1998"/>
      <c r="O101" s="1998"/>
      <c r="P101" s="1998"/>
      <c r="Q101" s="1998"/>
    </row>
    <row r="102" spans="1:18" ht="18.600000000000001" thickBot="1">
      <c r="A102" s="824"/>
      <c r="B102" s="1021" t="s">
        <v>777</v>
      </c>
      <c r="C102" s="1508"/>
      <c r="D102" s="1508"/>
      <c r="E102" s="1508"/>
      <c r="F102" s="316"/>
      <c r="G102" s="2064">
        <f>+G95-G101</f>
        <v>-51111376.259682491</v>
      </c>
      <c r="H102" s="2065">
        <f>+H95-H101</f>
        <v>-37729676.113122702</v>
      </c>
      <c r="I102" s="1757"/>
      <c r="J102" s="1757"/>
      <c r="K102" s="1757"/>
      <c r="L102" s="1757"/>
      <c r="M102" s="1757"/>
      <c r="N102" s="1757"/>
      <c r="O102" s="1757"/>
      <c r="P102" s="1757"/>
      <c r="Q102" s="1757"/>
    </row>
    <row r="103" spans="1:18" ht="18.600000000000001" thickTop="1">
      <c r="A103" s="824"/>
      <c r="B103" s="2375"/>
      <c r="C103" s="2376"/>
      <c r="D103" s="1525"/>
      <c r="E103" s="14"/>
      <c r="F103" s="316"/>
      <c r="G103" s="2060"/>
      <c r="H103" s="2057"/>
      <c r="I103" s="20"/>
      <c r="J103" s="20"/>
      <c r="K103" s="20"/>
      <c r="L103" s="20"/>
      <c r="M103" s="20"/>
      <c r="N103" s="20"/>
      <c r="O103" s="20"/>
      <c r="P103" s="20"/>
      <c r="Q103" s="20"/>
    </row>
    <row r="104" spans="1:18" ht="18">
      <c r="A104" s="824"/>
      <c r="B104" s="2375" t="s">
        <v>278</v>
      </c>
      <c r="C104" s="2376"/>
      <c r="D104" s="1525"/>
      <c r="E104" s="14"/>
      <c r="F104" s="317">
        <v>27</v>
      </c>
      <c r="G104" s="2066"/>
      <c r="H104" s="2056"/>
      <c r="I104" s="103"/>
      <c r="J104" s="103"/>
      <c r="K104" s="103"/>
      <c r="L104" s="103"/>
      <c r="M104" s="103"/>
      <c r="N104" s="103"/>
      <c r="O104" s="103"/>
      <c r="P104" s="103"/>
      <c r="Q104" s="103"/>
    </row>
    <row r="105" spans="1:18" ht="18">
      <c r="A105" s="824"/>
      <c r="B105" s="1043" t="s">
        <v>778</v>
      </c>
      <c r="C105" s="1526"/>
      <c r="D105" s="1526"/>
      <c r="E105" s="14"/>
      <c r="F105" s="315"/>
      <c r="G105" s="2049">
        <f>+G583</f>
        <v>1451163</v>
      </c>
      <c r="H105" s="2057">
        <f>+H583</f>
        <v>453421</v>
      </c>
      <c r="I105" s="20"/>
      <c r="J105" s="20"/>
      <c r="K105" s="20"/>
      <c r="L105" s="20"/>
      <c r="M105" s="20"/>
      <c r="N105" s="20"/>
      <c r="O105" s="20"/>
      <c r="P105" s="20"/>
      <c r="Q105" s="20"/>
    </row>
    <row r="106" spans="1:18" ht="18">
      <c r="A106" s="824"/>
      <c r="B106" s="1043" t="s">
        <v>779</v>
      </c>
      <c r="C106" s="1526"/>
      <c r="D106" s="1526"/>
      <c r="E106" s="14"/>
      <c r="F106" s="315"/>
      <c r="G106" s="1848">
        <v>0</v>
      </c>
      <c r="H106" s="1047">
        <v>0</v>
      </c>
      <c r="I106" s="20"/>
      <c r="J106" s="20"/>
      <c r="K106" s="20"/>
      <c r="L106" s="20"/>
      <c r="M106" s="20"/>
      <c r="N106" s="20"/>
      <c r="O106" s="20"/>
      <c r="P106" s="20"/>
      <c r="Q106" s="20"/>
    </row>
    <row r="107" spans="1:18" ht="18">
      <c r="A107" s="824"/>
      <c r="B107" s="1043" t="s">
        <v>780</v>
      </c>
      <c r="C107" s="1526"/>
      <c r="D107" s="1526"/>
      <c r="E107" s="14"/>
      <c r="F107" s="315"/>
      <c r="G107" s="1848">
        <v>0</v>
      </c>
      <c r="H107" s="1047">
        <v>0</v>
      </c>
      <c r="I107" s="20"/>
      <c r="J107" s="20"/>
      <c r="K107" s="20"/>
      <c r="L107" s="20"/>
      <c r="M107" s="20"/>
      <c r="N107" s="20"/>
      <c r="O107" s="20"/>
      <c r="P107" s="20"/>
      <c r="Q107" s="20"/>
    </row>
    <row r="108" spans="1:18" ht="18">
      <c r="A108" s="824"/>
      <c r="B108" s="1043" t="s">
        <v>779</v>
      </c>
      <c r="C108" s="1527"/>
      <c r="D108" s="1527"/>
      <c r="E108" s="14"/>
      <c r="F108" s="315"/>
      <c r="G108" s="1856">
        <v>0</v>
      </c>
      <c r="H108" s="2070">
        <v>0</v>
      </c>
      <c r="I108" s="20"/>
      <c r="J108" s="20"/>
      <c r="K108" s="20"/>
      <c r="L108" s="20"/>
      <c r="M108" s="20"/>
      <c r="N108" s="20"/>
      <c r="O108" s="20"/>
      <c r="P108" s="20"/>
      <c r="Q108" s="20"/>
    </row>
    <row r="109" spans="1:18" ht="18">
      <c r="A109" s="824"/>
      <c r="B109" s="1008" t="s">
        <v>781</v>
      </c>
      <c r="C109" s="1528"/>
      <c r="D109" s="1528"/>
      <c r="E109" s="14"/>
      <c r="F109" s="315"/>
      <c r="G109" s="2067">
        <f>+SUM(G105:G108)</f>
        <v>1451163</v>
      </c>
      <c r="H109" s="2068">
        <f>+SUM(H105:H108)</f>
        <v>453421</v>
      </c>
      <c r="I109" s="20"/>
      <c r="J109" s="20"/>
      <c r="K109" s="20"/>
      <c r="L109" s="20"/>
      <c r="M109" s="20"/>
      <c r="N109" s="20"/>
      <c r="O109" s="20"/>
      <c r="P109" s="20"/>
      <c r="Q109" s="20"/>
    </row>
    <row r="110" spans="1:18" ht="18">
      <c r="A110" s="824"/>
      <c r="B110" s="2364"/>
      <c r="C110" s="2365"/>
      <c r="D110" s="2365"/>
      <c r="E110" s="2366"/>
      <c r="F110" s="316"/>
      <c r="G110" s="2060"/>
      <c r="H110" s="2057"/>
      <c r="I110" s="20"/>
      <c r="J110" s="20"/>
      <c r="K110" s="20"/>
      <c r="L110" s="20"/>
      <c r="M110" s="20"/>
      <c r="N110" s="20"/>
      <c r="O110" s="20"/>
      <c r="P110" s="20"/>
      <c r="Q110" s="20"/>
    </row>
    <row r="111" spans="1:18" ht="18">
      <c r="A111" s="824"/>
      <c r="B111" s="1008"/>
      <c r="C111" s="1528"/>
      <c r="D111" s="1528"/>
      <c r="E111" s="14"/>
      <c r="F111" s="316"/>
      <c r="G111" s="2060"/>
      <c r="H111" s="2057"/>
      <c r="I111" s="20"/>
      <c r="J111" s="20"/>
      <c r="K111" s="20"/>
      <c r="L111" s="20"/>
      <c r="M111" s="20"/>
      <c r="N111" s="20"/>
      <c r="O111" s="20"/>
      <c r="P111" s="20"/>
      <c r="Q111" s="20"/>
    </row>
    <row r="112" spans="1:18" ht="18.600000000000001" thickBot="1">
      <c r="A112" s="824"/>
      <c r="B112" s="2364" t="s">
        <v>782</v>
      </c>
      <c r="C112" s="2365"/>
      <c r="D112" s="1529"/>
      <c r="E112" s="14"/>
      <c r="F112" s="316"/>
      <c r="G112" s="2069">
        <f>+G102+G109</f>
        <v>-49660213.259682491</v>
      </c>
      <c r="H112" s="2065">
        <f>+H102+H109</f>
        <v>-37276255.113122702</v>
      </c>
      <c r="I112" s="1757"/>
      <c r="J112" s="1757"/>
      <c r="K112" s="1757"/>
      <c r="L112" s="1757"/>
      <c r="M112" s="1757"/>
      <c r="N112" s="1757"/>
      <c r="O112" s="1757"/>
      <c r="P112" s="1757"/>
      <c r="Q112" s="1757"/>
      <c r="R112" s="633">
        <f>+G112+51556224.84</f>
        <v>1896011.5803175122</v>
      </c>
    </row>
    <row r="113" spans="1:18" ht="18.600000000000001" thickTop="1">
      <c r="A113" s="824"/>
      <c r="B113" s="2364"/>
      <c r="C113" s="2365"/>
      <c r="D113" s="1529"/>
      <c r="E113" s="14"/>
      <c r="F113" s="316"/>
      <c r="G113" s="33"/>
      <c r="H113" s="1009"/>
      <c r="I113" s="20"/>
      <c r="J113" s="20"/>
      <c r="K113" s="20"/>
      <c r="L113" s="20"/>
      <c r="M113" s="20"/>
      <c r="N113" s="20"/>
      <c r="O113" s="20"/>
      <c r="P113" s="20"/>
      <c r="Q113" s="20"/>
      <c r="R113" s="633">
        <f>18968916-G89</f>
        <v>-614980</v>
      </c>
    </row>
    <row r="114" spans="1:18" ht="18">
      <c r="A114" s="824"/>
      <c r="B114" s="1014" t="s">
        <v>783</v>
      </c>
      <c r="C114" s="1508"/>
      <c r="D114" s="1508"/>
      <c r="E114" s="1508"/>
      <c r="F114" s="320">
        <v>28</v>
      </c>
      <c r="G114" s="42">
        <f t="shared" ref="G114:H115" si="0">+G588</f>
        <v>-18.984526508230985</v>
      </c>
      <c r="H114" s="1047">
        <f t="shared" si="0"/>
        <v>-14.014101922776065</v>
      </c>
      <c r="I114" s="2001"/>
      <c r="J114" s="2001"/>
      <c r="K114" s="2001"/>
      <c r="L114" s="2001"/>
      <c r="M114" s="2001"/>
      <c r="N114" s="2001"/>
      <c r="O114" s="2001"/>
      <c r="P114" s="2001"/>
      <c r="Q114" s="2001"/>
    </row>
    <row r="115" spans="1:18" ht="18">
      <c r="A115" s="824"/>
      <c r="B115" s="1014" t="s">
        <v>784</v>
      </c>
      <c r="C115" s="1508"/>
      <c r="D115" s="1508"/>
      <c r="E115" s="1508"/>
      <c r="F115" s="320"/>
      <c r="G115" s="42">
        <f t="shared" si="0"/>
        <v>-18.984526508230985</v>
      </c>
      <c r="H115" s="1047">
        <f t="shared" si="0"/>
        <v>-14.014101922776065</v>
      </c>
      <c r="I115" s="2001"/>
      <c r="J115" s="2001"/>
      <c r="K115" s="2001"/>
      <c r="L115" s="2001"/>
      <c r="M115" s="2001"/>
      <c r="N115" s="2001"/>
      <c r="O115" s="2001"/>
      <c r="P115" s="2001"/>
      <c r="Q115" s="2001"/>
    </row>
    <row r="116" spans="1:18" ht="18">
      <c r="A116" s="824"/>
      <c r="B116" s="1028" t="s">
        <v>737</v>
      </c>
      <c r="C116" s="321"/>
      <c r="D116" s="321"/>
      <c r="E116" s="322"/>
      <c r="F116" s="854" t="s">
        <v>2890</v>
      </c>
      <c r="G116" s="43"/>
      <c r="H116" s="1029"/>
      <c r="I116" s="19"/>
      <c r="J116" s="19"/>
      <c r="K116" s="19"/>
      <c r="L116" s="19"/>
      <c r="M116" s="19"/>
      <c r="N116" s="19"/>
      <c r="O116" s="19"/>
      <c r="P116" s="19"/>
      <c r="Q116" s="19"/>
    </row>
    <row r="117" spans="1:18" ht="18">
      <c r="A117" s="824"/>
      <c r="B117" s="1023"/>
      <c r="C117" s="1524"/>
      <c r="D117" s="1524"/>
      <c r="E117" s="1525"/>
      <c r="F117" s="1048"/>
      <c r="G117" s="19"/>
      <c r="H117" s="1030"/>
      <c r="I117" s="19"/>
      <c r="J117" s="19"/>
      <c r="K117" s="19"/>
      <c r="L117" s="19"/>
      <c r="M117" s="19"/>
      <c r="N117" s="19"/>
      <c r="O117" s="19"/>
      <c r="P117" s="19"/>
      <c r="Q117" s="19"/>
    </row>
    <row r="118" spans="1:18" ht="18">
      <c r="A118" s="824"/>
      <c r="B118" s="1049" t="s">
        <v>738</v>
      </c>
      <c r="C118" s="24"/>
      <c r="D118" s="24"/>
      <c r="E118" s="24"/>
      <c r="F118" s="1504"/>
      <c r="G118" s="21"/>
      <c r="H118" s="1032"/>
      <c r="I118" s="21"/>
      <c r="J118" s="21"/>
      <c r="K118" s="21"/>
      <c r="L118" s="21"/>
      <c r="M118" s="21"/>
      <c r="N118" s="21"/>
      <c r="O118" s="21"/>
      <c r="P118" s="21"/>
      <c r="Q118" s="21"/>
    </row>
    <row r="119" spans="1:18" ht="18">
      <c r="A119" s="824"/>
      <c r="B119" s="989" t="str">
        <f>+B52</f>
        <v>As per our report of even date</v>
      </c>
      <c r="C119" s="990"/>
      <c r="D119" s="990"/>
      <c r="E119" s="990"/>
      <c r="F119" s="1504" t="s">
        <v>740</v>
      </c>
      <c r="G119" s="21"/>
      <c r="H119" s="1032"/>
      <c r="I119" s="21"/>
      <c r="J119" s="21"/>
      <c r="K119" s="21"/>
      <c r="L119" s="21"/>
      <c r="M119" s="21"/>
      <c r="N119" s="21"/>
      <c r="O119" s="21"/>
      <c r="P119" s="21"/>
      <c r="Q119" s="21"/>
    </row>
    <row r="120" spans="1:18" ht="18">
      <c r="A120" s="824"/>
      <c r="B120" s="992"/>
      <c r="C120" s="1508"/>
      <c r="D120" s="1508"/>
      <c r="E120" s="1508"/>
      <c r="F120" s="1504"/>
      <c r="G120" s="21"/>
      <c r="H120" s="1032"/>
      <c r="I120" s="21"/>
      <c r="J120" s="21"/>
      <c r="K120" s="21"/>
      <c r="L120" s="21"/>
      <c r="M120" s="21"/>
      <c r="N120" s="21"/>
      <c r="O120" s="21"/>
      <c r="P120" s="21"/>
      <c r="Q120" s="21"/>
    </row>
    <row r="121" spans="1:18" ht="18">
      <c r="A121" s="824"/>
      <c r="B121" s="1050" t="str">
        <f t="shared" ref="B121:B129" si="1">+B54</f>
        <v>FOR DARAK AND ASSOCIATES</v>
      </c>
      <c r="C121" s="993"/>
      <c r="D121" s="993"/>
      <c r="E121" s="993"/>
      <c r="F121" s="1503" t="str">
        <f>+F54</f>
        <v>ANIL KUMAR LAKHOTIYA - MANAGING  DIRECTOR</v>
      </c>
      <c r="G121" s="21"/>
      <c r="H121" s="1032"/>
      <c r="I121" s="21"/>
      <c r="J121" s="21"/>
      <c r="K121" s="21"/>
      <c r="L121" s="21"/>
      <c r="M121" s="21"/>
      <c r="N121" s="21"/>
      <c r="O121" s="21"/>
      <c r="P121" s="21"/>
      <c r="Q121" s="21"/>
    </row>
    <row r="122" spans="1:18" ht="18">
      <c r="A122" s="824"/>
      <c r="B122" s="1050" t="str">
        <f t="shared" si="1"/>
        <v>CHARTERED ACCOUNTANTS</v>
      </c>
      <c r="C122" s="993"/>
      <c r="D122" s="993"/>
      <c r="E122" s="993"/>
      <c r="F122" s="1504" t="str">
        <f>+F55</f>
        <v>(DIN:00367361)</v>
      </c>
      <c r="G122" s="21"/>
      <c r="H122" s="1032"/>
      <c r="I122" s="21"/>
      <c r="J122" s="21"/>
      <c r="K122" s="21"/>
      <c r="L122" s="21"/>
      <c r="M122" s="21"/>
      <c r="N122" s="21"/>
      <c r="O122" s="21"/>
      <c r="P122" s="21"/>
      <c r="Q122" s="21"/>
    </row>
    <row r="123" spans="1:18" ht="18">
      <c r="A123" s="824"/>
      <c r="B123" s="1050" t="str">
        <f t="shared" si="1"/>
        <v>FIRM REGISTRATION NO.: 132818W</v>
      </c>
      <c r="C123" s="1508"/>
      <c r="D123" s="1508"/>
      <c r="E123" s="1508"/>
      <c r="F123" s="1511"/>
      <c r="G123" s="23"/>
      <c r="H123" s="1033"/>
      <c r="I123" s="23"/>
      <c r="J123" s="23"/>
      <c r="K123" s="23"/>
      <c r="L123" s="23"/>
      <c r="M123" s="23"/>
      <c r="N123" s="23"/>
      <c r="O123" s="23"/>
      <c r="P123" s="23"/>
      <c r="Q123" s="23"/>
    </row>
    <row r="124" spans="1:18" ht="18">
      <c r="A124" s="824"/>
      <c r="B124" s="1050"/>
      <c r="C124" s="1508"/>
      <c r="D124" s="1508"/>
      <c r="E124" s="1508"/>
      <c r="F124" s="1508"/>
      <c r="G124" s="21"/>
      <c r="H124" s="1032"/>
      <c r="I124" s="21"/>
      <c r="J124" s="21"/>
      <c r="K124" s="21"/>
      <c r="L124" s="21"/>
      <c r="M124" s="21"/>
      <c r="N124" s="21"/>
      <c r="O124" s="21"/>
      <c r="P124" s="21"/>
      <c r="Q124" s="21"/>
    </row>
    <row r="125" spans="1:18" ht="18">
      <c r="A125" s="824"/>
      <c r="B125" s="1050"/>
      <c r="C125" s="1508"/>
      <c r="D125" s="1508"/>
      <c r="E125" s="1508"/>
      <c r="F125" s="993" t="str">
        <f>+F59</f>
        <v>KAILASH AGARWAL - WHOLE TIME DIRECTOR</v>
      </c>
      <c r="G125" s="21"/>
      <c r="H125" s="1032"/>
      <c r="I125" s="21"/>
      <c r="J125" s="21"/>
      <c r="K125" s="21"/>
      <c r="L125" s="21"/>
      <c r="M125" s="21"/>
      <c r="N125" s="21"/>
      <c r="O125" s="21"/>
      <c r="P125" s="21"/>
      <c r="Q125" s="21"/>
    </row>
    <row r="126" spans="1:18" ht="18">
      <c r="A126" s="824"/>
      <c r="B126" s="1050"/>
      <c r="C126" s="993"/>
      <c r="D126" s="993"/>
      <c r="E126" s="993"/>
      <c r="F126" s="1508" t="str">
        <f>+F60</f>
        <v>(DIN:00367292)</v>
      </c>
      <c r="G126" s="21"/>
      <c r="H126" s="1032"/>
      <c r="I126" s="21"/>
      <c r="J126" s="21"/>
      <c r="K126" s="21"/>
      <c r="L126" s="21"/>
      <c r="M126" s="21"/>
      <c r="N126" s="21"/>
      <c r="O126" s="21"/>
      <c r="P126" s="21"/>
      <c r="Q126" s="21"/>
    </row>
    <row r="127" spans="1:18" ht="18">
      <c r="A127" s="824"/>
      <c r="B127" s="1050" t="str">
        <f t="shared" si="1"/>
        <v>SUMIT M. DARAK</v>
      </c>
      <c r="C127" s="25"/>
      <c r="D127" s="25"/>
      <c r="E127" s="25"/>
      <c r="F127" s="1508"/>
      <c r="G127" s="21"/>
      <c r="H127" s="1032"/>
      <c r="I127" s="21"/>
      <c r="J127" s="21"/>
      <c r="K127" s="21"/>
      <c r="L127" s="21"/>
      <c r="M127" s="21"/>
      <c r="N127" s="21"/>
      <c r="O127" s="21"/>
      <c r="P127" s="21"/>
      <c r="Q127" s="21"/>
    </row>
    <row r="128" spans="1:18" ht="18">
      <c r="A128" s="824"/>
      <c r="B128" s="1050" t="str">
        <f t="shared" si="1"/>
        <v>PARTNER</v>
      </c>
      <c r="C128" s="25"/>
      <c r="D128" s="25"/>
      <c r="E128" s="25"/>
      <c r="F128" s="1504"/>
      <c r="G128" s="21"/>
      <c r="H128" s="1032"/>
      <c r="I128" s="21"/>
      <c r="J128" s="21"/>
      <c r="K128" s="21"/>
      <c r="L128" s="21"/>
      <c r="M128" s="21"/>
      <c r="N128" s="21"/>
      <c r="O128" s="21"/>
      <c r="P128" s="21"/>
      <c r="Q128" s="21"/>
    </row>
    <row r="129" spans="1:17" ht="18">
      <c r="A129" s="824"/>
      <c r="B129" s="1051" t="str">
        <f t="shared" si="1"/>
        <v>MEMBERSHIP NO. : 141902</v>
      </c>
      <c r="C129" s="25"/>
      <c r="D129" s="25"/>
      <c r="E129" s="25"/>
      <c r="F129" s="2354" t="str">
        <f>+F63</f>
        <v>JARNAIL SINGH SAINI - CHIEF FINANCIAL OFFICER &amp; EXECUTIVE DIRECTOR</v>
      </c>
      <c r="G129" s="2354"/>
      <c r="H129" s="2355"/>
      <c r="I129" s="1888"/>
      <c r="J129" s="1888"/>
      <c r="K129" s="1888"/>
      <c r="L129" s="1888"/>
      <c r="M129" s="1888"/>
      <c r="N129" s="1888"/>
      <c r="O129" s="1888"/>
      <c r="P129" s="1888"/>
      <c r="Q129" s="1888"/>
    </row>
    <row r="130" spans="1:17" ht="18">
      <c r="A130" s="824"/>
      <c r="B130" s="989"/>
      <c r="C130" s="25"/>
      <c r="D130" s="25"/>
      <c r="E130" s="25"/>
      <c r="F130" s="2362" t="str">
        <f>+F64</f>
        <v>(DIN:00367656)</v>
      </c>
      <c r="G130" s="2362"/>
      <c r="H130" s="2363"/>
      <c r="I130" s="1890"/>
      <c r="J130" s="1890"/>
      <c r="K130" s="1890"/>
      <c r="L130" s="1890"/>
      <c r="M130" s="1890"/>
      <c r="N130" s="1890"/>
      <c r="O130" s="1890"/>
      <c r="P130" s="1890"/>
      <c r="Q130" s="1890"/>
    </row>
    <row r="131" spans="1:17" ht="18">
      <c r="A131" s="824"/>
      <c r="B131" s="996" t="str">
        <f>+B64</f>
        <v>Place: Nagpur</v>
      </c>
      <c r="C131" s="1508"/>
      <c r="D131" s="1508"/>
      <c r="E131" s="1508"/>
      <c r="F131" s="1508"/>
      <c r="G131" s="21"/>
      <c r="H131" s="1032"/>
      <c r="I131" s="21"/>
      <c r="J131" s="21"/>
      <c r="K131" s="21"/>
      <c r="L131" s="21"/>
      <c r="M131" s="21"/>
      <c r="N131" s="21"/>
      <c r="O131" s="21"/>
      <c r="P131" s="21"/>
      <c r="Q131" s="21"/>
    </row>
    <row r="132" spans="1:17" ht="18">
      <c r="A132" s="824"/>
      <c r="B132" s="996" t="str">
        <f t="shared" ref="B132:B133" si="2">+B65</f>
        <v>Date: 29/05/2024</v>
      </c>
      <c r="C132" s="1508"/>
      <c r="D132" s="1508"/>
      <c r="E132" s="1508"/>
      <c r="F132" s="1508"/>
      <c r="G132" s="21"/>
      <c r="H132" s="1032"/>
      <c r="I132" s="21"/>
      <c r="J132" s="21"/>
      <c r="K132" s="21"/>
      <c r="L132" s="21"/>
      <c r="M132" s="21"/>
      <c r="N132" s="21"/>
      <c r="O132" s="21"/>
      <c r="P132" s="21"/>
      <c r="Q132" s="21"/>
    </row>
    <row r="133" spans="1:17" ht="18">
      <c r="A133" s="824"/>
      <c r="B133" s="996" t="str">
        <f t="shared" si="2"/>
        <v>UDIN: 24141902BKCZE8571</v>
      </c>
      <c r="C133" s="1508"/>
      <c r="D133" s="1508"/>
      <c r="E133" s="1508"/>
      <c r="F133" s="993" t="str">
        <f>+F68</f>
        <v>OMPRAKASH RATHI - WHOLE TIME DIRECTOR</v>
      </c>
      <c r="G133" s="21"/>
      <c r="H133" s="1032"/>
      <c r="I133" s="21"/>
      <c r="J133" s="21"/>
      <c r="K133" s="21"/>
      <c r="L133" s="21"/>
      <c r="M133" s="21"/>
      <c r="N133" s="21"/>
      <c r="O133" s="21"/>
      <c r="P133" s="21"/>
      <c r="Q133" s="21"/>
    </row>
    <row r="134" spans="1:17" ht="18">
      <c r="A134" s="824"/>
      <c r="B134" s="996"/>
      <c r="C134" s="1508"/>
      <c r="D134" s="1508"/>
      <c r="E134" s="1508"/>
      <c r="F134" s="1512" t="str">
        <f>+F69</f>
        <v>(DIN:00895316)</v>
      </c>
      <c r="G134" s="23"/>
      <c r="H134" s="1033"/>
      <c r="I134" s="23"/>
      <c r="J134" s="23"/>
      <c r="K134" s="23"/>
      <c r="L134" s="23"/>
      <c r="M134" s="23"/>
      <c r="N134" s="23"/>
      <c r="O134" s="23"/>
      <c r="P134" s="23"/>
      <c r="Q134" s="23"/>
    </row>
    <row r="135" spans="1:17" ht="18">
      <c r="A135" s="824"/>
      <c r="B135" s="996"/>
      <c r="C135" s="1508"/>
      <c r="D135" s="1508"/>
      <c r="E135" s="1508"/>
      <c r="F135" s="1508"/>
      <c r="G135" s="21"/>
      <c r="H135" s="1032"/>
      <c r="I135" s="21"/>
      <c r="J135" s="21"/>
      <c r="K135" s="21"/>
      <c r="L135" s="21"/>
      <c r="M135" s="21"/>
      <c r="N135" s="21"/>
      <c r="O135" s="21"/>
      <c r="P135" s="21"/>
      <c r="Q135" s="21"/>
    </row>
    <row r="136" spans="1:17" ht="18">
      <c r="A136" s="824"/>
      <c r="B136" s="996"/>
      <c r="C136" s="1508"/>
      <c r="D136" s="1508"/>
      <c r="E136" s="1508"/>
      <c r="F136" s="1508"/>
      <c r="G136" s="21"/>
      <c r="H136" s="1032"/>
      <c r="I136" s="21"/>
      <c r="J136" s="21"/>
      <c r="K136" s="21"/>
      <c r="L136" s="21"/>
      <c r="M136" s="21"/>
      <c r="N136" s="21"/>
      <c r="O136" s="21"/>
      <c r="P136" s="21"/>
      <c r="Q136" s="21"/>
    </row>
    <row r="137" spans="1:17" ht="18">
      <c r="A137" s="824"/>
      <c r="B137" s="996"/>
      <c r="C137" s="1508"/>
      <c r="D137" s="1508"/>
      <c r="E137" s="1508"/>
      <c r="F137" s="993" t="str">
        <f>+F73</f>
        <v>MAYANK LUNIYA - COMPANY SECRETARY</v>
      </c>
      <c r="G137" s="21"/>
      <c r="H137" s="1032"/>
      <c r="I137" s="21"/>
      <c r="J137" s="21"/>
      <c r="K137" s="21"/>
      <c r="L137" s="21"/>
      <c r="M137" s="21"/>
      <c r="N137" s="21"/>
      <c r="O137" s="21"/>
      <c r="P137" s="21"/>
      <c r="Q137" s="21"/>
    </row>
    <row r="138" spans="1:17" ht="18">
      <c r="A138" s="824"/>
      <c r="B138" s="996"/>
      <c r="C138" s="1508"/>
      <c r="D138" s="1508"/>
      <c r="E138" s="1508"/>
      <c r="F138" s="993"/>
      <c r="G138" s="21"/>
      <c r="H138" s="1032"/>
      <c r="I138" s="21"/>
      <c r="J138" s="21"/>
      <c r="K138" s="21"/>
      <c r="L138" s="21"/>
      <c r="M138" s="21"/>
      <c r="N138" s="21"/>
      <c r="O138" s="21"/>
      <c r="P138" s="21"/>
      <c r="Q138" s="21"/>
    </row>
    <row r="139" spans="1:17" ht="18">
      <c r="A139" s="824"/>
      <c r="B139" s="996"/>
      <c r="C139" s="1508"/>
      <c r="D139" s="1508"/>
      <c r="E139" s="1508"/>
      <c r="F139" s="1504" t="str">
        <f>+F74</f>
        <v>Place: Nagpur</v>
      </c>
      <c r="G139" s="21"/>
      <c r="H139" s="1032"/>
      <c r="I139" s="21"/>
      <c r="J139" s="21"/>
      <c r="K139" s="21"/>
      <c r="L139" s="21"/>
      <c r="M139" s="21"/>
      <c r="N139" s="21"/>
      <c r="O139" s="21"/>
      <c r="P139" s="21"/>
      <c r="Q139" s="21"/>
    </row>
    <row r="140" spans="1:17" ht="18.600000000000001" thickBot="1">
      <c r="A140" s="2223"/>
      <c r="B140" s="1198"/>
      <c r="C140" s="1199"/>
      <c r="D140" s="1199"/>
      <c r="E140" s="1199"/>
      <c r="F140" s="1191" t="str">
        <f>+F75</f>
        <v>Date: 29/05/2024</v>
      </c>
      <c r="G140" s="1193"/>
      <c r="H140" s="1194"/>
      <c r="I140" s="27"/>
      <c r="J140" s="27"/>
      <c r="K140" s="27"/>
      <c r="L140" s="27"/>
      <c r="M140" s="27"/>
      <c r="N140" s="27"/>
      <c r="O140" s="27"/>
      <c r="P140" s="27"/>
      <c r="Q140" s="27"/>
    </row>
    <row r="141" spans="1:17" ht="18">
      <c r="B141" s="2430" t="s">
        <v>702</v>
      </c>
      <c r="C141" s="2431"/>
      <c r="D141" s="2431"/>
      <c r="E141" s="2431"/>
      <c r="F141" s="2431"/>
      <c r="G141" s="2431"/>
      <c r="H141" s="2432"/>
      <c r="I141" s="2002"/>
      <c r="J141" s="2002"/>
      <c r="K141" s="2002"/>
      <c r="L141" s="2002"/>
      <c r="M141" s="2002"/>
      <c r="N141" s="2002"/>
      <c r="O141" s="2002"/>
      <c r="P141" s="2002"/>
      <c r="Q141" s="2002"/>
    </row>
    <row r="142" spans="1:17" ht="18">
      <c r="B142" s="2359" t="s">
        <v>3055</v>
      </c>
      <c r="C142" s="2360"/>
      <c r="D142" s="2360"/>
      <c r="E142" s="2360"/>
      <c r="F142" s="2360"/>
      <c r="G142" s="2360"/>
      <c r="H142" s="2361"/>
      <c r="I142" s="1889"/>
      <c r="J142" s="1889"/>
      <c r="K142" s="1889"/>
      <c r="L142" s="1889"/>
      <c r="M142" s="1889"/>
      <c r="N142" s="1889"/>
      <c r="O142" s="1889"/>
      <c r="P142" s="1889"/>
      <c r="Q142" s="1889"/>
    </row>
    <row r="143" spans="1:17" ht="18">
      <c r="B143" s="1053" t="s">
        <v>0</v>
      </c>
      <c r="C143" s="1054"/>
      <c r="D143" s="1054"/>
      <c r="E143" s="1054"/>
      <c r="F143" s="1055"/>
      <c r="G143" s="1004" t="s">
        <v>704</v>
      </c>
      <c r="H143" s="1005" t="s">
        <v>704</v>
      </c>
      <c r="I143" s="1996"/>
      <c r="J143" s="1996"/>
      <c r="K143" s="1996"/>
      <c r="L143" s="1996"/>
      <c r="M143" s="1996"/>
      <c r="N143" s="1996"/>
      <c r="O143" s="1996"/>
      <c r="P143" s="1996"/>
      <c r="Q143" s="1996"/>
    </row>
    <row r="144" spans="1:17" ht="18">
      <c r="B144" s="1036"/>
      <c r="C144" s="44"/>
      <c r="D144" s="44"/>
      <c r="E144" s="44"/>
      <c r="F144" s="45"/>
      <c r="G144" s="30" t="str">
        <f>+G7</f>
        <v>March 31, 2024 (₹)</v>
      </c>
      <c r="H144" s="1038" t="str">
        <f>+H7</f>
        <v>March 31, 2023 (₹)</v>
      </c>
      <c r="I144" s="1996"/>
      <c r="J144" s="1996"/>
      <c r="K144" s="1996"/>
      <c r="L144" s="1996"/>
      <c r="M144" s="1996"/>
      <c r="N144" s="1996"/>
      <c r="O144" s="1996"/>
      <c r="P144" s="1996"/>
      <c r="Q144" s="1996"/>
    </row>
    <row r="145" spans="2:17" ht="18">
      <c r="B145" s="1049" t="s">
        <v>4764</v>
      </c>
      <c r="C145" s="24"/>
      <c r="D145" s="24"/>
      <c r="E145" s="24"/>
      <c r="F145" s="1503"/>
      <c r="G145" s="55"/>
      <c r="H145" s="1075"/>
      <c r="I145" s="1996"/>
      <c r="J145" s="1996"/>
      <c r="K145" s="1996"/>
      <c r="L145" s="1996"/>
      <c r="M145" s="1996"/>
      <c r="N145" s="1996"/>
      <c r="O145" s="1996"/>
      <c r="P145" s="1996"/>
      <c r="Q145" s="1996"/>
    </row>
    <row r="146" spans="2:17" ht="18">
      <c r="B146" s="1056" t="s">
        <v>785</v>
      </c>
      <c r="C146" s="1530"/>
      <c r="D146" s="1530"/>
      <c r="E146" s="1530"/>
      <c r="F146" s="1530"/>
      <c r="G146" s="46"/>
      <c r="H146" s="1057"/>
      <c r="I146" s="2003"/>
      <c r="J146" s="2003"/>
      <c r="K146" s="2003"/>
      <c r="L146" s="2003"/>
      <c r="M146" s="2003"/>
      <c r="N146" s="2003"/>
      <c r="O146" s="2003"/>
      <c r="P146" s="2003"/>
      <c r="Q146" s="2003"/>
    </row>
    <row r="147" spans="2:17" ht="18">
      <c r="B147" s="996" t="s">
        <v>786</v>
      </c>
      <c r="C147" s="1513"/>
      <c r="D147" s="1513"/>
      <c r="E147" s="1513"/>
      <c r="F147" s="1508"/>
      <c r="G147" s="2071">
        <f>+H149</f>
        <v>26922650</v>
      </c>
      <c r="H147" s="2072">
        <v>26922650</v>
      </c>
      <c r="I147" s="120"/>
      <c r="J147" s="120"/>
      <c r="K147" s="120"/>
      <c r="L147" s="120"/>
      <c r="M147" s="120"/>
      <c r="N147" s="120"/>
      <c r="O147" s="120"/>
      <c r="P147" s="120"/>
      <c r="Q147" s="120"/>
    </row>
    <row r="148" spans="2:17" ht="18">
      <c r="B148" s="996" t="s">
        <v>787</v>
      </c>
      <c r="C148" s="1513"/>
      <c r="D148" s="1513"/>
      <c r="E148" s="1513"/>
      <c r="F148" s="1508"/>
      <c r="G148" s="1851">
        <v>0</v>
      </c>
      <c r="H148" s="1852">
        <v>0</v>
      </c>
      <c r="I148" s="21"/>
      <c r="J148" s="21"/>
      <c r="K148" s="21"/>
      <c r="L148" s="21"/>
      <c r="M148" s="21"/>
      <c r="N148" s="21"/>
      <c r="O148" s="21"/>
      <c r="P148" s="21"/>
      <c r="Q148" s="21"/>
    </row>
    <row r="149" spans="2:17" ht="18.600000000000001" thickBot="1">
      <c r="B149" s="1060" t="s">
        <v>788</v>
      </c>
      <c r="C149" s="1513"/>
      <c r="D149" s="1513"/>
      <c r="E149" s="1513"/>
      <c r="F149" s="1508"/>
      <c r="G149" s="2075">
        <f>+SUM(G147:G148)</f>
        <v>26922650</v>
      </c>
      <c r="H149" s="2076">
        <f>+SUM(H147:H148)</f>
        <v>26922650</v>
      </c>
      <c r="I149" s="2004"/>
      <c r="J149" s="2004"/>
      <c r="K149" s="2004"/>
      <c r="L149" s="2004"/>
      <c r="M149" s="2004"/>
      <c r="N149" s="2004"/>
      <c r="O149" s="2004"/>
      <c r="P149" s="2004"/>
      <c r="Q149" s="2004"/>
    </row>
    <row r="150" spans="2:17" ht="18.600000000000001" thickTop="1">
      <c r="B150" s="1060"/>
      <c r="C150" s="1513"/>
      <c r="D150" s="1513"/>
      <c r="E150" s="1513"/>
      <c r="F150" s="1508"/>
      <c r="G150" s="2073"/>
      <c r="H150" s="2074"/>
      <c r="I150" s="21"/>
      <c r="J150" s="21"/>
      <c r="K150" s="21"/>
      <c r="L150" s="21"/>
      <c r="M150" s="21"/>
      <c r="N150" s="21"/>
      <c r="O150" s="21"/>
      <c r="P150" s="21"/>
      <c r="Q150" s="21"/>
    </row>
    <row r="151" spans="2:17" ht="18">
      <c r="B151" s="1056" t="s">
        <v>789</v>
      </c>
      <c r="C151" s="1513"/>
      <c r="D151" s="1513"/>
      <c r="E151" s="1513"/>
      <c r="F151" s="1513"/>
      <c r="G151" s="2071"/>
      <c r="H151" s="2072"/>
      <c r="I151" s="120"/>
      <c r="J151" s="120"/>
      <c r="K151" s="120"/>
      <c r="L151" s="120"/>
      <c r="M151" s="120"/>
      <c r="N151" s="120"/>
      <c r="O151" s="120"/>
      <c r="P151" s="120"/>
      <c r="Q151" s="120"/>
    </row>
    <row r="152" spans="2:17" ht="18">
      <c r="B152" s="1062" t="s">
        <v>81</v>
      </c>
      <c r="C152" s="1513"/>
      <c r="D152" s="1513"/>
      <c r="E152" s="1513"/>
      <c r="F152" s="1513"/>
      <c r="G152" s="2071"/>
      <c r="H152" s="2072"/>
      <c r="I152" s="120"/>
      <c r="J152" s="120"/>
      <c r="K152" s="120"/>
      <c r="L152" s="120"/>
      <c r="M152" s="120"/>
      <c r="N152" s="120"/>
      <c r="O152" s="120"/>
      <c r="P152" s="120"/>
      <c r="Q152" s="120"/>
    </row>
    <row r="153" spans="2:17" ht="18">
      <c r="B153" s="1063" t="s">
        <v>790</v>
      </c>
      <c r="C153" s="1531"/>
      <c r="D153" s="1531"/>
      <c r="E153" s="1531"/>
      <c r="F153" s="1513"/>
      <c r="G153" s="2077">
        <f>+H157</f>
        <v>20413989</v>
      </c>
      <c r="H153" s="2072">
        <v>20413989</v>
      </c>
      <c r="I153" s="120"/>
      <c r="J153" s="120"/>
      <c r="K153" s="120"/>
      <c r="L153" s="120"/>
      <c r="M153" s="120"/>
      <c r="N153" s="120"/>
      <c r="O153" s="120"/>
      <c r="P153" s="120"/>
      <c r="Q153" s="120"/>
    </row>
    <row r="154" spans="2:17" ht="18">
      <c r="B154" s="1060" t="s">
        <v>791</v>
      </c>
      <c r="C154" s="1513"/>
      <c r="D154" s="1513"/>
      <c r="E154" s="1513"/>
      <c r="F154" s="1513"/>
      <c r="G154" s="1849">
        <v>0</v>
      </c>
      <c r="H154" s="1850">
        <v>0</v>
      </c>
      <c r="I154" s="120"/>
      <c r="J154" s="120"/>
      <c r="K154" s="120"/>
      <c r="L154" s="120"/>
      <c r="M154" s="120"/>
      <c r="N154" s="120"/>
      <c r="O154" s="120"/>
      <c r="P154" s="120"/>
      <c r="Q154" s="120"/>
    </row>
    <row r="155" spans="2:17" ht="18">
      <c r="B155" s="1060" t="s">
        <v>792</v>
      </c>
      <c r="C155" s="1513"/>
      <c r="D155" s="1513"/>
      <c r="E155" s="1513"/>
      <c r="F155" s="1513"/>
      <c r="G155" s="2078">
        <f>+G153+G154</f>
        <v>20413989</v>
      </c>
      <c r="H155" s="2079">
        <f>+H153+H154</f>
        <v>20413989</v>
      </c>
      <c r="I155" s="120"/>
      <c r="J155" s="120"/>
      <c r="K155" s="120"/>
      <c r="L155" s="120"/>
      <c r="M155" s="120"/>
      <c r="N155" s="120"/>
      <c r="O155" s="120"/>
      <c r="P155" s="120"/>
      <c r="Q155" s="120"/>
    </row>
    <row r="156" spans="2:17" ht="18">
      <c r="B156" s="1060" t="s">
        <v>2891</v>
      </c>
      <c r="C156" s="1513"/>
      <c r="D156" s="1513"/>
      <c r="E156" s="1513"/>
      <c r="F156" s="1513"/>
      <c r="G156" s="1849">
        <v>0</v>
      </c>
      <c r="H156" s="1850">
        <v>0</v>
      </c>
      <c r="I156" s="120"/>
      <c r="J156" s="120"/>
      <c r="K156" s="120"/>
      <c r="L156" s="120"/>
      <c r="M156" s="120"/>
      <c r="N156" s="120"/>
      <c r="O156" s="120"/>
      <c r="P156" s="120"/>
      <c r="Q156" s="120"/>
    </row>
    <row r="157" spans="2:17" ht="18">
      <c r="B157" s="1066" t="s">
        <v>464</v>
      </c>
      <c r="C157" s="1532"/>
      <c r="D157" s="1532"/>
      <c r="E157" s="1532"/>
      <c r="F157" s="1532"/>
      <c r="G157" s="2080">
        <f>+G155+G156</f>
        <v>20413989</v>
      </c>
      <c r="H157" s="2081">
        <f>+H155+H156</f>
        <v>20413989</v>
      </c>
      <c r="I157" s="2004"/>
      <c r="J157" s="2004"/>
      <c r="K157" s="2004"/>
      <c r="L157" s="2004"/>
      <c r="M157" s="2004"/>
      <c r="N157" s="2004"/>
      <c r="O157" s="2004"/>
      <c r="P157" s="2004"/>
      <c r="Q157" s="2004"/>
    </row>
    <row r="158" spans="2:17" ht="18">
      <c r="B158" s="1066"/>
      <c r="C158" s="1532"/>
      <c r="D158" s="1532"/>
      <c r="E158" s="1532"/>
      <c r="F158" s="1532"/>
      <c r="G158" s="2082"/>
      <c r="H158" s="2083"/>
      <c r="I158" s="2004"/>
      <c r="J158" s="2004"/>
      <c r="K158" s="2004"/>
      <c r="L158" s="2004"/>
      <c r="M158" s="2004"/>
      <c r="N158" s="2004"/>
      <c r="O158" s="2004"/>
      <c r="P158" s="2004"/>
      <c r="Q158" s="2004"/>
    </row>
    <row r="159" spans="2:17" ht="18">
      <c r="B159" s="1066" t="s">
        <v>327</v>
      </c>
      <c r="C159" s="1513"/>
      <c r="D159" s="1513"/>
      <c r="E159" s="1513"/>
      <c r="F159" s="1513"/>
      <c r="G159" s="2071"/>
      <c r="H159" s="2072"/>
      <c r="I159" s="120"/>
      <c r="J159" s="120"/>
      <c r="K159" s="120"/>
      <c r="L159" s="120"/>
      <c r="M159" s="120"/>
      <c r="N159" s="120"/>
      <c r="O159" s="120"/>
      <c r="P159" s="120"/>
      <c r="Q159" s="120"/>
    </row>
    <row r="160" spans="2:17" ht="18">
      <c r="B160" s="1063" t="s">
        <v>790</v>
      </c>
      <c r="C160" s="1513"/>
      <c r="D160" s="1513"/>
      <c r="E160" s="1513"/>
      <c r="F160" s="1513"/>
      <c r="G160" s="2071">
        <f>+H164</f>
        <v>8664946</v>
      </c>
      <c r="H160" s="2072">
        <v>8664946</v>
      </c>
      <c r="I160" s="120"/>
      <c r="J160" s="120"/>
      <c r="K160" s="120"/>
      <c r="L160" s="120"/>
      <c r="M160" s="120"/>
      <c r="N160" s="120"/>
      <c r="O160" s="120"/>
      <c r="P160" s="120"/>
      <c r="Q160" s="120"/>
    </row>
    <row r="161" spans="2:17" ht="18">
      <c r="B161" s="1060" t="s">
        <v>791</v>
      </c>
      <c r="C161" s="1513"/>
      <c r="D161" s="1513"/>
      <c r="E161" s="1513"/>
      <c r="F161" s="1513"/>
      <c r="G161" s="1853">
        <v>0</v>
      </c>
      <c r="H161" s="1854">
        <v>0</v>
      </c>
      <c r="I161" s="120"/>
      <c r="J161" s="120"/>
      <c r="K161" s="120"/>
      <c r="L161" s="120"/>
      <c r="M161" s="120"/>
      <c r="N161" s="120"/>
      <c r="O161" s="120"/>
      <c r="P161" s="120"/>
      <c r="Q161" s="120"/>
    </row>
    <row r="162" spans="2:17" ht="18">
      <c r="B162" s="1060" t="s">
        <v>792</v>
      </c>
      <c r="C162" s="1513"/>
      <c r="D162" s="1513"/>
      <c r="E162" s="1513"/>
      <c r="F162" s="1513"/>
      <c r="G162" s="2071">
        <f>+G160+G161</f>
        <v>8664946</v>
      </c>
      <c r="H162" s="2072">
        <f>+H160+H161</f>
        <v>8664946</v>
      </c>
      <c r="I162" s="120"/>
      <c r="J162" s="120"/>
      <c r="K162" s="120"/>
      <c r="L162" s="120"/>
      <c r="M162" s="120"/>
      <c r="N162" s="120"/>
      <c r="O162" s="120"/>
      <c r="P162" s="120"/>
      <c r="Q162" s="120"/>
    </row>
    <row r="163" spans="2:17" ht="18">
      <c r="B163" s="1060" t="s">
        <v>2891</v>
      </c>
      <c r="C163" s="1513"/>
      <c r="D163" s="1513"/>
      <c r="E163" s="1513"/>
      <c r="F163" s="1513"/>
      <c r="G163" s="1849">
        <v>0</v>
      </c>
      <c r="H163" s="1850">
        <v>0</v>
      </c>
      <c r="I163" s="120"/>
      <c r="J163" s="120"/>
      <c r="K163" s="120"/>
      <c r="L163" s="120"/>
      <c r="M163" s="120"/>
      <c r="N163" s="120"/>
      <c r="O163" s="120"/>
      <c r="P163" s="120"/>
      <c r="Q163" s="120"/>
    </row>
    <row r="164" spans="2:17" ht="18">
      <c r="B164" s="1066" t="s">
        <v>464</v>
      </c>
      <c r="C164" s="1513"/>
      <c r="D164" s="1513"/>
      <c r="E164" s="1513"/>
      <c r="F164" s="1513"/>
      <c r="G164" s="2080">
        <f>+G162+G163</f>
        <v>8664946</v>
      </c>
      <c r="H164" s="2081">
        <f>+H162+H163</f>
        <v>8664946</v>
      </c>
      <c r="I164" s="2004"/>
      <c r="J164" s="2004"/>
      <c r="K164" s="2004"/>
      <c r="L164" s="2004"/>
      <c r="M164" s="2004"/>
      <c r="N164" s="2004"/>
      <c r="O164" s="2004"/>
      <c r="P164" s="2004"/>
      <c r="Q164" s="2004"/>
    </row>
    <row r="165" spans="2:17" ht="18">
      <c r="B165" s="1066"/>
      <c r="C165" s="1513"/>
      <c r="D165" s="1513"/>
      <c r="E165" s="1513"/>
      <c r="F165" s="1513"/>
      <c r="G165" s="2082"/>
      <c r="H165" s="2083"/>
      <c r="I165" s="2004"/>
      <c r="J165" s="2004"/>
      <c r="K165" s="2004"/>
      <c r="L165" s="2004"/>
      <c r="M165" s="2004"/>
      <c r="N165" s="2004"/>
      <c r="O165" s="2004"/>
      <c r="P165" s="2004"/>
      <c r="Q165" s="2004"/>
    </row>
    <row r="166" spans="2:17" ht="18">
      <c r="B166" s="1066" t="s">
        <v>178</v>
      </c>
      <c r="C166" s="1513"/>
      <c r="D166" s="1513"/>
      <c r="E166" s="1513"/>
      <c r="F166" s="1513"/>
      <c r="G166" s="2071"/>
      <c r="H166" s="2072"/>
      <c r="I166" s="120"/>
      <c r="J166" s="120"/>
      <c r="K166" s="120"/>
      <c r="L166" s="120"/>
      <c r="M166" s="120"/>
      <c r="N166" s="120"/>
      <c r="O166" s="120"/>
      <c r="P166" s="120"/>
      <c r="Q166" s="120"/>
    </row>
    <row r="167" spans="2:17" ht="18">
      <c r="B167" s="1063" t="s">
        <v>790</v>
      </c>
      <c r="C167" s="1513"/>
      <c r="D167" s="1513"/>
      <c r="E167" s="1513"/>
      <c r="F167" s="1513"/>
      <c r="G167" s="2077">
        <f>+H171</f>
        <v>1800000</v>
      </c>
      <c r="H167" s="2072">
        <v>1800000</v>
      </c>
      <c r="I167" s="120"/>
      <c r="J167" s="120"/>
      <c r="K167" s="120"/>
      <c r="L167" s="120"/>
      <c r="M167" s="120"/>
      <c r="N167" s="120"/>
      <c r="O167" s="120"/>
      <c r="P167" s="120"/>
      <c r="Q167" s="120"/>
    </row>
    <row r="168" spans="2:17" ht="18">
      <c r="B168" s="1060" t="s">
        <v>791</v>
      </c>
      <c r="C168" s="1513"/>
      <c r="D168" s="1513"/>
      <c r="E168" s="1513"/>
      <c r="F168" s="1513"/>
      <c r="G168" s="1853">
        <v>0</v>
      </c>
      <c r="H168" s="1854">
        <v>0</v>
      </c>
      <c r="I168" s="120"/>
      <c r="J168" s="120"/>
      <c r="K168" s="120"/>
      <c r="L168" s="120"/>
      <c r="M168" s="120"/>
      <c r="N168" s="120"/>
      <c r="O168" s="120"/>
      <c r="P168" s="120"/>
      <c r="Q168" s="120"/>
    </row>
    <row r="169" spans="2:17" ht="18">
      <c r="B169" s="1060" t="s">
        <v>792</v>
      </c>
      <c r="C169" s="1513"/>
      <c r="D169" s="1513"/>
      <c r="E169" s="1513"/>
      <c r="F169" s="1513"/>
      <c r="G169" s="2071">
        <f>+G167+G168</f>
        <v>1800000</v>
      </c>
      <c r="H169" s="2072">
        <f>+H167+H168</f>
        <v>1800000</v>
      </c>
      <c r="I169" s="120"/>
      <c r="J169" s="120"/>
      <c r="K169" s="120"/>
      <c r="L169" s="120"/>
      <c r="M169" s="120"/>
      <c r="N169" s="120"/>
      <c r="O169" s="120"/>
      <c r="P169" s="120"/>
      <c r="Q169" s="120"/>
    </row>
    <row r="170" spans="2:17" ht="18">
      <c r="B170" s="1060" t="s">
        <v>2891</v>
      </c>
      <c r="C170" s="1513"/>
      <c r="D170" s="1513"/>
      <c r="E170" s="1513"/>
      <c r="F170" s="1513"/>
      <c r="G170" s="2071"/>
      <c r="H170" s="2072"/>
      <c r="I170" s="120"/>
      <c r="J170" s="120"/>
      <c r="K170" s="120"/>
      <c r="L170" s="120"/>
      <c r="M170" s="120"/>
      <c r="N170" s="120"/>
      <c r="O170" s="120"/>
      <c r="P170" s="120"/>
      <c r="Q170" s="120"/>
    </row>
    <row r="171" spans="2:17" ht="18">
      <c r="B171" s="1060" t="s">
        <v>464</v>
      </c>
      <c r="C171" s="1513"/>
      <c r="D171" s="1513"/>
      <c r="E171" s="1513"/>
      <c r="F171" s="1513"/>
      <c r="G171" s="2080">
        <f>+G169+G170</f>
        <v>1800000</v>
      </c>
      <c r="H171" s="2081">
        <f>+H169+H170</f>
        <v>1800000</v>
      </c>
      <c r="I171" s="2004"/>
      <c r="J171" s="2004"/>
      <c r="K171" s="2004"/>
      <c r="L171" s="2004"/>
      <c r="M171" s="2004"/>
      <c r="N171" s="2004"/>
      <c r="O171" s="2004"/>
      <c r="P171" s="2004"/>
      <c r="Q171" s="2004"/>
    </row>
    <row r="172" spans="2:17" ht="18">
      <c r="B172" s="1060"/>
      <c r="C172" s="1513"/>
      <c r="D172" s="1513"/>
      <c r="E172" s="1513"/>
      <c r="F172" s="1513"/>
      <c r="G172" s="2082"/>
      <c r="H172" s="2083"/>
      <c r="I172" s="2004"/>
      <c r="J172" s="2004"/>
      <c r="K172" s="2004"/>
      <c r="L172" s="2004"/>
      <c r="M172" s="2004"/>
      <c r="N172" s="2004"/>
      <c r="O172" s="2004"/>
      <c r="P172" s="2004"/>
      <c r="Q172" s="2004"/>
    </row>
    <row r="173" spans="2:17" ht="18">
      <c r="B173" s="1066" t="s">
        <v>794</v>
      </c>
      <c r="C173" s="1513"/>
      <c r="D173" s="1513"/>
      <c r="E173" s="1513"/>
      <c r="F173" s="1513"/>
      <c r="G173" s="2071"/>
      <c r="H173" s="2072"/>
      <c r="I173" s="120"/>
      <c r="J173" s="120"/>
      <c r="K173" s="120"/>
      <c r="L173" s="120"/>
      <c r="M173" s="120"/>
      <c r="N173" s="120"/>
      <c r="O173" s="120"/>
      <c r="P173" s="120"/>
      <c r="Q173" s="120"/>
    </row>
    <row r="174" spans="2:17" ht="18">
      <c r="B174" s="1060" t="s">
        <v>790</v>
      </c>
      <c r="C174" s="1513"/>
      <c r="D174" s="1513"/>
      <c r="E174" s="1513"/>
      <c r="F174" s="1513"/>
      <c r="G174" s="2077">
        <f>+H179</f>
        <v>50905004</v>
      </c>
      <c r="H174" s="2072">
        <v>50905004</v>
      </c>
      <c r="I174" s="2004"/>
      <c r="J174" s="2004"/>
      <c r="K174" s="2004"/>
      <c r="L174" s="2004"/>
      <c r="M174" s="2004"/>
      <c r="N174" s="2004"/>
      <c r="O174" s="2004"/>
      <c r="P174" s="2004"/>
      <c r="Q174" s="2004"/>
    </row>
    <row r="175" spans="2:17" ht="18">
      <c r="B175" s="1060" t="s">
        <v>2757</v>
      </c>
      <c r="C175" s="1513"/>
      <c r="D175" s="1513"/>
      <c r="E175" s="1513"/>
      <c r="F175" s="1513"/>
      <c r="G175" s="1849">
        <v>0</v>
      </c>
      <c r="H175" s="1850">
        <v>0</v>
      </c>
      <c r="I175" s="120"/>
      <c r="J175" s="120"/>
      <c r="K175" s="120"/>
      <c r="L175" s="120"/>
      <c r="M175" s="120"/>
      <c r="N175" s="120"/>
      <c r="O175" s="120"/>
      <c r="P175" s="120"/>
      <c r="Q175" s="120"/>
    </row>
    <row r="176" spans="2:17" ht="18">
      <c r="B176" s="1060" t="s">
        <v>795</v>
      </c>
      <c r="C176" s="1513"/>
      <c r="D176" s="1513"/>
      <c r="E176" s="1513"/>
      <c r="F176" s="1513"/>
      <c r="G176" s="1853">
        <v>0</v>
      </c>
      <c r="H176" s="1854">
        <v>0</v>
      </c>
      <c r="I176" s="120"/>
      <c r="J176" s="120"/>
      <c r="K176" s="120"/>
      <c r="L176" s="120"/>
      <c r="M176" s="120"/>
      <c r="N176" s="120"/>
      <c r="O176" s="120"/>
      <c r="P176" s="120"/>
      <c r="Q176" s="120"/>
    </row>
    <row r="177" spans="2:17" ht="18">
      <c r="B177" s="1060" t="s">
        <v>792</v>
      </c>
      <c r="C177" s="1513"/>
      <c r="D177" s="1513"/>
      <c r="E177" s="1513"/>
      <c r="F177" s="1513"/>
      <c r="G177" s="2071">
        <f>+G174+G175+G176</f>
        <v>50905004</v>
      </c>
      <c r="H177" s="2072">
        <f>+H174+H175+H176</f>
        <v>50905004</v>
      </c>
      <c r="I177" s="2004"/>
      <c r="J177" s="2004"/>
      <c r="K177" s="2004"/>
      <c r="L177" s="2004"/>
      <c r="M177" s="2004"/>
      <c r="N177" s="2004"/>
      <c r="O177" s="2004"/>
      <c r="P177" s="2004"/>
      <c r="Q177" s="2004"/>
    </row>
    <row r="178" spans="2:17" ht="18">
      <c r="B178" s="1060" t="s">
        <v>793</v>
      </c>
      <c r="C178" s="1513"/>
      <c r="D178" s="1513"/>
      <c r="E178" s="1513"/>
      <c r="F178" s="1513"/>
      <c r="G178" s="1849">
        <v>0</v>
      </c>
      <c r="H178" s="1850">
        <v>0</v>
      </c>
      <c r="I178" s="120"/>
      <c r="J178" s="120"/>
      <c r="K178" s="120"/>
      <c r="L178" s="120"/>
      <c r="M178" s="120"/>
      <c r="N178" s="120"/>
      <c r="O178" s="120"/>
      <c r="P178" s="120"/>
      <c r="Q178" s="120"/>
    </row>
    <row r="179" spans="2:17" ht="18">
      <c r="B179" s="1060" t="s">
        <v>464</v>
      </c>
      <c r="C179" s="1513"/>
      <c r="D179" s="1513"/>
      <c r="E179" s="1513"/>
      <c r="F179" s="1513"/>
      <c r="G179" s="2080">
        <f>+G177+G178</f>
        <v>50905004</v>
      </c>
      <c r="H179" s="2081">
        <f>+H177+H178</f>
        <v>50905004</v>
      </c>
      <c r="I179" s="2004"/>
      <c r="J179" s="2004"/>
      <c r="K179" s="2004"/>
      <c r="L179" s="2004"/>
      <c r="M179" s="2004"/>
      <c r="N179" s="2004"/>
      <c r="O179" s="2004"/>
      <c r="P179" s="2004"/>
      <c r="Q179" s="2004"/>
    </row>
    <row r="180" spans="2:17" ht="18">
      <c r="B180" s="1060"/>
      <c r="C180" s="1513"/>
      <c r="D180" s="1513"/>
      <c r="E180" s="1513"/>
      <c r="F180" s="1513"/>
      <c r="G180" s="2082"/>
      <c r="H180" s="2083"/>
      <c r="I180" s="2004"/>
      <c r="J180" s="2004"/>
      <c r="K180" s="2004"/>
      <c r="L180" s="2004"/>
      <c r="M180" s="2004"/>
      <c r="N180" s="2004"/>
      <c r="O180" s="2004"/>
      <c r="P180" s="2004"/>
      <c r="Q180" s="2004"/>
    </row>
    <row r="181" spans="2:17" ht="18">
      <c r="B181" s="1066" t="s">
        <v>796</v>
      </c>
      <c r="C181" s="1513"/>
      <c r="D181" s="1513"/>
      <c r="E181" s="1513"/>
      <c r="F181" s="1513"/>
      <c r="G181" s="2071"/>
      <c r="H181" s="2072"/>
      <c r="I181" s="120"/>
      <c r="J181" s="120"/>
      <c r="K181" s="120"/>
      <c r="L181" s="120"/>
      <c r="M181" s="120"/>
      <c r="N181" s="120"/>
      <c r="O181" s="120"/>
      <c r="P181" s="120"/>
      <c r="Q181" s="120"/>
    </row>
    <row r="182" spans="2:17" ht="18">
      <c r="B182" s="1063" t="s">
        <v>790</v>
      </c>
      <c r="C182" s="1513"/>
      <c r="D182" s="1513"/>
      <c r="E182" s="1513"/>
      <c r="F182" s="1513"/>
      <c r="G182" s="2175">
        <f>+H194</f>
        <v>127241302.8868773</v>
      </c>
      <c r="H182" s="2176">
        <v>164517558</v>
      </c>
      <c r="I182" s="120"/>
      <c r="J182" s="120"/>
      <c r="K182" s="120"/>
      <c r="L182" s="120"/>
      <c r="M182" s="120"/>
      <c r="N182" s="120"/>
      <c r="O182" s="120"/>
      <c r="P182" s="120"/>
      <c r="Q182" s="120"/>
    </row>
    <row r="183" spans="2:17" ht="18">
      <c r="B183" s="1060" t="s">
        <v>791</v>
      </c>
      <c r="C183" s="1513"/>
      <c r="D183" s="1513"/>
      <c r="E183" s="1513"/>
      <c r="F183" s="1513"/>
      <c r="G183" s="1849">
        <v>0</v>
      </c>
      <c r="H183" s="1850">
        <v>0</v>
      </c>
      <c r="I183" s="120"/>
      <c r="J183" s="120"/>
      <c r="K183" s="120"/>
      <c r="L183" s="120"/>
      <c r="M183" s="120"/>
      <c r="N183" s="120"/>
      <c r="O183" s="120"/>
      <c r="P183" s="120"/>
      <c r="Q183" s="120"/>
    </row>
    <row r="184" spans="2:17" ht="18">
      <c r="B184" s="1060" t="s">
        <v>797</v>
      </c>
      <c r="C184" s="1513"/>
      <c r="D184" s="1513"/>
      <c r="E184" s="1513"/>
      <c r="F184" s="1513"/>
      <c r="G184" s="1849">
        <v>0</v>
      </c>
      <c r="H184" s="1850">
        <v>0</v>
      </c>
      <c r="I184" s="120"/>
      <c r="J184" s="120"/>
      <c r="K184" s="120"/>
      <c r="L184" s="120"/>
      <c r="M184" s="120"/>
      <c r="N184" s="120"/>
      <c r="O184" s="120"/>
      <c r="P184" s="120"/>
      <c r="Q184" s="120"/>
    </row>
    <row r="185" spans="2:17" ht="18">
      <c r="B185" s="1060" t="s">
        <v>792</v>
      </c>
      <c r="C185" s="1513"/>
      <c r="D185" s="1513"/>
      <c r="E185" s="1513"/>
      <c r="F185" s="1513"/>
      <c r="G185" s="2177">
        <f>+G182+G183+G184</f>
        <v>127241302.8868773</v>
      </c>
      <c r="H185" s="2178">
        <f>+H182+H183+H184</f>
        <v>164517558</v>
      </c>
      <c r="I185" s="120"/>
      <c r="J185" s="120"/>
      <c r="K185" s="120"/>
      <c r="L185" s="120"/>
      <c r="M185" s="120"/>
      <c r="N185" s="120"/>
      <c r="O185" s="120"/>
      <c r="P185" s="120"/>
      <c r="Q185" s="120"/>
    </row>
    <row r="186" spans="2:17" ht="18">
      <c r="B186" s="1060" t="s">
        <v>798</v>
      </c>
      <c r="C186" s="1513"/>
      <c r="D186" s="1513"/>
      <c r="E186" s="1513"/>
      <c r="F186" s="1513"/>
      <c r="G186" s="2071">
        <f>+G102</f>
        <v>-51111376.259682491</v>
      </c>
      <c r="H186" s="2072">
        <f>+H102</f>
        <v>-37729676.113122702</v>
      </c>
      <c r="I186" s="120"/>
      <c r="J186" s="120"/>
      <c r="K186" s="120"/>
      <c r="L186" s="120"/>
      <c r="M186" s="120"/>
      <c r="N186" s="120"/>
      <c r="O186" s="120"/>
      <c r="P186" s="120"/>
      <c r="Q186" s="120"/>
    </row>
    <row r="187" spans="2:17" ht="18">
      <c r="B187" s="1060" t="s">
        <v>799</v>
      </c>
      <c r="C187" s="1513"/>
      <c r="D187" s="1513"/>
      <c r="E187" s="1513"/>
      <c r="F187" s="1513"/>
      <c r="G187" s="2084">
        <f>+G109</f>
        <v>1451163</v>
      </c>
      <c r="H187" s="2085">
        <f>+H109</f>
        <v>453421</v>
      </c>
      <c r="I187" s="120"/>
      <c r="J187" s="120"/>
      <c r="K187" s="120"/>
      <c r="L187" s="120"/>
      <c r="M187" s="120"/>
      <c r="N187" s="120"/>
      <c r="O187" s="120"/>
      <c r="P187" s="120"/>
      <c r="Q187" s="120"/>
    </row>
    <row r="188" spans="2:17" ht="18">
      <c r="B188" s="1060" t="s">
        <v>800</v>
      </c>
      <c r="C188" s="1513"/>
      <c r="D188" s="1513"/>
      <c r="E188" s="1513"/>
      <c r="F188" s="1513"/>
      <c r="G188" s="2071">
        <f>+G186+G187</f>
        <v>-49660213.259682491</v>
      </c>
      <c r="H188" s="2072">
        <f>+H186+H187</f>
        <v>-37276255.113122702</v>
      </c>
      <c r="I188" s="120"/>
      <c r="J188" s="120"/>
      <c r="K188" s="120"/>
      <c r="L188" s="120"/>
      <c r="M188" s="120"/>
      <c r="N188" s="120"/>
      <c r="O188" s="120"/>
      <c r="P188" s="120"/>
      <c r="Q188" s="120"/>
    </row>
    <row r="189" spans="2:17" ht="18">
      <c r="B189" s="1066" t="s">
        <v>801</v>
      </c>
      <c r="C189" s="1513"/>
      <c r="D189" s="1513"/>
      <c r="E189" s="1513"/>
      <c r="F189" s="1513"/>
      <c r="G189" s="2071"/>
      <c r="H189" s="2072"/>
      <c r="I189" s="120"/>
      <c r="J189" s="120"/>
      <c r="K189" s="120"/>
      <c r="L189" s="120"/>
      <c r="M189" s="120"/>
      <c r="N189" s="120"/>
      <c r="O189" s="120"/>
      <c r="P189" s="120"/>
      <c r="Q189" s="120"/>
    </row>
    <row r="190" spans="2:17" ht="18">
      <c r="B190" s="1060" t="s">
        <v>802</v>
      </c>
      <c r="C190" s="1513"/>
      <c r="D190" s="1513"/>
      <c r="E190" s="1513"/>
      <c r="F190" s="1513"/>
      <c r="G190" s="1849">
        <v>0</v>
      </c>
      <c r="H190" s="1850">
        <v>0</v>
      </c>
      <c r="I190" s="120"/>
      <c r="J190" s="120"/>
      <c r="K190" s="120"/>
      <c r="L190" s="120"/>
      <c r="M190" s="120"/>
      <c r="N190" s="120"/>
      <c r="O190" s="120"/>
      <c r="P190" s="120"/>
      <c r="Q190" s="120"/>
    </row>
    <row r="191" spans="2:17" ht="18">
      <c r="B191" s="1060" t="s">
        <v>803</v>
      </c>
      <c r="C191" s="1513"/>
      <c r="D191" s="1513"/>
      <c r="E191" s="1513"/>
      <c r="F191" s="1513"/>
      <c r="G191" s="1849">
        <v>0</v>
      </c>
      <c r="H191" s="1850">
        <v>0</v>
      </c>
      <c r="I191" s="120"/>
      <c r="J191" s="120"/>
      <c r="K191" s="120"/>
      <c r="L191" s="120"/>
      <c r="M191" s="120"/>
      <c r="N191" s="120"/>
      <c r="O191" s="120"/>
      <c r="P191" s="120"/>
      <c r="Q191" s="120"/>
    </row>
    <row r="192" spans="2:17" ht="18">
      <c r="B192" s="1060" t="s">
        <v>804</v>
      </c>
      <c r="C192" s="1513"/>
      <c r="D192" s="1513"/>
      <c r="E192" s="1513"/>
      <c r="F192" s="1513"/>
      <c r="G192" s="1849">
        <v>0</v>
      </c>
      <c r="H192" s="1850">
        <v>0</v>
      </c>
      <c r="I192" s="120"/>
      <c r="J192" s="120"/>
      <c r="K192" s="120"/>
      <c r="L192" s="120"/>
      <c r="M192" s="120"/>
      <c r="N192" s="120"/>
      <c r="O192" s="120"/>
      <c r="P192" s="120"/>
      <c r="Q192" s="120"/>
    </row>
    <row r="193" spans="2:20" ht="18">
      <c r="B193" s="1060" t="s">
        <v>2891</v>
      </c>
      <c r="C193" s="1513"/>
      <c r="D193" s="1513"/>
      <c r="E193" s="1513"/>
      <c r="F193" s="1513"/>
      <c r="G193" s="1849">
        <v>0</v>
      </c>
      <c r="H193" s="1850">
        <v>0</v>
      </c>
      <c r="I193" s="120"/>
      <c r="J193" s="120"/>
      <c r="K193" s="120"/>
      <c r="L193" s="120"/>
      <c r="M193" s="120"/>
      <c r="N193" s="120"/>
      <c r="O193" s="120"/>
      <c r="P193" s="120"/>
      <c r="Q193" s="120"/>
    </row>
    <row r="194" spans="2:20" ht="18">
      <c r="B194" s="1060" t="s">
        <v>464</v>
      </c>
      <c r="C194" s="1513"/>
      <c r="D194" s="1513"/>
      <c r="E194" s="1513"/>
      <c r="F194" s="1513"/>
      <c r="G194" s="2086">
        <f>+G185+G188-SUM(G191:G193)</f>
        <v>77581089.627194807</v>
      </c>
      <c r="H194" s="2087">
        <f>+H185+H188-SUM(H191:H193)</f>
        <v>127241302.8868773</v>
      </c>
      <c r="I194" s="120"/>
      <c r="J194" s="120"/>
      <c r="K194" s="120"/>
      <c r="L194" s="120"/>
      <c r="M194" s="120"/>
      <c r="N194" s="120"/>
      <c r="O194" s="120"/>
      <c r="P194" s="120"/>
      <c r="Q194" s="120"/>
      <c r="S194" s="1">
        <f>+S195/100000</f>
        <v>1084.6002462719482</v>
      </c>
      <c r="T194" s="1">
        <f>+T195/100000</f>
        <v>1581.2023788687729</v>
      </c>
    </row>
    <row r="195" spans="2:20" ht="18">
      <c r="B195" s="1069"/>
      <c r="C195" s="53"/>
      <c r="D195" s="53"/>
      <c r="E195" s="53"/>
      <c r="F195" s="53"/>
      <c r="G195" s="2179">
        <f>G194+G171+G164+G157+G179</f>
        <v>159365028.62719482</v>
      </c>
      <c r="H195" s="2180">
        <f>H194+H171+H164+H157+H179</f>
        <v>209025241.8868773</v>
      </c>
      <c r="I195" s="2004"/>
      <c r="J195" s="2004"/>
      <c r="K195" s="2004"/>
      <c r="L195" s="2004"/>
      <c r="M195" s="2004"/>
      <c r="N195" s="2004"/>
      <c r="O195" s="2004"/>
      <c r="P195" s="2004"/>
      <c r="Q195" s="2004"/>
      <c r="S195" s="1">
        <f>+G195-G179</f>
        <v>108460024.62719482</v>
      </c>
      <c r="T195" s="1">
        <f>+H195-H179</f>
        <v>158120237.8868773</v>
      </c>
    </row>
    <row r="196" spans="2:20" ht="18">
      <c r="B196" s="1070"/>
      <c r="C196" s="1071"/>
      <c r="D196" s="1071"/>
      <c r="E196" s="1071"/>
      <c r="F196" s="1071"/>
      <c r="G196" s="1072"/>
      <c r="H196" s="1073"/>
      <c r="I196" s="120"/>
      <c r="J196" s="120"/>
      <c r="K196" s="120"/>
      <c r="L196" s="120"/>
      <c r="M196" s="120"/>
      <c r="N196" s="120"/>
      <c r="O196" s="120"/>
      <c r="P196" s="120"/>
      <c r="Q196" s="120"/>
    </row>
    <row r="197" spans="2:20" ht="18">
      <c r="B197" s="1049" t="s">
        <v>738</v>
      </c>
      <c r="C197" s="1533"/>
      <c r="D197" s="1533"/>
      <c r="E197" s="1533"/>
      <c r="F197" s="1533"/>
      <c r="G197" s="54"/>
      <c r="H197" s="1074"/>
      <c r="I197" s="54"/>
      <c r="J197" s="54"/>
      <c r="K197" s="54"/>
      <c r="L197" s="54"/>
      <c r="M197" s="54"/>
      <c r="N197" s="54"/>
      <c r="O197" s="54"/>
      <c r="P197" s="54"/>
      <c r="Q197" s="54"/>
    </row>
    <row r="198" spans="2:20" ht="18">
      <c r="B198" s="989" t="str">
        <f>+B119</f>
        <v>As per our report of even date</v>
      </c>
      <c r="C198" s="990"/>
      <c r="D198" s="990"/>
      <c r="E198" s="990"/>
      <c r="F198" s="1504" t="s">
        <v>740</v>
      </c>
      <c r="G198" s="21"/>
      <c r="H198" s="1032"/>
      <c r="I198" s="21"/>
      <c r="J198" s="21"/>
      <c r="K198" s="21"/>
      <c r="L198" s="21"/>
      <c r="M198" s="21"/>
      <c r="N198" s="21"/>
      <c r="O198" s="21"/>
      <c r="P198" s="21"/>
      <c r="Q198" s="21"/>
    </row>
    <row r="199" spans="2:20" ht="18">
      <c r="B199" s="992" t="str">
        <f>+B121</f>
        <v>FOR DARAK AND ASSOCIATES</v>
      </c>
      <c r="C199" s="1508"/>
      <c r="D199" s="1508"/>
      <c r="E199" s="1508"/>
      <c r="F199" s="1504"/>
      <c r="G199" s="21"/>
      <c r="H199" s="1032"/>
      <c r="I199" s="21"/>
      <c r="J199" s="21"/>
      <c r="K199" s="21"/>
      <c r="L199" s="21"/>
      <c r="M199" s="21"/>
      <c r="N199" s="21"/>
      <c r="O199" s="21"/>
      <c r="P199" s="21"/>
      <c r="Q199" s="21"/>
    </row>
    <row r="200" spans="2:20" ht="18">
      <c r="B200" s="992" t="str">
        <f>+B122</f>
        <v>CHARTERED ACCOUNTANTS</v>
      </c>
      <c r="C200" s="1508"/>
      <c r="D200" s="1508"/>
      <c r="E200" s="1508"/>
      <c r="F200" s="1504"/>
      <c r="G200" s="21"/>
      <c r="H200" s="1032"/>
      <c r="I200" s="21"/>
      <c r="J200" s="21"/>
      <c r="K200" s="21"/>
      <c r="L200" s="21"/>
      <c r="M200" s="21"/>
      <c r="N200" s="21"/>
      <c r="O200" s="21"/>
      <c r="P200" s="21"/>
      <c r="Q200" s="21"/>
    </row>
    <row r="201" spans="2:20" ht="18">
      <c r="B201" s="992" t="str">
        <f>+B123</f>
        <v>FIRM REGISTRATION NO.: 132818W</v>
      </c>
      <c r="C201" s="993"/>
      <c r="D201" s="993"/>
      <c r="E201" s="993"/>
      <c r="F201" s="1503" t="str">
        <f>+F121</f>
        <v>ANIL KUMAR LAKHOTIYA - MANAGING  DIRECTOR</v>
      </c>
      <c r="G201" s="21"/>
      <c r="H201" s="1032"/>
      <c r="I201" s="21"/>
      <c r="J201" s="21"/>
      <c r="K201" s="21"/>
      <c r="L201" s="21"/>
      <c r="M201" s="21"/>
      <c r="N201" s="21"/>
      <c r="O201" s="21"/>
      <c r="P201" s="21"/>
      <c r="Q201" s="21"/>
    </row>
    <row r="202" spans="2:20" ht="18">
      <c r="B202" s="992"/>
      <c r="C202" s="993"/>
      <c r="D202" s="993"/>
      <c r="E202" s="993"/>
      <c r="F202" s="1504" t="str">
        <f>+F122</f>
        <v>(DIN:00367361)</v>
      </c>
      <c r="G202" s="21"/>
      <c r="H202" s="1032"/>
      <c r="I202" s="21"/>
      <c r="J202" s="21"/>
      <c r="K202" s="21"/>
      <c r="L202" s="21"/>
      <c r="M202" s="21"/>
      <c r="N202" s="21"/>
      <c r="O202" s="21"/>
      <c r="P202" s="21"/>
      <c r="Q202" s="21"/>
    </row>
    <row r="203" spans="2:20" ht="18">
      <c r="B203" s="992"/>
      <c r="C203" s="1508"/>
      <c r="D203" s="1508"/>
      <c r="E203" s="1508"/>
      <c r="F203" s="1511"/>
      <c r="G203" s="23"/>
      <c r="H203" s="1033"/>
      <c r="I203" s="23"/>
      <c r="J203" s="23"/>
      <c r="K203" s="23"/>
      <c r="L203" s="23"/>
      <c r="M203" s="23"/>
      <c r="N203" s="23"/>
      <c r="O203" s="23"/>
      <c r="P203" s="23"/>
      <c r="Q203" s="23"/>
    </row>
    <row r="204" spans="2:20" ht="18">
      <c r="B204" s="992"/>
      <c r="C204" s="1508"/>
      <c r="D204" s="1508"/>
      <c r="E204" s="1508"/>
      <c r="F204" s="1508"/>
      <c r="G204" s="21"/>
      <c r="H204" s="1032"/>
      <c r="I204" s="21"/>
      <c r="J204" s="21"/>
      <c r="K204" s="21"/>
      <c r="L204" s="21"/>
      <c r="M204" s="21"/>
      <c r="N204" s="21"/>
      <c r="O204" s="21"/>
      <c r="P204" s="21"/>
      <c r="Q204" s="21"/>
    </row>
    <row r="205" spans="2:20" ht="18">
      <c r="B205" s="992" t="str">
        <f>+B127</f>
        <v>SUMIT M. DARAK</v>
      </c>
      <c r="C205" s="1508"/>
      <c r="D205" s="1508"/>
      <c r="E205" s="1508"/>
      <c r="F205" s="993" t="str">
        <f>+F125</f>
        <v>KAILASH AGARWAL - WHOLE TIME DIRECTOR</v>
      </c>
      <c r="G205" s="21"/>
      <c r="H205" s="1032"/>
      <c r="I205" s="21"/>
      <c r="J205" s="21"/>
      <c r="K205" s="21"/>
      <c r="L205" s="21"/>
      <c r="M205" s="21"/>
      <c r="N205" s="21"/>
      <c r="O205" s="21"/>
      <c r="P205" s="21"/>
      <c r="Q205" s="21"/>
    </row>
    <row r="206" spans="2:20" ht="18">
      <c r="B206" s="992" t="str">
        <f>+B128</f>
        <v>PARTNER</v>
      </c>
      <c r="C206" s="993"/>
      <c r="D206" s="993"/>
      <c r="E206" s="993"/>
      <c r="F206" s="1508" t="str">
        <f>+F126</f>
        <v>(DIN:00367292)</v>
      </c>
      <c r="G206" s="21"/>
      <c r="H206" s="1032"/>
      <c r="I206" s="21"/>
      <c r="J206" s="21"/>
      <c r="K206" s="21"/>
      <c r="L206" s="21"/>
      <c r="M206" s="21"/>
      <c r="N206" s="21"/>
      <c r="O206" s="21"/>
      <c r="P206" s="21"/>
      <c r="Q206" s="21"/>
    </row>
    <row r="207" spans="2:20" ht="18">
      <c r="B207" s="992" t="str">
        <f>+B129</f>
        <v>MEMBERSHIP NO. : 141902</v>
      </c>
      <c r="C207" s="24"/>
      <c r="D207" s="24"/>
      <c r="E207" s="24"/>
      <c r="F207" s="1511"/>
      <c r="G207" s="23"/>
      <c r="H207" s="1033"/>
      <c r="I207" s="23"/>
      <c r="J207" s="23"/>
      <c r="K207" s="23"/>
      <c r="L207" s="23"/>
      <c r="M207" s="23"/>
      <c r="N207" s="23"/>
      <c r="O207" s="23"/>
      <c r="P207" s="23"/>
      <c r="Q207" s="23"/>
    </row>
    <row r="208" spans="2:20" ht="18">
      <c r="B208" s="992"/>
      <c r="C208" s="25"/>
      <c r="D208" s="25"/>
      <c r="E208" s="25"/>
      <c r="F208" s="1508"/>
      <c r="G208" s="21"/>
      <c r="H208" s="1032"/>
      <c r="I208" s="21"/>
      <c r="J208" s="21"/>
      <c r="K208" s="21"/>
      <c r="L208" s="21"/>
      <c r="M208" s="21"/>
      <c r="N208" s="21"/>
      <c r="O208" s="21"/>
      <c r="P208" s="21"/>
      <c r="Q208" s="21"/>
    </row>
    <row r="209" spans="2:17" ht="18">
      <c r="B209" s="996" t="str">
        <f>+B131</f>
        <v>Place: Nagpur</v>
      </c>
      <c r="C209" s="25"/>
      <c r="D209" s="25"/>
      <c r="E209" s="25"/>
      <c r="F209" s="2354" t="str">
        <f>+F129</f>
        <v>JARNAIL SINGH SAINI - CHIEF FINANCIAL OFFICER &amp; EXECUTIVE DIRECTOR</v>
      </c>
      <c r="G209" s="2354"/>
      <c r="H209" s="2355"/>
      <c r="I209" s="1888"/>
      <c r="J209" s="1888"/>
      <c r="K209" s="1888"/>
      <c r="L209" s="1888"/>
      <c r="M209" s="1888"/>
      <c r="N209" s="1888"/>
      <c r="O209" s="1888"/>
      <c r="P209" s="1888"/>
      <c r="Q209" s="1888"/>
    </row>
    <row r="210" spans="2:17" ht="18">
      <c r="B210" s="996" t="str">
        <f>+B132</f>
        <v>Date: 29/05/2024</v>
      </c>
      <c r="C210" s="25"/>
      <c r="D210" s="25"/>
      <c r="E210" s="25"/>
      <c r="F210" s="2362" t="str">
        <f>+F130</f>
        <v>(DIN:00367656)</v>
      </c>
      <c r="G210" s="2362"/>
      <c r="H210" s="2363"/>
      <c r="I210" s="1890"/>
      <c r="J210" s="1890"/>
      <c r="K210" s="1890"/>
      <c r="L210" s="1890"/>
      <c r="M210" s="1890"/>
      <c r="N210" s="1890"/>
      <c r="O210" s="1890"/>
      <c r="P210" s="1890"/>
      <c r="Q210" s="1890"/>
    </row>
    <row r="211" spans="2:17" ht="18">
      <c r="B211" s="992" t="str">
        <f>+B133</f>
        <v>UDIN: 24141902BKCZE8571</v>
      </c>
      <c r="C211" s="1508"/>
      <c r="D211" s="1508"/>
      <c r="E211" s="1508"/>
      <c r="F211" s="1508"/>
      <c r="G211" s="21"/>
      <c r="H211" s="1032"/>
      <c r="I211" s="21"/>
      <c r="J211" s="21"/>
      <c r="K211" s="21"/>
      <c r="L211" s="21"/>
      <c r="M211" s="21"/>
      <c r="N211" s="21"/>
      <c r="O211" s="21"/>
      <c r="P211" s="21"/>
      <c r="Q211" s="21"/>
    </row>
    <row r="212" spans="2:17" ht="18">
      <c r="B212" s="992"/>
      <c r="C212" s="1508"/>
      <c r="D212" s="1508"/>
      <c r="E212" s="1508"/>
      <c r="F212" s="1508"/>
      <c r="G212" s="21"/>
      <c r="H212" s="1032"/>
      <c r="I212" s="21"/>
      <c r="J212" s="21"/>
      <c r="K212" s="21"/>
      <c r="L212" s="21"/>
      <c r="M212" s="21"/>
      <c r="N212" s="21"/>
      <c r="O212" s="21"/>
      <c r="P212" s="21"/>
      <c r="Q212" s="21"/>
    </row>
    <row r="213" spans="2:17" ht="18">
      <c r="B213" s="996"/>
      <c r="C213" s="1508"/>
      <c r="D213" s="1508"/>
      <c r="E213" s="1508"/>
      <c r="F213" s="993" t="str">
        <f>+F133</f>
        <v>OMPRAKASH RATHI - WHOLE TIME DIRECTOR</v>
      </c>
      <c r="G213" s="21"/>
      <c r="H213" s="1032"/>
      <c r="I213" s="21"/>
      <c r="J213" s="21"/>
      <c r="K213" s="21"/>
      <c r="L213" s="21"/>
      <c r="M213" s="21"/>
      <c r="N213" s="21"/>
      <c r="O213" s="21"/>
      <c r="P213" s="21"/>
      <c r="Q213" s="21"/>
    </row>
    <row r="214" spans="2:17" ht="18">
      <c r="B214" s="996"/>
      <c r="C214" s="1508"/>
      <c r="D214" s="1508"/>
      <c r="E214" s="1508"/>
      <c r="F214" s="1508" t="str">
        <f>+F134</f>
        <v>(DIN:00895316)</v>
      </c>
      <c r="G214" s="23"/>
      <c r="H214" s="1033"/>
      <c r="I214" s="23"/>
      <c r="J214" s="23"/>
      <c r="K214" s="23"/>
      <c r="L214" s="23"/>
      <c r="M214" s="23"/>
      <c r="N214" s="23"/>
      <c r="O214" s="23"/>
      <c r="P214" s="23"/>
      <c r="Q214" s="23"/>
    </row>
    <row r="215" spans="2:17" ht="18">
      <c r="B215" s="996"/>
      <c r="C215" s="1508"/>
      <c r="D215" s="1508"/>
      <c r="E215" s="1508"/>
      <c r="F215" s="1508"/>
      <c r="G215" s="21"/>
      <c r="H215" s="1032"/>
      <c r="I215" s="21"/>
      <c r="J215" s="21"/>
      <c r="K215" s="21"/>
      <c r="L215" s="21"/>
      <c r="M215" s="21"/>
      <c r="N215" s="21"/>
      <c r="O215" s="21"/>
      <c r="P215" s="21"/>
      <c r="Q215" s="21"/>
    </row>
    <row r="216" spans="2:17" ht="18">
      <c r="B216" s="996"/>
      <c r="C216" s="1508"/>
      <c r="D216" s="1508"/>
      <c r="E216" s="1508"/>
      <c r="F216" s="1508"/>
      <c r="G216" s="21"/>
      <c r="H216" s="1032"/>
      <c r="I216" s="21"/>
      <c r="J216" s="21"/>
      <c r="K216" s="21"/>
      <c r="L216" s="21"/>
      <c r="M216" s="21"/>
      <c r="N216" s="21"/>
      <c r="O216" s="21"/>
      <c r="P216" s="21"/>
      <c r="Q216" s="21"/>
    </row>
    <row r="217" spans="2:17" ht="18">
      <c r="B217" s="996"/>
      <c r="C217" s="1508"/>
      <c r="D217" s="1508"/>
      <c r="E217" s="1508"/>
      <c r="F217" s="993" t="str">
        <f>+F137</f>
        <v>MAYANK LUNIYA - COMPANY SECRETARY</v>
      </c>
      <c r="G217" s="21"/>
      <c r="H217" s="1032"/>
      <c r="I217" s="21"/>
      <c r="J217" s="21"/>
      <c r="K217" s="21"/>
      <c r="L217" s="21"/>
      <c r="M217" s="21"/>
      <c r="N217" s="21"/>
      <c r="O217" s="21"/>
      <c r="P217" s="21"/>
      <c r="Q217" s="21"/>
    </row>
    <row r="218" spans="2:17" ht="18">
      <c r="B218" s="996"/>
      <c r="C218" s="1508"/>
      <c r="D218" s="1508"/>
      <c r="E218" s="1508"/>
      <c r="F218" s="1511"/>
      <c r="G218" s="23"/>
      <c r="H218" s="1033"/>
      <c r="I218" s="23"/>
      <c r="J218" s="23"/>
      <c r="K218" s="23"/>
      <c r="L218" s="23"/>
      <c r="M218" s="23"/>
      <c r="N218" s="23"/>
      <c r="O218" s="23"/>
      <c r="P218" s="23"/>
      <c r="Q218" s="23"/>
    </row>
    <row r="219" spans="2:17" ht="18">
      <c r="B219" s="996"/>
      <c r="C219" s="1508"/>
      <c r="D219" s="1508"/>
      <c r="E219" s="1508"/>
      <c r="F219" s="1508" t="str">
        <f>+F139</f>
        <v>Place: Nagpur</v>
      </c>
      <c r="G219" s="21"/>
      <c r="H219" s="1032"/>
      <c r="I219" s="21"/>
      <c r="J219" s="21"/>
      <c r="K219" s="21"/>
      <c r="L219" s="21"/>
      <c r="M219" s="21"/>
      <c r="N219" s="21"/>
      <c r="O219" s="21"/>
      <c r="P219" s="21"/>
      <c r="Q219" s="21"/>
    </row>
    <row r="220" spans="2:17" ht="18.600000000000001" thickBot="1">
      <c r="B220" s="1198"/>
      <c r="C220" s="1199"/>
      <c r="D220" s="1199"/>
      <c r="E220" s="1199"/>
      <c r="F220" s="1199" t="str">
        <f>+F140</f>
        <v>Date: 29/05/2024</v>
      </c>
      <c r="G220" s="1196"/>
      <c r="H220" s="1197"/>
      <c r="I220" s="21"/>
      <c r="J220" s="21"/>
      <c r="K220" s="21"/>
      <c r="L220" s="21"/>
      <c r="M220" s="21"/>
      <c r="N220" s="21"/>
      <c r="O220" s="21"/>
      <c r="P220" s="21"/>
      <c r="Q220" s="21"/>
    </row>
    <row r="221" spans="2:17" ht="18">
      <c r="B221" s="2367" t="s">
        <v>702</v>
      </c>
      <c r="C221" s="2368"/>
      <c r="D221" s="2368"/>
      <c r="E221" s="2368"/>
      <c r="F221" s="2368"/>
      <c r="G221" s="2368"/>
      <c r="H221" s="2369"/>
      <c r="I221" s="2002"/>
      <c r="J221" s="2002"/>
      <c r="K221" s="2002"/>
      <c r="L221" s="2002"/>
      <c r="M221" s="2002"/>
      <c r="N221" s="2002"/>
      <c r="O221" s="2002"/>
      <c r="P221" s="2002"/>
      <c r="Q221" s="2002"/>
    </row>
    <row r="222" spans="2:17" ht="18">
      <c r="B222" s="2377" t="s">
        <v>3056</v>
      </c>
      <c r="C222" s="2378"/>
      <c r="D222" s="2378"/>
      <c r="E222" s="2378"/>
      <c r="F222" s="2378"/>
      <c r="G222" s="2378"/>
      <c r="H222" s="2379"/>
      <c r="I222" s="1502"/>
      <c r="J222" s="1502"/>
      <c r="K222" s="1502"/>
      <c r="L222" s="1502"/>
      <c r="M222" s="1502"/>
      <c r="N222" s="1502"/>
      <c r="O222" s="1502"/>
      <c r="P222" s="1502"/>
      <c r="Q222" s="1502"/>
    </row>
    <row r="223" spans="2:17" ht="18">
      <c r="B223" s="1053" t="s">
        <v>0</v>
      </c>
      <c r="C223" s="1054"/>
      <c r="D223" s="1054"/>
      <c r="E223" s="1054"/>
      <c r="F223" s="1055"/>
      <c r="G223" s="1004" t="s">
        <v>704</v>
      </c>
      <c r="H223" s="1005" t="s">
        <v>704</v>
      </c>
      <c r="I223" s="1996"/>
      <c r="J223" s="1996"/>
      <c r="K223" s="1996"/>
      <c r="L223" s="1996"/>
      <c r="M223" s="1996"/>
      <c r="N223" s="1996"/>
      <c r="O223" s="1996"/>
      <c r="P223" s="1996"/>
      <c r="Q223" s="1996"/>
    </row>
    <row r="224" spans="2:17" ht="18">
      <c r="B224" s="1036"/>
      <c r="C224" s="44"/>
      <c r="D224" s="44"/>
      <c r="E224" s="44"/>
      <c r="F224" s="45"/>
      <c r="G224" s="30" t="str">
        <f>+G7</f>
        <v>March 31, 2024 (₹)</v>
      </c>
      <c r="H224" s="1038" t="str">
        <f>+H7</f>
        <v>March 31, 2023 (₹)</v>
      </c>
      <c r="I224" s="1996"/>
      <c r="J224" s="1996"/>
      <c r="K224" s="1996"/>
      <c r="L224" s="1996"/>
      <c r="M224" s="1996"/>
      <c r="N224" s="1996"/>
      <c r="O224" s="1996"/>
      <c r="P224" s="1996"/>
      <c r="Q224" s="1996"/>
    </row>
    <row r="225" spans="2:18" ht="18">
      <c r="B225" s="1063"/>
      <c r="C225" s="24"/>
      <c r="D225" s="24"/>
      <c r="E225" s="24"/>
      <c r="F225" s="1503"/>
      <c r="G225" s="55"/>
      <c r="H225" s="1075"/>
      <c r="I225" s="1996"/>
      <c r="J225" s="1996"/>
      <c r="K225" s="1996"/>
      <c r="L225" s="1996"/>
      <c r="M225" s="1996"/>
      <c r="N225" s="1996"/>
      <c r="O225" s="1996"/>
      <c r="P225" s="1996"/>
      <c r="Q225" s="1996"/>
    </row>
    <row r="226" spans="2:18" ht="18">
      <c r="B226" s="1076" t="s">
        <v>805</v>
      </c>
      <c r="C226" s="56"/>
      <c r="D226" s="56"/>
      <c r="E226" s="56"/>
      <c r="F226" s="1504"/>
      <c r="G226" s="48"/>
      <c r="H226" s="1059"/>
      <c r="I226" s="21"/>
      <c r="J226" s="21"/>
      <c r="K226" s="21"/>
      <c r="L226" s="21"/>
      <c r="M226" s="21"/>
      <c r="N226" s="21"/>
      <c r="O226" s="21"/>
      <c r="P226" s="21"/>
      <c r="Q226" s="21"/>
    </row>
    <row r="227" spans="2:18" ht="18">
      <c r="B227" s="1077" t="s">
        <v>806</v>
      </c>
      <c r="C227" s="56"/>
      <c r="D227" s="56"/>
      <c r="E227" s="56"/>
      <c r="F227" s="1504"/>
      <c r="G227" s="48"/>
      <c r="H227" s="1059"/>
      <c r="I227" s="21"/>
      <c r="J227" s="21"/>
      <c r="K227" s="21"/>
      <c r="L227" s="21"/>
      <c r="M227" s="21"/>
      <c r="N227" s="21"/>
      <c r="O227" s="21"/>
      <c r="P227" s="21"/>
      <c r="Q227" s="21"/>
    </row>
    <row r="228" spans="2:18" ht="18">
      <c r="B228" s="2328" t="s">
        <v>807</v>
      </c>
      <c r="C228" s="2329"/>
      <c r="D228" s="2329"/>
      <c r="E228" s="2329"/>
      <c r="F228" s="2329"/>
      <c r="G228" s="2090">
        <f>+GETPIVOTDATA("Sum of Dr. Final 23-24",Pivot!$A$1,"Note",3,"BS Main Head","Other Financial Assets - Non Current")-GETPIVOTDATA("Sum of Cr. Final 23-24",Pivot!$A$1,"Note",3,"BS Main Head","Other Financial Assets - Non Current")</f>
        <v>3457331</v>
      </c>
      <c r="H228" s="2091">
        <f>+GETPIVOTDATA("Sum of Dr. Final 22-23",Pivot!$A$1,"Note",3,"BS Main Head","Other Financial Assets - Non Current")-GETPIVOTDATA("Sum of Cr. Final 22-23",Pivot!$A$1,"Note",3,"BS Main Head","Other Financial Assets - Non Current")</f>
        <v>3469626</v>
      </c>
      <c r="I228" s="54"/>
      <c r="J228" s="54"/>
      <c r="K228" s="54"/>
      <c r="L228" s="54"/>
      <c r="M228" s="54"/>
      <c r="N228" s="54"/>
      <c r="O228" s="54"/>
      <c r="P228" s="54"/>
      <c r="Q228" s="54"/>
    </row>
    <row r="229" spans="2:18" ht="18">
      <c r="B229" s="2393" t="s">
        <v>808</v>
      </c>
      <c r="C229" s="2394"/>
      <c r="D229" s="2394"/>
      <c r="E229" s="2394"/>
      <c r="F229" s="2394"/>
      <c r="G229" s="2090"/>
      <c r="H229" s="2091"/>
      <c r="I229" s="2005"/>
      <c r="J229" s="2005"/>
      <c r="K229" s="2005"/>
      <c r="L229" s="2005"/>
      <c r="M229" s="2005"/>
      <c r="N229" s="2005"/>
      <c r="O229" s="2005"/>
      <c r="P229" s="2005"/>
      <c r="Q229" s="2005"/>
    </row>
    <row r="230" spans="2:18" ht="18">
      <c r="B230" s="996"/>
      <c r="C230" s="1508"/>
      <c r="D230" s="1508"/>
      <c r="E230" s="1508"/>
      <c r="F230" s="1508"/>
      <c r="G230" s="2092"/>
      <c r="H230" s="2074"/>
      <c r="I230" s="21"/>
      <c r="J230" s="21"/>
      <c r="K230" s="21"/>
      <c r="L230" s="21"/>
      <c r="M230" s="21"/>
      <c r="N230" s="21"/>
      <c r="O230" s="21"/>
      <c r="P230" s="21"/>
      <c r="Q230" s="21"/>
    </row>
    <row r="231" spans="2:18" ht="18.600000000000001" thickBot="1">
      <c r="B231" s="1063"/>
      <c r="C231" s="24"/>
      <c r="D231" s="24"/>
      <c r="E231" s="24"/>
      <c r="F231" s="1504"/>
      <c r="G231" s="2069">
        <f>+SUM(G228:G230)</f>
        <v>3457331</v>
      </c>
      <c r="H231" s="2065">
        <f>+SUM(H228:H230)</f>
        <v>3469626</v>
      </c>
      <c r="I231" s="1998"/>
      <c r="J231" s="1998"/>
      <c r="K231" s="1998"/>
      <c r="L231" s="1998"/>
      <c r="M231" s="1998"/>
      <c r="N231" s="1998"/>
      <c r="O231" s="1998"/>
      <c r="P231" s="1998"/>
      <c r="Q231" s="1998"/>
    </row>
    <row r="232" spans="2:18" ht="18.600000000000001" thickTop="1">
      <c r="B232" s="1081"/>
      <c r="C232" s="61"/>
      <c r="D232" s="61"/>
      <c r="E232" s="61"/>
      <c r="F232" s="1504"/>
      <c r="G232" s="2092"/>
      <c r="H232" s="2074"/>
      <c r="I232" s="21"/>
      <c r="J232" s="21"/>
      <c r="K232" s="21"/>
      <c r="L232" s="21"/>
      <c r="M232" s="21"/>
      <c r="N232" s="21"/>
      <c r="O232" s="21"/>
      <c r="P232" s="21"/>
      <c r="Q232" s="21"/>
    </row>
    <row r="233" spans="2:18" ht="18">
      <c r="B233" s="1076" t="s">
        <v>809</v>
      </c>
      <c r="C233" s="56"/>
      <c r="D233" s="56"/>
      <c r="E233" s="56"/>
      <c r="F233" s="1504"/>
      <c r="G233" s="2092"/>
      <c r="H233" s="2074"/>
      <c r="I233" s="21"/>
      <c r="J233" s="21"/>
      <c r="K233" s="21"/>
      <c r="L233" s="21"/>
      <c r="M233" s="21"/>
      <c r="N233" s="21"/>
      <c r="O233" s="21"/>
      <c r="P233" s="21"/>
      <c r="Q233" s="21"/>
    </row>
    <row r="234" spans="2:18" ht="18">
      <c r="B234" s="1077" t="s">
        <v>806</v>
      </c>
      <c r="C234" s="56"/>
      <c r="D234" s="56"/>
      <c r="E234" s="56"/>
      <c r="F234" s="1504"/>
      <c r="G234" s="2092"/>
      <c r="H234" s="2074"/>
      <c r="I234" s="21"/>
      <c r="J234" s="21"/>
      <c r="K234" s="21"/>
      <c r="L234" s="21"/>
      <c r="M234" s="21"/>
      <c r="N234" s="21"/>
      <c r="O234" s="21"/>
      <c r="P234" s="21"/>
      <c r="Q234" s="21"/>
    </row>
    <row r="235" spans="2:18" ht="18">
      <c r="B235" s="1082" t="s">
        <v>810</v>
      </c>
      <c r="C235" s="1533"/>
      <c r="D235" s="1533"/>
      <c r="E235" s="1533"/>
      <c r="F235" s="1534"/>
      <c r="G235" s="2157">
        <v>0</v>
      </c>
      <c r="H235" s="2091">
        <f>+GETPIVOTDATA("Sum of Dr. Final 22-23",Pivot!$A$1,"Note",4,"BS Main Head","Other Non Current Assets","BS Sub Head","Advance For Capital Goods")+GETPIVOTDATA("Sum of Dr. Final 22-23",Pivot!$A$1,"PARTICULARS","NAV DURGA BOILER &amp; EQUIPMENTS P. LTD.","Note",18,"BS Main Head","Other Financial Liabilities - Current","BS Sub Head","Payable for Capital Goods")</f>
        <v>227000</v>
      </c>
      <c r="I235" s="2005"/>
      <c r="J235" s="2005"/>
      <c r="K235" s="2005"/>
      <c r="L235" s="2005"/>
      <c r="M235" s="2005"/>
      <c r="N235" s="2005"/>
      <c r="O235" s="2005"/>
      <c r="P235" s="2005"/>
      <c r="Q235" s="2005"/>
      <c r="R235" s="632" t="s">
        <v>3101</v>
      </c>
    </row>
    <row r="236" spans="2:18" ht="18">
      <c r="B236" s="1082" t="s">
        <v>119</v>
      </c>
      <c r="C236" s="1533"/>
      <c r="D236" s="1533"/>
      <c r="E236" s="1533"/>
      <c r="F236" s="1534"/>
      <c r="G236" s="2093">
        <f>+GETPIVOTDATA("Sum of Dr. Final 23-24",Pivot!$A$1,"Note",4,"BS Main Head","Other Non Current Assets","BS Sub Head","Long Term Deposits")-GETPIVOTDATA("Sum of Cr. Final 23-24",Pivot!$A$1,"Note",4,"BS Main Head","Other Non Current Assets","BS Sub Head","Long Term Deposits")</f>
        <v>8091977</v>
      </c>
      <c r="H236" s="2091">
        <f>+GETPIVOTDATA("Sum of Dr. Final 22-23",Pivot!$A$1,"Note",4,"BS Main Head","Other Non Current Assets","BS Sub Head","Long Term Deposits")</f>
        <v>5143597</v>
      </c>
      <c r="I236" s="2005"/>
      <c r="J236" s="2005"/>
      <c r="K236" s="2005"/>
      <c r="L236" s="2005"/>
      <c r="M236" s="2005"/>
      <c r="N236" s="2005"/>
      <c r="O236" s="2005"/>
      <c r="P236" s="2005"/>
      <c r="Q236" s="2005"/>
    </row>
    <row r="237" spans="2:18" ht="18">
      <c r="B237" s="2402" t="s">
        <v>112</v>
      </c>
      <c r="C237" s="2403"/>
      <c r="D237" s="2403"/>
      <c r="E237" s="2403"/>
      <c r="F237" s="2404"/>
      <c r="G237" s="2093">
        <f>+GETPIVOTDATA("Sum of Dr. Final 23-24",Pivot!$A$1,"Note",9,"BS Main Head","Other Financial Assets","BS Sub Head","Balance with Government Authorities")</f>
        <v>11114075</v>
      </c>
      <c r="H237" s="2091">
        <f>+GETPIVOTDATA("Sum of Dr. Final 22-23",Pivot!$A$1,"Note",9,"BS Main Head","Other Financial Assets","BS Sub Head","Balance with Government Authorities")-H293</f>
        <v>10639075</v>
      </c>
      <c r="I237" s="2005"/>
      <c r="J237" s="2005"/>
      <c r="K237" s="2005"/>
      <c r="L237" s="2005"/>
      <c r="M237" s="2005"/>
      <c r="N237" s="2005"/>
      <c r="O237" s="2005"/>
      <c r="P237" s="2005"/>
      <c r="Q237" s="2005"/>
    </row>
    <row r="238" spans="2:18" ht="18">
      <c r="B238" s="1063"/>
      <c r="C238" s="24"/>
      <c r="D238" s="24"/>
      <c r="E238" s="24"/>
      <c r="F238" s="1504"/>
      <c r="G238" s="2051">
        <f>+SUM(G235:G237)</f>
        <v>19206052</v>
      </c>
      <c r="H238" s="2055">
        <f>+SUM(H235:H237)</f>
        <v>16009672</v>
      </c>
      <c r="I238" s="1998"/>
      <c r="J238" s="1998"/>
      <c r="K238" s="1998"/>
      <c r="L238" s="1998"/>
      <c r="M238" s="1998"/>
      <c r="N238" s="1998"/>
      <c r="O238" s="1998"/>
      <c r="P238" s="1998"/>
      <c r="Q238" s="1998"/>
    </row>
    <row r="239" spans="2:18" ht="18">
      <c r="B239" s="1076" t="s">
        <v>811</v>
      </c>
      <c r="C239" s="56"/>
      <c r="D239" s="56"/>
      <c r="E239" s="56"/>
      <c r="F239" s="1504"/>
      <c r="G239" s="2092"/>
      <c r="H239" s="2074"/>
      <c r="I239" s="21"/>
      <c r="J239" s="21"/>
      <c r="K239" s="21"/>
      <c r="L239" s="21"/>
      <c r="M239" s="21"/>
      <c r="N239" s="21"/>
      <c r="O239" s="21"/>
      <c r="P239" s="21"/>
      <c r="Q239" s="21"/>
    </row>
    <row r="240" spans="2:18" ht="18">
      <c r="B240" s="1083" t="s">
        <v>812</v>
      </c>
      <c r="C240" s="56"/>
      <c r="D240" s="56"/>
      <c r="E240" s="56"/>
      <c r="F240" s="1504"/>
      <c r="G240" s="2092"/>
      <c r="H240" s="2074"/>
      <c r="I240" s="21"/>
      <c r="J240" s="21"/>
      <c r="K240" s="21"/>
      <c r="L240" s="21"/>
      <c r="M240" s="21"/>
      <c r="N240" s="21"/>
      <c r="O240" s="21"/>
      <c r="P240" s="21"/>
      <c r="Q240" s="21"/>
    </row>
    <row r="241" spans="2:19" ht="18">
      <c r="B241" s="1084" t="s">
        <v>813</v>
      </c>
      <c r="C241" s="1535"/>
      <c r="D241" s="1535"/>
      <c r="E241" s="1535"/>
      <c r="F241" s="1504"/>
      <c r="G241" s="2073">
        <f>+G500</f>
        <v>11927807</v>
      </c>
      <c r="H241" s="2074">
        <f>+H500</f>
        <v>34550733</v>
      </c>
      <c r="I241" s="21"/>
      <c r="J241" s="21"/>
      <c r="K241" s="21"/>
      <c r="L241" s="21"/>
      <c r="M241" s="21"/>
      <c r="N241" s="21"/>
      <c r="O241" s="21"/>
      <c r="P241" s="21"/>
      <c r="Q241" s="21"/>
    </row>
    <row r="242" spans="2:19" ht="18">
      <c r="B242" s="1063" t="s">
        <v>814</v>
      </c>
      <c r="C242" s="1535"/>
      <c r="D242" s="1535"/>
      <c r="E242" s="1535"/>
      <c r="F242" s="1504"/>
      <c r="G242" s="2092">
        <f>+V521+V522+V523</f>
        <v>10886616</v>
      </c>
      <c r="H242" s="2074">
        <v>11646721</v>
      </c>
      <c r="I242" s="21"/>
      <c r="J242" s="21"/>
      <c r="K242" s="21"/>
      <c r="L242" s="21"/>
      <c r="M242" s="21"/>
      <c r="N242" s="21"/>
      <c r="O242" s="21"/>
      <c r="P242" s="21"/>
      <c r="Q242" s="21"/>
    </row>
    <row r="243" spans="2:19" ht="18">
      <c r="B243" s="1084" t="s">
        <v>815</v>
      </c>
      <c r="C243" s="1535"/>
      <c r="D243" s="1535"/>
      <c r="E243" s="1535"/>
      <c r="F243" s="1504"/>
      <c r="G243" s="2073">
        <f>+G504</f>
        <v>4109107.7332667881</v>
      </c>
      <c r="H243" s="2074">
        <v>16465227</v>
      </c>
      <c r="I243" s="21"/>
      <c r="J243" s="21"/>
      <c r="K243" s="21"/>
      <c r="L243" s="21"/>
      <c r="M243" s="21"/>
      <c r="N243" s="21"/>
      <c r="O243" s="21"/>
      <c r="P243" s="21"/>
      <c r="Q243" s="21"/>
    </row>
    <row r="244" spans="2:19" ht="18">
      <c r="B244" s="1084" t="s">
        <v>816</v>
      </c>
      <c r="C244" s="1535"/>
      <c r="D244" s="1535"/>
      <c r="E244" s="1535"/>
      <c r="F244" s="1535"/>
      <c r="G244" s="2094"/>
      <c r="H244" s="2095"/>
      <c r="I244" s="121"/>
      <c r="J244" s="121"/>
      <c r="K244" s="121"/>
      <c r="L244" s="121"/>
      <c r="M244" s="121"/>
      <c r="N244" s="121"/>
      <c r="O244" s="121"/>
      <c r="P244" s="121"/>
      <c r="Q244" s="121"/>
    </row>
    <row r="245" spans="2:19" ht="18.600000000000001" thickBot="1">
      <c r="B245" s="1084"/>
      <c r="C245" s="1535"/>
      <c r="D245" s="1535"/>
      <c r="E245" s="1535"/>
      <c r="F245" s="1535"/>
      <c r="G245" s="2069">
        <f>+SUM(G241:G243)</f>
        <v>26923530.733266789</v>
      </c>
      <c r="H245" s="2065">
        <f>+SUM(H241:H243)</f>
        <v>62662681</v>
      </c>
      <c r="I245" s="1998"/>
      <c r="J245" s="1998"/>
      <c r="K245" s="1998"/>
      <c r="L245" s="1998"/>
      <c r="M245" s="1998"/>
      <c r="N245" s="1998"/>
      <c r="O245" s="1998"/>
      <c r="P245" s="1998"/>
      <c r="Q245" s="1998"/>
      <c r="S245">
        <f>25317900-26702009</f>
        <v>-1384109</v>
      </c>
    </row>
    <row r="246" spans="2:19" ht="18.600000000000001" thickTop="1">
      <c r="B246" s="1076" t="s">
        <v>817</v>
      </c>
      <c r="C246" s="56"/>
      <c r="D246" s="56"/>
      <c r="E246" s="56"/>
      <c r="F246" s="1504"/>
      <c r="G246" s="2092"/>
      <c r="H246" s="2074"/>
      <c r="I246" s="21"/>
      <c r="J246" s="21"/>
      <c r="K246" s="21"/>
      <c r="L246" s="21"/>
      <c r="M246" s="21"/>
      <c r="N246" s="21"/>
      <c r="O246" s="21"/>
      <c r="P246" s="21"/>
      <c r="Q246" s="21"/>
    </row>
    <row r="247" spans="2:19" ht="18">
      <c r="B247" s="1049" t="s">
        <v>806</v>
      </c>
      <c r="C247" s="1536"/>
      <c r="D247" s="1536"/>
      <c r="E247" s="1536"/>
      <c r="F247" s="1504"/>
      <c r="G247" s="2092"/>
      <c r="H247" s="2074"/>
      <c r="I247" s="21"/>
      <c r="J247" s="21"/>
      <c r="K247" s="21"/>
      <c r="L247" s="21"/>
      <c r="M247" s="21"/>
      <c r="N247" s="21"/>
      <c r="O247" s="21"/>
      <c r="P247" s="21"/>
      <c r="Q247" s="21"/>
    </row>
    <row r="248" spans="2:19" ht="18">
      <c r="B248" s="1084" t="s">
        <v>3107</v>
      </c>
      <c r="C248" s="1535"/>
      <c r="D248" s="1535"/>
      <c r="E248" s="1535"/>
      <c r="F248" s="1504"/>
      <c r="G248" s="2092">
        <f>+GETPIVOTDATA("Sum of Dr. Final 23-24",Pivot!$A$1,"Note",6,"BS Main Head","Financial Assets","BS Sub Head","Trade Receivables")-GETPIVOTDATA("Sum of Dr. Final 23-24",Pivot!$A$1,"PARTICULARS","CHANDRA COAL PVT. LTD. (SALE)","Note",6,"BS Main Head","Financial Assets","BS Sub Head","Trade Receivables")-GETPIVOTDATA("Sum of Dr. Final 23-24",Pivot!$A$1,"PARTICULARS","CHANDRA SALES CORPORATION(SALE)","Note",6,"BS Main Head","Financial Assets","BS Sub Head","Trade Receivables")-GETPIVOTDATA("Sum of Dr. Final 23-24",Pivot!$A$1,"PARTICULARS","RADHIKA SALES CORPORATION","Note",6,"BS Main Head","Financial Assets","BS Sub Head","Trade Receivables")</f>
        <v>69710981.019999996</v>
      </c>
      <c r="H248" s="2074">
        <f>+GETPIVOTDATA("Sum of Dr. Final 22-23",Pivot!$A$1,"Note",6,"BS Main Head","Financial Assets","BS Sub Head","Trade Receivables")-GETPIVOTDATA("Sum of Cr. Final 22-23",Pivot!$A$1,"Note",6,"BS Main Head","Financial Assets","BS Sub Head","Trade Receivables")-H251</f>
        <v>104597369.14</v>
      </c>
      <c r="I248" s="21"/>
      <c r="J248" s="21"/>
      <c r="K248" s="21"/>
      <c r="L248" s="21"/>
      <c r="M248" s="21"/>
      <c r="N248" s="21"/>
      <c r="O248" s="21"/>
      <c r="P248" s="21"/>
      <c r="Q248" s="21"/>
    </row>
    <row r="249" spans="2:19" ht="18">
      <c r="B249" s="1084" t="s">
        <v>3108</v>
      </c>
      <c r="C249" s="1535"/>
      <c r="D249" s="1535"/>
      <c r="E249" s="1535"/>
      <c r="F249" s="1504"/>
      <c r="G249" s="1848">
        <f>+GETPIVOTDATA("Sum of Dr. Final 23-24",Pivot!$A$1,"PARTICULARS","CHANDRA COAL PVT. LTD. (SALE)","Note",6,"BS Main Head","Financial Assets","BS Sub Head","Trade Receivables")+GETPIVOTDATA("Sum of Dr. Final 23-24",Pivot!$A$1,"PARTICULARS","CHANDRA SALES CORPORATION(SALE)","Note",6,"BS Main Head","Financial Assets","BS Sub Head","Trade Receivables")</f>
        <v>0</v>
      </c>
      <c r="H249" s="1047">
        <v>0</v>
      </c>
      <c r="I249" s="1874"/>
      <c r="J249" s="1874"/>
      <c r="K249" s="1874"/>
      <c r="L249" s="1874"/>
      <c r="M249" s="1874"/>
      <c r="N249" s="1874"/>
      <c r="O249" s="1874"/>
      <c r="P249" s="1874"/>
      <c r="Q249" s="1874"/>
    </row>
    <row r="250" spans="2:19" ht="18">
      <c r="B250" s="1084" t="s">
        <v>3109</v>
      </c>
      <c r="C250" s="1535"/>
      <c r="D250" s="1535"/>
      <c r="E250" s="1535"/>
      <c r="F250" s="1504"/>
      <c r="G250" s="1855">
        <v>0</v>
      </c>
      <c r="H250" s="1852">
        <v>0</v>
      </c>
      <c r="I250" s="21"/>
      <c r="J250" s="21"/>
      <c r="K250" s="21"/>
      <c r="L250" s="21"/>
      <c r="M250" s="21"/>
      <c r="N250" s="21"/>
      <c r="O250" s="21"/>
      <c r="P250" s="21"/>
      <c r="Q250" s="21"/>
    </row>
    <row r="251" spans="2:19" ht="18">
      <c r="B251" s="1084" t="s">
        <v>3110</v>
      </c>
      <c r="C251" s="1535"/>
      <c r="D251" s="1535"/>
      <c r="E251" s="1535"/>
      <c r="F251" s="1504"/>
      <c r="G251" s="2092">
        <f>+GETPIVOTDATA("Sum of Dr. Final 23-24",Pivot!$A$1,"PARTICULARS","RADHIKA SALES CORPORATION","Note",6,"BS Main Head","Financial Assets","BS Sub Head","Trade Receivables")</f>
        <v>11449790</v>
      </c>
      <c r="H251" s="2074">
        <f>+GETPIVOTDATA("Sum of Dr. Final 22-23",Pivot!$A$1,"PARTICULARS","CHANDRA COAL PVT. LTD. (SALE)","Note",6,"BS Main Head","Financial Assets","BS Sub Head","Trade Receivables")+GETPIVOTDATA("Sum of Dr. Final 22-23",Pivot!$A$1,"PARTICULARS","CHANDRA SALES CORPORATION(SALE)","Note",6,"BS Main Head","Financial Assets","BS Sub Head","Trade Receivables")</f>
        <v>11204873</v>
      </c>
      <c r="I251" s="21"/>
      <c r="J251" s="21"/>
      <c r="K251" s="21"/>
      <c r="L251" s="21"/>
      <c r="M251" s="21"/>
      <c r="N251" s="21"/>
      <c r="O251" s="21"/>
      <c r="P251" s="21"/>
      <c r="Q251" s="21"/>
    </row>
    <row r="252" spans="2:19" ht="18">
      <c r="B252" s="1084" t="s">
        <v>3111</v>
      </c>
      <c r="C252" s="1535"/>
      <c r="D252" s="1535"/>
      <c r="E252" s="1535"/>
      <c r="F252" s="1504"/>
      <c r="G252" s="1855">
        <v>0</v>
      </c>
      <c r="H252" s="1852">
        <v>0</v>
      </c>
      <c r="I252" s="21"/>
      <c r="J252" s="21"/>
      <c r="K252" s="21"/>
      <c r="L252" s="21"/>
      <c r="M252" s="21"/>
      <c r="N252" s="21"/>
      <c r="O252" s="21"/>
      <c r="P252" s="21"/>
      <c r="Q252" s="21"/>
    </row>
    <row r="253" spans="2:19" ht="18">
      <c r="B253" s="1084" t="s">
        <v>824</v>
      </c>
      <c r="C253" s="1535"/>
      <c r="D253" s="1535"/>
      <c r="E253" s="1535"/>
      <c r="F253" s="1504"/>
      <c r="G253" s="2051">
        <f>+SUM(G248:G251)</f>
        <v>81160771.019999996</v>
      </c>
      <c r="H253" s="2055">
        <f>+SUM(H248:H251)</f>
        <v>115802242.14</v>
      </c>
      <c r="I253" s="1998"/>
      <c r="J253" s="1998"/>
      <c r="K253" s="1998"/>
      <c r="L253" s="1998"/>
      <c r="M253" s="1998"/>
      <c r="N253" s="1998"/>
      <c r="O253" s="1998"/>
      <c r="P253" s="1998"/>
      <c r="Q253" s="1998"/>
    </row>
    <row r="254" spans="2:19" ht="18">
      <c r="B254" s="1084"/>
      <c r="C254" s="1535"/>
      <c r="D254" s="1535"/>
      <c r="E254" s="1535"/>
      <c r="F254" s="1504"/>
      <c r="G254" s="65"/>
      <c r="H254" s="1018"/>
      <c r="I254" s="1998"/>
      <c r="J254" s="1998"/>
      <c r="K254" s="1998"/>
      <c r="L254" s="1998"/>
      <c r="M254" s="1998"/>
      <c r="N254" s="1998"/>
      <c r="O254" s="1998"/>
      <c r="P254" s="1998"/>
      <c r="Q254" s="1998"/>
    </row>
    <row r="255" spans="2:19" ht="18">
      <c r="B255" s="1086" t="s">
        <v>818</v>
      </c>
      <c r="C255" s="1535"/>
      <c r="D255" s="1535"/>
      <c r="E255" s="1535"/>
      <c r="F255" s="1504"/>
      <c r="G255" s="65"/>
      <c r="H255" s="1018"/>
      <c r="I255" s="1998"/>
      <c r="J255" s="1998"/>
      <c r="K255" s="1998"/>
      <c r="L255" s="1998"/>
      <c r="M255" s="1998"/>
      <c r="N255" s="1998"/>
      <c r="O255" s="1998"/>
      <c r="P255" s="1998"/>
      <c r="Q255" s="1998"/>
    </row>
    <row r="256" spans="2:19" ht="36.75" customHeight="1">
      <c r="B256" s="2333" t="s">
        <v>463</v>
      </c>
      <c r="C256" s="2395" t="s">
        <v>3112</v>
      </c>
      <c r="D256" s="2396"/>
      <c r="E256" s="2396"/>
      <c r="F256" s="2396"/>
      <c r="G256" s="2396"/>
      <c r="H256" s="2397"/>
      <c r="I256" s="2006"/>
      <c r="J256" s="2006"/>
      <c r="K256" s="2006"/>
      <c r="L256" s="2006"/>
      <c r="M256" s="2006"/>
      <c r="N256" s="2006"/>
      <c r="O256" s="2006"/>
      <c r="P256" s="2006"/>
      <c r="Q256" s="2006"/>
    </row>
    <row r="257" spans="2:18" ht="18">
      <c r="B257" s="2333"/>
      <c r="C257" s="2398" t="s">
        <v>820</v>
      </c>
      <c r="D257" s="2399"/>
      <c r="E257" s="1270" t="s">
        <v>821</v>
      </c>
      <c r="F257" s="1268" t="s">
        <v>822</v>
      </c>
      <c r="G257" s="1268" t="s">
        <v>823</v>
      </c>
      <c r="H257" s="1455" t="s">
        <v>823</v>
      </c>
      <c r="I257" s="1998"/>
      <c r="J257" s="1998"/>
      <c r="K257" s="1998"/>
      <c r="L257" s="1998"/>
      <c r="M257" s="1998"/>
      <c r="N257" s="1998"/>
      <c r="O257" s="1998"/>
      <c r="P257" s="1998"/>
      <c r="Q257" s="1998"/>
    </row>
    <row r="258" spans="2:18" ht="36">
      <c r="B258" s="1475" t="s">
        <v>825</v>
      </c>
      <c r="C258" s="2433">
        <f>+'Debtor''s Ageing31.03.24'!J355+'Debtor''s Ageing31.03.24'!J357</f>
        <v>79063879</v>
      </c>
      <c r="D258" s="2434"/>
      <c r="E258" s="2096">
        <f>+'Debtor''s Ageing31.03.24'!K355+'Debtor''s Ageing31.03.24'!N357+'Debtor''s Ageing31.03.24'!F360-F258</f>
        <v>1865578</v>
      </c>
      <c r="F258" s="2096">
        <v>231314</v>
      </c>
      <c r="G258" s="1271">
        <v>0</v>
      </c>
      <c r="H258" s="1476">
        <v>0</v>
      </c>
      <c r="I258" s="2007"/>
      <c r="J258" s="2007"/>
      <c r="K258" s="2007"/>
      <c r="L258" s="2007"/>
      <c r="M258" s="2007"/>
      <c r="N258" s="2007"/>
      <c r="O258" s="2007"/>
      <c r="P258" s="2007"/>
      <c r="Q258" s="2007"/>
      <c r="R258" s="633"/>
    </row>
    <row r="259" spans="2:18" ht="36">
      <c r="B259" s="1475" t="s">
        <v>826</v>
      </c>
      <c r="C259" s="2400">
        <v>0</v>
      </c>
      <c r="D259" s="2401"/>
      <c r="E259" s="1271">
        <v>0</v>
      </c>
      <c r="F259" s="1271">
        <v>0</v>
      </c>
      <c r="G259" s="1271">
        <v>0</v>
      </c>
      <c r="H259" s="1476">
        <v>0</v>
      </c>
      <c r="I259" s="2007"/>
      <c r="J259" s="2007"/>
      <c r="K259" s="2007"/>
      <c r="L259" s="2007"/>
      <c r="M259" s="2007"/>
      <c r="N259" s="2007"/>
      <c r="O259" s="2007"/>
      <c r="P259" s="2007"/>
      <c r="Q259" s="2007"/>
    </row>
    <row r="260" spans="2:18" ht="36">
      <c r="B260" s="1475" t="s">
        <v>827</v>
      </c>
      <c r="C260" s="2400">
        <v>0</v>
      </c>
      <c r="D260" s="2401"/>
      <c r="E260" s="1271">
        <v>0</v>
      </c>
      <c r="F260" s="1271">
        <v>0</v>
      </c>
      <c r="G260" s="1271">
        <v>0</v>
      </c>
      <c r="H260" s="1476">
        <v>0</v>
      </c>
      <c r="I260" s="2007"/>
      <c r="J260" s="2007"/>
      <c r="K260" s="2007"/>
      <c r="L260" s="2007"/>
      <c r="M260" s="2007"/>
      <c r="N260" s="2007"/>
      <c r="O260" s="2007"/>
      <c r="P260" s="2007"/>
      <c r="Q260" s="2007"/>
    </row>
    <row r="261" spans="2:18" ht="36">
      <c r="B261" s="1475" t="s">
        <v>828</v>
      </c>
      <c r="C261" s="2400">
        <v>0</v>
      </c>
      <c r="D261" s="2401"/>
      <c r="E261" s="1271">
        <v>0</v>
      </c>
      <c r="F261" s="1271">
        <v>0</v>
      </c>
      <c r="G261" s="1271">
        <v>0</v>
      </c>
      <c r="H261" s="1476">
        <v>0</v>
      </c>
      <c r="I261" s="2007"/>
      <c r="J261" s="2007"/>
      <c r="K261" s="2007"/>
      <c r="L261" s="2007"/>
      <c r="M261" s="2007"/>
      <c r="N261" s="2007"/>
      <c r="O261" s="2007"/>
      <c r="P261" s="2007"/>
      <c r="Q261" s="2007"/>
    </row>
    <row r="262" spans="2:18" ht="18">
      <c r="B262" s="1084"/>
      <c r="C262" s="1535"/>
      <c r="D262" s="1535"/>
      <c r="E262" s="1535"/>
      <c r="F262" s="1504"/>
      <c r="G262" s="65"/>
      <c r="H262" s="1018"/>
      <c r="I262" s="1998"/>
      <c r="J262" s="1998"/>
      <c r="K262" s="1998"/>
      <c r="L262" s="1998"/>
      <c r="M262" s="1998"/>
      <c r="N262" s="1998"/>
      <c r="O262" s="1998"/>
      <c r="P262" s="1998"/>
      <c r="Q262" s="1998"/>
    </row>
    <row r="263" spans="2:18" ht="37.5" customHeight="1">
      <c r="B263" s="2333" t="s">
        <v>463</v>
      </c>
      <c r="C263" s="2395" t="s">
        <v>819</v>
      </c>
      <c r="D263" s="2405"/>
      <c r="E263" s="2405"/>
      <c r="F263" s="2405"/>
      <c r="G263" s="2405"/>
      <c r="H263" s="2406"/>
      <c r="I263" s="2008"/>
      <c r="J263" s="2008"/>
      <c r="K263" s="2008"/>
      <c r="L263" s="2008"/>
      <c r="M263" s="2008"/>
      <c r="N263" s="2008"/>
      <c r="O263" s="2008"/>
      <c r="P263" s="2008"/>
      <c r="Q263" s="2008"/>
    </row>
    <row r="264" spans="2:18" ht="18">
      <c r="B264" s="2333"/>
      <c r="C264" s="2398" t="s">
        <v>820</v>
      </c>
      <c r="D264" s="2399"/>
      <c r="E264" s="1270" t="s">
        <v>821</v>
      </c>
      <c r="F264" s="1268" t="s">
        <v>822</v>
      </c>
      <c r="G264" s="1268" t="s">
        <v>823</v>
      </c>
      <c r="H264" s="1455" t="s">
        <v>823</v>
      </c>
      <c r="I264" s="1998"/>
      <c r="J264" s="1998"/>
      <c r="K264" s="1998"/>
      <c r="L264" s="1998"/>
      <c r="M264" s="1998"/>
      <c r="N264" s="1998"/>
      <c r="O264" s="1998"/>
      <c r="P264" s="1998"/>
      <c r="Q264" s="1998"/>
    </row>
    <row r="265" spans="2:18" ht="36">
      <c r="B265" s="1475" t="s">
        <v>829</v>
      </c>
      <c r="C265" s="2435">
        <v>115570928</v>
      </c>
      <c r="D265" s="2436"/>
      <c r="E265" s="2096">
        <v>231314</v>
      </c>
      <c r="F265" s="1271">
        <v>0</v>
      </c>
      <c r="G265" s="1271">
        <v>0</v>
      </c>
      <c r="H265" s="1476">
        <v>0</v>
      </c>
      <c r="I265" s="2007"/>
      <c r="J265" s="2007"/>
      <c r="K265" s="2007"/>
      <c r="L265" s="2007"/>
      <c r="M265" s="2007"/>
      <c r="N265" s="2007"/>
      <c r="O265" s="2007"/>
      <c r="P265" s="2007"/>
      <c r="Q265" s="2007"/>
    </row>
    <row r="266" spans="2:18" ht="54">
      <c r="B266" s="1475" t="s">
        <v>830</v>
      </c>
      <c r="C266" s="2400">
        <v>0</v>
      </c>
      <c r="D266" s="2401"/>
      <c r="E266" s="1271">
        <v>0</v>
      </c>
      <c r="F266" s="1271">
        <v>0</v>
      </c>
      <c r="G266" s="1271">
        <v>0</v>
      </c>
      <c r="H266" s="1476">
        <v>0</v>
      </c>
      <c r="I266" s="2007"/>
      <c r="J266" s="2007"/>
      <c r="K266" s="2007"/>
      <c r="L266" s="2007"/>
      <c r="M266" s="2007"/>
      <c r="N266" s="2007"/>
      <c r="O266" s="2007"/>
      <c r="P266" s="2007"/>
      <c r="Q266" s="2007"/>
    </row>
    <row r="267" spans="2:18" ht="36">
      <c r="B267" s="1475" t="s">
        <v>831</v>
      </c>
      <c r="C267" s="2400">
        <v>0</v>
      </c>
      <c r="D267" s="2401"/>
      <c r="E267" s="1271">
        <v>0</v>
      </c>
      <c r="F267" s="1271">
        <v>0</v>
      </c>
      <c r="G267" s="1271">
        <v>0</v>
      </c>
      <c r="H267" s="1476">
        <v>0</v>
      </c>
      <c r="I267" s="2007"/>
      <c r="J267" s="2007"/>
      <c r="K267" s="2007"/>
      <c r="L267" s="2007"/>
      <c r="M267" s="2007"/>
      <c r="N267" s="2007"/>
      <c r="O267" s="2007"/>
      <c r="P267" s="2007"/>
      <c r="Q267" s="2007"/>
    </row>
    <row r="268" spans="2:18" ht="36">
      <c r="B268" s="1475" t="s">
        <v>828</v>
      </c>
      <c r="C268" s="2400">
        <v>0</v>
      </c>
      <c r="D268" s="2401"/>
      <c r="E268" s="1271">
        <v>0</v>
      </c>
      <c r="F268" s="1271">
        <v>0</v>
      </c>
      <c r="G268" s="1271">
        <v>0</v>
      </c>
      <c r="H268" s="1476">
        <v>0</v>
      </c>
      <c r="I268" s="2007"/>
      <c r="J268" s="2007"/>
      <c r="K268" s="2007"/>
      <c r="L268" s="2007"/>
      <c r="M268" s="2007"/>
      <c r="N268" s="2007"/>
      <c r="O268" s="2007"/>
      <c r="P268" s="2007"/>
      <c r="Q268" s="2007"/>
    </row>
    <row r="269" spans="2:18" ht="18">
      <c r="B269" s="1084"/>
      <c r="C269" s="1535"/>
      <c r="D269" s="1535"/>
      <c r="E269" s="1535"/>
      <c r="F269" s="1504"/>
      <c r="G269" s="1087"/>
      <c r="H269" s="1088"/>
      <c r="I269" s="1998"/>
      <c r="J269" s="1998"/>
      <c r="K269" s="1998"/>
      <c r="L269" s="1998"/>
      <c r="M269" s="1998"/>
      <c r="N269" s="1998"/>
      <c r="O269" s="1998"/>
      <c r="P269" s="1998"/>
      <c r="Q269" s="1998"/>
    </row>
    <row r="270" spans="2:18" ht="18">
      <c r="B270" s="2263" t="s">
        <v>832</v>
      </c>
      <c r="C270" s="2264"/>
      <c r="D270" s="2264"/>
      <c r="E270" s="2264"/>
      <c r="F270" s="2264"/>
      <c r="G270" s="2264"/>
      <c r="H270" s="2330"/>
      <c r="I270" s="1542"/>
      <c r="J270" s="1542"/>
      <c r="K270" s="1542"/>
      <c r="L270" s="1542"/>
      <c r="M270" s="1542"/>
      <c r="N270" s="1542"/>
      <c r="O270" s="1542"/>
      <c r="P270" s="1542"/>
      <c r="Q270" s="1542"/>
    </row>
    <row r="271" spans="2:18" ht="18">
      <c r="B271" s="2263" t="s">
        <v>2758</v>
      </c>
      <c r="C271" s="2264"/>
      <c r="D271" s="2264"/>
      <c r="E271" s="2264"/>
      <c r="F271" s="2264"/>
      <c r="G271" s="2264"/>
      <c r="H271" s="2330"/>
      <c r="I271" s="1542"/>
      <c r="J271" s="1542"/>
      <c r="K271" s="1542"/>
      <c r="L271" s="1542"/>
      <c r="M271" s="1542"/>
      <c r="N271" s="1542"/>
      <c r="O271" s="1542"/>
      <c r="P271" s="1542"/>
      <c r="Q271" s="1542"/>
    </row>
    <row r="272" spans="2:18" ht="18">
      <c r="B272" s="2263"/>
      <c r="C272" s="2264"/>
      <c r="D272" s="2264"/>
      <c r="E272" s="2264"/>
      <c r="F272" s="2264"/>
      <c r="G272" s="2264"/>
      <c r="H272" s="2330"/>
      <c r="I272" s="1542"/>
      <c r="J272" s="1542"/>
      <c r="K272" s="1542"/>
      <c r="L272" s="1542"/>
      <c r="M272" s="1542"/>
      <c r="N272" s="1542"/>
      <c r="O272" s="1542"/>
      <c r="P272" s="1542"/>
      <c r="Q272" s="1542"/>
    </row>
    <row r="273" spans="2:17" ht="85.2" customHeight="1" thickBot="1">
      <c r="B273" s="2380"/>
      <c r="C273" s="2381"/>
      <c r="D273" s="2381"/>
      <c r="E273" s="2381"/>
      <c r="F273" s="2381"/>
      <c r="G273" s="2381"/>
      <c r="H273" s="2382"/>
      <c r="I273" s="1542"/>
      <c r="J273" s="1542"/>
      <c r="K273" s="1542"/>
      <c r="L273" s="1542"/>
      <c r="M273" s="1542"/>
      <c r="N273" s="1542"/>
      <c r="O273" s="1542"/>
      <c r="P273" s="1542"/>
      <c r="Q273" s="1542"/>
    </row>
    <row r="274" spans="2:17" ht="18">
      <c r="B274" s="2367" t="s">
        <v>702</v>
      </c>
      <c r="C274" s="2368"/>
      <c r="D274" s="2368"/>
      <c r="E274" s="2368"/>
      <c r="F274" s="2368"/>
      <c r="G274" s="2368"/>
      <c r="H274" s="2369"/>
      <c r="I274" s="2002"/>
      <c r="J274" s="2002"/>
      <c r="K274" s="2002"/>
      <c r="L274" s="2002"/>
      <c r="M274" s="2002"/>
      <c r="N274" s="2002"/>
      <c r="O274" s="2002"/>
      <c r="P274" s="2002"/>
      <c r="Q274" s="2002"/>
    </row>
    <row r="275" spans="2:17" ht="18">
      <c r="B275" s="2377" t="s">
        <v>3056</v>
      </c>
      <c r="C275" s="2378"/>
      <c r="D275" s="2378"/>
      <c r="E275" s="2378"/>
      <c r="F275" s="2378"/>
      <c r="G275" s="2378"/>
      <c r="H275" s="2379"/>
      <c r="I275" s="1502"/>
      <c r="J275" s="1502"/>
      <c r="K275" s="1502"/>
      <c r="L275" s="1502"/>
      <c r="M275" s="1502"/>
      <c r="N275" s="1502"/>
      <c r="O275" s="1502"/>
      <c r="P275" s="1502"/>
      <c r="Q275" s="1502"/>
    </row>
    <row r="276" spans="2:17" ht="18">
      <c r="B276" s="1053" t="s">
        <v>0</v>
      </c>
      <c r="C276" s="1054"/>
      <c r="D276" s="1054"/>
      <c r="E276" s="1054"/>
      <c r="F276" s="1055"/>
      <c r="G276" s="1004" t="s">
        <v>704</v>
      </c>
      <c r="H276" s="1005" t="s">
        <v>704</v>
      </c>
      <c r="I276" s="1996"/>
      <c r="J276" s="1996"/>
      <c r="K276" s="1996"/>
      <c r="L276" s="1996"/>
      <c r="M276" s="1996"/>
      <c r="N276" s="1996"/>
      <c r="O276" s="1996"/>
      <c r="P276" s="1996"/>
      <c r="Q276" s="1996"/>
    </row>
    <row r="277" spans="2:17" ht="18">
      <c r="B277" s="1036"/>
      <c r="C277" s="44"/>
      <c r="D277" s="44"/>
      <c r="E277" s="44"/>
      <c r="F277" s="45"/>
      <c r="G277" s="30" t="str">
        <f>+G224</f>
        <v>March 31, 2024 (₹)</v>
      </c>
      <c r="H277" s="1038" t="str">
        <f>+H224</f>
        <v>March 31, 2023 (₹)</v>
      </c>
      <c r="I277" s="1996"/>
      <c r="J277" s="1996"/>
      <c r="K277" s="1996"/>
      <c r="L277" s="1996"/>
      <c r="M277" s="1996"/>
      <c r="N277" s="1996"/>
      <c r="O277" s="1996"/>
      <c r="P277" s="1996"/>
      <c r="Q277" s="1996"/>
    </row>
    <row r="278" spans="2:17" ht="18">
      <c r="B278" s="1076" t="s">
        <v>833</v>
      </c>
      <c r="C278" s="56"/>
      <c r="D278" s="56"/>
      <c r="E278" s="56"/>
      <c r="F278" s="1504"/>
      <c r="G278" s="59"/>
      <c r="H278" s="1059"/>
      <c r="I278" s="21"/>
      <c r="J278" s="21"/>
      <c r="K278" s="21"/>
      <c r="L278" s="21"/>
      <c r="M278" s="21"/>
      <c r="N278" s="21"/>
      <c r="O278" s="21"/>
      <c r="P278" s="21"/>
      <c r="Q278" s="21"/>
    </row>
    <row r="279" spans="2:17" ht="18">
      <c r="B279" s="1081" t="s">
        <v>834</v>
      </c>
      <c r="C279" s="61"/>
      <c r="D279" s="61"/>
      <c r="E279" s="61"/>
      <c r="F279" s="1504"/>
      <c r="G279" s="59"/>
      <c r="H279" s="1059"/>
      <c r="I279" s="21"/>
      <c r="J279" s="21"/>
      <c r="K279" s="21"/>
      <c r="L279" s="21"/>
      <c r="M279" s="21"/>
      <c r="N279" s="21"/>
      <c r="O279" s="21"/>
      <c r="P279" s="21"/>
      <c r="Q279" s="21"/>
    </row>
    <row r="280" spans="2:17" ht="18">
      <c r="B280" s="1084" t="s">
        <v>835</v>
      </c>
      <c r="C280" s="1535"/>
      <c r="D280" s="1535"/>
      <c r="E280" s="1535"/>
      <c r="F280" s="1504"/>
      <c r="G280" s="2092">
        <f>+GETPIVOTDATA("Sum of Dr. Final 23-24",Pivot!$A$1,"Note",7,"BS Main Head","Cash and cash Equivalents","BS Sub Head","Cash On Hand")</f>
        <v>270656</v>
      </c>
      <c r="H280" s="2074">
        <f>+GETPIVOTDATA("Sum of Dr. Final 22-23",Pivot!$A$1,"Note",7,"BS Main Head","Cash and cash Equivalents","BS Sub Head","Cash On Hand")</f>
        <v>230316</v>
      </c>
      <c r="I280" s="21"/>
      <c r="J280" s="21"/>
      <c r="K280" s="21"/>
      <c r="L280" s="21"/>
      <c r="M280" s="21"/>
      <c r="N280" s="21"/>
      <c r="O280" s="21"/>
      <c r="P280" s="21"/>
      <c r="Q280" s="21"/>
    </row>
    <row r="281" spans="2:17" ht="18">
      <c r="B281" s="1084"/>
      <c r="C281" s="1535"/>
      <c r="D281" s="1535"/>
      <c r="E281" s="1535"/>
      <c r="F281" s="1504"/>
      <c r="G281" s="2092"/>
      <c r="H281" s="2074"/>
      <c r="I281" s="21"/>
      <c r="J281" s="21"/>
      <c r="K281" s="21"/>
      <c r="L281" s="21"/>
      <c r="M281" s="21"/>
      <c r="N281" s="21"/>
      <c r="O281" s="21"/>
      <c r="P281" s="21"/>
      <c r="Q281" s="21"/>
    </row>
    <row r="282" spans="2:17" ht="18">
      <c r="B282" s="1051" t="s">
        <v>836</v>
      </c>
      <c r="C282" s="1535"/>
      <c r="D282" s="1535"/>
      <c r="E282" s="1535"/>
      <c r="F282" s="1504"/>
      <c r="G282" s="2092"/>
      <c r="H282" s="2074"/>
      <c r="I282" s="21"/>
      <c r="J282" s="21"/>
      <c r="K282" s="21"/>
      <c r="L282" s="21"/>
      <c r="M282" s="21"/>
      <c r="N282" s="21"/>
      <c r="O282" s="21"/>
      <c r="P282" s="21"/>
      <c r="Q282" s="21"/>
    </row>
    <row r="283" spans="2:17" ht="18">
      <c r="B283" s="1084" t="s">
        <v>837</v>
      </c>
      <c r="C283" s="1535"/>
      <c r="D283" s="1535"/>
      <c r="E283" s="1535"/>
      <c r="F283" s="1504"/>
      <c r="G283" s="2092">
        <f>+GETPIVOTDATA("Sum of Dr. Final 23-24",Pivot!$A$1,"Note",7,"BS Main Head","Cash and cash Equivalents","BS Sub Head","Balance With Bank - Current A/c")</f>
        <v>8810.64</v>
      </c>
      <c r="H283" s="2074">
        <f>+GETPIVOTDATA("Sum of Dr. Final 22-23",Pivot!$A$1,"Note",7,"BS Main Head","Cash and cash Equivalents","BS Sub Head","Balance With Bank - Current A/c")</f>
        <v>9459.64</v>
      </c>
      <c r="I283" s="21"/>
      <c r="J283" s="21"/>
      <c r="K283" s="21"/>
      <c r="L283" s="21"/>
      <c r="M283" s="21"/>
      <c r="N283" s="21"/>
      <c r="O283" s="21"/>
      <c r="P283" s="21"/>
      <c r="Q283" s="21"/>
    </row>
    <row r="284" spans="2:17" ht="18.600000000000001" thickBot="1">
      <c r="B284" s="1081"/>
      <c r="C284" s="61"/>
      <c r="D284" s="61"/>
      <c r="E284" s="61"/>
      <c r="F284" s="1504"/>
      <c r="G284" s="2069">
        <f>+SUM(G280:G283)</f>
        <v>279466.64</v>
      </c>
      <c r="H284" s="2065">
        <f>+SUM(H280:H283)</f>
        <v>239775.64</v>
      </c>
      <c r="I284" s="1998"/>
      <c r="J284" s="1998"/>
      <c r="K284" s="1998"/>
      <c r="L284" s="1998"/>
      <c r="M284" s="1998"/>
      <c r="N284" s="1998"/>
      <c r="O284" s="1998"/>
      <c r="P284" s="1998"/>
      <c r="Q284" s="1998"/>
    </row>
    <row r="285" spans="2:17" ht="18.600000000000001" thickTop="1">
      <c r="B285" s="996"/>
      <c r="C285" s="1508"/>
      <c r="D285" s="1508"/>
      <c r="E285" s="1508"/>
      <c r="F285" s="1508"/>
      <c r="G285" s="2073"/>
      <c r="H285" s="2074"/>
      <c r="I285" s="21"/>
      <c r="J285" s="21"/>
      <c r="K285" s="21"/>
      <c r="L285" s="21"/>
      <c r="M285" s="21"/>
      <c r="N285" s="21"/>
      <c r="O285" s="21"/>
      <c r="P285" s="21"/>
      <c r="Q285" s="21"/>
    </row>
    <row r="286" spans="2:17" ht="18">
      <c r="B286" s="2383" t="s">
        <v>2257</v>
      </c>
      <c r="C286" s="2384"/>
      <c r="D286" s="1537"/>
      <c r="E286" s="1529"/>
      <c r="F286" s="1504"/>
      <c r="G286" s="2092"/>
      <c r="H286" s="2074"/>
      <c r="I286" s="21"/>
      <c r="J286" s="21"/>
      <c r="K286" s="21"/>
      <c r="L286" s="21"/>
      <c r="M286" s="21"/>
      <c r="N286" s="21"/>
      <c r="O286" s="21"/>
      <c r="P286" s="21"/>
      <c r="Q286" s="21"/>
    </row>
    <row r="287" spans="2:17" ht="18">
      <c r="B287" s="2385" t="s">
        <v>838</v>
      </c>
      <c r="C287" s="2386"/>
      <c r="D287" s="2386"/>
      <c r="E287" s="2386"/>
      <c r="F287" s="2386"/>
      <c r="G287" s="2097"/>
      <c r="H287" s="2098"/>
      <c r="I287" s="76"/>
      <c r="J287" s="76"/>
      <c r="K287" s="76"/>
      <c r="L287" s="76"/>
      <c r="M287" s="76"/>
      <c r="N287" s="76"/>
      <c r="O287" s="76"/>
      <c r="P287" s="76"/>
      <c r="Q287" s="76"/>
    </row>
    <row r="288" spans="2:17" ht="18">
      <c r="B288" s="1063" t="s">
        <v>839</v>
      </c>
      <c r="C288" s="21"/>
      <c r="D288" s="21"/>
      <c r="E288" s="21"/>
      <c r="F288" s="1504"/>
      <c r="G288" s="2092">
        <f>+GETPIVOTDATA("Sum of Dr. Final 23-24",Pivot!$A$1,"Note",9,"BS Main Head","Other Financial Assets","BS Sub Head","Loans and Advances to Employees")-GETPIVOTDATA("Sum of Cr. Final 23-24",Pivot!$A$1,"Note",9,"BS Main Head","Other Financial Assets","BS Sub Head","Loans and Advances to Employees")</f>
        <v>235000</v>
      </c>
      <c r="H288" s="2074">
        <f>+GETPIVOTDATA("Sum of Dr. Final 22-23",Pivot!$A$1,"Note",9,"BS Main Head","Other Financial Assets","BS Sub Head","Loans and Advances to Employees")</f>
        <v>344000</v>
      </c>
      <c r="I288" s="21"/>
      <c r="J288" s="21"/>
      <c r="K288" s="21"/>
      <c r="L288" s="21"/>
      <c r="M288" s="21"/>
      <c r="N288" s="21"/>
      <c r="O288" s="21"/>
      <c r="P288" s="21"/>
      <c r="Q288" s="21"/>
    </row>
    <row r="289" spans="2:20" ht="18">
      <c r="B289" s="1063" t="s">
        <v>3013</v>
      </c>
      <c r="C289" s="21"/>
      <c r="D289" s="21"/>
      <c r="E289" s="21"/>
      <c r="F289" s="1504"/>
      <c r="G289" s="2092">
        <f>+GETPIVOTDATA("Sum of Dr. Final 23-24",Pivot!$A$1,"Note",9,"BS Main Head","Other Financial Assets","BS Sub Head","Earnest Money Deposits")-GETPIVOTDATA("Sum of Cr. Final 23-24",Pivot!$A$1,"Note",9,"BS Main Head","Other Financial Assets","BS Sub Head","Earnest Money Deposits")</f>
        <v>805000</v>
      </c>
      <c r="H289" s="2074">
        <v>0</v>
      </c>
      <c r="I289" s="21"/>
      <c r="J289" s="21"/>
      <c r="K289" s="21"/>
      <c r="L289" s="21"/>
      <c r="M289" s="21"/>
      <c r="N289" s="21"/>
      <c r="O289" s="21"/>
      <c r="P289" s="21"/>
      <c r="Q289" s="21"/>
    </row>
    <row r="290" spans="2:20" ht="18">
      <c r="B290" s="1063" t="s">
        <v>3146</v>
      </c>
      <c r="C290" s="21"/>
      <c r="D290" s="21"/>
      <c r="E290" s="21"/>
      <c r="F290" s="1504"/>
      <c r="G290" s="2092">
        <f>+GETPIVOTDATA("Sum of Dr. Final 23-24",Pivot!$A$1,"PARTICULARS","Power Excess Demand Chgs Receivable","Note",9,"BS Main Head","Other Financial Assets","BS Sub Head","Excess Demand Charges Receivable")-GETPIVOTDATA("Sum of Cr. Final 23-24",Pivot!$A$1,"PARTICULARS","Power Excess Demand Chgs Receivable","Note",9,"BS Main Head","Other Financial Assets","BS Sub Head","Excess Demand Charges Receivable")</f>
        <v>2498493</v>
      </c>
      <c r="H290" s="2074">
        <v>0</v>
      </c>
      <c r="I290" s="21"/>
      <c r="J290" s="21"/>
      <c r="K290" s="21"/>
      <c r="L290" s="21"/>
      <c r="M290" s="21"/>
      <c r="N290" s="21"/>
      <c r="O290" s="21"/>
      <c r="P290" s="21"/>
      <c r="Q290" s="21"/>
    </row>
    <row r="291" spans="2:20" ht="18">
      <c r="B291" s="1063" t="s">
        <v>112</v>
      </c>
      <c r="C291" s="21"/>
      <c r="D291" s="21"/>
      <c r="E291" s="21"/>
      <c r="F291" s="1504"/>
      <c r="G291" s="2092">
        <f>+G292+G293</f>
        <v>3550400.36</v>
      </c>
      <c r="H291" s="2092">
        <f>+H292+H293</f>
        <v>10605791.359999999</v>
      </c>
      <c r="I291" s="21"/>
      <c r="J291" s="21"/>
      <c r="K291" s="21"/>
      <c r="L291" s="21"/>
      <c r="M291" s="21"/>
      <c r="N291" s="21"/>
      <c r="O291" s="21"/>
      <c r="P291" s="21"/>
      <c r="Q291" s="21"/>
    </row>
    <row r="292" spans="2:20" ht="18">
      <c r="B292" s="1063" t="s">
        <v>3147</v>
      </c>
      <c r="C292" s="21"/>
      <c r="D292" s="21"/>
      <c r="E292" s="21"/>
      <c r="F292" s="1504"/>
      <c r="G292" s="2092">
        <f>+GETPIVOTDATA("Sum of Dr. Final 23-24",Pivot!$A$1,"Note",11,"BS Main Head","Current Tax Assets","BS Sub Head","Advance Income Tax")-GETPIVOTDATA("Sum of Dr. Final 23-24",Pivot!$A$1,"PARTICULARS","TDS (AY 2024-25)","Note",11,"BS Main Head","Current Tax Assets","BS Sub Head","Advance Income Tax")-GETPIVOTDATA("Sum of Dr. Final 23-24",Pivot!$A$1,"PARTICULARS","T C S (A. Y. 2024-25)","Note",11,"BS Main Head","Current Tax Assets","BS Sub Head","Advance Income Tax")</f>
        <v>3550400.36</v>
      </c>
      <c r="H292" s="2074">
        <f>+GETPIVOTDATA("Sum of Dr. Final 22-23",Pivot!$A$1,"Note",11,"BS Main Head","Current Tax Assets","BS Sub Head","Advance Income Tax")-GETPIVOTDATA("Sum of Dr. Final 22-23",Pivot!$A$1,"PARTICULARS","TDS (A.Y. 2023-24)","Note",11,"BS Main Head","Current Tax Assets","BS Sub Head","Advance Income Tax")-GETPIVOTDATA("Sum of Dr. Final 22-23",Pivot!$A$1,"PARTICULARS","T C S ( A.Y. 2023-24)","Note",11,"BS Main Head","Current Tax Assets","BS Sub Head","Advance Income Tax")</f>
        <v>3522791.36</v>
      </c>
      <c r="I292" s="21"/>
      <c r="J292" s="21"/>
      <c r="K292" s="21"/>
      <c r="L292" s="21"/>
      <c r="M292" s="21"/>
      <c r="N292" s="21"/>
      <c r="O292" s="21"/>
      <c r="P292" s="21"/>
      <c r="Q292" s="21"/>
    </row>
    <row r="293" spans="2:20" ht="18">
      <c r="B293" s="1063" t="s">
        <v>840</v>
      </c>
      <c r="C293" s="1538"/>
      <c r="D293" s="1538"/>
      <c r="E293" s="1538"/>
      <c r="F293" s="1504"/>
      <c r="G293" s="1855">
        <v>0</v>
      </c>
      <c r="H293" s="2074">
        <v>7083000</v>
      </c>
      <c r="I293" s="21"/>
      <c r="J293" s="21"/>
      <c r="K293" s="21"/>
      <c r="L293" s="21"/>
      <c r="M293" s="21"/>
      <c r="N293" s="21"/>
      <c r="O293" s="21"/>
      <c r="P293" s="21"/>
      <c r="Q293" s="21"/>
      <c r="R293" s="633"/>
      <c r="T293" s="540"/>
    </row>
    <row r="294" spans="2:20" ht="18">
      <c r="B294" s="1063" t="s">
        <v>202</v>
      </c>
      <c r="C294" s="1538"/>
      <c r="D294" s="1538"/>
      <c r="E294" s="1538"/>
      <c r="F294" s="1504"/>
      <c r="G294" s="2092">
        <f>+GETPIVOTDATA("Sum of Dr. Final 23-24",Pivot!$A$1,"PARTICULARS","Interest Receivable on Power","Note",9,"BS Main Head","Other Financial Assets","BS Sub Head","Interest Receivable on Power")-GETPIVOTDATA("Sum of Cr. Final 23-24",Pivot!$A$1,"PARTICULARS","Interest Receivable on Power","Note",9,"BS Main Head","Other Financial Assets","BS Sub Head","Interest Receivable on Power")</f>
        <v>319057</v>
      </c>
      <c r="H294" s="1852">
        <v>0</v>
      </c>
      <c r="I294" s="21"/>
      <c r="J294" s="21"/>
      <c r="K294" s="21"/>
      <c r="L294" s="21"/>
      <c r="M294" s="21"/>
      <c r="N294" s="21"/>
      <c r="O294" s="21"/>
      <c r="P294" s="21"/>
      <c r="Q294" s="21"/>
      <c r="R294" s="633"/>
      <c r="T294" s="540"/>
    </row>
    <row r="295" spans="2:20" ht="18.600000000000001" thickBot="1">
      <c r="B295" s="1051"/>
      <c r="C295" s="1536"/>
      <c r="D295" s="1536"/>
      <c r="E295" s="1536"/>
      <c r="F295" s="1503"/>
      <c r="G295" s="2069">
        <f>+SUM(G288:G294)-G293-G292</f>
        <v>7407950.3599999994</v>
      </c>
      <c r="H295" s="2069">
        <f>+SUM(H288:H294)-H293-H292</f>
        <v>10949791.359999999</v>
      </c>
      <c r="I295" s="1998"/>
      <c r="J295" s="1998"/>
      <c r="K295" s="1998"/>
      <c r="L295" s="1998"/>
      <c r="M295" s="1998"/>
      <c r="N295" s="1998"/>
      <c r="O295" s="1998"/>
      <c r="P295" s="1998"/>
      <c r="Q295" s="1998"/>
      <c r="S295" s="124"/>
    </row>
    <row r="296" spans="2:20" ht="18.600000000000001" thickTop="1">
      <c r="B296" s="1076" t="s">
        <v>2640</v>
      </c>
      <c r="C296" s="24"/>
      <c r="D296" s="24"/>
      <c r="E296" s="24"/>
      <c r="F296" s="1504"/>
      <c r="G296" s="2092"/>
      <c r="H296" s="2074"/>
      <c r="I296" s="21"/>
      <c r="J296" s="21"/>
      <c r="K296" s="21"/>
      <c r="L296" s="21"/>
      <c r="M296" s="21"/>
      <c r="N296" s="21"/>
      <c r="O296" s="21"/>
      <c r="P296" s="21"/>
      <c r="Q296" s="21"/>
    </row>
    <row r="297" spans="2:20" ht="18">
      <c r="B297" s="1063" t="s">
        <v>841</v>
      </c>
      <c r="C297" s="21"/>
      <c r="D297" s="21"/>
      <c r="E297" s="21"/>
      <c r="F297" s="1504"/>
      <c r="G297" s="2092">
        <f>+GETPIVOTDATA("Sum of Dr. Final 23-24",Pivot!$A$1,"Note",10,"BS Main Head","Other Current Assets","BS Sub Head","Advance to Suppliers")-GETPIVOTDATA("Sum of Cr. Final 23-24",Pivot!$A$1,"Note",10,"BS Main Head","Other Current Assets","BS Sub Head","Advance to Suppliers")</f>
        <v>5472750.4299999997</v>
      </c>
      <c r="H297" s="2074">
        <f>+GETPIVOTDATA("Sum of Dr. Final 22-23",Pivot!$A$1,"Note",10,"BS Main Head","Other Current Assets","BS Sub Head","Advance to Suppliers")</f>
        <v>8422074</v>
      </c>
      <c r="I297" s="21"/>
      <c r="J297" s="21"/>
      <c r="K297" s="21"/>
      <c r="L297" s="21"/>
      <c r="M297" s="21"/>
      <c r="N297" s="21"/>
      <c r="O297" s="21"/>
      <c r="P297" s="21"/>
      <c r="Q297" s="21"/>
      <c r="R297" s="633"/>
    </row>
    <row r="298" spans="2:20" ht="18">
      <c r="B298" s="1063" t="s">
        <v>201</v>
      </c>
      <c r="C298" s="56"/>
      <c r="D298" s="56"/>
      <c r="E298" s="56"/>
      <c r="F298" s="1504"/>
      <c r="G298" s="2092">
        <f>+GETPIVOTDATA("Sum of Dr. Final 23-24",Pivot!$A$1,"Note",10,"BS Main Head","Other Current Assets","BS Sub Head","Prepaid Expenses")-GETPIVOTDATA("Sum of Cr. Final 23-24",Pivot!$A$1,"Note",10,"BS Main Head","Other Current Assets","BS Sub Head","Prepaid Expenses")</f>
        <v>1477353</v>
      </c>
      <c r="H298" s="2074">
        <f>+GETPIVOTDATA("Sum of Dr. Final 22-23",Pivot!$A$1,"Note",10,"BS Main Head","Other Current Assets","BS Sub Head","Prepaid Expenses")</f>
        <v>1216935</v>
      </c>
      <c r="I298" s="21"/>
      <c r="J298" s="21"/>
      <c r="K298" s="21"/>
      <c r="L298" s="21"/>
      <c r="M298" s="21"/>
      <c r="N298" s="21"/>
      <c r="O298" s="21"/>
      <c r="P298" s="21"/>
      <c r="Q298" s="21"/>
      <c r="S298" s="632"/>
    </row>
    <row r="299" spans="2:20" ht="18">
      <c r="B299" s="1063" t="s">
        <v>842</v>
      </c>
      <c r="C299" s="56"/>
      <c r="D299" s="56"/>
      <c r="E299" s="56"/>
      <c r="F299" s="1504"/>
      <c r="G299" s="2092">
        <f>+GETPIVOTDATA("Sum of Dr. Final 23-24",Pivot!$A$1,"Note",10,"BS Main Head","Other Current Assets","BS Sub Head","Insurance claim Receivable")-GETPIVOTDATA("Sum of Cr. Final 23-24",Pivot!$A$1,"Note",10,"BS Main Head","Other Current Assets","BS Sub Head","Insurance claim Receivable")</f>
        <v>195208</v>
      </c>
      <c r="H299" s="2074">
        <f>+GETPIVOTDATA("Sum of Dr. Final 22-23",Pivot!$A$1,"Note",10,"BS Main Head","Other Current Assets","BS Sub Head","Insurance claim Receivable")</f>
        <v>176191</v>
      </c>
      <c r="I299" s="21"/>
      <c r="J299" s="21"/>
      <c r="K299" s="21"/>
      <c r="L299" s="21"/>
      <c r="M299" s="21"/>
      <c r="N299" s="21"/>
      <c r="O299" s="21"/>
      <c r="P299" s="21"/>
      <c r="Q299" s="21"/>
    </row>
    <row r="300" spans="2:20" ht="18">
      <c r="B300" s="1063" t="s">
        <v>406</v>
      </c>
      <c r="C300" s="56"/>
      <c r="D300" s="56"/>
      <c r="E300" s="56"/>
      <c r="F300" s="1504"/>
      <c r="G300" s="2092">
        <f>+GETPIVOTDATA("Sum of Dr. Final 23-24",Pivot!$A$1,"Note",10,"BS Main Head","Other Current Assets","BS Sub Head","Import Claim Receivable")-GETPIVOTDATA("Sum of Cr. Final 23-24",Pivot!$A$1,"Note",10,"BS Main Head","Other Current Assets","BS Sub Head","Import Claim Receivable")</f>
        <v>467365</v>
      </c>
      <c r="H300" s="2074">
        <f>+GETPIVOTDATA("Sum of Dr. Final 22-23",Pivot!$A$1,"Note",10,"BS Main Head","Other Current Assets","BS Sub Head","Import Claim Receivable")</f>
        <v>221984</v>
      </c>
      <c r="I300" s="21"/>
      <c r="J300" s="21"/>
      <c r="K300" s="21"/>
      <c r="L300" s="21"/>
      <c r="M300" s="21"/>
      <c r="N300" s="21"/>
      <c r="O300" s="21"/>
      <c r="P300" s="21"/>
      <c r="Q300" s="21"/>
      <c r="S300" s="375"/>
    </row>
    <row r="301" spans="2:20" ht="18.600000000000001" thickBot="1">
      <c r="B301" s="1051"/>
      <c r="C301" s="56"/>
      <c r="D301" s="56"/>
      <c r="E301" s="56"/>
      <c r="F301" s="1503"/>
      <c r="G301" s="2069">
        <f>+SUM(G297:G300)</f>
        <v>7612676.4299999997</v>
      </c>
      <c r="H301" s="2065">
        <f>+SUM(H297:H300)</f>
        <v>10037184</v>
      </c>
      <c r="I301" s="1998"/>
      <c r="J301" s="1998"/>
      <c r="K301" s="1998"/>
      <c r="L301" s="1998"/>
      <c r="M301" s="1998"/>
      <c r="N301" s="1998"/>
      <c r="O301" s="1998"/>
      <c r="P301" s="1998"/>
      <c r="Q301" s="1998"/>
    </row>
    <row r="302" spans="2:20" ht="18.600000000000001" thickTop="1">
      <c r="B302" s="1076" t="s">
        <v>2641</v>
      </c>
      <c r="C302" s="56"/>
      <c r="D302" s="56"/>
      <c r="E302" s="56"/>
      <c r="F302" s="1503"/>
      <c r="G302" s="2099"/>
      <c r="H302" s="2100"/>
      <c r="I302" s="26"/>
      <c r="J302" s="26"/>
      <c r="K302" s="26"/>
      <c r="L302" s="26"/>
      <c r="M302" s="26"/>
      <c r="N302" s="26"/>
      <c r="O302" s="26"/>
      <c r="P302" s="26"/>
      <c r="Q302" s="26"/>
    </row>
    <row r="303" spans="2:20" ht="18">
      <c r="B303" s="1063" t="s">
        <v>843</v>
      </c>
      <c r="C303" s="24"/>
      <c r="D303" s="24"/>
      <c r="E303" s="24"/>
      <c r="F303" s="1504"/>
      <c r="G303" s="2092">
        <f>+GETPIVOTDATA("Sum of Dr. Final 23-24",Pivot!$A$1,"PARTICULARS","TDS (AY 2024-25)","Note",11,"BS Main Head","Current Tax Assets","BS Sub Head","Advance Income Tax")+GETPIVOTDATA("Sum of Dr. Final 23-24",Pivot!$A$1,"PARTICULARS","T C S (A. Y. 2024-25)","Note",11,"BS Main Head","Current Tax Assets","BS Sub Head","Advance Income Tax")</f>
        <v>488737.92</v>
      </c>
      <c r="H303" s="2074">
        <f>+GETPIVOTDATA("Sum of Dr. Final 22-23",Pivot!$A$1,"PARTICULARS","TDS (A.Y. 2023-24)","Note",11,"BS Main Head","Current Tax Assets","BS Sub Head","Advance Income Tax")+GETPIVOTDATA("Sum of Dr. Final 22-23",Pivot!$A$1,"PARTICULARS","T C S ( A.Y. 2023-24)","Note",11,"BS Main Head","Current Tax Assets","BS Sub Head","Advance Income Tax")</f>
        <v>27609</v>
      </c>
      <c r="I303" s="21"/>
      <c r="J303" s="21"/>
      <c r="K303" s="21"/>
      <c r="L303" s="21"/>
      <c r="M303" s="21"/>
      <c r="N303" s="21"/>
      <c r="O303" s="21"/>
      <c r="P303" s="21"/>
      <c r="Q303" s="21"/>
    </row>
    <row r="304" spans="2:20" ht="18.600000000000001" thickBot="1">
      <c r="B304" s="1051"/>
      <c r="C304" s="56"/>
      <c r="D304" s="56"/>
      <c r="E304" s="56"/>
      <c r="F304" s="1503"/>
      <c r="G304" s="2069">
        <f>+G303</f>
        <v>488737.92</v>
      </c>
      <c r="H304" s="2065">
        <f>+H303</f>
        <v>27609</v>
      </c>
      <c r="I304" s="1998"/>
      <c r="J304" s="1998"/>
      <c r="K304" s="1998"/>
      <c r="L304" s="1998"/>
      <c r="M304" s="1998"/>
      <c r="N304" s="1998"/>
      <c r="O304" s="1998"/>
      <c r="P304" s="1998"/>
      <c r="Q304" s="1998"/>
    </row>
    <row r="305" spans="2:17" ht="15" hidden="1" thickTop="1">
      <c r="B305" s="824"/>
      <c r="G305" s="2101"/>
      <c r="H305" s="2102"/>
    </row>
    <row r="306" spans="2:17" ht="15" hidden="1" thickTop="1">
      <c r="B306" s="824"/>
      <c r="G306" s="2101"/>
      <c r="H306" s="2102"/>
    </row>
    <row r="307" spans="2:17" ht="18.600000000000001" hidden="1" thickTop="1">
      <c r="B307" s="1053" t="s">
        <v>0</v>
      </c>
      <c r="C307" s="1054"/>
      <c r="D307" s="1054"/>
      <c r="E307" s="1054"/>
      <c r="F307" s="1055"/>
      <c r="G307" s="2103" t="s">
        <v>704</v>
      </c>
      <c r="H307" s="2104" t="s">
        <v>704</v>
      </c>
      <c r="I307" s="1996"/>
      <c r="J307" s="1996"/>
      <c r="K307" s="1996"/>
      <c r="L307" s="1996"/>
      <c r="M307" s="1996"/>
      <c r="N307" s="1996"/>
      <c r="O307" s="1996"/>
      <c r="P307" s="1996"/>
      <c r="Q307" s="1996"/>
    </row>
    <row r="308" spans="2:17" ht="18.600000000000001" hidden="1" thickTop="1">
      <c r="B308" s="1036"/>
      <c r="C308" s="44"/>
      <c r="D308" s="44"/>
      <c r="E308" s="44"/>
      <c r="F308" s="45"/>
      <c r="G308" s="2105" t="str">
        <f>+G7</f>
        <v>March 31, 2024 (₹)</v>
      </c>
      <c r="H308" s="2106" t="str">
        <f>+H7</f>
        <v>March 31, 2023 (₹)</v>
      </c>
      <c r="I308" s="1996"/>
      <c r="J308" s="1996"/>
      <c r="K308" s="1996"/>
      <c r="L308" s="1996"/>
      <c r="M308" s="1996"/>
      <c r="N308" s="1996"/>
      <c r="O308" s="1996"/>
      <c r="P308" s="1996"/>
      <c r="Q308" s="1996"/>
    </row>
    <row r="309" spans="2:17" ht="18.600000000000001" hidden="1" thickTop="1">
      <c r="B309" s="1063"/>
      <c r="C309" s="24"/>
      <c r="D309" s="24"/>
      <c r="E309" s="24"/>
      <c r="F309" s="1503"/>
      <c r="G309" s="2107"/>
      <c r="H309" s="2108"/>
      <c r="I309" s="1996"/>
      <c r="J309" s="1996"/>
      <c r="K309" s="1996"/>
      <c r="L309" s="1996"/>
      <c r="M309" s="1996"/>
      <c r="N309" s="1996"/>
      <c r="O309" s="1996"/>
      <c r="P309" s="1996"/>
      <c r="Q309" s="1996"/>
    </row>
    <row r="310" spans="2:17" ht="18.600000000000001" thickTop="1">
      <c r="B310" s="1076" t="s">
        <v>2642</v>
      </c>
      <c r="C310" s="56"/>
      <c r="D310" s="56"/>
      <c r="E310" s="56"/>
      <c r="F310" s="1503"/>
      <c r="G310" s="2109"/>
      <c r="H310" s="2100"/>
      <c r="I310" s="26"/>
      <c r="J310" s="26"/>
      <c r="K310" s="26"/>
      <c r="L310" s="26"/>
      <c r="M310" s="26"/>
      <c r="N310" s="26"/>
      <c r="O310" s="26"/>
      <c r="P310" s="26"/>
      <c r="Q310" s="26"/>
    </row>
    <row r="311" spans="2:17" ht="18">
      <c r="B311" s="1081"/>
      <c r="C311" s="61"/>
      <c r="D311" s="61"/>
      <c r="E311" s="61"/>
      <c r="F311" s="1504"/>
      <c r="G311" s="2073"/>
      <c r="H311" s="2074"/>
      <c r="I311" s="21"/>
      <c r="J311" s="21"/>
      <c r="K311" s="21"/>
      <c r="L311" s="21"/>
      <c r="M311" s="21"/>
      <c r="N311" s="21"/>
      <c r="O311" s="21"/>
      <c r="P311" s="21"/>
      <c r="Q311" s="21"/>
    </row>
    <row r="312" spans="2:17" ht="18">
      <c r="B312" s="1091" t="s">
        <v>844</v>
      </c>
      <c r="C312" s="71"/>
      <c r="D312" s="71"/>
      <c r="E312" s="71"/>
      <c r="F312" s="1504"/>
      <c r="G312" s="2073"/>
      <c r="H312" s="2074"/>
      <c r="I312" s="21"/>
      <c r="J312" s="21"/>
      <c r="K312" s="21"/>
      <c r="L312" s="21"/>
      <c r="M312" s="21"/>
      <c r="N312" s="21"/>
      <c r="O312" s="21"/>
      <c r="P312" s="21"/>
      <c r="Q312" s="21"/>
    </row>
    <row r="313" spans="2:17" ht="18">
      <c r="B313" s="1092" t="s">
        <v>845</v>
      </c>
      <c r="C313" s="1539"/>
      <c r="D313" s="1539"/>
      <c r="E313" s="1539"/>
      <c r="F313" s="1540"/>
      <c r="G313" s="2067">
        <v>35000000</v>
      </c>
      <c r="H313" s="2068">
        <v>35000000</v>
      </c>
      <c r="I313" s="1874"/>
      <c r="J313" s="1874"/>
      <c r="K313" s="1874"/>
      <c r="L313" s="1874"/>
      <c r="M313" s="1874"/>
      <c r="N313" s="1874"/>
      <c r="O313" s="1874"/>
      <c r="P313" s="1874"/>
      <c r="Q313" s="1874"/>
    </row>
    <row r="314" spans="2:17" ht="18.600000000000001" thickBot="1">
      <c r="B314" s="1092"/>
      <c r="C314" s="1539"/>
      <c r="D314" s="1539"/>
      <c r="E314" s="1539"/>
      <c r="F314" s="1504"/>
      <c r="G314" s="2110">
        <v>35000000</v>
      </c>
      <c r="H314" s="2111">
        <v>35000000</v>
      </c>
      <c r="I314" s="26"/>
      <c r="J314" s="26"/>
      <c r="K314" s="26"/>
      <c r="L314" s="26"/>
      <c r="M314" s="26"/>
      <c r="N314" s="26"/>
      <c r="O314" s="26"/>
      <c r="P314" s="26"/>
      <c r="Q314" s="26"/>
    </row>
    <row r="315" spans="2:17" ht="18.600000000000001" thickTop="1">
      <c r="B315" s="1095" t="s">
        <v>846</v>
      </c>
      <c r="C315" s="1541"/>
      <c r="D315" s="1541"/>
      <c r="E315" s="1541"/>
      <c r="F315" s="1504"/>
      <c r="G315" s="2073"/>
      <c r="H315" s="2074"/>
      <c r="I315" s="21"/>
      <c r="J315" s="21"/>
      <c r="K315" s="21"/>
      <c r="L315" s="21"/>
      <c r="M315" s="21"/>
      <c r="N315" s="21"/>
      <c r="O315" s="21"/>
      <c r="P315" s="21"/>
      <c r="Q315" s="21"/>
    </row>
    <row r="316" spans="2:17" ht="18">
      <c r="B316" s="2268" t="s">
        <v>847</v>
      </c>
      <c r="C316" s="2269"/>
      <c r="D316" s="2269"/>
      <c r="E316" s="2269"/>
      <c r="F316" s="2269"/>
      <c r="G316" s="2073">
        <f>+G149</f>
        <v>26922650</v>
      </c>
      <c r="H316" s="2074">
        <f>+H149</f>
        <v>26922650</v>
      </c>
      <c r="I316" s="21"/>
      <c r="J316" s="21"/>
      <c r="K316" s="21"/>
      <c r="L316" s="21"/>
      <c r="M316" s="21"/>
      <c r="N316" s="21"/>
      <c r="O316" s="21"/>
      <c r="P316" s="21"/>
      <c r="Q316" s="21"/>
    </row>
    <row r="317" spans="2:17" ht="18">
      <c r="B317" s="2268"/>
      <c r="C317" s="2269"/>
      <c r="D317" s="2269"/>
      <c r="E317" s="2269"/>
      <c r="F317" s="2269"/>
      <c r="G317" s="2112"/>
      <c r="H317" s="2113"/>
      <c r="I317" s="2009"/>
      <c r="J317" s="2009"/>
      <c r="K317" s="2009"/>
      <c r="L317" s="2009"/>
      <c r="M317" s="2009"/>
      <c r="N317" s="2009"/>
      <c r="O317" s="2009"/>
      <c r="P317" s="2009"/>
      <c r="Q317" s="2009"/>
    </row>
    <row r="318" spans="2:17" ht="18.600000000000001" thickBot="1">
      <c r="B318" s="1081"/>
      <c r="C318" s="61"/>
      <c r="D318" s="61"/>
      <c r="E318" s="61"/>
      <c r="F318" s="1504"/>
      <c r="G318" s="2069">
        <v>26922650</v>
      </c>
      <c r="H318" s="2065">
        <v>26922650</v>
      </c>
      <c r="I318" s="1998"/>
      <c r="J318" s="1998"/>
      <c r="K318" s="1998"/>
      <c r="L318" s="1998"/>
      <c r="M318" s="1998"/>
      <c r="N318" s="1998"/>
      <c r="O318" s="1998"/>
      <c r="P318" s="1998"/>
      <c r="Q318" s="1998"/>
    </row>
    <row r="319" spans="2:17" ht="18.600000000000001" thickTop="1">
      <c r="B319" s="1097" t="s">
        <v>848</v>
      </c>
      <c r="C319" s="1539"/>
      <c r="D319" s="1539"/>
      <c r="E319" s="1539"/>
      <c r="F319" s="1504"/>
      <c r="G319" s="48"/>
      <c r="H319" s="1059"/>
      <c r="I319" s="21"/>
      <c r="J319" s="21"/>
      <c r="K319" s="21"/>
      <c r="L319" s="21"/>
      <c r="M319" s="21"/>
      <c r="N319" s="21"/>
      <c r="O319" s="21"/>
      <c r="P319" s="21"/>
      <c r="Q319" s="21"/>
    </row>
    <row r="320" spans="2:17" ht="18">
      <c r="B320" s="2420" t="s">
        <v>849</v>
      </c>
      <c r="C320" s="2421"/>
      <c r="D320" s="1395"/>
      <c r="E320" s="1098">
        <v>45382</v>
      </c>
      <c r="F320" s="1098">
        <v>45016</v>
      </c>
      <c r="G320" s="848">
        <v>45382</v>
      </c>
      <c r="H320" s="1099">
        <v>45016</v>
      </c>
      <c r="I320" s="2010"/>
      <c r="J320" s="2010"/>
      <c r="K320" s="2010"/>
      <c r="L320" s="2010"/>
      <c r="M320" s="2010"/>
      <c r="N320" s="2010"/>
      <c r="O320" s="2010"/>
      <c r="P320" s="2010"/>
      <c r="Q320" s="2010"/>
    </row>
    <row r="321" spans="2:26" ht="18">
      <c r="B321" s="2422"/>
      <c r="C321" s="2423"/>
      <c r="D321" s="1396"/>
      <c r="E321" s="845" t="s">
        <v>852</v>
      </c>
      <c r="F321" s="845" t="s">
        <v>852</v>
      </c>
      <c r="G321" s="849" t="s">
        <v>853</v>
      </c>
      <c r="H321" s="1100" t="s">
        <v>853</v>
      </c>
      <c r="I321" s="2011"/>
      <c r="J321" s="2011"/>
      <c r="K321" s="2011"/>
      <c r="L321" s="2011"/>
      <c r="M321" s="2011"/>
      <c r="N321" s="2011"/>
      <c r="O321" s="2011"/>
      <c r="P321" s="2011"/>
      <c r="Q321" s="2011"/>
      <c r="V321" s="2387" t="s">
        <v>849</v>
      </c>
      <c r="W321" s="2388"/>
      <c r="X321" s="125" t="s">
        <v>850</v>
      </c>
      <c r="Y321" s="125" t="s">
        <v>851</v>
      </c>
      <c r="Z321" s="126"/>
    </row>
    <row r="322" spans="2:26" ht="18">
      <c r="B322" s="1101" t="s">
        <v>2116</v>
      </c>
      <c r="C322" s="85"/>
      <c r="D322" s="85"/>
      <c r="E322" s="846">
        <v>0.12520000000000001</v>
      </c>
      <c r="F322" s="846">
        <v>0.12516709907828538</v>
      </c>
      <c r="G322" s="48">
        <v>337058</v>
      </c>
      <c r="H322" s="1059">
        <v>337058</v>
      </c>
      <c r="I322" s="21"/>
      <c r="J322" s="21"/>
      <c r="K322" s="21"/>
      <c r="L322" s="21"/>
      <c r="M322" s="21"/>
      <c r="N322" s="21"/>
      <c r="O322" s="21"/>
      <c r="P322" s="21"/>
      <c r="Q322" s="21"/>
      <c r="V322" s="2389"/>
      <c r="W322" s="2390"/>
      <c r="X322" s="127" t="s">
        <v>852</v>
      </c>
      <c r="Y322" s="127" t="s">
        <v>852</v>
      </c>
      <c r="Z322" s="128" t="s">
        <v>853</v>
      </c>
    </row>
    <row r="323" spans="2:26" ht="18">
      <c r="B323" s="1101" t="s">
        <v>854</v>
      </c>
      <c r="C323" s="85"/>
      <c r="D323" s="85"/>
      <c r="E323" s="846">
        <v>9.9900000000000003E-2</v>
      </c>
      <c r="F323" s="846">
        <v>9.9306717577950163E-2</v>
      </c>
      <c r="G323" s="11">
        <f>+HDE2023_2024_BUY_SELL!G177</f>
        <v>268860</v>
      </c>
      <c r="H323" s="1015">
        <v>267360</v>
      </c>
      <c r="I323" s="1874"/>
      <c r="J323" s="1874"/>
      <c r="K323" s="1874"/>
      <c r="L323" s="1874"/>
      <c r="M323" s="1874"/>
      <c r="N323" s="1874"/>
      <c r="O323" s="1874"/>
      <c r="P323" s="1874"/>
      <c r="Q323" s="1874"/>
      <c r="V323" s="2391" t="s">
        <v>854</v>
      </c>
      <c r="W323" s="2392"/>
      <c r="X323" s="129">
        <v>9.9306717577950163</v>
      </c>
      <c r="Y323" s="129">
        <v>9.9306717577950163</v>
      </c>
      <c r="Z323" s="130">
        <v>267360</v>
      </c>
    </row>
    <row r="324" spans="2:26" ht="18">
      <c r="B324" s="1101" t="s">
        <v>855</v>
      </c>
      <c r="C324" s="85"/>
      <c r="D324" s="85"/>
      <c r="E324" s="846">
        <v>8.9899999999999994E-2</v>
      </c>
      <c r="F324" s="846">
        <v>8.9885282466621974E-2</v>
      </c>
      <c r="G324" s="48">
        <f>+HDE2023_2024_BUY_SELL!G43</f>
        <v>241995</v>
      </c>
      <c r="H324" s="1059">
        <v>241995</v>
      </c>
      <c r="I324" s="21"/>
      <c r="J324" s="21"/>
      <c r="K324" s="21"/>
      <c r="L324" s="21"/>
      <c r="M324" s="21"/>
      <c r="N324" s="21"/>
      <c r="O324" s="21"/>
      <c r="P324" s="21"/>
      <c r="Q324" s="21"/>
      <c r="V324" s="2391" t="s">
        <v>855</v>
      </c>
      <c r="W324" s="2392"/>
      <c r="X324" s="129">
        <v>8.9884000000000004</v>
      </c>
      <c r="Y324" s="129">
        <v>8.9884000000000004</v>
      </c>
      <c r="Z324" s="131">
        <v>241995</v>
      </c>
    </row>
    <row r="325" spans="2:26" ht="18">
      <c r="B325" s="1101" t="s">
        <v>856</v>
      </c>
      <c r="C325" s="85"/>
      <c r="D325" s="85"/>
      <c r="E325" s="846">
        <v>8.3500000000000005E-2</v>
      </c>
      <c r="F325" s="846">
        <v>8.3537467522699291E-2</v>
      </c>
      <c r="G325" s="48">
        <v>228405</v>
      </c>
      <c r="H325" s="1059">
        <v>228405</v>
      </c>
      <c r="I325" s="21"/>
      <c r="J325" s="21"/>
      <c r="K325" s="21"/>
      <c r="L325" s="21"/>
      <c r="M325" s="21"/>
      <c r="N325" s="21"/>
      <c r="O325" s="21"/>
      <c r="P325" s="21"/>
      <c r="Q325" s="21"/>
      <c r="V325" s="2391" t="s">
        <v>856</v>
      </c>
      <c r="W325" s="2392"/>
      <c r="X325" s="129">
        <v>8.4837488137311894</v>
      </c>
      <c r="Y325" s="129">
        <v>8.4837488137311894</v>
      </c>
      <c r="Z325" s="130">
        <v>228405</v>
      </c>
    </row>
    <row r="326" spans="2:26" ht="18">
      <c r="B326" s="1101" t="s">
        <v>857</v>
      </c>
      <c r="C326" s="85"/>
      <c r="D326" s="85"/>
      <c r="E326" s="846">
        <v>6.9199999999999998E-2</v>
      </c>
      <c r="F326" s="846">
        <v>6.9196382971215692E-2</v>
      </c>
      <c r="G326" s="48">
        <f>+HDE2023_2024_BUY_SELL!G53</f>
        <v>186295</v>
      </c>
      <c r="H326" s="1059">
        <v>186295</v>
      </c>
      <c r="I326" s="21"/>
      <c r="J326" s="21"/>
      <c r="K326" s="21"/>
      <c r="L326" s="21"/>
      <c r="M326" s="21"/>
      <c r="N326" s="21"/>
      <c r="O326" s="21"/>
      <c r="P326" s="21"/>
      <c r="Q326" s="21"/>
      <c r="V326" s="2391" t="s">
        <v>857</v>
      </c>
      <c r="W326" s="2392"/>
      <c r="X326" s="129">
        <v>6.9196382971215691</v>
      </c>
      <c r="Y326" s="129">
        <v>6.9196382971215691</v>
      </c>
      <c r="Z326" s="130">
        <v>186295</v>
      </c>
    </row>
    <row r="327" spans="2:26" ht="18">
      <c r="B327" s="1101" t="s">
        <v>858</v>
      </c>
      <c r="C327" s="85"/>
      <c r="D327" s="85"/>
      <c r="E327" s="846">
        <v>5.6099999999999997E-2</v>
      </c>
      <c r="F327" s="846">
        <v>5.6066174763628393E-2</v>
      </c>
      <c r="G327" s="48">
        <f>+HDE2023_2024_BUY_SELL!G179</f>
        <v>150945</v>
      </c>
      <c r="H327" s="1059">
        <v>150945</v>
      </c>
      <c r="I327" s="21"/>
      <c r="J327" s="21"/>
      <c r="K327" s="21"/>
      <c r="L327" s="21"/>
      <c r="M327" s="21"/>
      <c r="N327" s="21"/>
      <c r="O327" s="21"/>
      <c r="P327" s="21"/>
      <c r="Q327" s="21"/>
      <c r="V327" s="2391" t="s">
        <v>858</v>
      </c>
      <c r="W327" s="2392"/>
      <c r="X327" s="129">
        <v>5.6066174763628389</v>
      </c>
      <c r="Y327" s="129">
        <v>5.6066174763628389</v>
      </c>
      <c r="Z327" s="130">
        <v>150945</v>
      </c>
    </row>
    <row r="328" spans="2:26" ht="18">
      <c r="B328" s="1102"/>
      <c r="C328" s="28"/>
      <c r="D328" s="28"/>
      <c r="E328" s="847"/>
      <c r="F328" s="847"/>
      <c r="G328" s="66"/>
      <c r="H328" s="1103"/>
      <c r="I328" s="21"/>
      <c r="J328" s="21"/>
      <c r="K328" s="21"/>
      <c r="L328" s="21"/>
      <c r="M328" s="21"/>
      <c r="N328" s="21"/>
      <c r="O328" s="21"/>
      <c r="P328" s="21"/>
      <c r="Q328" s="21"/>
      <c r="V328" s="2370" t="s">
        <v>859</v>
      </c>
      <c r="W328" s="2371"/>
      <c r="X328" s="132">
        <v>5.09</v>
      </c>
      <c r="Y328" s="132">
        <v>5.09</v>
      </c>
      <c r="Z328" s="133">
        <v>137078</v>
      </c>
    </row>
    <row r="329" spans="2:26" ht="18">
      <c r="B329" s="1081"/>
      <c r="C329" s="1504"/>
      <c r="D329" s="1504"/>
      <c r="E329" s="1504"/>
      <c r="F329" s="1504"/>
      <c r="G329" s="48"/>
      <c r="H329" s="1059"/>
      <c r="I329" s="21"/>
      <c r="J329" s="21"/>
      <c r="K329" s="21"/>
      <c r="L329" s="21"/>
      <c r="M329" s="21"/>
      <c r="N329" s="21"/>
      <c r="O329" s="21"/>
      <c r="P329" s="21"/>
      <c r="Q329" s="21"/>
    </row>
    <row r="330" spans="2:26" ht="18">
      <c r="B330" s="2407" t="s">
        <v>860</v>
      </c>
      <c r="C330" s="2408"/>
      <c r="D330" s="2408"/>
      <c r="E330" s="2408"/>
      <c r="F330" s="2408"/>
      <c r="G330" s="74"/>
      <c r="H330" s="1104"/>
      <c r="I330" s="77"/>
      <c r="J330" s="77"/>
      <c r="K330" s="77"/>
      <c r="L330" s="77"/>
      <c r="M330" s="77"/>
      <c r="N330" s="77"/>
      <c r="O330" s="77"/>
      <c r="P330" s="77"/>
      <c r="Q330" s="77"/>
    </row>
    <row r="331" spans="2:26" ht="18">
      <c r="B331" s="1477" t="s">
        <v>0</v>
      </c>
      <c r="C331" s="1433"/>
      <c r="D331" s="1433"/>
      <c r="E331" s="1433"/>
      <c r="F331" s="1433"/>
      <c r="G331" s="1434" t="s">
        <v>853</v>
      </c>
      <c r="H331" s="1478" t="s">
        <v>853</v>
      </c>
      <c r="I331" s="2011"/>
      <c r="J331" s="2011"/>
      <c r="K331" s="2011"/>
      <c r="L331" s="2011"/>
      <c r="M331" s="2011"/>
      <c r="N331" s="2011"/>
      <c r="O331" s="2011"/>
      <c r="P331" s="2011"/>
      <c r="Q331" s="2011"/>
    </row>
    <row r="332" spans="2:26" ht="18">
      <c r="B332" s="1063" t="s">
        <v>861</v>
      </c>
      <c r="C332" s="1504"/>
      <c r="D332" s="1504"/>
      <c r="E332" s="1504"/>
      <c r="F332" s="1504"/>
      <c r="G332" s="48">
        <v>2692265</v>
      </c>
      <c r="H332" s="1059">
        <v>2692265</v>
      </c>
      <c r="I332" s="21"/>
      <c r="J332" s="21"/>
      <c r="K332" s="21"/>
      <c r="L332" s="21"/>
      <c r="M332" s="21"/>
      <c r="N332" s="21"/>
      <c r="O332" s="21"/>
      <c r="P332" s="21"/>
      <c r="Q332" s="21"/>
      <c r="R332" s="1311"/>
    </row>
    <row r="333" spans="2:26" ht="18">
      <c r="B333" s="1063" t="s">
        <v>862</v>
      </c>
      <c r="C333" s="1504"/>
      <c r="D333" s="1504"/>
      <c r="E333" s="1504"/>
      <c r="F333" s="1504"/>
      <c r="G333" s="72">
        <v>0</v>
      </c>
      <c r="H333" s="1093">
        <v>0</v>
      </c>
      <c r="I333" s="1874"/>
      <c r="J333" s="1874"/>
      <c r="K333" s="1874"/>
      <c r="L333" s="1874"/>
      <c r="M333" s="1874"/>
      <c r="N333" s="1874"/>
      <c r="O333" s="1874"/>
      <c r="P333" s="1874"/>
      <c r="Q333" s="1874"/>
    </row>
    <row r="334" spans="2:26" ht="18">
      <c r="B334" s="1036" t="s">
        <v>863</v>
      </c>
      <c r="C334" s="28"/>
      <c r="D334" s="28"/>
      <c r="E334" s="28"/>
      <c r="F334" s="28"/>
      <c r="G334" s="1268">
        <f>+G332+G333</f>
        <v>2692265</v>
      </c>
      <c r="H334" s="1268">
        <f>+H332+H333</f>
        <v>2692265</v>
      </c>
      <c r="I334" s="1998"/>
      <c r="J334" s="1998"/>
      <c r="K334" s="1998"/>
      <c r="L334" s="1998"/>
      <c r="M334" s="1998"/>
      <c r="N334" s="1998"/>
      <c r="O334" s="1998"/>
      <c r="P334" s="1998"/>
      <c r="Q334" s="1998"/>
    </row>
    <row r="335" spans="2:26" ht="18">
      <c r="B335" s="1105"/>
      <c r="C335" s="1106"/>
      <c r="D335" s="1106"/>
      <c r="E335" s="1106"/>
      <c r="F335" s="1106"/>
      <c r="G335" s="1107"/>
      <c r="H335" s="1108"/>
      <c r="I335" s="21"/>
      <c r="J335" s="21"/>
      <c r="K335" s="21"/>
      <c r="L335" s="21"/>
      <c r="M335" s="21"/>
      <c r="N335" s="21"/>
      <c r="O335" s="21"/>
      <c r="P335" s="21"/>
      <c r="Q335" s="21"/>
    </row>
    <row r="336" spans="2:26" ht="18">
      <c r="B336" s="2409" t="s">
        <v>3140</v>
      </c>
      <c r="C336" s="2410"/>
      <c r="D336" s="2410"/>
      <c r="E336" s="2410"/>
      <c r="F336" s="2410"/>
      <c r="G336" s="2410"/>
      <c r="H336" s="2411"/>
      <c r="I336" s="1881"/>
      <c r="J336" s="1881"/>
      <c r="K336" s="1881"/>
      <c r="L336" s="1881"/>
      <c r="M336" s="1881"/>
      <c r="N336" s="1881"/>
      <c r="O336" s="1881"/>
      <c r="P336" s="1881"/>
      <c r="Q336" s="1881"/>
    </row>
    <row r="337" spans="2:19" ht="18">
      <c r="B337" s="1109"/>
      <c r="C337" s="75"/>
      <c r="D337" s="75"/>
      <c r="E337" s="75"/>
      <c r="F337" s="75"/>
      <c r="G337" s="76"/>
      <c r="H337" s="1110"/>
      <c r="I337" s="76"/>
      <c r="J337" s="76"/>
      <c r="K337" s="76"/>
      <c r="L337" s="76"/>
      <c r="M337" s="76"/>
      <c r="N337" s="76"/>
      <c r="O337" s="76"/>
      <c r="P337" s="76"/>
      <c r="Q337" s="76"/>
    </row>
    <row r="338" spans="2:19" ht="18">
      <c r="B338" s="2412" t="s">
        <v>864</v>
      </c>
      <c r="C338" s="2413"/>
      <c r="D338" s="2413"/>
      <c r="E338" s="2413"/>
      <c r="F338" s="2413"/>
      <c r="G338" s="77"/>
      <c r="H338" s="1111"/>
      <c r="I338" s="77"/>
      <c r="J338" s="77"/>
      <c r="K338" s="77"/>
      <c r="L338" s="77"/>
      <c r="M338" s="77"/>
      <c r="N338" s="77"/>
      <c r="O338" s="77"/>
      <c r="P338" s="77"/>
      <c r="Q338" s="77"/>
    </row>
    <row r="339" spans="2:19" ht="18">
      <c r="B339" s="1112" t="s">
        <v>865</v>
      </c>
      <c r="C339" s="1504"/>
      <c r="D339" s="1504"/>
      <c r="E339" s="1504"/>
      <c r="F339" s="1504"/>
      <c r="G339" s="21"/>
      <c r="H339" s="1032"/>
      <c r="I339" s="21"/>
      <c r="J339" s="21"/>
      <c r="K339" s="21"/>
      <c r="L339" s="21"/>
      <c r="M339" s="21"/>
      <c r="N339" s="21"/>
      <c r="O339" s="21"/>
      <c r="P339" s="21"/>
      <c r="Q339" s="21"/>
    </row>
    <row r="340" spans="2:19" ht="18">
      <c r="B340" s="2414" t="s">
        <v>2892</v>
      </c>
      <c r="C340" s="2415"/>
      <c r="D340" s="2415"/>
      <c r="E340" s="2415"/>
      <c r="F340" s="2415"/>
      <c r="G340" s="2415"/>
      <c r="H340" s="2416"/>
      <c r="I340" s="1882"/>
      <c r="J340" s="1882"/>
      <c r="K340" s="1882"/>
      <c r="L340" s="1882"/>
      <c r="M340" s="1882"/>
      <c r="N340" s="1882"/>
      <c r="O340" s="1882"/>
      <c r="P340" s="1882"/>
      <c r="Q340" s="1882"/>
    </row>
    <row r="341" spans="2:19" ht="18">
      <c r="B341" s="2414"/>
      <c r="C341" s="2415"/>
      <c r="D341" s="2415"/>
      <c r="E341" s="2415"/>
      <c r="F341" s="2415"/>
      <c r="G341" s="2415"/>
      <c r="H341" s="2416"/>
      <c r="I341" s="1882"/>
      <c r="J341" s="1882"/>
      <c r="K341" s="1882"/>
      <c r="L341" s="1882"/>
      <c r="M341" s="1882"/>
      <c r="N341" s="1882"/>
      <c r="O341" s="1882"/>
      <c r="P341" s="1882"/>
      <c r="Q341" s="1882"/>
    </row>
    <row r="342" spans="2:19" ht="18">
      <c r="B342" s="2414"/>
      <c r="C342" s="2415"/>
      <c r="D342" s="2415"/>
      <c r="E342" s="2415"/>
      <c r="F342" s="2415"/>
      <c r="G342" s="2415"/>
      <c r="H342" s="2416"/>
      <c r="I342" s="1882"/>
      <c r="J342" s="1882"/>
      <c r="K342" s="1882"/>
      <c r="L342" s="1882"/>
      <c r="M342" s="1882"/>
      <c r="N342" s="1882"/>
      <c r="O342" s="1882"/>
      <c r="P342" s="1882"/>
      <c r="Q342" s="1882"/>
    </row>
    <row r="343" spans="2:19" ht="30.75" customHeight="1" thickBot="1">
      <c r="B343" s="2417"/>
      <c r="C343" s="2418"/>
      <c r="D343" s="2418"/>
      <c r="E343" s="2418"/>
      <c r="F343" s="2418"/>
      <c r="G343" s="2418"/>
      <c r="H343" s="2419"/>
      <c r="I343" s="1882"/>
      <c r="J343" s="1882"/>
      <c r="K343" s="1882"/>
      <c r="L343" s="1882"/>
      <c r="M343" s="1882"/>
      <c r="N343" s="1882"/>
      <c r="O343" s="1882"/>
      <c r="P343" s="1882"/>
      <c r="Q343" s="1882"/>
    </row>
    <row r="344" spans="2:19" ht="18">
      <c r="B344" s="2260" t="s">
        <v>702</v>
      </c>
      <c r="C344" s="2261"/>
      <c r="D344" s="2261"/>
      <c r="E344" s="2261"/>
      <c r="F344" s="2261"/>
      <c r="G344" s="2261"/>
      <c r="H344" s="2262"/>
      <c r="I344" s="1502"/>
      <c r="J344" s="1502"/>
      <c r="K344" s="1502"/>
      <c r="L344" s="1502"/>
      <c r="M344" s="1502"/>
      <c r="N344" s="1502"/>
      <c r="O344" s="1502"/>
      <c r="P344" s="1502"/>
      <c r="Q344" s="1502"/>
    </row>
    <row r="345" spans="2:19" ht="18">
      <c r="B345" s="2279" t="s">
        <v>3056</v>
      </c>
      <c r="C345" s="2280"/>
      <c r="D345" s="2280"/>
      <c r="E345" s="2280"/>
      <c r="F345" s="2280"/>
      <c r="G345" s="2280"/>
      <c r="H345" s="2281"/>
      <c r="I345" s="1502"/>
      <c r="J345" s="1502"/>
      <c r="K345" s="1502"/>
      <c r="L345" s="1502"/>
      <c r="M345" s="1502"/>
      <c r="N345" s="1502"/>
      <c r="O345" s="1502"/>
      <c r="P345" s="1502"/>
      <c r="Q345" s="1502"/>
    </row>
    <row r="346" spans="2:19" ht="18">
      <c r="B346" s="1113"/>
      <c r="C346" s="78"/>
      <c r="D346" s="78"/>
      <c r="E346" s="78"/>
      <c r="F346" s="78"/>
      <c r="G346" s="54"/>
      <c r="H346" s="1074"/>
      <c r="I346" s="54"/>
      <c r="J346" s="54"/>
      <c r="K346" s="54"/>
      <c r="L346" s="54"/>
      <c r="M346" s="54"/>
      <c r="N346" s="54"/>
      <c r="O346" s="54"/>
      <c r="P346" s="54"/>
      <c r="Q346" s="54"/>
    </row>
    <row r="347" spans="2:19" ht="18">
      <c r="B347" s="1114" t="s">
        <v>866</v>
      </c>
      <c r="C347" s="24"/>
      <c r="D347" s="24"/>
      <c r="E347" s="24"/>
      <c r="F347" s="1503"/>
      <c r="G347" s="26"/>
      <c r="H347" s="1034"/>
      <c r="I347" s="26"/>
      <c r="J347" s="26"/>
      <c r="K347" s="26"/>
      <c r="L347" s="26"/>
      <c r="M347" s="26"/>
      <c r="N347" s="26"/>
      <c r="O347" s="26"/>
      <c r="P347" s="26"/>
      <c r="Q347" s="26"/>
    </row>
    <row r="348" spans="2:19" ht="18">
      <c r="B348" s="1115" t="s">
        <v>3141</v>
      </c>
      <c r="C348" s="44"/>
      <c r="D348" s="44"/>
      <c r="E348" s="44"/>
      <c r="F348" s="45"/>
      <c r="G348" s="79"/>
      <c r="H348" s="1116"/>
      <c r="I348" s="26"/>
      <c r="J348" s="26"/>
      <c r="K348" s="26"/>
      <c r="L348" s="26"/>
      <c r="M348" s="26"/>
      <c r="N348" s="26"/>
      <c r="O348" s="26"/>
      <c r="P348" s="26"/>
      <c r="Q348" s="26"/>
    </row>
    <row r="349" spans="2:19" ht="54">
      <c r="B349" s="1479" t="s">
        <v>2115</v>
      </c>
      <c r="C349" s="2344" t="s">
        <v>868</v>
      </c>
      <c r="D349" s="2344"/>
      <c r="E349" s="1272" t="s">
        <v>869</v>
      </c>
      <c r="F349" s="1273" t="s">
        <v>870</v>
      </c>
      <c r="G349" s="1274" t="s">
        <v>871</v>
      </c>
      <c r="H349" s="1470" t="s">
        <v>871</v>
      </c>
      <c r="I349" s="1757"/>
      <c r="J349" s="1757"/>
      <c r="K349" s="1757"/>
      <c r="L349" s="1757"/>
      <c r="M349" s="1757"/>
      <c r="N349" s="1757"/>
      <c r="O349" s="1757"/>
      <c r="P349" s="1757"/>
      <c r="Q349" s="1757"/>
      <c r="S349">
        <f>126990*2</f>
        <v>253980</v>
      </c>
    </row>
    <row r="350" spans="2:19" ht="18">
      <c r="B350" s="1480" t="s">
        <v>872</v>
      </c>
      <c r="C350" s="2343">
        <f>+H323</f>
        <v>267360</v>
      </c>
      <c r="D350" s="2343"/>
      <c r="E350" s="1275">
        <v>0</v>
      </c>
      <c r="F350" s="1473">
        <v>267360</v>
      </c>
      <c r="G350" s="2220">
        <f>+F350/$G$332</f>
        <v>9.9306717577950163E-2</v>
      </c>
      <c r="H350" s="1481">
        <f>+G350</f>
        <v>9.9306717577950163E-2</v>
      </c>
      <c r="I350" s="2012"/>
      <c r="J350" s="2012"/>
      <c r="K350" s="2012"/>
      <c r="L350" s="2012"/>
      <c r="M350" s="2012"/>
      <c r="N350" s="2012"/>
      <c r="O350" s="2012"/>
      <c r="P350" s="2012"/>
      <c r="Q350" s="2012"/>
    </row>
    <row r="351" spans="2:19" ht="18">
      <c r="B351" s="1480" t="s">
        <v>873</v>
      </c>
      <c r="C351" s="2343">
        <f>+H324</f>
        <v>241995</v>
      </c>
      <c r="D351" s="2343"/>
      <c r="E351" s="1275">
        <v>0</v>
      </c>
      <c r="F351" s="1473">
        <v>241995</v>
      </c>
      <c r="G351" s="2220">
        <f t="shared" ref="G351:G356" si="3">+F351/$G$332</f>
        <v>8.9885282466621974E-2</v>
      </c>
      <c r="H351" s="1481">
        <f t="shared" ref="H351:H356" si="4">+G351</f>
        <v>8.9885282466621974E-2</v>
      </c>
      <c r="I351" s="2012"/>
      <c r="J351" s="2012"/>
      <c r="K351" s="2012"/>
      <c r="L351" s="2012"/>
      <c r="M351" s="2012"/>
      <c r="N351" s="2012"/>
      <c r="O351" s="2012"/>
      <c r="P351" s="2012"/>
      <c r="Q351" s="2012"/>
    </row>
    <row r="352" spans="2:19" ht="18">
      <c r="B352" s="1480" t="s">
        <v>874</v>
      </c>
      <c r="C352" s="2343">
        <f>+H326</f>
        <v>186295</v>
      </c>
      <c r="D352" s="2343"/>
      <c r="E352" s="1275">
        <v>0</v>
      </c>
      <c r="F352" s="1473">
        <v>186295</v>
      </c>
      <c r="G352" s="2220">
        <f t="shared" si="3"/>
        <v>6.9196382971215692E-2</v>
      </c>
      <c r="H352" s="1481">
        <f t="shared" si="4"/>
        <v>6.9196382971215692E-2</v>
      </c>
      <c r="I352" s="2012"/>
      <c r="J352" s="2012"/>
      <c r="K352" s="2012"/>
      <c r="L352" s="2012"/>
      <c r="M352" s="2012"/>
      <c r="N352" s="2012"/>
      <c r="O352" s="2012"/>
      <c r="P352" s="2012"/>
      <c r="Q352" s="2012"/>
    </row>
    <row r="353" spans="2:23" ht="18">
      <c r="B353" s="1480" t="s">
        <v>875</v>
      </c>
      <c r="C353" s="2343">
        <v>113805</v>
      </c>
      <c r="D353" s="2343"/>
      <c r="E353" s="1275">
        <v>0</v>
      </c>
      <c r="F353" s="1473">
        <v>113805</v>
      </c>
      <c r="G353" s="2220">
        <f t="shared" si="3"/>
        <v>4.2271098870282083E-2</v>
      </c>
      <c r="H353" s="1481">
        <f t="shared" si="4"/>
        <v>4.2271098870282083E-2</v>
      </c>
      <c r="I353" s="2012"/>
      <c r="J353" s="2012"/>
      <c r="K353" s="2012"/>
      <c r="L353" s="2012"/>
      <c r="M353" s="2012"/>
      <c r="N353" s="2012"/>
      <c r="O353" s="2012"/>
      <c r="P353" s="2012"/>
      <c r="Q353" s="2012"/>
    </row>
    <row r="354" spans="2:23" ht="18">
      <c r="B354" s="1480" t="s">
        <v>876</v>
      </c>
      <c r="C354" s="2343">
        <v>39520</v>
      </c>
      <c r="D354" s="2343"/>
      <c r="E354" s="1275">
        <v>0</v>
      </c>
      <c r="F354" s="1473">
        <v>39520</v>
      </c>
      <c r="G354" s="2220">
        <f t="shared" si="3"/>
        <v>1.4679089911282878E-2</v>
      </c>
      <c r="H354" s="1481">
        <f t="shared" si="4"/>
        <v>1.4679089911282878E-2</v>
      </c>
      <c r="I354" s="2012"/>
      <c r="J354" s="2012"/>
      <c r="K354" s="2012"/>
      <c r="L354" s="2012"/>
      <c r="M354" s="2012"/>
      <c r="N354" s="2012"/>
      <c r="O354" s="2012"/>
      <c r="P354" s="2012"/>
      <c r="Q354" s="2012"/>
      <c r="T354" s="376"/>
      <c r="U354" s="376"/>
      <c r="V354" s="376"/>
      <c r="W354" s="376"/>
    </row>
    <row r="355" spans="2:23" ht="18">
      <c r="B355" s="1480" t="s">
        <v>877</v>
      </c>
      <c r="C355" s="2343">
        <v>3600</v>
      </c>
      <c r="D355" s="2343"/>
      <c r="E355" s="1275">
        <v>0</v>
      </c>
      <c r="F355" s="1473">
        <v>3600</v>
      </c>
      <c r="G355" s="2220">
        <f t="shared" si="3"/>
        <v>1.3371640607443918E-3</v>
      </c>
      <c r="H355" s="1481">
        <f t="shared" si="4"/>
        <v>1.3371640607443918E-3</v>
      </c>
      <c r="I355" s="2012"/>
      <c r="J355" s="2012"/>
      <c r="K355" s="2012"/>
      <c r="L355" s="2012"/>
      <c r="M355" s="2012"/>
      <c r="N355" s="2012"/>
      <c r="O355" s="2012"/>
      <c r="P355" s="2012"/>
      <c r="Q355" s="2012"/>
    </row>
    <row r="356" spans="2:23" ht="18">
      <c r="B356" s="1480" t="s">
        <v>878</v>
      </c>
      <c r="C356" s="2343">
        <v>100</v>
      </c>
      <c r="D356" s="2343"/>
      <c r="E356" s="1275">
        <v>0</v>
      </c>
      <c r="F356" s="1473">
        <v>100</v>
      </c>
      <c r="G356" s="2221">
        <f t="shared" si="3"/>
        <v>3.7143446131788664E-5</v>
      </c>
      <c r="H356" s="1482">
        <f t="shared" si="4"/>
        <v>3.7143446131788664E-5</v>
      </c>
      <c r="I356" s="2013"/>
      <c r="J356" s="2013"/>
      <c r="K356" s="2013"/>
      <c r="L356" s="2013"/>
      <c r="M356" s="2013"/>
      <c r="N356" s="2013"/>
      <c r="O356" s="2013"/>
      <c r="P356" s="2013"/>
      <c r="Q356" s="2013"/>
    </row>
    <row r="357" spans="2:23" ht="18">
      <c r="B357" s="1063"/>
      <c r="C357" s="24"/>
      <c r="D357" s="24"/>
      <c r="E357" s="24"/>
      <c r="F357" s="1503"/>
      <c r="G357" s="69"/>
      <c r="H357" s="1090"/>
      <c r="I357" s="26"/>
      <c r="J357" s="26"/>
      <c r="K357" s="26"/>
      <c r="L357" s="26"/>
      <c r="M357" s="26"/>
      <c r="N357" s="26"/>
      <c r="O357" s="26"/>
      <c r="P357" s="26"/>
      <c r="Q357" s="26"/>
    </row>
    <row r="358" spans="2:23" ht="18">
      <c r="B358" s="1049" t="s">
        <v>867</v>
      </c>
      <c r="C358" s="24"/>
      <c r="D358" s="24"/>
      <c r="E358" s="24"/>
      <c r="F358" s="1503"/>
      <c r="G358" s="69"/>
      <c r="H358" s="1090"/>
      <c r="I358" s="26"/>
      <c r="J358" s="26"/>
      <c r="K358" s="26"/>
      <c r="L358" s="26"/>
      <c r="M358" s="26"/>
      <c r="N358" s="26"/>
      <c r="O358" s="26"/>
      <c r="P358" s="26"/>
      <c r="Q358" s="26"/>
    </row>
    <row r="359" spans="2:23" ht="54">
      <c r="B359" s="1479" t="s">
        <v>2115</v>
      </c>
      <c r="C359" s="2344" t="s">
        <v>868</v>
      </c>
      <c r="D359" s="2344"/>
      <c r="E359" s="1272" t="s">
        <v>869</v>
      </c>
      <c r="F359" s="1561" t="s">
        <v>870</v>
      </c>
      <c r="G359" s="1562" t="s">
        <v>871</v>
      </c>
      <c r="H359" s="1563" t="s">
        <v>871</v>
      </c>
      <c r="I359" s="1996"/>
      <c r="J359" s="1996"/>
      <c r="K359" s="1996"/>
      <c r="L359" s="1996"/>
      <c r="M359" s="1996"/>
      <c r="N359" s="1996"/>
      <c r="O359" s="1996"/>
      <c r="P359" s="1996"/>
      <c r="Q359" s="1996"/>
    </row>
    <row r="360" spans="2:23" ht="18">
      <c r="B360" s="1480" t="s">
        <v>872</v>
      </c>
      <c r="C360" s="2343">
        <v>267360</v>
      </c>
      <c r="D360" s="2343"/>
      <c r="E360" s="1275">
        <v>0</v>
      </c>
      <c r="F360" s="1473">
        <v>267360</v>
      </c>
      <c r="G360" s="2220">
        <f t="shared" ref="G360:G366" si="5">+F360/$G$332</f>
        <v>9.9306717577950163E-2</v>
      </c>
      <c r="H360" s="1481">
        <f t="shared" ref="H360:H366" si="6">+G360</f>
        <v>9.9306717577950163E-2</v>
      </c>
      <c r="I360" s="2012"/>
      <c r="J360" s="2012"/>
      <c r="K360" s="2012"/>
      <c r="L360" s="2012"/>
      <c r="M360" s="2012"/>
      <c r="N360" s="2012"/>
      <c r="O360" s="2012"/>
      <c r="P360" s="2012"/>
      <c r="Q360" s="2012"/>
    </row>
    <row r="361" spans="2:23" ht="18">
      <c r="B361" s="1480" t="s">
        <v>873</v>
      </c>
      <c r="C361" s="2343">
        <v>241995</v>
      </c>
      <c r="D361" s="2343"/>
      <c r="E361" s="1275">
        <v>0</v>
      </c>
      <c r="F361" s="1473">
        <v>241995</v>
      </c>
      <c r="G361" s="2220">
        <f t="shared" si="5"/>
        <v>8.9885282466621974E-2</v>
      </c>
      <c r="H361" s="1481">
        <f t="shared" si="6"/>
        <v>8.9885282466621974E-2</v>
      </c>
      <c r="I361" s="2012"/>
      <c r="J361" s="2012"/>
      <c r="K361" s="2012"/>
      <c r="L361" s="2012"/>
      <c r="M361" s="2012"/>
      <c r="N361" s="2012"/>
      <c r="O361" s="2012"/>
      <c r="P361" s="2012"/>
      <c r="Q361" s="2012"/>
    </row>
    <row r="362" spans="2:23" ht="18">
      <c r="B362" s="1480" t="s">
        <v>874</v>
      </c>
      <c r="C362" s="2343">
        <v>186295</v>
      </c>
      <c r="D362" s="2343"/>
      <c r="E362" s="1275">
        <v>0</v>
      </c>
      <c r="F362" s="1473">
        <v>186295</v>
      </c>
      <c r="G362" s="2220">
        <f t="shared" si="5"/>
        <v>6.9196382971215692E-2</v>
      </c>
      <c r="H362" s="1481">
        <f t="shared" si="6"/>
        <v>6.9196382971215692E-2</v>
      </c>
      <c r="I362" s="2012"/>
      <c r="J362" s="2012"/>
      <c r="K362" s="2012"/>
      <c r="L362" s="2012"/>
      <c r="M362" s="2012"/>
      <c r="N362" s="2012"/>
      <c r="O362" s="2012"/>
      <c r="P362" s="2012"/>
      <c r="Q362" s="2012"/>
    </row>
    <row r="363" spans="2:23" ht="18">
      <c r="B363" s="1480" t="s">
        <v>875</v>
      </c>
      <c r="C363" s="2343">
        <v>113805</v>
      </c>
      <c r="D363" s="2343"/>
      <c r="E363" s="1275">
        <v>0</v>
      </c>
      <c r="F363" s="1473">
        <v>113805</v>
      </c>
      <c r="G363" s="2220">
        <f t="shared" si="5"/>
        <v>4.2271098870282083E-2</v>
      </c>
      <c r="H363" s="1481">
        <f t="shared" si="6"/>
        <v>4.2271098870282083E-2</v>
      </c>
      <c r="I363" s="2012"/>
      <c r="J363" s="2012"/>
      <c r="K363" s="2012"/>
      <c r="L363" s="2012"/>
      <c r="M363" s="2012"/>
      <c r="N363" s="2012"/>
      <c r="O363" s="2012"/>
      <c r="P363" s="2012"/>
      <c r="Q363" s="2012"/>
    </row>
    <row r="364" spans="2:23" ht="18">
      <c r="B364" s="1480" t="s">
        <v>876</v>
      </c>
      <c r="C364" s="2343">
        <v>39520</v>
      </c>
      <c r="D364" s="2343"/>
      <c r="E364" s="1275">
        <v>0</v>
      </c>
      <c r="F364" s="1473">
        <v>39520</v>
      </c>
      <c r="G364" s="2220">
        <f t="shared" si="5"/>
        <v>1.4679089911282878E-2</v>
      </c>
      <c r="H364" s="1481">
        <f t="shared" si="6"/>
        <v>1.4679089911282878E-2</v>
      </c>
      <c r="I364" s="2012"/>
      <c r="J364" s="2012"/>
      <c r="K364" s="2012"/>
      <c r="L364" s="2012"/>
      <c r="M364" s="2012"/>
      <c r="N364" s="2012"/>
      <c r="O364" s="2012"/>
      <c r="P364" s="2012"/>
      <c r="Q364" s="2012"/>
      <c r="T364" s="376"/>
      <c r="U364" s="376"/>
      <c r="V364" s="376"/>
      <c r="W364" s="376"/>
    </row>
    <row r="365" spans="2:23" ht="18">
      <c r="B365" s="1480" t="s">
        <v>877</v>
      </c>
      <c r="C365" s="2343">
        <v>3600</v>
      </c>
      <c r="D365" s="2343"/>
      <c r="E365" s="1275">
        <v>0</v>
      </c>
      <c r="F365" s="1473">
        <v>3600</v>
      </c>
      <c r="G365" s="2220">
        <f t="shared" si="5"/>
        <v>1.3371640607443918E-3</v>
      </c>
      <c r="H365" s="1481">
        <f t="shared" si="6"/>
        <v>1.3371640607443918E-3</v>
      </c>
      <c r="I365" s="2012"/>
      <c r="J365" s="2012"/>
      <c r="K365" s="2012"/>
      <c r="L365" s="2012"/>
      <c r="M365" s="2012"/>
      <c r="N365" s="2012"/>
      <c r="O365" s="2012"/>
      <c r="P365" s="2012"/>
      <c r="Q365" s="2012"/>
    </row>
    <row r="366" spans="2:23" ht="18">
      <c r="B366" s="1480" t="s">
        <v>878</v>
      </c>
      <c r="C366" s="2343">
        <v>100</v>
      </c>
      <c r="D366" s="2343"/>
      <c r="E366" s="1275">
        <v>0</v>
      </c>
      <c r="F366" s="1473">
        <v>100</v>
      </c>
      <c r="G366" s="2221">
        <f t="shared" si="5"/>
        <v>3.7143446131788664E-5</v>
      </c>
      <c r="H366" s="1482">
        <f t="shared" si="6"/>
        <v>3.7143446131788664E-5</v>
      </c>
      <c r="I366" s="2013"/>
      <c r="J366" s="2013"/>
      <c r="K366" s="2013"/>
      <c r="L366" s="2013"/>
      <c r="M366" s="2013"/>
      <c r="N366" s="2013"/>
      <c r="O366" s="2013"/>
      <c r="P366" s="2013"/>
      <c r="Q366" s="2013"/>
    </row>
    <row r="367" spans="2:23" ht="18">
      <c r="B367" s="1178"/>
      <c r="C367" s="1107"/>
      <c r="D367" s="1107"/>
      <c r="E367" s="1107"/>
      <c r="F367" s="1072"/>
      <c r="G367" s="1291"/>
      <c r="H367" s="1292"/>
      <c r="I367" s="2013"/>
      <c r="J367" s="2013"/>
      <c r="K367" s="2013"/>
      <c r="L367" s="2013"/>
      <c r="M367" s="2013"/>
      <c r="N367" s="2013"/>
      <c r="O367" s="2013"/>
      <c r="P367" s="2013"/>
      <c r="Q367" s="2013"/>
    </row>
    <row r="368" spans="2:23" hidden="1">
      <c r="B368" s="824"/>
      <c r="H368" s="825"/>
    </row>
    <row r="369" spans="2:17" hidden="1">
      <c r="B369" s="824"/>
      <c r="H369" s="825"/>
    </row>
    <row r="370" spans="2:17" ht="18" hidden="1">
      <c r="B370" s="1483"/>
      <c r="C370" s="1117"/>
      <c r="D370" s="1117"/>
      <c r="E370" s="1117"/>
      <c r="F370" s="1118"/>
      <c r="G370" s="1119"/>
      <c r="H370" s="1120"/>
      <c r="I370" s="26"/>
      <c r="J370" s="26"/>
      <c r="K370" s="26"/>
      <c r="L370" s="26"/>
      <c r="M370" s="26"/>
      <c r="N370" s="26"/>
      <c r="O370" s="26"/>
      <c r="P370" s="26"/>
      <c r="Q370" s="26"/>
    </row>
    <row r="371" spans="2:17" ht="18">
      <c r="B371" s="1053" t="s">
        <v>0</v>
      </c>
      <c r="C371" s="1054"/>
      <c r="D371" s="1054"/>
      <c r="E371" s="1054"/>
      <c r="F371" s="1055"/>
      <c r="G371" s="1004" t="s">
        <v>704</v>
      </c>
      <c r="H371" s="1005" t="s">
        <v>704</v>
      </c>
      <c r="I371" s="1996"/>
      <c r="J371" s="1996"/>
      <c r="K371" s="1996"/>
      <c r="L371" s="1996"/>
      <c r="M371" s="1996"/>
      <c r="N371" s="1996"/>
      <c r="O371" s="1996"/>
      <c r="P371" s="1996"/>
      <c r="Q371" s="1996"/>
    </row>
    <row r="372" spans="2:17" ht="18">
      <c r="B372" s="1036"/>
      <c r="C372" s="44"/>
      <c r="D372" s="44"/>
      <c r="E372" s="44"/>
      <c r="F372" s="45"/>
      <c r="G372" s="30" t="str">
        <f>+G308</f>
        <v>March 31, 2024 (₹)</v>
      </c>
      <c r="H372" s="1038" t="str">
        <f>+H308</f>
        <v>March 31, 2023 (₹)</v>
      </c>
      <c r="I372" s="1996"/>
      <c r="J372" s="1996"/>
      <c r="K372" s="1996"/>
      <c r="L372" s="1996"/>
      <c r="M372" s="1996"/>
      <c r="N372" s="1996"/>
      <c r="O372" s="1996"/>
      <c r="P372" s="1996"/>
      <c r="Q372" s="1996"/>
    </row>
    <row r="373" spans="2:17" ht="18">
      <c r="B373" s="1076" t="s">
        <v>2643</v>
      </c>
      <c r="C373" s="56"/>
      <c r="D373" s="56"/>
      <c r="E373" s="56"/>
      <c r="F373" s="1504"/>
      <c r="G373" s="48"/>
      <c r="H373" s="1059"/>
      <c r="I373" s="21"/>
      <c r="J373" s="21"/>
      <c r="K373" s="21"/>
      <c r="L373" s="21"/>
      <c r="M373" s="21"/>
      <c r="N373" s="21"/>
      <c r="O373" s="21"/>
      <c r="P373" s="21"/>
      <c r="Q373" s="21"/>
    </row>
    <row r="374" spans="2:17" ht="18">
      <c r="B374" s="1076"/>
      <c r="C374" s="56"/>
      <c r="D374" s="56"/>
      <c r="E374" s="56"/>
      <c r="F374" s="1504"/>
      <c r="G374" s="48"/>
      <c r="H374" s="1059"/>
      <c r="I374" s="21"/>
      <c r="J374" s="21"/>
      <c r="K374" s="21"/>
      <c r="L374" s="21"/>
      <c r="M374" s="21"/>
      <c r="N374" s="21"/>
      <c r="O374" s="21"/>
      <c r="P374" s="21"/>
      <c r="Q374" s="21"/>
    </row>
    <row r="375" spans="2:17" ht="18">
      <c r="B375" s="1081" t="s">
        <v>879</v>
      </c>
      <c r="C375" s="61"/>
      <c r="D375" s="61"/>
      <c r="E375" s="61"/>
      <c r="F375" s="1504"/>
      <c r="G375" s="48"/>
      <c r="H375" s="1059"/>
      <c r="I375" s="21"/>
      <c r="J375" s="21"/>
      <c r="K375" s="21"/>
      <c r="L375" s="21"/>
      <c r="M375" s="21"/>
      <c r="N375" s="21"/>
      <c r="O375" s="21"/>
      <c r="P375" s="21"/>
      <c r="Q375" s="21"/>
    </row>
    <row r="376" spans="2:17" ht="18">
      <c r="B376" s="1121" t="s">
        <v>880</v>
      </c>
      <c r="C376" s="1535"/>
      <c r="D376" s="1535"/>
      <c r="E376" s="1535"/>
      <c r="F376" s="1504"/>
      <c r="G376" s="48"/>
      <c r="H376" s="1059"/>
      <c r="I376" s="21"/>
      <c r="J376" s="21"/>
      <c r="K376" s="21"/>
      <c r="L376" s="21"/>
      <c r="M376" s="21"/>
      <c r="N376" s="21"/>
      <c r="O376" s="21"/>
      <c r="P376" s="21"/>
      <c r="Q376" s="21"/>
    </row>
    <row r="377" spans="2:17" ht="18">
      <c r="B377" s="1121"/>
      <c r="C377" s="1535"/>
      <c r="D377" s="1535"/>
      <c r="E377" s="1535"/>
      <c r="F377" s="1504"/>
      <c r="G377" s="48"/>
      <c r="H377" s="1059"/>
      <c r="I377" s="21"/>
      <c r="J377" s="21"/>
      <c r="K377" s="21"/>
      <c r="L377" s="21"/>
      <c r="M377" s="21"/>
      <c r="N377" s="21"/>
      <c r="O377" s="21"/>
      <c r="P377" s="21"/>
      <c r="Q377" s="21"/>
    </row>
    <row r="378" spans="2:17" ht="18">
      <c r="B378" s="1062" t="s">
        <v>881</v>
      </c>
      <c r="C378" s="1539"/>
      <c r="D378" s="1539"/>
      <c r="E378" s="1539"/>
      <c r="F378" s="1504"/>
      <c r="G378" s="2073">
        <f>+'Term Loans '!D29+'Term Loans '!D27+'Term Loans '!D26</f>
        <v>63531288</v>
      </c>
      <c r="H378" s="2074">
        <v>57314949</v>
      </c>
      <c r="I378" s="21"/>
      <c r="J378" s="21"/>
      <c r="K378" s="21"/>
      <c r="L378" s="21"/>
      <c r="M378" s="21"/>
      <c r="N378" s="21"/>
      <c r="O378" s="21"/>
      <c r="P378" s="21"/>
      <c r="Q378" s="21"/>
    </row>
    <row r="379" spans="2:17" ht="18">
      <c r="B379" s="1062"/>
      <c r="C379" s="1539"/>
      <c r="D379" s="1539"/>
      <c r="E379" s="1539"/>
      <c r="F379" s="1504"/>
      <c r="G379" s="2073"/>
      <c r="H379" s="2074"/>
      <c r="I379" s="21"/>
      <c r="J379" s="21"/>
      <c r="K379" s="21"/>
      <c r="L379" s="21"/>
      <c r="M379" s="21"/>
      <c r="N379" s="21"/>
      <c r="O379" s="21"/>
      <c r="P379" s="21"/>
      <c r="Q379" s="21"/>
    </row>
    <row r="380" spans="2:17" ht="127.2" customHeight="1">
      <c r="B380" s="2263" t="s">
        <v>2881</v>
      </c>
      <c r="C380" s="2264"/>
      <c r="D380" s="2264"/>
      <c r="E380" s="2264"/>
      <c r="F380" s="2332"/>
      <c r="G380" s="2088"/>
      <c r="H380" s="2089"/>
      <c r="I380" s="54"/>
      <c r="J380" s="54"/>
      <c r="K380" s="54"/>
      <c r="L380" s="54"/>
      <c r="M380" s="54"/>
      <c r="N380" s="54"/>
      <c r="O380" s="54"/>
      <c r="P380" s="54"/>
      <c r="Q380" s="54"/>
    </row>
    <row r="381" spans="2:17" ht="74.400000000000006" customHeight="1">
      <c r="B381" s="2263" t="s">
        <v>2759</v>
      </c>
      <c r="C381" s="2264"/>
      <c r="D381" s="2264"/>
      <c r="E381" s="2264"/>
      <c r="F381" s="2332"/>
      <c r="G381" s="2088"/>
      <c r="H381" s="2089"/>
      <c r="I381" s="54"/>
      <c r="J381" s="54"/>
      <c r="K381" s="54"/>
      <c r="L381" s="54"/>
      <c r="M381" s="54"/>
      <c r="N381" s="54"/>
      <c r="O381" s="54"/>
      <c r="P381" s="54"/>
      <c r="Q381" s="54"/>
    </row>
    <row r="382" spans="2:17" ht="162.75" customHeight="1">
      <c r="B382" s="2263" t="s">
        <v>4706</v>
      </c>
      <c r="C382" s="2264"/>
      <c r="D382" s="2264"/>
      <c r="E382" s="2264"/>
      <c r="F382" s="2332"/>
      <c r="G382" s="2088"/>
      <c r="H382" s="2089"/>
      <c r="I382" s="54"/>
      <c r="J382" s="54"/>
      <c r="K382" s="54"/>
      <c r="L382" s="54"/>
      <c r="M382" s="54"/>
      <c r="N382" s="54"/>
      <c r="O382" s="54"/>
      <c r="P382" s="54"/>
      <c r="Q382" s="54"/>
    </row>
    <row r="383" spans="2:17" ht="111" customHeight="1">
      <c r="B383" s="2263" t="s">
        <v>4707</v>
      </c>
      <c r="C383" s="2264"/>
      <c r="D383" s="2264"/>
      <c r="E383" s="2264"/>
      <c r="F383" s="2332"/>
      <c r="G383" s="2088"/>
      <c r="H383" s="2089"/>
      <c r="I383" s="54"/>
      <c r="J383" s="54"/>
      <c r="K383" s="54"/>
      <c r="L383" s="54"/>
      <c r="M383" s="54"/>
      <c r="N383" s="54"/>
      <c r="O383" s="54"/>
      <c r="P383" s="54"/>
      <c r="Q383" s="54"/>
    </row>
    <row r="384" spans="2:17" ht="76.2" customHeight="1">
      <c r="B384" s="2340" t="s">
        <v>4708</v>
      </c>
      <c r="C384" s="2341"/>
      <c r="D384" s="2341"/>
      <c r="E384" s="2341"/>
      <c r="F384" s="2342"/>
      <c r="G384" s="2088"/>
      <c r="H384" s="2089"/>
      <c r="I384" s="54"/>
      <c r="J384" s="54"/>
      <c r="K384" s="54"/>
      <c r="L384" s="54"/>
      <c r="M384" s="54"/>
      <c r="N384" s="54"/>
      <c r="O384" s="54"/>
      <c r="P384" s="54"/>
      <c r="Q384" s="54"/>
    </row>
    <row r="385" spans="2:18" ht="18">
      <c r="B385" s="1121"/>
      <c r="C385" s="1542"/>
      <c r="D385" s="1542"/>
      <c r="E385" s="1542"/>
      <c r="F385" s="1542"/>
      <c r="G385" s="2088"/>
      <c r="H385" s="2089"/>
      <c r="I385" s="54"/>
      <c r="J385" s="54"/>
      <c r="K385" s="54"/>
      <c r="L385" s="54"/>
      <c r="M385" s="54"/>
      <c r="N385" s="54"/>
      <c r="O385" s="54"/>
      <c r="P385" s="54"/>
      <c r="Q385" s="54"/>
    </row>
    <row r="386" spans="2:18" ht="18">
      <c r="B386" s="1051" t="s">
        <v>882</v>
      </c>
      <c r="C386" s="1543"/>
      <c r="D386" s="1543"/>
      <c r="E386" s="1543"/>
      <c r="F386" s="1543"/>
      <c r="G386" s="2090">
        <f>+'Term Loans '!D28+'Term Loans '!D25</f>
        <v>3829801</v>
      </c>
      <c r="H386" s="2091">
        <v>4466577.09</v>
      </c>
      <c r="I386" s="54"/>
      <c r="J386" s="54"/>
      <c r="K386" s="54"/>
      <c r="L386" s="54"/>
      <c r="M386" s="54"/>
      <c r="N386" s="54"/>
      <c r="O386" s="54"/>
      <c r="P386" s="54"/>
      <c r="Q386" s="54"/>
    </row>
    <row r="387" spans="2:18" ht="95.4" customHeight="1">
      <c r="B387" s="2263" t="s">
        <v>2882</v>
      </c>
      <c r="C387" s="2264"/>
      <c r="D387" s="2264"/>
      <c r="E387" s="2264"/>
      <c r="F387" s="2332"/>
      <c r="G387" s="2088"/>
      <c r="H387" s="2089"/>
      <c r="I387" s="54"/>
      <c r="J387" s="54"/>
      <c r="K387" s="54"/>
      <c r="L387" s="54"/>
      <c r="M387" s="54"/>
      <c r="N387" s="54"/>
      <c r="O387" s="54"/>
      <c r="P387" s="54"/>
      <c r="Q387" s="54"/>
    </row>
    <row r="388" spans="2:18" ht="78" customHeight="1">
      <c r="B388" s="2263" t="s">
        <v>2760</v>
      </c>
      <c r="C388" s="2264"/>
      <c r="D388" s="2264"/>
      <c r="E388" s="2264"/>
      <c r="F388" s="2332"/>
      <c r="G388" s="2088"/>
      <c r="H388" s="2089"/>
      <c r="I388" s="54"/>
      <c r="J388" s="54"/>
      <c r="K388" s="54"/>
      <c r="L388" s="54"/>
      <c r="M388" s="54"/>
      <c r="N388" s="54"/>
      <c r="O388" s="54"/>
      <c r="P388" s="54"/>
      <c r="Q388" s="54"/>
    </row>
    <row r="389" spans="2:18" ht="18">
      <c r="B389" s="1082"/>
      <c r="C389" s="1533"/>
      <c r="D389" s="1533"/>
      <c r="E389" s="1533"/>
      <c r="F389" s="1533"/>
      <c r="G389" s="2088"/>
      <c r="H389" s="2089"/>
      <c r="I389" s="54"/>
      <c r="J389" s="54"/>
      <c r="K389" s="54"/>
      <c r="L389" s="54"/>
      <c r="M389" s="54"/>
      <c r="N389" s="54"/>
      <c r="O389" s="54"/>
      <c r="P389" s="54"/>
      <c r="Q389" s="54"/>
    </row>
    <row r="390" spans="2:18" ht="18">
      <c r="B390" s="1051" t="s">
        <v>883</v>
      </c>
      <c r="C390" s="1535"/>
      <c r="D390" s="1535"/>
      <c r="E390" s="1535"/>
      <c r="F390" s="1504"/>
      <c r="G390" s="2073"/>
      <c r="H390" s="2074"/>
      <c r="I390" s="21"/>
      <c r="J390" s="21"/>
      <c r="K390" s="21"/>
      <c r="L390" s="21"/>
      <c r="M390" s="21"/>
      <c r="N390" s="21"/>
      <c r="O390" s="21"/>
      <c r="P390" s="21"/>
      <c r="Q390" s="21"/>
    </row>
    <row r="391" spans="2:18" ht="18">
      <c r="B391" s="1060" t="s">
        <v>884</v>
      </c>
      <c r="C391" s="1535"/>
      <c r="D391" s="1535"/>
      <c r="E391" s="1535"/>
      <c r="F391" s="1504"/>
      <c r="G391" s="2073">
        <f>+GETPIVOTDATA("Sum of Cr. Final 23-24",Pivot!$A$1,"Note",13,"BS Main Head","Long Term Borrowings","BS Sub Head","Unsecured-From Others")-GETPIVOTDATA("Sum of Dr. Final 23-24",Pivot!$A$1,"Note",13,"BS Main Head","Long Term Borrowings","BS Sub Head","Unsecured-From Others")</f>
        <v>7622054</v>
      </c>
      <c r="H391" s="2074">
        <f>+GETPIVOTDATA("Sum of Cr. Final 22-23",Pivot!$A$1,"Note",13,"BS Main Head","Long Term Borrowings","BS Sub Head","Unsecured-From Others")-GETPIVOTDATA("Sum of Dr. Final 22-23",Pivot!$A$1,"Note",13,"BS Main Head","Long Term Borrowings","BS Sub Head","Unsecured-From Others")</f>
        <v>15000000</v>
      </c>
      <c r="I391" s="21"/>
      <c r="J391" s="21"/>
      <c r="K391" s="21"/>
      <c r="L391" s="21"/>
      <c r="M391" s="21"/>
      <c r="N391" s="21"/>
      <c r="O391" s="21"/>
      <c r="P391" s="21"/>
      <c r="Q391" s="21"/>
    </row>
    <row r="392" spans="2:18" ht="18">
      <c r="B392" s="1084" t="s">
        <v>2624</v>
      </c>
      <c r="C392" s="1535"/>
      <c r="D392" s="1535"/>
      <c r="E392" s="1535"/>
      <c r="F392" s="1504"/>
      <c r="G392" s="2073">
        <f>+GETPIVOTDATA("Sum of Cr. Final 23-24",Pivot!$A$1,"Note",13,"BS Main Head","Long Term Borrowings","BS Sub Head","Unsecured-From Related Party")-GETPIVOTDATA("Sum of Dr. Final 23-24",Pivot!$A$1,"Note",13,"BS Main Head","Long Term Borrowings","BS Sub Head","Unsecured-From Related Party")</f>
        <v>37219886</v>
      </c>
      <c r="H392" s="2074">
        <f>+GETPIVOTDATA("Sum of Cr. Final 22-23",Pivot!$A$1,"Note",13,"BS Main Head","Long Term Borrowings","BS Sub Head","Unsecured-From Related Party")-GETPIVOTDATA("Sum of Dr. Final 22-23",Pivot!$A$1,"Note",13,"BS Main Head","Long Term Borrowings","BS Sub Head","Unsecured-From Related Party")</f>
        <v>37807579</v>
      </c>
      <c r="I392" s="21"/>
      <c r="J392" s="21"/>
      <c r="K392" s="21"/>
      <c r="L392" s="21"/>
      <c r="M392" s="21"/>
      <c r="N392" s="21"/>
      <c r="O392" s="21"/>
      <c r="P392" s="21"/>
      <c r="Q392" s="21"/>
    </row>
    <row r="393" spans="2:18" ht="18.600000000000001" thickBot="1">
      <c r="B393" s="1544"/>
      <c r="C393" s="1545"/>
      <c r="D393" s="1545"/>
      <c r="E393" s="1545"/>
      <c r="F393" s="1546"/>
      <c r="G393" s="2181">
        <f>+SUM(G378:G392)</f>
        <v>112203029</v>
      </c>
      <c r="H393" s="2182">
        <f>+SUM(H378:H392)</f>
        <v>114589105.09</v>
      </c>
      <c r="I393" s="1998"/>
      <c r="J393" s="1998"/>
      <c r="K393" s="1998"/>
      <c r="L393" s="1998"/>
      <c r="M393" s="1998"/>
      <c r="N393" s="1998"/>
      <c r="O393" s="1998"/>
      <c r="P393" s="1998"/>
      <c r="Q393" s="1998"/>
      <c r="R393" s="634"/>
    </row>
    <row r="394" spans="2:18" ht="18">
      <c r="B394" s="2260" t="s">
        <v>702</v>
      </c>
      <c r="C394" s="2261"/>
      <c r="D394" s="2261"/>
      <c r="E394" s="2261"/>
      <c r="F394" s="2261"/>
      <c r="G394" s="2261"/>
      <c r="H394" s="2262"/>
      <c r="I394" s="1502"/>
      <c r="J394" s="1502"/>
      <c r="K394" s="1502"/>
      <c r="L394" s="1502"/>
      <c r="M394" s="1502"/>
      <c r="N394" s="1502"/>
      <c r="O394" s="1502"/>
      <c r="P394" s="1502"/>
      <c r="Q394" s="1502"/>
    </row>
    <row r="395" spans="2:18" ht="18">
      <c r="B395" s="2377" t="s">
        <v>3056</v>
      </c>
      <c r="C395" s="2378"/>
      <c r="D395" s="2378"/>
      <c r="E395" s="2378"/>
      <c r="F395" s="2378"/>
      <c r="G395" s="2378"/>
      <c r="H395" s="2379"/>
      <c r="I395" s="1502"/>
      <c r="J395" s="1502"/>
      <c r="K395" s="1502"/>
      <c r="L395" s="1502"/>
      <c r="M395" s="1502"/>
      <c r="N395" s="1502"/>
      <c r="O395" s="1502"/>
      <c r="P395" s="1502"/>
      <c r="Q395" s="1502"/>
    </row>
    <row r="396" spans="2:18" ht="18">
      <c r="B396" s="1195" t="s">
        <v>0</v>
      </c>
      <c r="C396" s="56"/>
      <c r="D396" s="56"/>
      <c r="E396" s="56"/>
      <c r="F396" s="1523"/>
      <c r="G396" s="1004" t="s">
        <v>704</v>
      </c>
      <c r="H396" s="1005" t="s">
        <v>704</v>
      </c>
      <c r="I396" s="1996"/>
      <c r="J396" s="1996"/>
      <c r="K396" s="1996"/>
      <c r="L396" s="1996"/>
      <c r="M396" s="1996"/>
      <c r="N396" s="1996"/>
      <c r="O396" s="1996"/>
      <c r="P396" s="1996"/>
      <c r="Q396" s="1996"/>
    </row>
    <row r="397" spans="2:18" ht="18">
      <c r="B397" s="1036"/>
      <c r="C397" s="44"/>
      <c r="D397" s="44"/>
      <c r="E397" s="44"/>
      <c r="F397" s="45"/>
      <c r="G397" s="30" t="str">
        <f>+G7</f>
        <v>March 31, 2024 (₹)</v>
      </c>
      <c r="H397" s="1038" t="str">
        <f>+H7</f>
        <v>March 31, 2023 (₹)</v>
      </c>
      <c r="I397" s="1996"/>
      <c r="J397" s="1996"/>
      <c r="K397" s="1996"/>
      <c r="L397" s="1996"/>
      <c r="M397" s="1996"/>
      <c r="N397" s="1996"/>
      <c r="O397" s="1996"/>
      <c r="P397" s="1996"/>
      <c r="Q397" s="1996"/>
    </row>
    <row r="398" spans="2:18" ht="18">
      <c r="B398" s="1063"/>
      <c r="C398" s="24"/>
      <c r="D398" s="24"/>
      <c r="E398" s="24"/>
      <c r="F398" s="1503"/>
      <c r="G398" s="55"/>
      <c r="H398" s="1075"/>
      <c r="I398" s="1996"/>
      <c r="J398" s="1996"/>
      <c r="K398" s="1996"/>
      <c r="L398" s="1996"/>
      <c r="M398" s="1996"/>
      <c r="N398" s="1996"/>
      <c r="O398" s="1996"/>
      <c r="P398" s="1996"/>
      <c r="Q398" s="1996"/>
    </row>
    <row r="399" spans="2:18" ht="18">
      <c r="B399" s="1091" t="s">
        <v>2644</v>
      </c>
      <c r="C399" s="24"/>
      <c r="D399" s="24"/>
      <c r="E399" s="24"/>
      <c r="F399" s="1503"/>
      <c r="G399" s="69"/>
      <c r="H399" s="1090"/>
      <c r="I399" s="26"/>
      <c r="J399" s="26"/>
      <c r="K399" s="26"/>
      <c r="L399" s="26"/>
      <c r="M399" s="26"/>
      <c r="N399" s="26"/>
      <c r="O399" s="26"/>
      <c r="P399" s="26"/>
      <c r="Q399" s="26"/>
    </row>
    <row r="400" spans="2:18" ht="18">
      <c r="B400" s="1063" t="s">
        <v>885</v>
      </c>
      <c r="C400" s="24"/>
      <c r="D400" s="24"/>
      <c r="E400" s="24"/>
      <c r="F400" s="1503"/>
      <c r="G400" s="2067">
        <f>+GETPIVOTDATA("Sum of Cr. Final 23-24",Pivot!$A$1,"Note",14,"BS Main Head","Non Current - Provisions","BS Sub Head","Provision for Employee Benefit")-GETPIVOTDATA("Sum of Dr. Final 23-24",Pivot!$A$1,"Note",14,"BS Main Head","Non Current - Provisions","BS Sub Head","Provision for Employee Benefit")-G481-G109</f>
        <v>495765.69999999925</v>
      </c>
      <c r="H400" s="2068">
        <f>+GETPIVOTDATA("Sum of Cr. Final 22-23",Pivot!$A$1,"Note",14,"BS Main Head","Non Current - Provisions","BS Sub Head","Provision for Employee Benefit")-GETPIVOTDATA("Sum of Dr. Final 22-23",Pivot!$A$1,"Note",14,"BS Main Head","Non Current - Provisions","BS Sub Head","Provision for Employee Benefit")-H481</f>
        <v>838989.70000000019</v>
      </c>
      <c r="I400" s="1997"/>
      <c r="J400" s="1997"/>
      <c r="K400" s="1997"/>
      <c r="L400" s="1997"/>
      <c r="M400" s="1997"/>
      <c r="N400" s="1997"/>
      <c r="O400" s="1997"/>
      <c r="P400" s="1997"/>
      <c r="Q400" s="1997"/>
    </row>
    <row r="401" spans="2:17" ht="18">
      <c r="B401" s="1063"/>
      <c r="C401" s="24"/>
      <c r="D401" s="24"/>
      <c r="E401" s="24"/>
      <c r="F401" s="1503"/>
      <c r="G401" s="2061">
        <f>+SUM(G400)</f>
        <v>495765.69999999925</v>
      </c>
      <c r="H401" s="2062">
        <f>+SUM(H400)</f>
        <v>838989.70000000019</v>
      </c>
      <c r="I401" s="103"/>
      <c r="J401" s="103"/>
      <c r="K401" s="103"/>
      <c r="L401" s="103"/>
      <c r="M401" s="103"/>
      <c r="N401" s="103"/>
      <c r="O401" s="103"/>
      <c r="P401" s="103"/>
      <c r="Q401" s="103"/>
    </row>
    <row r="402" spans="2:17" ht="18">
      <c r="B402" s="1091" t="s">
        <v>2645</v>
      </c>
      <c r="C402" s="61"/>
      <c r="D402" s="61"/>
      <c r="E402" s="61"/>
      <c r="F402" s="1504"/>
      <c r="G402" s="2049"/>
      <c r="H402" s="2057"/>
      <c r="I402" s="21"/>
      <c r="J402" s="21"/>
      <c r="K402" s="21"/>
      <c r="L402" s="21"/>
      <c r="M402" s="21"/>
      <c r="N402" s="21"/>
      <c r="O402" s="21"/>
      <c r="P402" s="21"/>
      <c r="Q402" s="21"/>
    </row>
    <row r="403" spans="2:17" ht="18">
      <c r="B403" s="2326" t="s">
        <v>886</v>
      </c>
      <c r="C403" s="2327"/>
      <c r="D403" s="2327"/>
      <c r="E403" s="2327"/>
      <c r="F403" s="1504"/>
      <c r="G403" s="2049"/>
      <c r="H403" s="2057"/>
      <c r="I403" s="21"/>
      <c r="J403" s="21"/>
      <c r="K403" s="21"/>
      <c r="L403" s="21"/>
      <c r="M403" s="21"/>
      <c r="N403" s="21"/>
      <c r="O403" s="21"/>
      <c r="P403" s="21"/>
      <c r="Q403" s="21"/>
    </row>
    <row r="404" spans="2:17" ht="18">
      <c r="B404" s="1123" t="s">
        <v>2761</v>
      </c>
      <c r="C404" s="852"/>
      <c r="D404" s="852"/>
      <c r="E404" s="852"/>
      <c r="F404" s="852"/>
      <c r="G404" s="2090"/>
      <c r="H404" s="2091"/>
      <c r="I404" s="121"/>
      <c r="J404" s="121"/>
      <c r="K404" s="121"/>
      <c r="L404" s="121"/>
      <c r="M404" s="121"/>
      <c r="N404" s="121"/>
      <c r="O404" s="121"/>
      <c r="P404" s="121"/>
      <c r="Q404" s="121"/>
    </row>
    <row r="405" spans="2:17" ht="18">
      <c r="B405" s="1124" t="s">
        <v>887</v>
      </c>
      <c r="C405" s="852"/>
      <c r="D405" s="852"/>
      <c r="E405" s="852"/>
      <c r="F405" s="852"/>
      <c r="G405" s="2090"/>
      <c r="H405" s="2091"/>
      <c r="I405" s="121"/>
      <c r="J405" s="121"/>
      <c r="K405" s="121"/>
      <c r="L405" s="121"/>
      <c r="M405" s="121"/>
      <c r="N405" s="121"/>
      <c r="O405" s="121"/>
      <c r="P405" s="121"/>
      <c r="Q405" s="121"/>
    </row>
    <row r="406" spans="2:17" ht="18">
      <c r="B406" s="1125" t="s">
        <v>888</v>
      </c>
      <c r="C406" s="852"/>
      <c r="D406" s="852"/>
      <c r="E406" s="852"/>
      <c r="F406" s="852"/>
      <c r="G406" s="2118">
        <f>+DT!J15</f>
        <v>16594552.144350922</v>
      </c>
      <c r="H406" s="2119">
        <f>+'DT 22-23'!J28</f>
        <v>15542258.215957768</v>
      </c>
      <c r="I406" s="121"/>
      <c r="J406" s="121"/>
      <c r="K406" s="121"/>
      <c r="L406" s="121"/>
      <c r="M406" s="121"/>
      <c r="N406" s="121"/>
      <c r="O406" s="121"/>
      <c r="P406" s="121"/>
      <c r="Q406" s="121"/>
    </row>
    <row r="407" spans="2:17" ht="18">
      <c r="B407" s="1123" t="s">
        <v>889</v>
      </c>
      <c r="C407" s="852"/>
      <c r="D407" s="852"/>
      <c r="E407" s="852"/>
      <c r="F407" s="852"/>
      <c r="G407" s="2050">
        <f>+G406</f>
        <v>16594552.144350922</v>
      </c>
      <c r="H407" s="2056">
        <f>+H406</f>
        <v>15542258.215957768</v>
      </c>
      <c r="I407" s="26"/>
      <c r="J407" s="26"/>
      <c r="K407" s="26"/>
      <c r="L407" s="26"/>
      <c r="M407" s="26"/>
      <c r="N407" s="26"/>
      <c r="O407" s="26"/>
      <c r="P407" s="26"/>
      <c r="Q407" s="26"/>
    </row>
    <row r="408" spans="2:17" ht="18">
      <c r="B408" s="1123"/>
      <c r="C408" s="852"/>
      <c r="D408" s="852"/>
      <c r="E408" s="852"/>
      <c r="F408" s="852"/>
      <c r="G408" s="2050"/>
      <c r="H408" s="2056"/>
      <c r="I408" s="26"/>
      <c r="J408" s="26"/>
      <c r="K408" s="26"/>
      <c r="L408" s="26"/>
      <c r="M408" s="26"/>
      <c r="N408" s="26"/>
      <c r="O408" s="26"/>
      <c r="P408" s="26"/>
      <c r="Q408" s="26"/>
    </row>
    <row r="409" spans="2:17" ht="18">
      <c r="B409" s="1123" t="s">
        <v>2762</v>
      </c>
      <c r="C409" s="852"/>
      <c r="D409" s="852"/>
      <c r="E409" s="852"/>
      <c r="F409" s="852"/>
      <c r="G409" s="2090"/>
      <c r="H409" s="2091"/>
      <c r="I409" s="121"/>
      <c r="J409" s="121"/>
      <c r="K409" s="121"/>
      <c r="L409" s="121"/>
      <c r="M409" s="121"/>
      <c r="N409" s="121"/>
      <c r="O409" s="121"/>
      <c r="P409" s="121"/>
      <c r="Q409" s="121"/>
    </row>
    <row r="410" spans="2:17" ht="18">
      <c r="B410" s="1124" t="s">
        <v>887</v>
      </c>
      <c r="C410" s="852"/>
      <c r="D410" s="852"/>
      <c r="E410" s="852"/>
      <c r="F410" s="852"/>
      <c r="G410" s="2090"/>
      <c r="H410" s="2091"/>
      <c r="I410" s="121"/>
      <c r="J410" s="121"/>
      <c r="K410" s="121"/>
      <c r="L410" s="121"/>
      <c r="M410" s="121"/>
      <c r="N410" s="121"/>
      <c r="O410" s="121"/>
      <c r="P410" s="121"/>
      <c r="Q410" s="121"/>
    </row>
    <row r="411" spans="2:17" ht="18">
      <c r="B411" s="1125" t="s">
        <v>2625</v>
      </c>
      <c r="C411" s="852"/>
      <c r="D411" s="852"/>
      <c r="E411" s="852"/>
      <c r="F411" s="852"/>
      <c r="G411" s="2090">
        <f>+DT!J25</f>
        <v>29552118.411617327</v>
      </c>
      <c r="H411" s="2091">
        <f>+'DT 22-23'!J24</f>
        <v>11158446.995069338</v>
      </c>
      <c r="I411" s="121"/>
      <c r="J411" s="121"/>
      <c r="K411" s="121"/>
      <c r="L411" s="121"/>
      <c r="M411" s="121"/>
      <c r="N411" s="121"/>
      <c r="O411" s="121"/>
      <c r="P411" s="121"/>
      <c r="Q411" s="121"/>
    </row>
    <row r="412" spans="2:17" ht="18">
      <c r="B412" s="1125" t="s">
        <v>2763</v>
      </c>
      <c r="C412" s="852"/>
      <c r="D412" s="852"/>
      <c r="E412" s="852"/>
      <c r="F412" s="852"/>
      <c r="G412" s="2090">
        <f>+DT!J21</f>
        <v>545547.28113599983</v>
      </c>
      <c r="H412" s="2091">
        <f>+'DT 22-23'!J21</f>
        <v>278054.30223999999</v>
      </c>
      <c r="I412" s="121"/>
      <c r="J412" s="121"/>
      <c r="K412" s="121"/>
      <c r="L412" s="121"/>
      <c r="M412" s="121"/>
      <c r="N412" s="121"/>
      <c r="O412" s="121"/>
      <c r="P412" s="121"/>
      <c r="Q412" s="121"/>
    </row>
    <row r="413" spans="2:17" ht="18">
      <c r="B413" s="1123" t="s">
        <v>889</v>
      </c>
      <c r="C413" s="852"/>
      <c r="D413" s="852"/>
      <c r="E413" s="852"/>
      <c r="F413" s="852"/>
      <c r="G413" s="2051">
        <f>+G412+G411</f>
        <v>30097665.692753326</v>
      </c>
      <c r="H413" s="2055">
        <f>+SUM(H411:H412)</f>
        <v>11436501.297309337</v>
      </c>
      <c r="I413" s="26"/>
      <c r="J413" s="26"/>
      <c r="K413" s="26"/>
      <c r="L413" s="26"/>
      <c r="M413" s="26"/>
      <c r="N413" s="26"/>
      <c r="O413" s="26"/>
      <c r="P413" s="26"/>
      <c r="Q413" s="26"/>
    </row>
    <row r="414" spans="2:17" ht="18">
      <c r="B414" s="1123" t="s">
        <v>4748</v>
      </c>
      <c r="C414" s="25"/>
      <c r="D414" s="25"/>
      <c r="E414" s="1503"/>
      <c r="F414" s="1503"/>
      <c r="G414" s="2051">
        <f>+G407-G413</f>
        <v>-13503113.548402404</v>
      </c>
      <c r="H414" s="2055">
        <f>+H407-H413</f>
        <v>4105756.9186484311</v>
      </c>
      <c r="I414" s="2004"/>
      <c r="J414" s="2004"/>
      <c r="K414" s="2004"/>
      <c r="L414" s="2004"/>
      <c r="M414" s="2004"/>
      <c r="N414" s="2004"/>
      <c r="O414" s="2004"/>
      <c r="P414" s="2004"/>
      <c r="Q414" s="2004"/>
    </row>
    <row r="415" spans="2:17" ht="18">
      <c r="B415" s="1123"/>
      <c r="C415" s="25"/>
      <c r="D415" s="25"/>
      <c r="E415" s="1503"/>
      <c r="F415" s="1503"/>
      <c r="G415" s="2050"/>
      <c r="H415" s="2056"/>
      <c r="I415" s="26"/>
      <c r="J415" s="26"/>
      <c r="K415" s="26"/>
      <c r="L415" s="26"/>
      <c r="M415" s="26"/>
      <c r="N415" s="26"/>
      <c r="O415" s="26"/>
      <c r="P415" s="26"/>
      <c r="Q415" s="26"/>
    </row>
    <row r="416" spans="2:17" ht="18">
      <c r="B416" s="1049" t="s">
        <v>824</v>
      </c>
      <c r="C416" s="24"/>
      <c r="D416" s="24"/>
      <c r="E416" s="1503"/>
      <c r="F416" s="1504"/>
      <c r="G416" s="2051">
        <f>+G414</f>
        <v>-13503113.548402404</v>
      </c>
      <c r="H416" s="2055">
        <f>+H414</f>
        <v>4105756.9186484311</v>
      </c>
      <c r="I416" s="2004"/>
      <c r="J416" s="2004"/>
      <c r="K416" s="2004"/>
      <c r="L416" s="2004"/>
      <c r="M416" s="2004"/>
      <c r="N416" s="2004"/>
      <c r="O416" s="2004"/>
      <c r="P416" s="2004"/>
      <c r="Q416" s="2004"/>
    </row>
    <row r="417" spans="2:17" ht="18">
      <c r="B417" s="1049"/>
      <c r="C417" s="24"/>
      <c r="D417" s="24"/>
      <c r="E417" s="1503"/>
      <c r="F417" s="1504"/>
      <c r="G417" s="2049"/>
      <c r="H417" s="2057"/>
      <c r="I417" s="21"/>
      <c r="J417" s="21"/>
      <c r="K417" s="21"/>
      <c r="L417" s="21"/>
      <c r="M417" s="21"/>
      <c r="N417" s="21"/>
      <c r="O417" s="21"/>
      <c r="P417" s="21"/>
      <c r="Q417" s="21"/>
    </row>
    <row r="418" spans="2:17" ht="18">
      <c r="B418" s="1076" t="s">
        <v>2646</v>
      </c>
      <c r="C418" s="56"/>
      <c r="D418" s="56"/>
      <c r="E418" s="56"/>
      <c r="F418" s="1504"/>
      <c r="G418" s="2049"/>
      <c r="H418" s="2057"/>
      <c r="I418" s="21"/>
      <c r="J418" s="21"/>
      <c r="K418" s="21"/>
      <c r="L418" s="21"/>
      <c r="M418" s="21"/>
      <c r="N418" s="21"/>
      <c r="O418" s="21"/>
      <c r="P418" s="21"/>
      <c r="Q418" s="21"/>
    </row>
    <row r="419" spans="2:17" ht="18">
      <c r="B419" s="1076"/>
      <c r="C419" s="56"/>
      <c r="D419" s="56"/>
      <c r="E419" s="56"/>
      <c r="F419" s="1504"/>
      <c r="G419" s="2049"/>
      <c r="H419" s="2057"/>
      <c r="I419" s="21"/>
      <c r="J419" s="21"/>
      <c r="K419" s="21"/>
      <c r="L419" s="21"/>
      <c r="M419" s="21"/>
      <c r="N419" s="21"/>
      <c r="O419" s="21"/>
      <c r="P419" s="21"/>
      <c r="Q419" s="21"/>
    </row>
    <row r="420" spans="2:17" ht="18">
      <c r="B420" s="1062" t="s">
        <v>879</v>
      </c>
      <c r="C420" s="1536"/>
      <c r="D420" s="1536"/>
      <c r="E420" s="1536"/>
      <c r="F420" s="1504"/>
      <c r="G420" s="2049"/>
      <c r="H420" s="2057"/>
      <c r="I420" s="21"/>
      <c r="J420" s="21"/>
      <c r="K420" s="21"/>
      <c r="L420" s="21"/>
      <c r="M420" s="21"/>
      <c r="N420" s="21"/>
      <c r="O420" s="21"/>
      <c r="P420" s="21"/>
      <c r="Q420" s="21"/>
    </row>
    <row r="421" spans="2:17" ht="18">
      <c r="B421" s="1127" t="s">
        <v>906</v>
      </c>
      <c r="C421" s="61"/>
      <c r="D421" s="61"/>
      <c r="E421" s="61"/>
      <c r="F421" s="1504"/>
      <c r="G421" s="2049"/>
      <c r="H421" s="2057"/>
      <c r="I421" s="21"/>
      <c r="J421" s="21"/>
      <c r="K421" s="21"/>
      <c r="L421" s="21"/>
      <c r="M421" s="21"/>
      <c r="N421" s="21"/>
      <c r="O421" s="21"/>
      <c r="P421" s="21"/>
      <c r="Q421" s="21"/>
    </row>
    <row r="422" spans="2:17" ht="18">
      <c r="B422" s="1084" t="s">
        <v>907</v>
      </c>
      <c r="C422" s="1549"/>
      <c r="D422" s="1549"/>
      <c r="E422" s="1549"/>
      <c r="F422" s="1533"/>
      <c r="G422" s="2090">
        <f>+'Term Loans '!E29+'Term Loans '!E27+'Term Loans '!E26</f>
        <v>22800000</v>
      </c>
      <c r="H422" s="2091">
        <v>15500000</v>
      </c>
      <c r="I422" s="54"/>
      <c r="J422" s="54"/>
      <c r="K422" s="54"/>
      <c r="L422" s="54"/>
      <c r="M422" s="54"/>
      <c r="N422" s="54"/>
      <c r="O422" s="54"/>
      <c r="P422" s="54"/>
      <c r="Q422" s="54"/>
    </row>
    <row r="423" spans="2:17" ht="18">
      <c r="B423" s="1084" t="s">
        <v>908</v>
      </c>
      <c r="C423" s="1549"/>
      <c r="D423" s="1549"/>
      <c r="E423" s="1549"/>
      <c r="F423" s="1533"/>
      <c r="G423" s="2090">
        <f>+'Term Loans '!E25+'Term Loans '!E28</f>
        <v>2502059.86</v>
      </c>
      <c r="H423" s="2091">
        <v>7500016</v>
      </c>
      <c r="I423" s="54"/>
      <c r="J423" s="54"/>
      <c r="K423" s="54"/>
      <c r="L423" s="54"/>
      <c r="M423" s="54"/>
      <c r="N423" s="54"/>
      <c r="O423" s="54"/>
      <c r="P423" s="54"/>
      <c r="Q423" s="54"/>
    </row>
    <row r="424" spans="2:17" ht="18">
      <c r="B424" s="1084"/>
      <c r="C424" s="1549"/>
      <c r="D424" s="1549"/>
      <c r="E424" s="1549"/>
      <c r="F424" s="1533"/>
      <c r="G424" s="2090"/>
      <c r="H424" s="2091"/>
      <c r="I424" s="54"/>
      <c r="J424" s="54"/>
      <c r="K424" s="54"/>
      <c r="L424" s="54"/>
      <c r="M424" s="54"/>
      <c r="N424" s="54"/>
      <c r="O424" s="54"/>
      <c r="P424" s="54"/>
      <c r="Q424" s="54"/>
    </row>
    <row r="425" spans="2:17" ht="18">
      <c r="B425" s="1128" t="s">
        <v>890</v>
      </c>
      <c r="C425" s="1539"/>
      <c r="D425" s="1539"/>
      <c r="E425" s="1539"/>
      <c r="F425" s="1504"/>
      <c r="G425" s="2049"/>
      <c r="H425" s="2057"/>
      <c r="I425" s="21"/>
      <c r="J425" s="21"/>
      <c r="K425" s="21"/>
      <c r="L425" s="21"/>
      <c r="M425" s="21"/>
      <c r="N425" s="21"/>
      <c r="O425" s="21"/>
      <c r="P425" s="21"/>
      <c r="Q425" s="21"/>
    </row>
    <row r="426" spans="2:17" ht="18">
      <c r="B426" s="1129" t="s">
        <v>891</v>
      </c>
      <c r="C426" s="1539"/>
      <c r="D426" s="1539"/>
      <c r="E426" s="1539"/>
      <c r="F426" s="1504"/>
      <c r="G426" s="2049">
        <f>+GETPIVOTDATA("Sum of Cr. Final 23-24",Pivot!$A$1,"Note",16,"BS Main Head","Short Term Borrowings","BS Sub Head","Secured - From Banks - Working Capital Loan")</f>
        <v>89643931.159999996</v>
      </c>
      <c r="H426" s="2057">
        <f>+GETPIVOTDATA("Sum of Cr. Final 22-23",Pivot!$A$1,"Note",16,"BS Main Head","Short Term Borrowings","BS Sub Head","Secured - From Banks - Working Capital Loan")</f>
        <v>78274677.280000001</v>
      </c>
      <c r="I426" s="21"/>
      <c r="J426" s="21"/>
      <c r="K426" s="21"/>
      <c r="L426" s="21"/>
      <c r="M426" s="21"/>
      <c r="N426" s="21"/>
      <c r="O426" s="21"/>
      <c r="P426" s="21"/>
      <c r="Q426" s="21"/>
    </row>
    <row r="427" spans="2:17" ht="39" customHeight="1">
      <c r="B427" s="2328" t="s">
        <v>2883</v>
      </c>
      <c r="C427" s="2329"/>
      <c r="D427" s="2329"/>
      <c r="E427" s="2329"/>
      <c r="F427" s="2329"/>
      <c r="G427" s="2090"/>
      <c r="H427" s="2091"/>
      <c r="I427" s="54"/>
      <c r="J427" s="54"/>
      <c r="K427" s="54"/>
      <c r="L427" s="54"/>
      <c r="M427" s="54"/>
      <c r="N427" s="54"/>
      <c r="O427" s="54"/>
      <c r="P427" s="54"/>
      <c r="Q427" s="54"/>
    </row>
    <row r="428" spans="2:17" ht="55.2" customHeight="1">
      <c r="B428" s="2328"/>
      <c r="C428" s="2329"/>
      <c r="D428" s="2329"/>
      <c r="E428" s="2329"/>
      <c r="F428" s="2329"/>
      <c r="G428" s="2090"/>
      <c r="H428" s="2091"/>
      <c r="I428" s="54"/>
      <c r="J428" s="54"/>
      <c r="K428" s="54"/>
      <c r="L428" s="54"/>
      <c r="M428" s="54"/>
      <c r="N428" s="54"/>
      <c r="O428" s="54"/>
      <c r="P428" s="54"/>
      <c r="Q428" s="54"/>
    </row>
    <row r="429" spans="2:17" ht="18">
      <c r="B429" s="1060"/>
      <c r="C429" s="1513"/>
      <c r="D429" s="1513"/>
      <c r="E429" s="1513"/>
      <c r="F429" s="1504"/>
      <c r="G429" s="2162">
        <f>+SUM(G422:G428)</f>
        <v>114945991.02</v>
      </c>
      <c r="H429" s="2163">
        <f>+SUM(H422:H428)</f>
        <v>101274693.28</v>
      </c>
      <c r="I429" s="1998"/>
      <c r="J429" s="1998"/>
      <c r="K429" s="1998"/>
      <c r="L429" s="1998"/>
      <c r="M429" s="1998"/>
      <c r="N429" s="1998"/>
      <c r="O429" s="1998"/>
      <c r="P429" s="1998"/>
      <c r="Q429" s="1998"/>
    </row>
    <row r="430" spans="2:17" ht="18">
      <c r="B430" s="1076" t="s">
        <v>2647</v>
      </c>
      <c r="C430" s="1550"/>
      <c r="D430" s="1550"/>
      <c r="E430" s="1550"/>
      <c r="F430" s="1504"/>
      <c r="G430" s="2049"/>
      <c r="H430" s="2057"/>
      <c r="I430" s="21"/>
      <c r="J430" s="21"/>
      <c r="K430" s="21"/>
      <c r="L430" s="21"/>
      <c r="M430" s="21"/>
      <c r="N430" s="21"/>
      <c r="O430" s="21"/>
      <c r="P430" s="21"/>
      <c r="Q430" s="21"/>
    </row>
    <row r="431" spans="2:17" ht="18">
      <c r="B431" s="1051" t="s">
        <v>2764</v>
      </c>
      <c r="C431" s="1550"/>
      <c r="D431" s="1550"/>
      <c r="E431" s="1550"/>
      <c r="F431" s="1504"/>
      <c r="G431" s="2049"/>
      <c r="H431" s="2057"/>
      <c r="I431" s="21"/>
      <c r="J431" s="21"/>
      <c r="K431" s="21"/>
      <c r="L431" s="21"/>
      <c r="M431" s="21"/>
      <c r="N431" s="21"/>
      <c r="O431" s="21"/>
      <c r="P431" s="21"/>
      <c r="Q431" s="21"/>
    </row>
    <row r="432" spans="2:17" ht="18">
      <c r="B432" s="1084" t="s">
        <v>892</v>
      </c>
      <c r="C432" s="1550"/>
      <c r="D432" s="1550"/>
      <c r="E432" s="1550"/>
      <c r="F432" s="1504"/>
      <c r="G432" s="2049">
        <f>+E440+F440</f>
        <v>79353478.470000014</v>
      </c>
      <c r="H432" s="2057">
        <f>+E447+F447</f>
        <v>13822219.5</v>
      </c>
      <c r="I432" s="21"/>
      <c r="J432" s="21"/>
      <c r="K432" s="21"/>
      <c r="L432" s="21"/>
      <c r="M432" s="21"/>
      <c r="N432" s="21"/>
      <c r="O432" s="21"/>
      <c r="P432" s="21"/>
      <c r="Q432" s="21"/>
    </row>
    <row r="433" spans="2:19" ht="18">
      <c r="B433" s="1084" t="s">
        <v>893</v>
      </c>
      <c r="C433" s="1550"/>
      <c r="D433" s="1550"/>
      <c r="E433" s="1550"/>
      <c r="F433" s="1504"/>
      <c r="G433" s="2049">
        <f>+E441</f>
        <v>30141437</v>
      </c>
      <c r="H433" s="2057">
        <f>+E448</f>
        <v>77775702.490151003</v>
      </c>
      <c r="I433" s="21"/>
      <c r="J433" s="21"/>
      <c r="K433" s="21"/>
      <c r="L433" s="21"/>
      <c r="M433" s="21"/>
      <c r="N433" s="21"/>
      <c r="O433" s="21"/>
      <c r="P433" s="21"/>
      <c r="Q433" s="21"/>
      <c r="R433" s="633"/>
      <c r="S433" s="124"/>
    </row>
    <row r="434" spans="2:19" ht="18">
      <c r="B434" s="1276"/>
      <c r="C434" s="1277"/>
      <c r="D434" s="1277"/>
      <c r="E434" s="1277"/>
      <c r="F434" s="28"/>
      <c r="G434" s="2162">
        <f>+SUM(G431:G433)</f>
        <v>109494915.47000001</v>
      </c>
      <c r="H434" s="2055">
        <f>+SUM(H432:H433)</f>
        <v>91597921.990151003</v>
      </c>
      <c r="I434" s="1998"/>
      <c r="J434" s="1998"/>
      <c r="K434" s="1998"/>
      <c r="L434" s="1998"/>
      <c r="M434" s="1998"/>
      <c r="N434" s="1998"/>
      <c r="O434" s="1998"/>
      <c r="P434" s="1998"/>
      <c r="Q434" s="1998"/>
    </row>
    <row r="435" spans="2:19" ht="18">
      <c r="B435" s="2263" t="s">
        <v>2893</v>
      </c>
      <c r="C435" s="2264"/>
      <c r="D435" s="2264"/>
      <c r="E435" s="2264"/>
      <c r="F435" s="2264"/>
      <c r="G435" s="2264"/>
      <c r="H435" s="2330"/>
      <c r="I435" s="1542"/>
      <c r="J435" s="1542"/>
      <c r="K435" s="1542"/>
      <c r="L435" s="1542"/>
      <c r="M435" s="1542"/>
      <c r="N435" s="1542"/>
      <c r="O435" s="1542"/>
      <c r="P435" s="1542"/>
      <c r="Q435" s="1542"/>
    </row>
    <row r="436" spans="2:19" ht="28.2" customHeight="1">
      <c r="B436" s="2263"/>
      <c r="C436" s="2264"/>
      <c r="D436" s="2264"/>
      <c r="E436" s="2264"/>
      <c r="F436" s="2264"/>
      <c r="G436" s="2264"/>
      <c r="H436" s="2330"/>
      <c r="I436" s="1542"/>
      <c r="J436" s="1542"/>
      <c r="K436" s="1542"/>
      <c r="L436" s="1542"/>
      <c r="M436" s="1542"/>
      <c r="N436" s="1542"/>
      <c r="O436" s="1542"/>
      <c r="P436" s="1542"/>
      <c r="Q436" s="1542"/>
    </row>
    <row r="437" spans="2:19" ht="18">
      <c r="B437" s="2263"/>
      <c r="C437" s="2264"/>
      <c r="D437" s="2264"/>
      <c r="E437" s="2264"/>
      <c r="F437" s="2264"/>
      <c r="G437" s="2264"/>
      <c r="H437" s="2330"/>
      <c r="I437" s="1542"/>
      <c r="J437" s="1542"/>
      <c r="K437" s="1542"/>
      <c r="L437" s="1542"/>
      <c r="M437" s="1542"/>
      <c r="N437" s="1542"/>
      <c r="O437" s="1542"/>
      <c r="P437" s="1542"/>
      <c r="Q437" s="1542"/>
    </row>
    <row r="438" spans="2:19" ht="18">
      <c r="B438" s="2333" t="s">
        <v>463</v>
      </c>
      <c r="C438" s="2334"/>
      <c r="D438" s="2337" t="s">
        <v>3112</v>
      </c>
      <c r="E438" s="2338"/>
      <c r="F438" s="2338"/>
      <c r="G438" s="2338"/>
      <c r="H438" s="2339"/>
      <c r="I438" s="1502"/>
      <c r="J438" s="1502"/>
      <c r="K438" s="1502"/>
      <c r="L438" s="1502"/>
      <c r="M438" s="1502"/>
      <c r="N438" s="1502"/>
      <c r="O438" s="1502"/>
      <c r="P438" s="1502"/>
      <c r="Q438" s="1502"/>
    </row>
    <row r="439" spans="2:19" ht="18">
      <c r="B439" s="2333"/>
      <c r="C439" s="2334"/>
      <c r="D439" s="1424" t="s">
        <v>898</v>
      </c>
      <c r="E439" s="1424" t="s">
        <v>820</v>
      </c>
      <c r="F439" s="1270" t="s">
        <v>821</v>
      </c>
      <c r="G439" s="1268" t="s">
        <v>822</v>
      </c>
      <c r="H439" s="1455" t="s">
        <v>823</v>
      </c>
      <c r="I439" s="1998"/>
      <c r="J439" s="1998"/>
      <c r="K439" s="1998"/>
      <c r="L439" s="1998"/>
      <c r="M439" s="1998"/>
      <c r="N439" s="1998"/>
      <c r="O439" s="1998"/>
      <c r="P439" s="1998"/>
      <c r="Q439" s="1998"/>
    </row>
    <row r="440" spans="2:19" ht="18">
      <c r="B440" s="1485" t="s">
        <v>894</v>
      </c>
      <c r="C440" s="1426"/>
      <c r="D440" s="1425">
        <v>0</v>
      </c>
      <c r="E440" s="2120">
        <v>79354324.470000014</v>
      </c>
      <c r="F440" s="2096">
        <v>-846</v>
      </c>
      <c r="G440" s="1271">
        <v>0</v>
      </c>
      <c r="H440" s="1476">
        <v>0</v>
      </c>
      <c r="I440" s="2007"/>
      <c r="J440" s="2007"/>
      <c r="K440" s="2007"/>
      <c r="L440" s="2007"/>
      <c r="M440" s="2007"/>
      <c r="N440" s="2007"/>
      <c r="O440" s="2007"/>
      <c r="P440" s="2007"/>
      <c r="Q440" s="2007"/>
    </row>
    <row r="441" spans="2:19" ht="18">
      <c r="B441" s="1485" t="s">
        <v>895</v>
      </c>
      <c r="C441" s="1426"/>
      <c r="D441" s="1425">
        <v>0</v>
      </c>
      <c r="E441" s="2120">
        <v>30141437</v>
      </c>
      <c r="F441" s="1844">
        <v>0</v>
      </c>
      <c r="G441" s="1271">
        <v>0</v>
      </c>
      <c r="H441" s="1476">
        <v>0</v>
      </c>
      <c r="I441" s="2007"/>
      <c r="J441" s="2007"/>
      <c r="K441" s="2007"/>
      <c r="L441" s="2007"/>
      <c r="M441" s="2007"/>
      <c r="N441" s="2007"/>
      <c r="O441" s="2007"/>
      <c r="P441" s="2007"/>
      <c r="Q441" s="2007"/>
    </row>
    <row r="442" spans="2:19" ht="18">
      <c r="B442" s="1485" t="s">
        <v>896</v>
      </c>
      <c r="C442" s="1426"/>
      <c r="D442" s="1425">
        <v>0</v>
      </c>
      <c r="E442" s="1296">
        <v>0</v>
      </c>
      <c r="F442" s="1271">
        <v>0</v>
      </c>
      <c r="G442" s="1271">
        <v>0</v>
      </c>
      <c r="H442" s="1476">
        <v>0</v>
      </c>
      <c r="I442" s="2007"/>
      <c r="J442" s="2007"/>
      <c r="K442" s="2007"/>
      <c r="L442" s="2007"/>
      <c r="M442" s="2007"/>
      <c r="N442" s="2007"/>
      <c r="O442" s="2007"/>
      <c r="P442" s="2007"/>
      <c r="Q442" s="2007"/>
    </row>
    <row r="443" spans="2:19" ht="18">
      <c r="B443" s="1485" t="s">
        <v>897</v>
      </c>
      <c r="C443" s="1426"/>
      <c r="D443" s="1425">
        <v>0</v>
      </c>
      <c r="E443" s="1297">
        <v>0</v>
      </c>
      <c r="F443" s="1271">
        <v>0</v>
      </c>
      <c r="G443" s="1271">
        <v>0</v>
      </c>
      <c r="H443" s="1476">
        <v>0</v>
      </c>
      <c r="I443" s="2007"/>
      <c r="J443" s="2007"/>
      <c r="K443" s="2007"/>
      <c r="L443" s="2007"/>
      <c r="M443" s="2007"/>
      <c r="N443" s="2007"/>
      <c r="O443" s="2007"/>
      <c r="P443" s="2007"/>
      <c r="Q443" s="2007"/>
    </row>
    <row r="444" spans="2:19" ht="18">
      <c r="B444" s="1486"/>
      <c r="C444" s="1458"/>
      <c r="D444" s="1456"/>
      <c r="E444" s="1456"/>
      <c r="F444" s="1433"/>
      <c r="G444" s="1457"/>
      <c r="H444" s="1018"/>
      <c r="I444" s="1998"/>
      <c r="J444" s="1998"/>
      <c r="K444" s="1998"/>
      <c r="L444" s="1998"/>
      <c r="M444" s="1998"/>
      <c r="N444" s="1998"/>
      <c r="O444" s="1998"/>
      <c r="P444" s="1998"/>
      <c r="Q444" s="1998"/>
    </row>
    <row r="445" spans="2:19" ht="18">
      <c r="B445" s="2331" t="s">
        <v>463</v>
      </c>
      <c r="C445" s="2335"/>
      <c r="D445" s="2337" t="s">
        <v>819</v>
      </c>
      <c r="E445" s="2338"/>
      <c r="F445" s="2338"/>
      <c r="G445" s="2338"/>
      <c r="H445" s="2339"/>
      <c r="I445" s="1502"/>
      <c r="J445" s="1502"/>
      <c r="K445" s="1502"/>
      <c r="L445" s="1502"/>
      <c r="M445" s="1502"/>
      <c r="N445" s="1502"/>
      <c r="O445" s="1502"/>
      <c r="P445" s="1502"/>
      <c r="Q445" s="1502"/>
    </row>
    <row r="446" spans="2:19" ht="18">
      <c r="B446" s="2331"/>
      <c r="C446" s="2336"/>
      <c r="D446" s="1424" t="s">
        <v>898</v>
      </c>
      <c r="E446" s="1269" t="s">
        <v>820</v>
      </c>
      <c r="F446" s="1270" t="s">
        <v>821</v>
      </c>
      <c r="G446" s="1268" t="s">
        <v>822</v>
      </c>
      <c r="H446" s="1455" t="s">
        <v>822</v>
      </c>
      <c r="I446" s="1998"/>
      <c r="J446" s="1998"/>
      <c r="K446" s="1998"/>
      <c r="L446" s="1998"/>
      <c r="M446" s="1998"/>
      <c r="N446" s="1998"/>
      <c r="O446" s="1998"/>
      <c r="P446" s="1998"/>
      <c r="Q446" s="1998"/>
    </row>
    <row r="447" spans="2:19" ht="18">
      <c r="B447" s="1485" t="s">
        <v>894</v>
      </c>
      <c r="C447" s="1426"/>
      <c r="D447" s="1425">
        <v>0</v>
      </c>
      <c r="E447" s="2096">
        <v>13606704.5</v>
      </c>
      <c r="F447" s="2096">
        <v>215515</v>
      </c>
      <c r="G447" s="1271">
        <v>0</v>
      </c>
      <c r="H447" s="1476">
        <v>0</v>
      </c>
      <c r="I447" s="2007"/>
      <c r="J447" s="2007"/>
      <c r="K447" s="2007"/>
      <c r="L447" s="2007"/>
      <c r="M447" s="2007"/>
      <c r="N447" s="2007"/>
      <c r="O447" s="2007"/>
      <c r="P447" s="2007"/>
      <c r="Q447" s="2007"/>
    </row>
    <row r="448" spans="2:19" ht="18">
      <c r="B448" s="1485" t="s">
        <v>895</v>
      </c>
      <c r="C448" s="1426"/>
      <c r="D448" s="1425">
        <v>0</v>
      </c>
      <c r="E448" s="2096">
        <v>77775702.490151003</v>
      </c>
      <c r="F448" s="1844">
        <v>0</v>
      </c>
      <c r="G448" s="1271">
        <v>0</v>
      </c>
      <c r="H448" s="1476">
        <v>0</v>
      </c>
      <c r="I448" s="2007"/>
      <c r="J448" s="2007"/>
      <c r="K448" s="2007"/>
      <c r="L448" s="2007"/>
      <c r="M448" s="2007"/>
      <c r="N448" s="2007"/>
      <c r="O448" s="2007"/>
      <c r="P448" s="2007"/>
      <c r="Q448" s="2007"/>
    </row>
    <row r="449" spans="2:18" ht="18">
      <c r="B449" s="1485" t="s">
        <v>896</v>
      </c>
      <c r="C449" s="1426"/>
      <c r="D449" s="1425">
        <v>0</v>
      </c>
      <c r="E449" s="1844">
        <v>0</v>
      </c>
      <c r="F449" s="1844">
        <v>0</v>
      </c>
      <c r="G449" s="1271">
        <v>0</v>
      </c>
      <c r="H449" s="1476">
        <v>0</v>
      </c>
      <c r="I449" s="2007"/>
      <c r="J449" s="2007"/>
      <c r="K449" s="2007"/>
      <c r="L449" s="2007"/>
      <c r="M449" s="2007"/>
      <c r="N449" s="2007"/>
      <c r="O449" s="2007"/>
      <c r="P449" s="2007"/>
      <c r="Q449" s="2007"/>
    </row>
    <row r="450" spans="2:18" ht="18">
      <c r="B450" s="1485" t="s">
        <v>897</v>
      </c>
      <c r="C450" s="1426"/>
      <c r="D450" s="1425">
        <v>0</v>
      </c>
      <c r="E450" s="1271">
        <v>0</v>
      </c>
      <c r="F450" s="1271">
        <v>0</v>
      </c>
      <c r="G450" s="1271">
        <v>0</v>
      </c>
      <c r="H450" s="1476">
        <v>0</v>
      </c>
      <c r="I450" s="2007"/>
      <c r="J450" s="2007"/>
      <c r="K450" s="2007"/>
      <c r="L450" s="2007"/>
      <c r="M450" s="2007"/>
      <c r="N450" s="2007"/>
      <c r="O450" s="2007"/>
      <c r="P450" s="2007"/>
      <c r="Q450" s="2007"/>
    </row>
    <row r="451" spans="2:18" ht="18">
      <c r="B451" s="1130"/>
      <c r="C451" s="1542"/>
      <c r="D451" s="1542"/>
      <c r="E451" s="1542"/>
      <c r="F451" s="1542"/>
      <c r="G451" s="1542"/>
      <c r="H451" s="1131"/>
      <c r="I451" s="1542"/>
      <c r="J451" s="1542"/>
      <c r="K451" s="1542"/>
      <c r="L451" s="1542"/>
      <c r="M451" s="1542"/>
      <c r="N451" s="1542"/>
      <c r="O451" s="1542"/>
      <c r="P451" s="1542"/>
      <c r="Q451" s="1542"/>
    </row>
    <row r="452" spans="2:18" ht="36.75" customHeight="1">
      <c r="B452" s="2319" t="s">
        <v>899</v>
      </c>
      <c r="C452" s="2320"/>
      <c r="D452" s="2320"/>
      <c r="E452" s="2320"/>
      <c r="F452" s="2320"/>
      <c r="G452" s="2204" t="s">
        <v>2488</v>
      </c>
      <c r="H452" s="1400" t="s">
        <v>900</v>
      </c>
      <c r="I452" s="2014"/>
      <c r="J452" s="2014"/>
      <c r="K452" s="2014"/>
      <c r="L452" s="2014"/>
      <c r="M452" s="2014"/>
      <c r="N452" s="2014"/>
      <c r="O452" s="2014"/>
      <c r="P452" s="2014"/>
      <c r="Q452" s="2014"/>
    </row>
    <row r="453" spans="2:18" ht="18">
      <c r="B453" s="2321" t="s">
        <v>902</v>
      </c>
      <c r="C453" s="2322"/>
      <c r="D453" s="2322"/>
      <c r="E453" s="2322"/>
      <c r="F453" s="2323"/>
      <c r="G453" s="2216">
        <f>+G432</f>
        <v>79353478.470000014</v>
      </c>
      <c r="H453" s="2217">
        <f>+H432</f>
        <v>13822219.5</v>
      </c>
      <c r="I453" s="2015"/>
      <c r="J453" s="2015"/>
      <c r="K453" s="2015"/>
      <c r="L453" s="2015"/>
      <c r="M453" s="2015"/>
      <c r="N453" s="2015"/>
      <c r="O453" s="2015"/>
      <c r="P453" s="2015"/>
      <c r="Q453" s="2015"/>
    </row>
    <row r="454" spans="2:18" ht="18">
      <c r="B454" s="2321" t="s">
        <v>903</v>
      </c>
      <c r="C454" s="2322"/>
      <c r="D454" s="2322"/>
      <c r="E454" s="2322"/>
      <c r="F454" s="2323"/>
      <c r="G454" s="2210">
        <v>0</v>
      </c>
      <c r="H454" s="2211">
        <v>0</v>
      </c>
      <c r="I454" s="2016"/>
      <c r="J454" s="2016"/>
      <c r="K454" s="2016"/>
      <c r="L454" s="2016"/>
      <c r="M454" s="2016"/>
      <c r="N454" s="2016"/>
      <c r="O454" s="2016"/>
      <c r="P454" s="2016"/>
      <c r="Q454" s="2016"/>
    </row>
    <row r="455" spans="2:18" ht="18">
      <c r="B455" s="2205"/>
      <c r="C455" s="2206"/>
      <c r="D455" s="2206"/>
      <c r="E455" s="2206"/>
      <c r="F455" s="2207"/>
      <c r="G455" s="2210"/>
      <c r="H455" s="2211"/>
      <c r="I455" s="2016"/>
      <c r="J455" s="2016"/>
      <c r="K455" s="2016"/>
      <c r="L455" s="2016"/>
      <c r="M455" s="2016"/>
      <c r="N455" s="2016"/>
      <c r="O455" s="2016"/>
      <c r="P455" s="2016"/>
      <c r="Q455" s="2016"/>
    </row>
    <row r="456" spans="2:18" ht="59.25" customHeight="1">
      <c r="B456" s="2324" t="s">
        <v>2765</v>
      </c>
      <c r="C456" s="2325"/>
      <c r="D456" s="2325"/>
      <c r="E456" s="2325"/>
      <c r="F456" s="2325"/>
      <c r="G456" s="2212">
        <v>0</v>
      </c>
      <c r="H456" s="2213">
        <v>0</v>
      </c>
      <c r="I456" s="2017"/>
      <c r="J456" s="2017"/>
      <c r="K456" s="2017"/>
      <c r="L456" s="2017"/>
      <c r="M456" s="2017"/>
      <c r="N456" s="2017"/>
      <c r="O456" s="2017"/>
      <c r="P456" s="2017"/>
      <c r="Q456" s="2017"/>
    </row>
    <row r="457" spans="2:18" ht="58.5" customHeight="1">
      <c r="B457" s="2324" t="s">
        <v>2766</v>
      </c>
      <c r="C457" s="2325"/>
      <c r="D457" s="2325"/>
      <c r="E457" s="2325"/>
      <c r="F457" s="2325"/>
      <c r="G457" s="2212">
        <v>0</v>
      </c>
      <c r="H457" s="2213">
        <v>0</v>
      </c>
      <c r="I457" s="2017"/>
      <c r="J457" s="2017"/>
      <c r="K457" s="2017"/>
      <c r="L457" s="2017"/>
      <c r="M457" s="2017"/>
      <c r="N457" s="2017"/>
      <c r="O457" s="2017"/>
      <c r="P457" s="2017"/>
      <c r="Q457" s="2017"/>
    </row>
    <row r="458" spans="2:18" ht="39.75" customHeight="1">
      <c r="B458" s="2324" t="s">
        <v>904</v>
      </c>
      <c r="C458" s="2325"/>
      <c r="D458" s="2325"/>
      <c r="E458" s="2325"/>
      <c r="F458" s="2325"/>
      <c r="G458" s="2212">
        <v>0</v>
      </c>
      <c r="H458" s="2213">
        <v>0</v>
      </c>
      <c r="I458" s="2017"/>
      <c r="J458" s="2017"/>
      <c r="K458" s="2017"/>
      <c r="L458" s="2017"/>
      <c r="M458" s="2017"/>
      <c r="N458" s="2017"/>
      <c r="O458" s="2017"/>
      <c r="P458" s="2017"/>
      <c r="Q458" s="2017"/>
    </row>
    <row r="459" spans="2:18" ht="78.75" customHeight="1" thickBot="1">
      <c r="B459" s="2311" t="s">
        <v>905</v>
      </c>
      <c r="C459" s="2312"/>
      <c r="D459" s="2312"/>
      <c r="E459" s="2312"/>
      <c r="F459" s="2312"/>
      <c r="G459" s="2214">
        <v>0</v>
      </c>
      <c r="H459" s="2215">
        <v>0</v>
      </c>
      <c r="I459" s="2017"/>
      <c r="J459" s="2017"/>
      <c r="K459" s="2017"/>
      <c r="L459" s="2017"/>
      <c r="M459" s="2017"/>
      <c r="N459" s="2017"/>
      <c r="O459" s="2017"/>
      <c r="P459" s="2017"/>
      <c r="Q459" s="2017"/>
    </row>
    <row r="460" spans="2:18" ht="18">
      <c r="B460" s="2260" t="s">
        <v>702</v>
      </c>
      <c r="C460" s="2261"/>
      <c r="D460" s="2261"/>
      <c r="E460" s="2261"/>
      <c r="F460" s="2261"/>
      <c r="G460" s="2261"/>
      <c r="H460" s="2262"/>
      <c r="I460" s="1502"/>
      <c r="J460" s="1502"/>
      <c r="K460" s="1502"/>
      <c r="L460" s="1502"/>
      <c r="M460" s="1502"/>
      <c r="N460" s="1502"/>
      <c r="O460" s="1502"/>
      <c r="P460" s="1502"/>
      <c r="Q460" s="1502"/>
      <c r="R460" s="634"/>
    </row>
    <row r="461" spans="2:18" ht="18">
      <c r="B461" s="2279" t="s">
        <v>3056</v>
      </c>
      <c r="C461" s="2280"/>
      <c r="D461" s="2280"/>
      <c r="E461" s="2280"/>
      <c r="F461" s="2280"/>
      <c r="G461" s="2280"/>
      <c r="H461" s="2281"/>
      <c r="I461" s="1502"/>
      <c r="J461" s="1502"/>
      <c r="K461" s="1502"/>
      <c r="L461" s="1502"/>
      <c r="M461" s="1502"/>
      <c r="N461" s="1502"/>
      <c r="O461" s="1502"/>
      <c r="P461" s="1502"/>
      <c r="Q461" s="1502"/>
      <c r="R461" s="634"/>
    </row>
    <row r="462" spans="2:18" ht="18">
      <c r="B462" s="1180"/>
      <c r="C462" s="1502"/>
      <c r="D462" s="1502"/>
      <c r="E462" s="1502"/>
      <c r="F462" s="1502"/>
      <c r="G462" s="1502"/>
      <c r="H462" s="1263"/>
      <c r="I462" s="1502"/>
      <c r="J462" s="1502"/>
      <c r="K462" s="1502"/>
      <c r="L462" s="1502"/>
      <c r="M462" s="1502"/>
      <c r="N462" s="1502"/>
      <c r="O462" s="1502"/>
      <c r="P462" s="1502"/>
      <c r="Q462" s="1502"/>
      <c r="R462" s="634"/>
    </row>
    <row r="463" spans="2:18" ht="18">
      <c r="B463" s="1053" t="s">
        <v>0</v>
      </c>
      <c r="C463" s="1054"/>
      <c r="D463" s="1054"/>
      <c r="E463" s="1054"/>
      <c r="F463" s="1293"/>
      <c r="G463" s="1004" t="s">
        <v>704</v>
      </c>
      <c r="H463" s="1005" t="s">
        <v>704</v>
      </c>
      <c r="I463" s="1996"/>
      <c r="J463" s="1996"/>
      <c r="K463" s="1996"/>
      <c r="L463" s="1996"/>
      <c r="M463" s="1996"/>
      <c r="N463" s="1996"/>
      <c r="O463" s="1996"/>
      <c r="P463" s="1996"/>
      <c r="Q463" s="1996"/>
    </row>
    <row r="464" spans="2:18" ht="18">
      <c r="B464" s="1036"/>
      <c r="C464" s="44"/>
      <c r="D464" s="44"/>
      <c r="E464" s="44"/>
      <c r="F464" s="45"/>
      <c r="G464" s="30" t="str">
        <f>+G397</f>
        <v>March 31, 2024 (₹)</v>
      </c>
      <c r="H464" s="1038" t="str">
        <f>+H397</f>
        <v>March 31, 2023 (₹)</v>
      </c>
      <c r="I464" s="1996"/>
      <c r="J464" s="1996"/>
      <c r="K464" s="1996"/>
      <c r="L464" s="1996"/>
      <c r="M464" s="1996"/>
      <c r="N464" s="1996"/>
      <c r="O464" s="1996"/>
      <c r="P464" s="1996"/>
      <c r="Q464" s="1996"/>
    </row>
    <row r="465" spans="2:23" ht="18">
      <c r="B465" s="1084"/>
      <c r="C465" s="1550"/>
      <c r="D465" s="1550"/>
      <c r="E465" s="1550"/>
      <c r="F465" s="1504"/>
      <c r="G465" s="48"/>
      <c r="H465" s="1059"/>
      <c r="I465" s="21"/>
      <c r="J465" s="21"/>
      <c r="K465" s="21"/>
      <c r="L465" s="21"/>
      <c r="M465" s="21"/>
      <c r="N465" s="21"/>
      <c r="O465" s="21"/>
      <c r="P465" s="21"/>
      <c r="Q465" s="21"/>
    </row>
    <row r="466" spans="2:23" ht="18">
      <c r="B466" s="1084"/>
      <c r="C466" s="1550"/>
      <c r="D466" s="1550"/>
      <c r="E466" s="1550"/>
      <c r="F466" s="1504"/>
      <c r="G466" s="48"/>
      <c r="H466" s="1059"/>
      <c r="I466" s="21"/>
      <c r="J466" s="21"/>
      <c r="K466" s="21"/>
      <c r="L466" s="21"/>
      <c r="M466" s="21"/>
      <c r="N466" s="21"/>
      <c r="O466" s="21"/>
      <c r="P466" s="21"/>
      <c r="Q466" s="21"/>
    </row>
    <row r="467" spans="2:23" ht="18">
      <c r="B467" s="1091" t="s">
        <v>2648</v>
      </c>
      <c r="C467" s="61"/>
      <c r="D467" s="61"/>
      <c r="E467" s="61"/>
      <c r="F467" s="1504"/>
      <c r="G467" s="48"/>
      <c r="H467" s="1059"/>
      <c r="I467" s="21"/>
      <c r="J467" s="21"/>
      <c r="K467" s="21"/>
      <c r="L467" s="21"/>
      <c r="M467" s="21"/>
      <c r="N467" s="21"/>
      <c r="O467" s="21"/>
      <c r="P467" s="21"/>
      <c r="Q467" s="21"/>
    </row>
    <row r="468" spans="2:23" ht="18">
      <c r="B468" s="1084"/>
      <c r="C468" s="1549"/>
      <c r="D468" s="1549"/>
      <c r="E468" s="1549"/>
      <c r="F468" s="1504"/>
      <c r="G468" s="48"/>
      <c r="H468" s="1059"/>
      <c r="I468" s="21"/>
      <c r="J468" s="21"/>
      <c r="K468" s="21"/>
      <c r="L468" s="21"/>
      <c r="M468" s="21"/>
      <c r="N468" s="21"/>
      <c r="O468" s="21"/>
      <c r="P468" s="21"/>
      <c r="Q468" s="21"/>
    </row>
    <row r="469" spans="2:23" ht="18">
      <c r="B469" s="1084" t="s">
        <v>90</v>
      </c>
      <c r="C469" s="1549"/>
      <c r="D469" s="1549"/>
      <c r="E469" s="1549"/>
      <c r="F469" s="1504"/>
      <c r="G469" s="48"/>
      <c r="H469" s="1059"/>
      <c r="I469" s="21"/>
      <c r="J469" s="21"/>
      <c r="K469" s="21"/>
      <c r="L469" s="21"/>
      <c r="M469" s="21"/>
      <c r="N469" s="21"/>
      <c r="O469" s="21"/>
      <c r="P469" s="21"/>
      <c r="Q469" s="21"/>
    </row>
    <row r="470" spans="2:23" ht="18">
      <c r="B470" s="1084" t="s">
        <v>107</v>
      </c>
      <c r="C470" s="1549"/>
      <c r="D470" s="1549"/>
      <c r="E470" s="1549"/>
      <c r="F470" s="1504"/>
      <c r="G470" s="48"/>
      <c r="H470" s="1059"/>
      <c r="I470" s="21"/>
      <c r="J470" s="21"/>
      <c r="K470" s="21"/>
      <c r="L470" s="21"/>
      <c r="M470" s="21"/>
      <c r="N470" s="21"/>
      <c r="O470" s="21"/>
      <c r="P470" s="21"/>
      <c r="Q470" s="21"/>
    </row>
    <row r="471" spans="2:23" ht="18">
      <c r="B471" s="1084" t="s">
        <v>2258</v>
      </c>
      <c r="C471" s="1549"/>
      <c r="D471" s="1549"/>
      <c r="E471" s="1549"/>
      <c r="F471" s="1504"/>
      <c r="G471" s="2049">
        <f>+GETPIVOTDATA("Sum of Cr. Final 23-24",Pivot!$A$1,"Note",18,"BS Main Head","Other Financial Liabilities - Current","BS Sub Head","Payable for Capital Goods")-GETPIVOTDATA("Sum of Dr. Final 23-24",Pivot!$A$1,"Note",18,"BS Main Head","Other Financial Liabilities - Current","BS Sub Head","Payable for Capital Goods")</f>
        <v>907767</v>
      </c>
      <c r="H471" s="2057">
        <f>+GETPIVOTDATA("Sum of Cr. Final 22-23",Pivot!$A$1,"Note",18,"BS Main Head","Other Financial Liabilities - Current","BS Sub Head","Payable for Capital Goods")</f>
        <v>5310167</v>
      </c>
      <c r="I471" s="21"/>
      <c r="J471" s="21"/>
      <c r="K471" s="21"/>
      <c r="L471" s="21"/>
      <c r="M471" s="21"/>
      <c r="N471" s="21"/>
      <c r="O471" s="21"/>
      <c r="P471" s="21"/>
      <c r="Q471" s="21"/>
      <c r="T471" s="376"/>
      <c r="U471" s="376"/>
      <c r="V471" s="376"/>
      <c r="W471" s="376"/>
    </row>
    <row r="472" spans="2:23" ht="18">
      <c r="B472" s="1082" t="s">
        <v>322</v>
      </c>
      <c r="C472" s="1549"/>
      <c r="D472" s="1549"/>
      <c r="E472" s="1549"/>
      <c r="F472" s="81"/>
      <c r="G472" s="2049">
        <f>+GETPIVOTDATA("Sum of Cr. Final 23-24",Pivot!$A$1,"Note",18,"BS Main Head","Other Financial Liabilities - Current","BS Sub Head","Employee Payables")-GETPIVOTDATA("Sum of Dr. Final 23-24",Pivot!$A$1,"Note",18,"BS Main Head","Other Financial Liabilities - Current","BS Sub Head","Employee Payables")</f>
        <v>1668972</v>
      </c>
      <c r="H472" s="2057">
        <f>+GETPIVOTDATA("Sum of Cr. Final 22-23",Pivot!$A$1,"PARTICULARS","Salary Payable","Note",18,"BS Main Head","Other Financial Liabilities - Current","BS Sub Head","Employee Payables")</f>
        <v>1087441</v>
      </c>
      <c r="I472" s="21"/>
      <c r="J472" s="21"/>
      <c r="K472" s="21"/>
      <c r="L472" s="21"/>
      <c r="M472" s="21"/>
      <c r="N472" s="21"/>
      <c r="O472" s="21"/>
      <c r="P472" s="21"/>
      <c r="Q472" s="21"/>
      <c r="R472" s="633"/>
    </row>
    <row r="473" spans="2:23" ht="18">
      <c r="B473" s="1134"/>
      <c r="C473" s="1549"/>
      <c r="D473" s="1549"/>
      <c r="E473" s="1549"/>
      <c r="F473" s="1504"/>
      <c r="G473" s="2051">
        <f>+SUM(G469:G472)</f>
        <v>2576739</v>
      </c>
      <c r="H473" s="2055">
        <f>+SUM(H469:H472)</f>
        <v>6397608</v>
      </c>
      <c r="I473" s="1998"/>
      <c r="J473" s="1998"/>
      <c r="K473" s="1998"/>
      <c r="L473" s="1998"/>
      <c r="M473" s="1998"/>
      <c r="N473" s="1998"/>
      <c r="O473" s="1998"/>
      <c r="P473" s="1998"/>
      <c r="Q473" s="1998"/>
      <c r="R473" s="633"/>
    </row>
    <row r="474" spans="2:23" ht="18">
      <c r="B474" s="1091" t="s">
        <v>2649</v>
      </c>
      <c r="C474" s="1549"/>
      <c r="D474" s="1549"/>
      <c r="E474" s="1549"/>
      <c r="F474" s="1504"/>
      <c r="G474" s="2049"/>
      <c r="H474" s="2057"/>
      <c r="I474" s="21"/>
      <c r="J474" s="21"/>
      <c r="K474" s="21"/>
      <c r="L474" s="21"/>
      <c r="M474" s="21"/>
      <c r="N474" s="21"/>
      <c r="O474" s="21"/>
      <c r="P474" s="21"/>
      <c r="Q474" s="21"/>
    </row>
    <row r="475" spans="2:23" ht="18">
      <c r="B475" s="1135" t="s">
        <v>90</v>
      </c>
      <c r="C475" s="1549"/>
      <c r="D475" s="1549"/>
      <c r="E475" s="1549"/>
      <c r="F475" s="1504"/>
      <c r="G475" s="2049">
        <f>+GETPIVOTDATA("Sum of Cr. Final 23-24",Pivot!$A$1,"Note",18,"BS Main Head","Other Financial Liabilities - Current","BS Sub Head","GST")-GETPIVOTDATA("Sum of Dr. Final 23-24",Pivot!$A$1,"Note",18,"BS Main Head","Other Financial Liabilities - Current","BS Sub Head","GST")</f>
        <v>2006046.7000000002</v>
      </c>
      <c r="H475" s="2057">
        <f>+GETPIVOTDATA("Sum of Cr. Final 22-23",Pivot!$A$1,"Note",18,"BS Main Head","Other Financial Liabilities - Current","BS Sub Head","GST")-GETPIVOTDATA("Sum of Dr. Final 22-23",Pivot!$A$1,"Note",18,"BS Main Head","Other Financial Liabilities - Current","BS Sub Head","GST")</f>
        <v>1648919.9999999991</v>
      </c>
      <c r="I475" s="21"/>
      <c r="J475" s="21"/>
      <c r="K475" s="21"/>
      <c r="L475" s="21"/>
      <c r="M475" s="21"/>
      <c r="N475" s="21"/>
      <c r="O475" s="21"/>
      <c r="P475" s="21"/>
      <c r="Q475" s="21"/>
    </row>
    <row r="476" spans="2:23" ht="18">
      <c r="B476" s="1136" t="s">
        <v>107</v>
      </c>
      <c r="C476" s="1549"/>
      <c r="D476" s="1549"/>
      <c r="E476" s="1549"/>
      <c r="F476" s="81"/>
      <c r="G476" s="2049">
        <f>+GETPIVOTDATA("Sum of Cr. Final 23-24",Pivot!$A$1,"Note",18,"BS Main Head","Other Financial Liabilities - Current","BS Sub Head","Statutory Dues")-GETPIVOTDATA("Sum of Dr. Final 23-24",Pivot!$A$1,"Note",18,"BS Main Head","Other Financial Liabilities - Current","BS Sub Head","Statutory Dues")</f>
        <v>536725.05000000005</v>
      </c>
      <c r="H476" s="2057">
        <f>+GETPIVOTDATA("Sum of Cr. Final 22-23",Pivot!$A$1,"Note",19,"BS Main Head","Other Current Liabilities","BS Sub Head","Profession Tax")+GETPIVOTDATA("Sum of Cr. Final 22-23",Pivot!$A$1,"Note",18,"BS Main Head","Other Financial Liabilities - Current","BS Sub Head","Statutory Dues")</f>
        <v>663611.86</v>
      </c>
      <c r="I476" s="21"/>
      <c r="J476" s="21"/>
      <c r="K476" s="21"/>
      <c r="L476" s="21"/>
      <c r="M476" s="21"/>
      <c r="N476" s="21"/>
      <c r="O476" s="21"/>
      <c r="P476" s="21"/>
      <c r="Q476" s="21"/>
    </row>
    <row r="477" spans="2:23" ht="18">
      <c r="B477" s="1134"/>
      <c r="C477" s="1549"/>
      <c r="D477" s="1549"/>
      <c r="E477" s="1549"/>
      <c r="F477" s="1504"/>
      <c r="G477" s="2051">
        <f>+SUM(G475:G476)</f>
        <v>2542771.75</v>
      </c>
      <c r="H477" s="2055">
        <f>+SUM(H475+H476)</f>
        <v>2312531.8599999989</v>
      </c>
      <c r="I477" s="1998"/>
      <c r="J477" s="1998"/>
      <c r="K477" s="1998"/>
      <c r="L477" s="1998"/>
      <c r="M477" s="1998"/>
      <c r="N477" s="1998"/>
      <c r="O477" s="1998"/>
      <c r="P477" s="1998"/>
      <c r="Q477" s="1998"/>
    </row>
    <row r="478" spans="2:23" ht="18">
      <c r="B478" s="1091" t="s">
        <v>2650</v>
      </c>
      <c r="C478" s="1549"/>
      <c r="D478" s="1549"/>
      <c r="E478" s="1549"/>
      <c r="F478" s="1504"/>
      <c r="G478" s="2049"/>
      <c r="H478" s="2057"/>
      <c r="I478" s="21"/>
      <c r="J478" s="21"/>
      <c r="K478" s="21"/>
      <c r="L478" s="21"/>
      <c r="M478" s="21"/>
      <c r="N478" s="21"/>
      <c r="O478" s="21"/>
      <c r="P478" s="21"/>
      <c r="Q478" s="21"/>
    </row>
    <row r="479" spans="2:23" ht="18">
      <c r="B479" s="1135"/>
      <c r="C479" s="1549"/>
      <c r="D479" s="1549"/>
      <c r="E479" s="1549"/>
      <c r="F479" s="1504"/>
      <c r="G479" s="2049"/>
      <c r="H479" s="2057"/>
      <c r="I479" s="21"/>
      <c r="J479" s="21"/>
      <c r="K479" s="21"/>
      <c r="L479" s="21"/>
      <c r="M479" s="21"/>
      <c r="N479" s="21"/>
      <c r="O479" s="21"/>
      <c r="P479" s="21"/>
      <c r="Q479" s="21"/>
    </row>
    <row r="480" spans="2:23" ht="18">
      <c r="B480" s="1129" t="s">
        <v>910</v>
      </c>
      <c r="C480" s="1551"/>
      <c r="D480" s="1551"/>
      <c r="E480" s="1551"/>
      <c r="F480" s="63"/>
      <c r="G480" s="2049">
        <f>+GETPIVOTDATA("Sum of Cr. Final 23-24",Pivot!$A$1,"Note",20,"BS Main Head","Short Term Provisions","BS Sub Head","Provision for Employee Benefit")-GETPIVOTDATA("Sum of Dr. Final 23-24",Pivot!$A$1,"Note",20,"BS Main Head","Short Term Provisions","BS Sub Head","Provision for Employee Benefit")</f>
        <v>343164</v>
      </c>
      <c r="H480" s="2057">
        <f>+GETPIVOTDATA("Sum of Cr. Final 22-23",Pivot!$A$1,"Note",20,"BS Main Head","Short Term Provisions","BS Sub Head","Provision for Employee Benefit")-GETPIVOTDATA("Sum of Dr. Final 22-23",Pivot!$A$1,"Note",20,"BS Main Head","Short Term Provisions","BS Sub Head","Provision for Employee Benefit")</f>
        <v>233275</v>
      </c>
      <c r="I480" s="21"/>
      <c r="J480" s="21"/>
      <c r="K480" s="21"/>
      <c r="L480" s="21"/>
      <c r="M480" s="21"/>
      <c r="N480" s="21"/>
      <c r="O480" s="21"/>
      <c r="P480" s="21"/>
      <c r="Q480" s="21"/>
    </row>
    <row r="481" spans="2:24" ht="18">
      <c r="B481" s="1129" t="s">
        <v>911</v>
      </c>
      <c r="C481" s="1551"/>
      <c r="D481" s="1551"/>
      <c r="E481" s="1551"/>
      <c r="F481" s="63"/>
      <c r="G481" s="2049">
        <f>+G724</f>
        <v>1328693</v>
      </c>
      <c r="H481" s="2057">
        <v>1776300</v>
      </c>
      <c r="I481" s="1874">
        <f>+G481+G400</f>
        <v>1824458.6999999993</v>
      </c>
      <c r="J481" s="1874"/>
      <c r="K481" s="1874"/>
      <c r="L481" s="1874"/>
      <c r="M481" s="1874"/>
      <c r="N481" s="1874"/>
      <c r="O481" s="1874"/>
      <c r="P481" s="1874"/>
      <c r="Q481" s="1874"/>
    </row>
    <row r="482" spans="2:24" ht="18">
      <c r="B482" s="1134"/>
      <c r="C482" s="1549"/>
      <c r="D482" s="1549"/>
      <c r="E482" s="1549"/>
      <c r="F482" s="1504"/>
      <c r="G482" s="2121">
        <f>+SUM(G479:G481)</f>
        <v>1671857</v>
      </c>
      <c r="H482" s="2122">
        <f>+SUM(H479:H481)</f>
        <v>2009575</v>
      </c>
      <c r="I482" s="1998"/>
      <c r="J482" s="1998"/>
      <c r="K482" s="1998"/>
      <c r="L482" s="1998"/>
      <c r="M482" s="1998"/>
      <c r="N482" s="1998"/>
      <c r="O482" s="1998"/>
      <c r="P482" s="1998"/>
      <c r="Q482" s="1998"/>
    </row>
    <row r="483" spans="2:24" ht="18">
      <c r="B483" s="1091" t="s">
        <v>2651</v>
      </c>
      <c r="C483" s="25"/>
      <c r="D483" s="25"/>
      <c r="E483" s="25"/>
      <c r="F483" s="1523"/>
      <c r="G483" s="2050"/>
      <c r="H483" s="2056"/>
      <c r="I483" s="103"/>
      <c r="J483" s="103"/>
      <c r="K483" s="103"/>
      <c r="L483" s="103"/>
      <c r="M483" s="103"/>
      <c r="N483" s="103"/>
      <c r="O483" s="103"/>
      <c r="P483" s="103"/>
      <c r="Q483" s="103"/>
    </row>
    <row r="484" spans="2:24" ht="18">
      <c r="B484" s="1081" t="s">
        <v>912</v>
      </c>
      <c r="C484" s="25"/>
      <c r="D484" s="25"/>
      <c r="E484" s="25"/>
      <c r="F484" s="1523"/>
      <c r="G484" s="2050"/>
      <c r="H484" s="2056"/>
      <c r="I484" s="103"/>
      <c r="J484" s="103"/>
      <c r="K484" s="103"/>
      <c r="L484" s="103"/>
      <c r="M484" s="103"/>
      <c r="N484" s="103"/>
      <c r="O484" s="103"/>
      <c r="P484" s="103"/>
      <c r="Q484" s="103"/>
    </row>
    <row r="485" spans="2:24" ht="18">
      <c r="B485" s="1137" t="s">
        <v>913</v>
      </c>
      <c r="C485" s="25"/>
      <c r="D485" s="25"/>
      <c r="E485" s="25"/>
      <c r="F485" s="1523"/>
      <c r="G485" s="2159">
        <f>+GETPIVOTDATA("Sum of Cr. Final 23-24",Pivot!$A$1,"Note",21,"BS Main Head","Revenue From Operations","BS Sub Head","Sale of Goods - Manufacturing Sales")-GETPIVOTDATA("Sum of Dr. Final 23-24",Pivot!$A$1,"Note",21,"BS Main Head","Revenue From Operations","BS Sub Head","Sale of Goods - Manufacturing Sales")</f>
        <v>579738206.39999998</v>
      </c>
      <c r="H485" s="2160">
        <f>+GETPIVOTDATA("Sum of Cr. Final 22-23",Pivot!$A$1,"Note",21,"BS Main Head","Revenue From Operations","BS Sub Head","Sale of Goods - Manufacturing Sales")-GETPIVOTDATA("Sum of Dr. Final 22-23",Pivot!$A$1,"Note",21,"BS Main Head","Revenue From Operations","BS Sub Head","Sale of Goods - Manufacturing Sales")</f>
        <v>1042874202.4200001</v>
      </c>
      <c r="I485" s="1997"/>
      <c r="J485" s="1997"/>
      <c r="K485" s="1997"/>
      <c r="L485" s="1997"/>
      <c r="M485" s="1997"/>
      <c r="N485" s="1997"/>
      <c r="O485" s="1997"/>
      <c r="P485" s="1997"/>
      <c r="Q485" s="1997"/>
    </row>
    <row r="486" spans="2:24" ht="18">
      <c r="B486" s="1138"/>
      <c r="C486" s="25"/>
      <c r="D486" s="25"/>
      <c r="E486" s="25"/>
      <c r="F486" s="1523"/>
      <c r="G486" s="2050"/>
      <c r="H486" s="2056"/>
      <c r="I486" s="1998"/>
      <c r="J486" s="1998"/>
      <c r="K486" s="1998"/>
      <c r="L486" s="1998"/>
      <c r="M486" s="1998"/>
      <c r="N486" s="1998"/>
      <c r="O486" s="1998"/>
      <c r="P486" s="1998"/>
      <c r="Q486" s="1998"/>
    </row>
    <row r="487" spans="2:24" ht="18">
      <c r="B487" s="1139" t="s">
        <v>914</v>
      </c>
      <c r="C487" s="25"/>
      <c r="D487" s="25"/>
      <c r="E487" s="25"/>
      <c r="F487" s="1523"/>
      <c r="G487" s="2050"/>
      <c r="H487" s="2056"/>
      <c r="I487" s="103"/>
      <c r="J487" s="103"/>
      <c r="K487" s="103"/>
      <c r="L487" s="103"/>
      <c r="M487" s="103"/>
      <c r="N487" s="103"/>
      <c r="O487" s="103"/>
      <c r="P487" s="103"/>
      <c r="Q487" s="103"/>
    </row>
    <row r="488" spans="2:24" ht="18">
      <c r="B488" s="1138" t="s">
        <v>915</v>
      </c>
      <c r="C488" s="25"/>
      <c r="D488" s="25"/>
      <c r="E488" s="25"/>
      <c r="F488" s="1523"/>
      <c r="G488" s="2049">
        <f>+GETPIVOTDATA("Sum of Cr. Final 23-24",Pivot!$A$1,"Note",21,"BS Main Head","Revenue From Operations","BS Sub Head","PSI Subsidy")-GETPIVOTDATA("Sum of Dr. Final 23-24",Pivot!$A$1,"Note",21,"BS Main Head","Revenue From Operations","BS Sub Head","PSI Subsidy")</f>
        <v>9444000</v>
      </c>
      <c r="H488" s="2057">
        <f>+GETPIVOTDATA("Sum of Cr. Final 22-23",Pivot!$A$1,"Note",21,"BS Main Head","Revenue From Operations","BS Sub Head","PSI Subsidy")-GETPIVOTDATA("Sum of Dr. Final 22-23",Pivot!$A$1,"Note",21,"BS Main Head","Revenue From Operations","BS Sub Head","PSI Subsidy")</f>
        <v>9443500</v>
      </c>
      <c r="I488" s="1874"/>
      <c r="J488" s="1874"/>
      <c r="K488" s="1874"/>
      <c r="L488" s="1874"/>
      <c r="M488" s="1874"/>
      <c r="N488" s="1874"/>
      <c r="O488" s="1874"/>
      <c r="P488" s="1874"/>
      <c r="Q488" s="1874"/>
    </row>
    <row r="489" spans="2:24" ht="18">
      <c r="B489" s="1140"/>
      <c r="C489" s="25"/>
      <c r="D489" s="25"/>
      <c r="E489" s="25"/>
      <c r="F489" s="1523"/>
      <c r="G489" s="2050"/>
      <c r="H489" s="2056"/>
      <c r="I489" s="103"/>
      <c r="J489" s="103"/>
      <c r="K489" s="103"/>
      <c r="L489" s="103"/>
      <c r="M489" s="103"/>
      <c r="N489" s="103"/>
      <c r="O489" s="103"/>
      <c r="P489" s="103"/>
      <c r="Q489" s="103"/>
    </row>
    <row r="490" spans="2:24" ht="18">
      <c r="B490" s="1049"/>
      <c r="C490" s="25"/>
      <c r="D490" s="25"/>
      <c r="E490" s="25"/>
      <c r="F490" s="1523"/>
      <c r="G490" s="2162">
        <f>+G485+G488</f>
        <v>589182206.39999998</v>
      </c>
      <c r="H490" s="2162">
        <f>+H485+H488</f>
        <v>1052317702.4200001</v>
      </c>
      <c r="I490" s="1998"/>
      <c r="J490" s="1998"/>
      <c r="K490" s="1998"/>
      <c r="L490" s="1998"/>
      <c r="M490" s="1998"/>
      <c r="N490" s="1998"/>
      <c r="O490" s="1998"/>
      <c r="P490" s="1998"/>
      <c r="Q490" s="1998"/>
    </row>
    <row r="491" spans="2:24" ht="18">
      <c r="B491" s="1076" t="s">
        <v>2652</v>
      </c>
      <c r="C491" s="25"/>
      <c r="D491" s="25"/>
      <c r="E491" s="25"/>
      <c r="F491" s="1504"/>
      <c r="G491" s="2049"/>
      <c r="H491" s="2057"/>
      <c r="I491" s="21"/>
      <c r="J491" s="21"/>
      <c r="K491" s="21"/>
      <c r="L491" s="21"/>
      <c r="M491" s="21"/>
      <c r="N491" s="21"/>
      <c r="O491" s="21"/>
      <c r="P491" s="21"/>
      <c r="Q491" s="21"/>
      <c r="S491" t="s">
        <v>2634</v>
      </c>
    </row>
    <row r="492" spans="2:24" ht="18">
      <c r="B492" s="1063" t="s">
        <v>916</v>
      </c>
      <c r="C492" s="24"/>
      <c r="D492" s="24"/>
      <c r="E492" s="24"/>
      <c r="F492" s="1504"/>
      <c r="G492" s="2049">
        <f>+GETPIVOTDATA("Sum of Cr. Final 23-24",Pivot!$A$1,"Note",22,"BS Main Head","Other Income","BS Sub Head","Foreign Exchange Fluctuation Gain on RM")-GETPIVOTDATA("Sum of Dr. Final 23-24",Pivot!$A$1,"Note",22,"BS Main Head","Other Income","BS Sub Head","Foreign Exchange Fluctuation Gain on RM")</f>
        <v>729285</v>
      </c>
      <c r="H492" s="2057">
        <f>+GETPIVOTDATA("Sum of Cr. Final 22-23",Pivot!$A$1,"Note",22,"BS Main Head","Other Income","BS Sub Head","Foreign Exchange Fluctuation Gain on RM")-GETPIVOTDATA("Sum of Dr. Final 22-23",Pivot!$A$1,"Note",22,"BS Main Head","Other Income","BS Sub Head","Foreign Exchange Fluctuation Gain on RM")</f>
        <v>889167.66984900087</v>
      </c>
      <c r="I492" s="21"/>
      <c r="J492" s="21"/>
      <c r="K492" s="21"/>
      <c r="L492" s="21"/>
      <c r="M492" s="21"/>
      <c r="N492" s="21"/>
      <c r="O492" s="21"/>
      <c r="P492" s="21"/>
      <c r="Q492" s="21"/>
      <c r="S492" s="856" t="s">
        <v>2635</v>
      </c>
      <c r="T492" s="857" t="s">
        <v>2636</v>
      </c>
      <c r="U492" s="857" t="s">
        <v>2579</v>
      </c>
      <c r="V492" s="857" t="s">
        <v>2637</v>
      </c>
      <c r="W492" s="857" t="s">
        <v>2639</v>
      </c>
      <c r="X492" s="857" t="s">
        <v>2638</v>
      </c>
    </row>
    <row r="493" spans="2:24" ht="18">
      <c r="B493" s="1063" t="s">
        <v>3015</v>
      </c>
      <c r="C493" s="24"/>
      <c r="D493" s="24"/>
      <c r="E493" s="24"/>
      <c r="F493" s="1504"/>
      <c r="G493" s="2049">
        <f>+GETPIVOTDATA("Sum of Cr. Final 23-24",Pivot!$A$1,"Note",22,"BS Main Head","Other Income","BS Sub Head","Sale of Scrap")-GETPIVOTDATA("Sum of Dr. Final 23-24",Pivot!$A$1,"Note",22,"BS Main Head","Other Income","BS Sub Head","Sale of Scrap")</f>
        <v>0</v>
      </c>
      <c r="H493" s="2057"/>
      <c r="I493" s="21"/>
      <c r="J493" s="21"/>
      <c r="K493" s="21"/>
      <c r="L493" s="21"/>
      <c r="M493" s="21"/>
      <c r="N493" s="21"/>
      <c r="O493" s="21"/>
      <c r="P493" s="21"/>
      <c r="Q493" s="21"/>
      <c r="S493" s="856"/>
      <c r="T493" s="857"/>
      <c r="U493" s="857"/>
      <c r="V493" s="857"/>
      <c r="W493" s="857"/>
      <c r="X493" s="857"/>
    </row>
    <row r="494" spans="2:24" ht="18">
      <c r="B494" s="1063" t="s">
        <v>917</v>
      </c>
      <c r="C494" s="24"/>
      <c r="D494" s="24"/>
      <c r="E494" s="24"/>
      <c r="F494" s="1504"/>
      <c r="G494" s="2049">
        <f>+GETPIVOTDATA("Sum of Cr. Final 23-24",Pivot!$A$1,"Note",22,"BS Main Head","Other Income","BS Sub Head","Interest Received")-GETPIVOTDATA("Sum of Dr. Final 23-24",Pivot!$A$1,"Note",22,"BS Main Head","Other Income","BS Sub Head","Interest Received")</f>
        <v>172494</v>
      </c>
      <c r="H494" s="2057">
        <f>+GETPIVOTDATA("Sum of Cr. Final 22-23",Pivot!$A$1,"Note",22,"BS Main Head","Other Income","BS Sub Head","Interest Received")-GETPIVOTDATA("Sum of Dr. Final 22-23",Pivot!$A$1,"Note",22,"BS Main Head","Other Income","BS Sub Head","Interest Received")</f>
        <v>202145.39</v>
      </c>
      <c r="I494" s="21"/>
      <c r="J494" s="21"/>
      <c r="K494" s="21"/>
      <c r="L494" s="21"/>
      <c r="M494" s="21"/>
      <c r="N494" s="21"/>
      <c r="O494" s="21"/>
      <c r="P494" s="21"/>
      <c r="Q494" s="21"/>
      <c r="S494" s="856" t="s">
        <v>40</v>
      </c>
      <c r="T494" s="857">
        <f>+W954</f>
        <v>46366.25</v>
      </c>
      <c r="U494" s="858">
        <v>82.216899999999995</v>
      </c>
      <c r="V494" s="857">
        <f>+T494*U494</f>
        <v>3812089.3396249996</v>
      </c>
      <c r="W494" s="857">
        <v>3880855</v>
      </c>
      <c r="X494" s="859">
        <f>+W494-V494</f>
        <v>68765.660375000443</v>
      </c>
    </row>
    <row r="495" spans="2:24" ht="18.600000000000001" thickBot="1">
      <c r="B495" s="1063"/>
      <c r="C495" s="24"/>
      <c r="D495" s="24"/>
      <c r="E495" s="24"/>
      <c r="F495" s="1504"/>
      <c r="G495" s="2069">
        <f>+SUM(G492:G494)</f>
        <v>901779</v>
      </c>
      <c r="H495" s="2065">
        <f>+SUM(H492:H494)</f>
        <v>1091313.059849001</v>
      </c>
      <c r="I495" s="1998"/>
      <c r="J495" s="1998"/>
      <c r="K495" s="1998"/>
      <c r="L495" s="1998"/>
      <c r="M495" s="1998"/>
      <c r="N495" s="1998"/>
      <c r="O495" s="1998"/>
      <c r="P495" s="1998"/>
      <c r="Q495" s="1998"/>
      <c r="S495" s="856" t="s">
        <v>39</v>
      </c>
      <c r="T495" s="857">
        <f>+W955</f>
        <v>13063.24</v>
      </c>
      <c r="U495" s="858">
        <v>82.216899999999995</v>
      </c>
      <c r="V495" s="857">
        <f t="shared" ref="V495:V497" si="7">+T495*U495</f>
        <v>1074019.0967559998</v>
      </c>
      <c r="W495" s="857">
        <v>1093393</v>
      </c>
      <c r="X495" s="859">
        <f t="shared" ref="X495:X497" si="8">+W495-V495</f>
        <v>19373.903244000161</v>
      </c>
    </row>
    <row r="496" spans="2:24" ht="18.600000000000001" thickTop="1">
      <c r="B496" s="1076" t="s">
        <v>2653</v>
      </c>
      <c r="C496" s="56"/>
      <c r="D496" s="56"/>
      <c r="E496" s="56"/>
      <c r="F496" s="1504"/>
      <c r="G496" s="2049"/>
      <c r="H496" s="2057"/>
      <c r="I496" s="21"/>
      <c r="J496" s="21"/>
      <c r="K496" s="21"/>
      <c r="L496" s="21"/>
      <c r="M496" s="21"/>
      <c r="N496" s="21"/>
      <c r="O496" s="21"/>
      <c r="P496" s="21"/>
      <c r="Q496" s="21"/>
      <c r="S496" s="856" t="s">
        <v>468</v>
      </c>
      <c r="T496" s="857">
        <f>+W956</f>
        <v>24291.3</v>
      </c>
      <c r="U496" s="858">
        <v>82.216899999999995</v>
      </c>
      <c r="V496" s="857">
        <f t="shared" si="7"/>
        <v>1997155.3829699999</v>
      </c>
      <c r="W496" s="857">
        <v>2033181</v>
      </c>
      <c r="X496" s="859">
        <f t="shared" si="8"/>
        <v>36025.617030000081</v>
      </c>
    </row>
    <row r="497" spans="2:24" ht="18">
      <c r="B497" s="1063" t="s">
        <v>251</v>
      </c>
      <c r="C497" s="24"/>
      <c r="D497" s="24"/>
      <c r="E497" s="24"/>
      <c r="F497" s="1504"/>
      <c r="G497" s="2049">
        <f>+H500</f>
        <v>34550733</v>
      </c>
      <c r="H497" s="2057">
        <v>23499723</v>
      </c>
      <c r="I497" s="21"/>
      <c r="J497" s="21"/>
      <c r="K497" s="21"/>
      <c r="L497" s="21"/>
      <c r="M497" s="21"/>
      <c r="N497" s="21"/>
      <c r="O497" s="21"/>
      <c r="P497" s="21"/>
      <c r="Q497" s="21"/>
      <c r="S497" s="856" t="s">
        <v>544</v>
      </c>
      <c r="T497" s="857">
        <f>+W957</f>
        <v>45332</v>
      </c>
      <c r="U497" s="858">
        <v>82.216899999999995</v>
      </c>
      <c r="V497" s="857">
        <f t="shared" si="7"/>
        <v>3727056.5107999998</v>
      </c>
      <c r="W497" s="857">
        <v>3794288</v>
      </c>
      <c r="X497" s="859">
        <f t="shared" si="8"/>
        <v>67231.489200000186</v>
      </c>
    </row>
    <row r="498" spans="2:24" ht="18">
      <c r="B498" s="1063" t="s">
        <v>918</v>
      </c>
      <c r="C498" s="24"/>
      <c r="D498" s="24"/>
      <c r="E498" s="24"/>
      <c r="F498" s="63"/>
      <c r="G498" s="2183">
        <f>+GETPIVOTDATA("Sum of Dr. Final 23-24",Pivot!$A$1,"Note",23,"BS Main Head","Raw Material Consumed","BS Sub Head","Raw Material Purchase")-GETPIVOTDATA("Sum of Cr. Final 23-24",Pivot!$A$1,"Note",23,"BS Main Head","Raw Material Consumed","BS Sub Head","Raw Material Purchase")</f>
        <v>391306861.49000001</v>
      </c>
      <c r="H498" s="2184">
        <f>+GETPIVOTDATA("Sum of Dr. Final 22-23",Pivot!$A$1,"Note",23,"BS Main Head","Raw Material Consumed","BS Sub Head","Raw Material Purchase")-GETPIVOTDATA("Sum of Cr. Final 22-23",Pivot!$A$1,"Note",23,"BS Main Head","Raw Material Consumed","BS Sub Head","Raw Material Purchase")</f>
        <v>826174715.5</v>
      </c>
      <c r="I498" s="21"/>
      <c r="J498" s="21"/>
      <c r="K498" s="21"/>
      <c r="L498" s="21"/>
      <c r="M498" s="21"/>
      <c r="N498" s="21"/>
      <c r="O498" s="21"/>
      <c r="P498" s="21"/>
      <c r="Q498" s="21"/>
      <c r="S498" s="856"/>
      <c r="T498" s="857"/>
      <c r="U498" s="857"/>
      <c r="V498" s="857"/>
      <c r="W498" s="857"/>
      <c r="X498" s="859">
        <f>SUM(X494:X497)</f>
        <v>191396.66984900087</v>
      </c>
    </row>
    <row r="499" spans="2:24" ht="18">
      <c r="B499" s="1063"/>
      <c r="C499" s="24"/>
      <c r="D499" s="24"/>
      <c r="E499" s="24"/>
      <c r="F499" s="1504"/>
      <c r="G499" s="2161">
        <f>+SUM(G497:G498)</f>
        <v>425857594.49000001</v>
      </c>
      <c r="H499" s="2164">
        <f>+SUM(H497:H498)</f>
        <v>849674438.5</v>
      </c>
      <c r="I499" s="1998"/>
      <c r="J499" s="1998"/>
      <c r="K499" s="1998"/>
      <c r="L499" s="1998"/>
      <c r="M499" s="1998"/>
      <c r="N499" s="1998"/>
      <c r="O499" s="1998"/>
      <c r="P499" s="1998"/>
      <c r="Q499" s="1998"/>
    </row>
    <row r="500" spans="2:24" ht="18">
      <c r="B500" s="1063" t="s">
        <v>919</v>
      </c>
      <c r="C500" s="24"/>
      <c r="D500" s="24"/>
      <c r="E500" s="24"/>
      <c r="F500" s="22"/>
      <c r="G500" s="2049">
        <f>+'CLOSING STOCK 31-03-24'!P11+'CLOSING STOCK 31-03-24'!P18+'CLOSING STOCK 31-03-24'!P24</f>
        <v>11927807</v>
      </c>
      <c r="H500" s="2057">
        <f>+'CLOSING STOCK 31-03-24'!F20+'CLOSING STOCK 31-03-24'!F24</f>
        <v>34550733</v>
      </c>
      <c r="I500" s="21"/>
      <c r="J500" s="21"/>
      <c r="K500" s="21"/>
      <c r="L500" s="21"/>
      <c r="M500" s="21"/>
      <c r="N500" s="21"/>
      <c r="O500" s="21"/>
      <c r="P500" s="21"/>
      <c r="Q500" s="21"/>
    </row>
    <row r="501" spans="2:24" ht="18.600000000000001" thickBot="1">
      <c r="B501" s="1063"/>
      <c r="C501" s="82"/>
      <c r="D501" s="82"/>
      <c r="E501" s="82"/>
      <c r="F501" s="82"/>
      <c r="G501" s="2185">
        <f>+G499-G500</f>
        <v>413929787.49000001</v>
      </c>
      <c r="H501" s="2186">
        <f>+H499-H500</f>
        <v>815123705.5</v>
      </c>
      <c r="I501" s="1998"/>
      <c r="J501" s="1998"/>
      <c r="K501" s="1998"/>
      <c r="L501" s="1998"/>
      <c r="M501" s="1998"/>
      <c r="N501" s="1998"/>
      <c r="O501" s="1998"/>
      <c r="P501" s="1998"/>
      <c r="Q501" s="1998"/>
    </row>
    <row r="502" spans="2:24" ht="18.600000000000001" thickTop="1">
      <c r="B502" s="1076" t="s">
        <v>2654</v>
      </c>
      <c r="C502" s="56"/>
      <c r="D502" s="56"/>
      <c r="E502" s="56"/>
      <c r="F502" s="1552"/>
      <c r="G502" s="2049"/>
      <c r="H502" s="2057"/>
      <c r="I502" s="120"/>
      <c r="J502" s="120"/>
      <c r="K502" s="120"/>
      <c r="L502" s="120"/>
      <c r="M502" s="120"/>
      <c r="N502" s="120"/>
      <c r="O502" s="120"/>
      <c r="P502" s="120"/>
      <c r="Q502" s="120"/>
    </row>
    <row r="503" spans="2:24" ht="18">
      <c r="B503" s="1063" t="s">
        <v>251</v>
      </c>
      <c r="C503" s="24"/>
      <c r="D503" s="24"/>
      <c r="E503" s="24"/>
      <c r="F503" s="1504"/>
      <c r="G503" s="2049">
        <f>+H504</f>
        <v>16465227</v>
      </c>
      <c r="H503" s="2057">
        <v>17088292</v>
      </c>
      <c r="I503" s="21"/>
      <c r="J503" s="21"/>
      <c r="K503" s="21"/>
      <c r="L503" s="21"/>
      <c r="M503" s="21"/>
      <c r="N503" s="21"/>
      <c r="O503" s="21"/>
      <c r="P503" s="21"/>
      <c r="Q503" s="21"/>
    </row>
    <row r="504" spans="2:24" ht="18">
      <c r="B504" s="1063" t="s">
        <v>920</v>
      </c>
      <c r="C504" s="24"/>
      <c r="D504" s="24"/>
      <c r="E504" s="24"/>
      <c r="F504" s="22"/>
      <c r="G504" s="2049">
        <f>+'FG Valuation'!G39</f>
        <v>4109107.7332667881</v>
      </c>
      <c r="H504" s="2057">
        <v>16465227</v>
      </c>
      <c r="I504" s="21"/>
      <c r="J504" s="21"/>
      <c r="K504" s="21"/>
      <c r="L504" s="21"/>
      <c r="M504" s="21"/>
      <c r="N504" s="21"/>
      <c r="O504" s="21"/>
      <c r="P504" s="21"/>
      <c r="Q504" s="21"/>
    </row>
    <row r="505" spans="2:24" ht="18.600000000000001" thickBot="1">
      <c r="B505" s="1063"/>
      <c r="C505" s="24"/>
      <c r="D505" s="24"/>
      <c r="E505" s="24"/>
      <c r="F505" s="1504"/>
      <c r="G505" s="2069">
        <f>+G503-G504</f>
        <v>12356119.266733212</v>
      </c>
      <c r="H505" s="2065">
        <f>+H503-H504</f>
        <v>623065</v>
      </c>
      <c r="I505" s="1998"/>
      <c r="J505" s="1998"/>
      <c r="K505" s="1998"/>
      <c r="L505" s="1998"/>
      <c r="M505" s="1998"/>
      <c r="N505" s="1998"/>
      <c r="O505" s="1998"/>
      <c r="P505" s="1998"/>
      <c r="Q505" s="1998"/>
    </row>
    <row r="506" spans="2:24" ht="18.600000000000001" thickTop="1">
      <c r="B506" s="1076" t="s">
        <v>2655</v>
      </c>
      <c r="C506" s="56"/>
      <c r="D506" s="56"/>
      <c r="E506" s="56"/>
      <c r="F506" s="1504"/>
      <c r="G506" s="2049"/>
      <c r="H506" s="2057"/>
      <c r="I506" s="21"/>
      <c r="J506" s="21"/>
      <c r="K506" s="21"/>
      <c r="L506" s="21"/>
      <c r="M506" s="21"/>
      <c r="N506" s="21"/>
      <c r="O506" s="21"/>
      <c r="P506" s="21"/>
      <c r="Q506" s="21"/>
      <c r="S506" t="s">
        <v>900</v>
      </c>
    </row>
    <row r="507" spans="2:24" ht="18">
      <c r="B507" s="1063" t="s">
        <v>141</v>
      </c>
      <c r="C507" s="24"/>
      <c r="D507" s="24"/>
      <c r="E507" s="24"/>
      <c r="F507" s="21"/>
      <c r="G507" s="2049">
        <f>+GETPIVOTDATA("Sum of Dr. Final 23-24",Pivot!$A$1,"Note",25,"BS Main Head","Employee Benefit Expenses","BS Sub Head","Salary &amp; Wages")-GETPIVOTDATA("Sum of Cr. Final 23-24",Pivot!$A$1,"Note",25,"BS Main Head","Employee Benefit Expenses","BS Sub Head","Salary &amp; Wages")</f>
        <v>17639146</v>
      </c>
      <c r="H507" s="2057">
        <f>+GETPIVOTDATA("Sum of Dr. Final 22-23",Pivot!$A$1,"Note",25,"BS Main Head","Employee Benefit Expenses","BS Sub Head","Salary &amp; Wages")-GETPIVOTDATA("Sum of Cr. Final 22-23",Pivot!$A$1,"Note",25,"BS Main Head","Employee Benefit Expenses","BS Sub Head","Salary &amp; Wages")</f>
        <v>15862269</v>
      </c>
      <c r="I507" s="21"/>
      <c r="J507" s="21"/>
      <c r="K507" s="21"/>
      <c r="L507" s="21"/>
      <c r="M507" s="21"/>
      <c r="N507" s="21"/>
      <c r="O507" s="21"/>
      <c r="P507" s="21"/>
      <c r="Q507" s="21"/>
      <c r="S507" t="s">
        <v>463</v>
      </c>
      <c r="T507" s="1" t="s">
        <v>1119</v>
      </c>
      <c r="U507" s="1" t="s">
        <v>1120</v>
      </c>
      <c r="V507" s="1" t="s">
        <v>1121</v>
      </c>
      <c r="W507" s="1" t="s">
        <v>1122</v>
      </c>
    </row>
    <row r="508" spans="2:24" ht="18">
      <c r="B508" s="1063" t="s">
        <v>157</v>
      </c>
      <c r="C508" s="24"/>
      <c r="D508" s="24"/>
      <c r="E508" s="24"/>
      <c r="F508" s="1504"/>
      <c r="G508" s="2049">
        <f>+GETPIVOTDATA("Sum of Dr. Final 23-24",Pivot!$A$1,"Note",25,"BS Main Head","Employee Benefit Expenses","BS Sub Head","Contribution to Funds")</f>
        <v>2702976</v>
      </c>
      <c r="H508" s="2057">
        <f>+GETPIVOTDATA("Sum of Dr. Final 22-23",Pivot!$A$1,"Note",25,"BS Main Head","Employee Benefit Expenses","BS Sub Head","Contribution to Funds")-GETPIVOTDATA("Sum of Cr. Final 22-23",Pivot!$A$1,"Note",25,"BS Main Head","Employee Benefit Expenses","BS Sub Head","Contribution to Funds")</f>
        <v>2416943</v>
      </c>
      <c r="I508" s="21"/>
      <c r="J508" s="21"/>
      <c r="K508" s="21"/>
      <c r="L508" s="21"/>
      <c r="M508" s="21"/>
      <c r="N508" s="21"/>
      <c r="O508" s="21"/>
      <c r="P508" s="21"/>
      <c r="Q508" s="21"/>
      <c r="S508" t="s">
        <v>1118</v>
      </c>
      <c r="T508" s="1">
        <v>656155</v>
      </c>
      <c r="U508" s="1">
        <f>+GETPIVOTDATA("Sum of Dr. Final 22-23",Pivot!$A$1,"Note",27,"BS Main Head","Other - Manufacturing Expenses","BS Sub Head","Packing Material Purchase")-GETPIVOTDATA("Sum of Cr. Final 22-23",Pivot!$A$1,"Note",27,"BS Main Head","Other - Manufacturing Expenses","BS Sub Head","Packing Material Purchase")</f>
        <v>10882324.880000001</v>
      </c>
      <c r="V508" s="1">
        <f>+'CLOSING STOCK 31-03-24'!F22</f>
        <v>548138</v>
      </c>
      <c r="W508" s="1">
        <f>+T508+U508-V508</f>
        <v>10990341.880000001</v>
      </c>
    </row>
    <row r="509" spans="2:24" ht="18">
      <c r="B509" s="1063" t="s">
        <v>244</v>
      </c>
      <c r="C509" s="24"/>
      <c r="D509" s="24"/>
      <c r="E509" s="24"/>
      <c r="F509" s="1504"/>
      <c r="G509" s="2049">
        <f>+GETPIVOTDATA("Sum of Dr. Final 23-24",Pivot!$A$1,"Note",25,"BS Main Head","Employee Benefit Expenses","BS Sub Head","Staff Welfare Expenses")-GETPIVOTDATA("Sum of Cr. Final 23-24",Pivot!$A$1,"Note",25,"BS Main Head","Employee Benefit Expenses","BS Sub Head","Staff Welfare Expenses")</f>
        <v>255943</v>
      </c>
      <c r="H509" s="2057">
        <f>+GETPIVOTDATA("Sum of Dr. Final 22-23",Pivot!$A$1,"Note",25,"BS Main Head","Employee Benefit Expenses","BS Sub Head","Staff Welfare Expenses")-GETPIVOTDATA("Sum of Cr. Final 22-23",Pivot!$A$1,"Note",25,"BS Main Head","Employee Benefit Expenses","BS Sub Head","Staff Welfare Expenses")</f>
        <v>194520</v>
      </c>
      <c r="I509" s="21"/>
      <c r="J509" s="21"/>
      <c r="K509" s="21"/>
      <c r="L509" s="21"/>
      <c r="M509" s="21"/>
      <c r="N509" s="21"/>
      <c r="O509" s="21"/>
      <c r="P509" s="21"/>
      <c r="Q509" s="21"/>
      <c r="S509" t="s">
        <v>1123</v>
      </c>
      <c r="T509" s="1">
        <v>2062056</v>
      </c>
      <c r="U509" s="1">
        <f>+GETPIVOTDATA("Sum of Dr. Final 22-23",Pivot!$A$1,"Note",27,"BS Main Head","Other - Manufacturing Expenses","BS Sub Head","Power and Fuel")-GETPIVOTDATA("Sum of Cr. Final 22-23",Pivot!$A$1,"Note",27,"BS Main Head","Other - Manufacturing Expenses","BS Sub Head","Power and Fuel")</f>
        <v>184467217.23999998</v>
      </c>
      <c r="V509" s="1">
        <f>+'CLOSING STOCK 31-03-24'!F26</f>
        <v>2142890</v>
      </c>
      <c r="W509" s="1">
        <f t="shared" ref="W509:W510" si="9">+T509+U509-V509</f>
        <v>184386383.23999998</v>
      </c>
    </row>
    <row r="510" spans="2:24" ht="18.600000000000001" thickBot="1">
      <c r="B510" s="1063"/>
      <c r="C510" s="24"/>
      <c r="D510" s="24"/>
      <c r="E510" s="24"/>
      <c r="F510" s="1504"/>
      <c r="G510" s="2069">
        <f>+SUM(G507:G509)</f>
        <v>20598065</v>
      </c>
      <c r="H510" s="2065">
        <f>+SUM(H507:H509)</f>
        <v>18473732</v>
      </c>
      <c r="I510" s="1998"/>
      <c r="J510" s="1998"/>
      <c r="K510" s="1998"/>
      <c r="L510" s="1998"/>
      <c r="M510" s="1998"/>
      <c r="N510" s="1998"/>
      <c r="O510" s="1998"/>
      <c r="P510" s="1998"/>
      <c r="Q510" s="1998"/>
      <c r="S510" t="s">
        <v>1124</v>
      </c>
      <c r="T510" s="1">
        <v>8287041</v>
      </c>
      <c r="U510" s="1">
        <f>+GETPIVOTDATA("Sum of Dr. Final 22-23",Pivot!$A$1,"Note",27,"BS Main Head","Other - Manufacturing Expenses","BS Sub Head","Stores &amp; Spares Consumed")-GETPIVOTDATA("Sum of Cr. Final 22-23",Pivot!$A$1,"Note",27,"BS Main Head","Other - Manufacturing Expenses","BS Sub Head","Stores &amp; Spares Consumed")</f>
        <v>13738207.939999999</v>
      </c>
      <c r="V510" s="1">
        <f>+'CLOSING STOCK 31-03-24'!F34</f>
        <v>8955693</v>
      </c>
      <c r="W510" s="1">
        <f t="shared" si="9"/>
        <v>13069555.939999998</v>
      </c>
    </row>
    <row r="511" spans="2:24" ht="18.600000000000001" thickTop="1">
      <c r="B511" s="1076" t="s">
        <v>2656</v>
      </c>
      <c r="C511" s="56"/>
      <c r="D511" s="56"/>
      <c r="E511" s="56"/>
      <c r="F511" s="1504"/>
      <c r="G511" s="2049"/>
      <c r="H511" s="2057"/>
      <c r="I511" s="21"/>
      <c r="J511" s="21"/>
      <c r="K511" s="21"/>
      <c r="L511" s="21"/>
      <c r="M511" s="21"/>
      <c r="N511" s="21"/>
      <c r="O511" s="21"/>
      <c r="P511" s="21"/>
      <c r="Q511" s="21"/>
    </row>
    <row r="512" spans="2:24" ht="18">
      <c r="B512" s="1063" t="s">
        <v>205</v>
      </c>
      <c r="C512" s="24"/>
      <c r="D512" s="24"/>
      <c r="E512" s="24"/>
      <c r="F512" s="1513"/>
      <c r="G512" s="2049">
        <f>+GETPIVOTDATA("Sum of Dr. Final 23-24",Pivot!$A$1,"Note",26,"BS Main Head","Finance Costs","BS Sub Head","Interest Expenses")-GETPIVOTDATA("Sum of Cr. Final 23-24",Pivot!$A$1,"Note",26,"BS Main Head","Finance Costs","BS Sub Head","Interest Expenses")</f>
        <v>14399701</v>
      </c>
      <c r="H512" s="2057">
        <f>+GETPIVOTDATA("Sum of Dr. Final 22-23",Pivot!$A$1,"Note",26,"BS Main Head","Finance Costs","BS Sub Head","Interest Expenses")-GETPIVOTDATA("Sum of Cr. Final 22-23",Pivot!$A$1,"Note",26,"BS Main Head","Finance Costs","BS Sub Head","Interest Expenses")</f>
        <v>8389824</v>
      </c>
      <c r="I512" s="120"/>
      <c r="J512" s="120"/>
      <c r="K512" s="120"/>
      <c r="L512" s="120"/>
      <c r="M512" s="120"/>
      <c r="N512" s="120"/>
      <c r="O512" s="120"/>
      <c r="P512" s="120"/>
      <c r="Q512" s="120"/>
    </row>
    <row r="513" spans="2:23" ht="18">
      <c r="B513" s="1063" t="s">
        <v>921</v>
      </c>
      <c r="C513" s="24"/>
      <c r="D513" s="24"/>
      <c r="E513" s="24"/>
      <c r="F513" s="851"/>
      <c r="G513" s="2049">
        <f>+GETPIVOTDATA("Sum of Dr. Final 23-24",Pivot!$A$1,"Note",26,"BS Main Head","Finance Costs","BS Sub Head","Other Borrowing Costs")-GETPIVOTDATA("Sum of Cr. Final 23-24",Pivot!$A$1,"Note",26,"BS Main Head","Finance Costs","BS Sub Head","Other Borrowing Costs")</f>
        <v>1245244</v>
      </c>
      <c r="H513" s="2057">
        <f>+GETPIVOTDATA("Sum of Dr. Final 22-23",Pivot!$A$1,"Note",26,"BS Main Head","Finance Costs","BS Sub Head","Other Borrowing Costs")-GETPIVOTDATA("Sum of Cr. Final 22-23",Pivot!$A$1,"Note",26,"BS Main Head","Finance Costs","BS Sub Head","Other Borrowing Costs")</f>
        <v>197817</v>
      </c>
      <c r="I513" s="120"/>
      <c r="J513" s="120"/>
      <c r="K513" s="120"/>
      <c r="L513" s="120"/>
      <c r="M513" s="120"/>
      <c r="N513" s="120"/>
      <c r="O513" s="120"/>
      <c r="P513" s="120"/>
      <c r="Q513" s="120"/>
    </row>
    <row r="514" spans="2:23" ht="18">
      <c r="B514" s="1063"/>
      <c r="C514" s="24"/>
      <c r="D514" s="24"/>
      <c r="E514" s="24"/>
      <c r="F514" s="119"/>
      <c r="G514" s="2051">
        <f>+SUM(G512:G513)</f>
        <v>15644945</v>
      </c>
      <c r="H514" s="2055">
        <f>+SUM(H512:H513)</f>
        <v>8587641</v>
      </c>
      <c r="I514" s="1998"/>
      <c r="J514" s="1998"/>
      <c r="K514" s="1998"/>
      <c r="L514" s="1998"/>
      <c r="M514" s="1998"/>
      <c r="N514" s="1998"/>
      <c r="O514" s="1998"/>
      <c r="P514" s="1998"/>
      <c r="Q514" s="1998"/>
    </row>
    <row r="515" spans="2:23" ht="18" hidden="1">
      <c r="B515" s="1195" t="s">
        <v>0</v>
      </c>
      <c r="C515" s="56"/>
      <c r="D515" s="56"/>
      <c r="E515" s="56"/>
      <c r="F515" s="1504"/>
      <c r="G515" s="2123" t="s">
        <v>704</v>
      </c>
      <c r="H515" s="2124" t="s">
        <v>704</v>
      </c>
      <c r="I515" s="1996"/>
      <c r="J515" s="1996"/>
      <c r="K515" s="1996"/>
      <c r="L515" s="1996"/>
      <c r="M515" s="1996"/>
      <c r="N515" s="1996"/>
      <c r="O515" s="1996"/>
      <c r="P515" s="1996"/>
      <c r="Q515" s="1996"/>
    </row>
    <row r="516" spans="2:23" ht="18" hidden="1">
      <c r="B516" s="1052"/>
      <c r="C516" s="70"/>
      <c r="D516" s="70"/>
      <c r="E516" s="70"/>
      <c r="F516" s="83"/>
      <c r="G516" s="2125" t="str">
        <f>+G595</f>
        <v>March 31, 2024 (₹)</v>
      </c>
      <c r="H516" s="2126" t="str">
        <f>+H595</f>
        <v>March 31, 2023 (₹)</v>
      </c>
      <c r="I516" s="1996"/>
      <c r="J516" s="1996"/>
      <c r="K516" s="1996"/>
      <c r="L516" s="1996"/>
      <c r="M516" s="1996"/>
      <c r="N516" s="1996"/>
      <c r="O516" s="1996"/>
      <c r="P516" s="1996"/>
      <c r="Q516" s="1996"/>
    </row>
    <row r="517" spans="2:23" ht="18">
      <c r="B517" s="1076" t="s">
        <v>2657</v>
      </c>
      <c r="C517" s="25"/>
      <c r="D517" s="25"/>
      <c r="E517" s="25"/>
      <c r="F517" s="1504"/>
      <c r="G517" s="2127"/>
      <c r="H517" s="2128"/>
      <c r="I517" s="1996"/>
      <c r="J517" s="1996"/>
      <c r="K517" s="1996"/>
      <c r="L517" s="1996"/>
      <c r="M517" s="1996"/>
      <c r="N517" s="1996"/>
      <c r="O517" s="1996"/>
      <c r="P517" s="1996"/>
      <c r="Q517" s="1996"/>
    </row>
    <row r="518" spans="2:23" ht="18">
      <c r="B518" s="1049" t="s">
        <v>922</v>
      </c>
      <c r="C518" s="25"/>
      <c r="D518" s="25"/>
      <c r="E518" s="25"/>
      <c r="F518" s="1504"/>
      <c r="G518" s="2049"/>
      <c r="H518" s="2057"/>
      <c r="I518" s="21"/>
      <c r="J518" s="21"/>
      <c r="K518" s="21"/>
      <c r="L518" s="21"/>
      <c r="M518" s="21"/>
      <c r="N518" s="21"/>
      <c r="O518" s="21"/>
      <c r="P518" s="21"/>
      <c r="Q518" s="21"/>
    </row>
    <row r="519" spans="2:23" ht="18">
      <c r="B519" s="1060" t="s">
        <v>74</v>
      </c>
      <c r="C519" s="1513"/>
      <c r="D519" s="1513"/>
      <c r="E519" s="1513"/>
      <c r="F519" s="1504"/>
      <c r="G519" s="2049">
        <f>+GETPIVOTDATA("Sum of Dr. Final 23-24",Pivot!$A$1,"Note",27,"BS Main Head","Other - Manufacturing Expenses","BS Sub Head","Factory Expenses")-GETPIVOTDATA("Sum of Cr. Final 23-24",Pivot!$A$1,"Note",27,"BS Main Head","Other - Manufacturing Expenses","BS Sub Head","Factory Expenses")</f>
        <v>4910747.88</v>
      </c>
      <c r="H519" s="2057">
        <f>+GETPIVOTDATA("Sum of Dr. Final 22-23",Pivot!$A$1,"Note",27,"BS Main Head","Other - Manufacturing Expenses","BS Sub Head","Factory Expenses")-GETPIVOTDATA("Sum of Cr. Final 22-23",Pivot!$A$1,"Note",27,"BS Main Head","Other - Manufacturing Expenses","BS Sub Head","Factory Expenses")</f>
        <v>4847155.45</v>
      </c>
      <c r="I519" s="21"/>
      <c r="J519" s="21"/>
      <c r="K519" s="21"/>
      <c r="L519" s="21"/>
      <c r="M519" s="21"/>
      <c r="N519" s="21"/>
      <c r="O519" s="21"/>
      <c r="P519" s="21"/>
      <c r="Q519" s="21"/>
      <c r="S519" t="s">
        <v>2488</v>
      </c>
    </row>
    <row r="520" spans="2:23" ht="18">
      <c r="B520" s="1063" t="s">
        <v>170</v>
      </c>
      <c r="C520" s="24"/>
      <c r="D520" s="24"/>
      <c r="E520" s="24"/>
      <c r="F520" s="1504"/>
      <c r="G520" s="2049">
        <f>+GETPIVOTDATA("Sum of Dr. Final 23-24",Pivot!$A$1,"Note",27,"BS Main Head","Other - Manufacturing Expenses","BS Sub Head","Finished Goods Packing and Allied Charges")-GETPIVOTDATA("Sum of Cr. Final 23-24",Pivot!$A$1,"Note",27,"BS Main Head","Other - Manufacturing Expenses","BS Sub Head","Finished Goods Packing and Allied Charges")</f>
        <v>3611803</v>
      </c>
      <c r="H520" s="2057">
        <f>+GETPIVOTDATA("Sum of Dr. Final 22-23",Pivot!$A$1,"Note",27,"BS Main Head","Other - Manufacturing Expenses","BS Sub Head","Finished Goods Packing and Allied Charges")-GETPIVOTDATA("Sum of Cr. Final 22-23",Pivot!$A$1,"Note",27,"BS Main Head","Other - Manufacturing Expenses","BS Sub Head","Finished Goods Packing and Allied Charges")</f>
        <v>2829820</v>
      </c>
      <c r="I520" s="21"/>
      <c r="J520" s="21"/>
      <c r="K520" s="21"/>
      <c r="L520" s="21"/>
      <c r="M520" s="21"/>
      <c r="N520" s="21"/>
      <c r="O520" s="21"/>
      <c r="P520" s="21"/>
      <c r="Q520" s="21"/>
      <c r="S520" t="s">
        <v>463</v>
      </c>
      <c r="T520" s="1" t="s">
        <v>1119</v>
      </c>
      <c r="U520" s="1" t="s">
        <v>1120</v>
      </c>
      <c r="V520" s="1" t="s">
        <v>1121</v>
      </c>
      <c r="W520" s="1" t="s">
        <v>1122</v>
      </c>
    </row>
    <row r="521" spans="2:23" ht="18">
      <c r="B521" s="1063" t="s">
        <v>923</v>
      </c>
      <c r="C521" s="84"/>
      <c r="D521" s="84"/>
      <c r="E521" s="84"/>
      <c r="F521" s="1504"/>
      <c r="G521" s="2049">
        <f>+W521</f>
        <v>5173477.92</v>
      </c>
      <c r="H521" s="2057">
        <f>+W508</f>
        <v>10990341.880000001</v>
      </c>
      <c r="I521" s="21"/>
      <c r="J521" s="21"/>
      <c r="K521" s="21"/>
      <c r="L521" s="21"/>
      <c r="M521" s="21"/>
      <c r="N521" s="21"/>
      <c r="O521" s="21"/>
      <c r="P521" s="21"/>
      <c r="Q521" s="21"/>
      <c r="S521" t="s">
        <v>1118</v>
      </c>
      <c r="T521" s="1">
        <v>548138</v>
      </c>
      <c r="U521" s="1">
        <f>+GETPIVOTDATA("Sum of Dr. Final 23-24",Pivot!$A$1,"Note",27,"BS Main Head","Other - Manufacturing Expenses","BS Sub Head","Packing Material Purchase")-GETPIVOTDATA("Sum of Cr. Final 23-24",Pivot!$A$1,"Note",27,"BS Main Head","Other - Manufacturing Expenses","BS Sub Head","Packing Material Purchase")</f>
        <v>5536948.9199999999</v>
      </c>
      <c r="V521" s="1752">
        <f>+'CLOSING STOCK 31-03-24'!P22</f>
        <v>911609</v>
      </c>
      <c r="W521" s="1">
        <f>+T521+U521-V521</f>
        <v>5173477.92</v>
      </c>
    </row>
    <row r="522" spans="2:23" ht="18">
      <c r="B522" s="1063" t="s">
        <v>924</v>
      </c>
      <c r="C522" s="24"/>
      <c r="D522" s="24"/>
      <c r="E522" s="24"/>
      <c r="F522" s="21"/>
      <c r="G522" s="2159">
        <f>+W522</f>
        <v>126354165.61</v>
      </c>
      <c r="H522" s="2160">
        <f>+W509</f>
        <v>184386383.23999998</v>
      </c>
      <c r="I522" s="21"/>
      <c r="J522" s="21"/>
      <c r="K522" s="21"/>
      <c r="L522" s="21"/>
      <c r="M522" s="21"/>
      <c r="N522" s="21"/>
      <c r="O522" s="21"/>
      <c r="P522" s="21"/>
      <c r="Q522" s="21"/>
      <c r="S522" t="s">
        <v>1123</v>
      </c>
      <c r="T522" s="1">
        <v>2142890</v>
      </c>
      <c r="U522" s="1">
        <f>+GETPIVOTDATA("Sum of Dr. Final 23-24",Pivot!$A$1,"Note",27,"BS Main Head","Other - Manufacturing Expenses","BS Sub Head","Power and Fuel")-GETPIVOTDATA("Sum of Cr. Final 23-24",Pivot!$A$1,"Note",27,"BS Main Head","Other - Manufacturing Expenses","BS Sub Head","Power and Fuel")</f>
        <v>125595383.61</v>
      </c>
      <c r="V522" s="1752">
        <f>+'CLOSING STOCK 31-03-24'!P26</f>
        <v>1384108</v>
      </c>
      <c r="W522" s="1">
        <f>+T522+U522-V522</f>
        <v>126354165.61</v>
      </c>
    </row>
    <row r="523" spans="2:23" ht="18">
      <c r="B523" s="1063" t="s">
        <v>303</v>
      </c>
      <c r="C523" s="24"/>
      <c r="D523" s="24"/>
      <c r="E523" s="24"/>
      <c r="F523" s="1504"/>
      <c r="G523" s="2049">
        <f>+GETPIVOTDATA("Sum of Dr. Final 23-24",Pivot!$A$1,"Note",27,"BS Main Head","Other - Manufacturing Expenses","BS Sub Head","Raw Material Sorting Charges")-GETPIVOTDATA("Sum of Cr. Final 23-24",Pivot!$A$1,"Note",27,"BS Main Head","Other - Manufacturing Expenses","BS Sub Head","Raw Material Sorting Charges")</f>
        <v>3685087.84</v>
      </c>
      <c r="H523" s="2057">
        <f>+GETPIVOTDATA("Sum of Dr. Final 22-23",Pivot!$A$1,"Note",27,"BS Main Head","Other - Manufacturing Expenses","BS Sub Head","Raw Material Sorting Charges")-GETPIVOTDATA("Sum of Cr. Final 22-23",Pivot!$A$1,"Note",27,"BS Main Head","Other - Manufacturing Expenses","BS Sub Head","Raw Material Sorting Charges")</f>
        <v>3368785</v>
      </c>
      <c r="I523" s="21"/>
      <c r="J523" s="21"/>
      <c r="K523" s="21"/>
      <c r="L523" s="21"/>
      <c r="M523" s="21"/>
      <c r="N523" s="21"/>
      <c r="O523" s="21"/>
      <c r="P523" s="21"/>
      <c r="Q523" s="21"/>
      <c r="S523" t="s">
        <v>1124</v>
      </c>
      <c r="T523" s="1">
        <v>8955693</v>
      </c>
      <c r="U523" s="1">
        <f>+GETPIVOTDATA("Sum of Dr. Final 23-24",Pivot!$A$1,"Note",27,"BS Main Head","Other - Manufacturing Expenses","BS Sub Head","Stores &amp; Spares Consumed")-GETPIVOTDATA("Sum of Cr. Final 23-24",Pivot!$A$1,"Note",27,"BS Main Head","Other - Manufacturing Expenses","BS Sub Head","Stores &amp; Spares Consumed")</f>
        <v>11174515.4</v>
      </c>
      <c r="V523" s="1752">
        <f>+'CLOSING STOCK 31-03-24'!P34</f>
        <v>8590899</v>
      </c>
      <c r="W523" s="1">
        <f>+T523+U523-V523</f>
        <v>11539309.399999999</v>
      </c>
    </row>
    <row r="524" spans="2:23" ht="18">
      <c r="B524" s="1141" t="s">
        <v>925</v>
      </c>
      <c r="C524" s="24"/>
      <c r="D524" s="24"/>
      <c r="E524" s="24"/>
      <c r="F524" s="1504"/>
      <c r="G524" s="2049"/>
      <c r="H524" s="2057"/>
      <c r="I524" s="21"/>
      <c r="J524" s="21"/>
      <c r="K524" s="21"/>
      <c r="L524" s="21"/>
      <c r="M524" s="21"/>
      <c r="N524" s="21"/>
      <c r="O524" s="21"/>
      <c r="P524" s="21"/>
      <c r="Q524" s="21"/>
    </row>
    <row r="525" spans="2:23" ht="18">
      <c r="B525" s="1063" t="s">
        <v>926</v>
      </c>
      <c r="C525" s="24"/>
      <c r="D525" s="24"/>
      <c r="E525" s="24"/>
      <c r="F525" s="1504"/>
      <c r="G525" s="2049">
        <f>+GETPIVOTDATA("Sum of Dr. Final 23-24",Pivot!$A$1,"Note",27,"BS Main Head","Other - Manufacturing Expenses","BS Sub Head","Repairs &amp; Maintainence - Machinery")-GETPIVOTDATA("Sum of Cr. Final 23-24",Pivot!$A$1,"Note",27,"BS Main Head","Other - Manufacturing Expenses","BS Sub Head","Repairs &amp; Maintainence - Machinery")</f>
        <v>6603046.9199999999</v>
      </c>
      <c r="H525" s="2057">
        <f>+GETPIVOTDATA("Sum of Dr. Final 22-23",Pivot!$A$1,"Note",27,"BS Main Head","Other - Manufacturing Expenses","BS Sub Head","Repairs &amp; Maintainence - Machinery")-GETPIVOTDATA("Sum of Cr. Final 22-23",Pivot!$A$1,"Note",27,"BS Main Head","Other - Manufacturing Expenses","BS Sub Head","Repairs &amp; Maintainence - Machinery")</f>
        <v>6859174.04</v>
      </c>
      <c r="I525" s="21"/>
      <c r="J525" s="21"/>
      <c r="K525" s="21"/>
      <c r="L525" s="21"/>
      <c r="M525" s="21"/>
      <c r="N525" s="21"/>
      <c r="O525" s="21"/>
      <c r="P525" s="21"/>
      <c r="Q525" s="21"/>
    </row>
    <row r="526" spans="2:23" ht="18">
      <c r="B526" s="1063" t="s">
        <v>927</v>
      </c>
      <c r="C526" s="24"/>
      <c r="D526" s="24"/>
      <c r="E526" s="24"/>
      <c r="F526" s="1513"/>
      <c r="G526" s="2049">
        <f>+GETPIVOTDATA("Sum of Dr. Final 23-24",Pivot!$A$1,"Note",27,"BS Main Head","Other - Manufacturing Expenses","BS Sub Head","Repairs &amp; Maintainence - Building")-GETPIVOTDATA("Sum of Cr. Final 23-24",Pivot!$A$1,"Note",27,"BS Main Head","Other - Manufacturing Expenses","BS Sub Head","Repairs &amp; Maintainence - Building")</f>
        <v>263090.43</v>
      </c>
      <c r="H526" s="2057">
        <f>+GETPIVOTDATA("Sum of Dr. Final 22-23",Pivot!$A$1,"Note",27,"BS Main Head","Other - Manufacturing Expenses","BS Sub Head","Repairs &amp; Maintainence - Building")-GETPIVOTDATA("Sum of Cr. Final 22-23",Pivot!$A$1,"Note",27,"BS Main Head","Other - Manufacturing Expenses","BS Sub Head","Repairs &amp; Maintainence - Building")</f>
        <v>93430.13</v>
      </c>
      <c r="I526" s="120"/>
      <c r="J526" s="120"/>
      <c r="K526" s="120"/>
      <c r="L526" s="120"/>
      <c r="M526" s="120"/>
      <c r="N526" s="120"/>
      <c r="O526" s="120"/>
      <c r="P526" s="120"/>
      <c r="Q526" s="120"/>
    </row>
    <row r="527" spans="2:23" ht="18">
      <c r="B527" s="1063" t="s">
        <v>328</v>
      </c>
      <c r="C527" s="24"/>
      <c r="D527" s="24"/>
      <c r="E527" s="24"/>
      <c r="F527" s="1504"/>
      <c r="G527" s="2049">
        <f>+GETPIVOTDATA("Sum of Dr. Final 23-24",Pivot!$A$1,"Note",27,"BS Main Head","Other - Manufacturing Expenses","BS Sub Head","Security Service Charges")-GETPIVOTDATA("Sum of Cr. Final 23-24",Pivot!$A$1,"Note",27,"BS Main Head","Other - Manufacturing Expenses","BS Sub Head","Security Service Charges")</f>
        <v>827794</v>
      </c>
      <c r="H527" s="2057">
        <f>+GETPIVOTDATA("Sum of Dr. Final 22-23",Pivot!$A$1,"Note",27,"BS Main Head","Other - Manufacturing Expenses","BS Sub Head","Security Service Charges")-GETPIVOTDATA("Sum of Cr. Final 22-23",Pivot!$A$1,"Note",27,"BS Main Head","Other - Manufacturing Expenses","BS Sub Head","Security Service Charges")</f>
        <v>905691</v>
      </c>
      <c r="I527" s="21"/>
      <c r="J527" s="21"/>
      <c r="K527" s="21"/>
      <c r="L527" s="21"/>
      <c r="M527" s="21"/>
      <c r="N527" s="21"/>
      <c r="O527" s="21"/>
      <c r="P527" s="21"/>
      <c r="Q527" s="21"/>
    </row>
    <row r="528" spans="2:23" ht="18">
      <c r="B528" s="1063" t="s">
        <v>297</v>
      </c>
      <c r="C528" s="24"/>
      <c r="D528" s="24"/>
      <c r="E528" s="24"/>
      <c r="F528" s="1504"/>
      <c r="G528" s="2049">
        <f>+W523</f>
        <v>11539309.399999999</v>
      </c>
      <c r="H528" s="2057">
        <f>+W510</f>
        <v>13069555.939999998</v>
      </c>
      <c r="I528" s="21"/>
      <c r="J528" s="21"/>
      <c r="K528" s="21"/>
      <c r="L528" s="21"/>
      <c r="M528" s="21"/>
      <c r="N528" s="21"/>
      <c r="O528" s="21"/>
      <c r="P528" s="21"/>
      <c r="Q528" s="21"/>
    </row>
    <row r="529" spans="2:17" ht="18">
      <c r="B529" s="1063" t="s">
        <v>3018</v>
      </c>
      <c r="C529" s="24"/>
      <c r="D529" s="24"/>
      <c r="E529" s="24"/>
      <c r="F529" s="1504"/>
      <c r="G529" s="2049">
        <f>+GETPIVOTDATA("Sum of Dr. Final 23-24",Pivot!$A$1,"Note",27,"BS Main Head","Other - Manufacturing Expenses","BS Sub Head","Waste Disposal Expenses")-GETPIVOTDATA("Sum of Cr. Final 23-24",Pivot!$A$1,"Note",27,"BS Main Head","Other - Manufacturing Expenses","BS Sub Head","Waste Disposal Expenses")</f>
        <v>319489</v>
      </c>
      <c r="H529" s="2057">
        <v>0</v>
      </c>
      <c r="I529" s="21"/>
      <c r="J529" s="21"/>
      <c r="K529" s="21"/>
      <c r="L529" s="21"/>
      <c r="M529" s="21"/>
      <c r="N529" s="21"/>
      <c r="O529" s="21"/>
      <c r="P529" s="21"/>
      <c r="Q529" s="21"/>
    </row>
    <row r="530" spans="2:17" ht="18">
      <c r="B530" s="1060" t="s">
        <v>928</v>
      </c>
      <c r="C530" s="24"/>
      <c r="D530" s="24"/>
      <c r="E530" s="24"/>
      <c r="F530" s="1504"/>
      <c r="G530" s="2049">
        <f>+GETPIVOTDATA("Sum of Dr. Final 23-24",Pivot!$A$1,"Note",27,"BS Main Head","Other - Manufacturing Expenses","BS Sub Head","Waste Paper Feeding Charges")-GETPIVOTDATA("Sum of Cr. Final 23-24",Pivot!$A$1,"Note",27,"BS Main Head","Other - Manufacturing Expenses","BS Sub Head","Waste Paper Feeding Charges")</f>
        <v>4714336.38</v>
      </c>
      <c r="H530" s="2057">
        <f>+GETPIVOTDATA("Sum of Dr. Final 22-23",Pivot!$A$1,"Note",27,"BS Main Head","Other - Manufacturing Expenses","BS Sub Head","Waste Paper Feeding Charges")-GETPIVOTDATA("Sum of Cr. Final 22-23",Pivot!$A$1,"Note",27,"BS Main Head","Other - Manufacturing Expenses","BS Sub Head","Waste Paper Feeding Charges")</f>
        <v>4829408</v>
      </c>
      <c r="I530" s="21"/>
      <c r="J530" s="21"/>
      <c r="K530" s="21"/>
      <c r="L530" s="21"/>
      <c r="M530" s="21"/>
      <c r="N530" s="21"/>
      <c r="O530" s="21"/>
      <c r="P530" s="21"/>
      <c r="Q530" s="21"/>
    </row>
    <row r="531" spans="2:17" ht="18">
      <c r="B531" s="1036"/>
      <c r="C531" s="44"/>
      <c r="D531" s="44"/>
      <c r="E531" s="44"/>
      <c r="F531" s="1460" t="s">
        <v>929</v>
      </c>
      <c r="G531" s="2162">
        <f>+SUM(G519:G530)</f>
        <v>168002348.38</v>
      </c>
      <c r="H531" s="2163">
        <f>+SUM(H519:H530)</f>
        <v>232179744.67999998</v>
      </c>
      <c r="I531" s="1998"/>
      <c r="J531" s="1998"/>
      <c r="K531" s="1998"/>
      <c r="L531" s="1998"/>
      <c r="M531" s="1998"/>
      <c r="N531" s="1998"/>
      <c r="O531" s="1998"/>
      <c r="P531" s="1998"/>
      <c r="Q531" s="1998"/>
    </row>
    <row r="532" spans="2:17" ht="18.600000000000001" thickBot="1">
      <c r="B532" s="999"/>
      <c r="C532" s="1000"/>
      <c r="D532" s="1000"/>
      <c r="E532" s="1000"/>
      <c r="F532" s="1278"/>
      <c r="G532" s="1459"/>
      <c r="H532" s="1487"/>
      <c r="I532" s="1998"/>
      <c r="J532" s="1998"/>
      <c r="K532" s="1998"/>
      <c r="L532" s="1998"/>
      <c r="M532" s="1998"/>
      <c r="N532" s="1998"/>
      <c r="O532" s="1998"/>
      <c r="P532" s="1998"/>
      <c r="Q532" s="1998"/>
    </row>
    <row r="533" spans="2:17" ht="18">
      <c r="B533" s="2313" t="s">
        <v>702</v>
      </c>
      <c r="C533" s="2314"/>
      <c r="D533" s="2314"/>
      <c r="E533" s="2314"/>
      <c r="F533" s="2314"/>
      <c r="G533" s="2314"/>
      <c r="H533" s="2315"/>
      <c r="I533" s="1553"/>
      <c r="J533" s="1553"/>
      <c r="K533" s="1553"/>
      <c r="L533" s="1553"/>
      <c r="M533" s="1553"/>
      <c r="N533" s="1553"/>
      <c r="O533" s="1553"/>
      <c r="P533" s="1553"/>
      <c r="Q533" s="1553"/>
    </row>
    <row r="534" spans="2:17" ht="18">
      <c r="B534" s="2316" t="s">
        <v>3056</v>
      </c>
      <c r="C534" s="2317"/>
      <c r="D534" s="2317"/>
      <c r="E534" s="2317"/>
      <c r="F534" s="2317"/>
      <c r="G534" s="2317"/>
      <c r="H534" s="2318"/>
      <c r="I534" s="1553"/>
      <c r="J534" s="1553"/>
      <c r="K534" s="1553"/>
      <c r="L534" s="1553"/>
      <c r="M534" s="1553"/>
      <c r="N534" s="1553"/>
      <c r="O534" s="1553"/>
      <c r="P534" s="1553"/>
      <c r="Q534" s="1553"/>
    </row>
    <row r="535" spans="2:17" ht="18">
      <c r="B535" s="1264"/>
      <c r="C535" s="1553"/>
      <c r="D535" s="1553"/>
      <c r="E535" s="1553"/>
      <c r="F535" s="1553"/>
      <c r="G535" s="1553"/>
      <c r="H535" s="1265"/>
      <c r="I535" s="1553"/>
      <c r="J535" s="1553"/>
      <c r="K535" s="1553"/>
      <c r="L535" s="1553"/>
      <c r="M535" s="1553"/>
      <c r="N535" s="1553"/>
      <c r="O535" s="1553"/>
      <c r="P535" s="1553"/>
      <c r="Q535" s="1553"/>
    </row>
    <row r="536" spans="2:17" ht="18">
      <c r="B536" s="1053" t="s">
        <v>0</v>
      </c>
      <c r="C536" s="1054"/>
      <c r="D536" s="1054"/>
      <c r="E536" s="1054"/>
      <c r="F536" s="1055"/>
      <c r="G536" s="1004" t="s">
        <v>704</v>
      </c>
      <c r="H536" s="1005" t="s">
        <v>704</v>
      </c>
      <c r="I536" s="1996"/>
      <c r="J536" s="1996"/>
      <c r="K536" s="1996"/>
      <c r="L536" s="1996"/>
      <c r="M536" s="1996"/>
      <c r="N536" s="1996"/>
      <c r="O536" s="1996"/>
      <c r="P536" s="1996"/>
      <c r="Q536" s="1996"/>
    </row>
    <row r="537" spans="2:17" ht="18">
      <c r="B537" s="1036"/>
      <c r="C537" s="44"/>
      <c r="D537" s="44"/>
      <c r="E537" s="44"/>
      <c r="F537" s="28"/>
      <c r="G537" s="30" t="str">
        <f>+G7</f>
        <v>March 31, 2024 (₹)</v>
      </c>
      <c r="H537" s="1038" t="str">
        <f>+H7</f>
        <v>March 31, 2023 (₹)</v>
      </c>
      <c r="I537" s="1996"/>
      <c r="J537" s="1996"/>
      <c r="K537" s="1996"/>
      <c r="L537" s="1996"/>
      <c r="M537" s="1996"/>
      <c r="N537" s="1996"/>
      <c r="O537" s="1996"/>
      <c r="P537" s="1996"/>
      <c r="Q537" s="1996"/>
    </row>
    <row r="538" spans="2:17" ht="18">
      <c r="B538" s="1077" t="s">
        <v>930</v>
      </c>
      <c r="C538" s="25"/>
      <c r="D538" s="25"/>
      <c r="E538" s="25"/>
      <c r="F538" s="1513"/>
      <c r="G538" s="47"/>
      <c r="H538" s="1058"/>
      <c r="I538" s="120"/>
      <c r="J538" s="120"/>
      <c r="K538" s="120"/>
      <c r="L538" s="120"/>
      <c r="M538" s="120"/>
      <c r="N538" s="120"/>
      <c r="O538" s="120"/>
      <c r="P538" s="120"/>
      <c r="Q538" s="120"/>
    </row>
    <row r="539" spans="2:17" ht="18">
      <c r="B539" s="1141" t="s">
        <v>931</v>
      </c>
      <c r="C539" s="1513"/>
      <c r="D539" s="1513"/>
      <c r="E539" s="1513"/>
      <c r="F539" s="1513"/>
      <c r="G539" s="47"/>
      <c r="H539" s="1058"/>
      <c r="I539" s="120"/>
      <c r="J539" s="120"/>
      <c r="K539" s="120"/>
      <c r="L539" s="120"/>
      <c r="M539" s="120"/>
      <c r="N539" s="120"/>
      <c r="O539" s="120"/>
      <c r="P539" s="120"/>
      <c r="Q539" s="120"/>
    </row>
    <row r="540" spans="2:17" ht="18">
      <c r="B540" s="1063" t="s">
        <v>344</v>
      </c>
      <c r="C540" s="1513"/>
      <c r="D540" s="1513"/>
      <c r="E540" s="1513"/>
      <c r="F540" s="1513"/>
      <c r="G540" s="2049">
        <f>+GETPIVOTDATA("Sum of Dr. Final 23-24",Pivot!$A$1,"Note",27,"BS Main Head","Other - Establishment Expenses","BS Sub Head","Statutory Audit Fees")-GETPIVOTDATA("Sum of Cr. Final 23-24",Pivot!$A$1,"Note",27,"BS Main Head","Other - Establishment Expenses","BS Sub Head","Statutory Audit Fees")</f>
        <v>275000</v>
      </c>
      <c r="H540" s="2057">
        <f>+GETPIVOTDATA("Sum of Dr. Final 22-23",Pivot!$A$1,"Note",27,"BS Main Head","Other - Establishment Expenses","BS Sub Head","Statutory Audit Fees")-GETPIVOTDATA("Sum of Cr. Final 22-23",Pivot!$A$1,"Note",27,"BS Main Head","Other - Establishment Expenses","BS Sub Head","Statutory Audit Fees")</f>
        <v>275000</v>
      </c>
      <c r="I540" s="120"/>
      <c r="J540" s="120"/>
      <c r="K540" s="120"/>
      <c r="L540" s="120"/>
      <c r="M540" s="120"/>
      <c r="N540" s="120"/>
      <c r="O540" s="120"/>
      <c r="P540" s="120"/>
      <c r="Q540" s="120"/>
    </row>
    <row r="541" spans="2:17" ht="18">
      <c r="B541" s="1063" t="s">
        <v>216</v>
      </c>
      <c r="C541" s="1513"/>
      <c r="D541" s="1513"/>
      <c r="E541" s="1513"/>
      <c r="F541" s="1513"/>
      <c r="G541" s="2049">
        <f>+GETPIVOTDATA("Sum of Dr. Final 23-24",Pivot!$A$1,"Note",27,"BS Main Head","Other - Establishment Expenses","BS Sub Head","Internal Audit Fees")-GETPIVOTDATA("Sum of Cr. Final 23-24",Pivot!$A$1,"Note",27,"BS Main Head","Other - Establishment Expenses","BS Sub Head","Internal Audit Fees")</f>
        <v>200000</v>
      </c>
      <c r="H541" s="2057">
        <f>+GETPIVOTDATA("Sum of Dr. Final 22-23",Pivot!$A$1,"Note",27,"BS Main Head","Other - Establishment Expenses","BS Sub Head","Internal Audit Fees")-GETPIVOTDATA("Sum of Cr. Final 22-23",Pivot!$A$1,"Note",27,"BS Main Head","Other - Establishment Expenses","BS Sub Head","Internal Audit Fees")</f>
        <v>200000</v>
      </c>
      <c r="I541" s="120"/>
      <c r="J541" s="120"/>
      <c r="K541" s="120"/>
      <c r="L541" s="120"/>
      <c r="M541" s="120"/>
      <c r="N541" s="120"/>
      <c r="O541" s="120"/>
      <c r="P541" s="120"/>
      <c r="Q541" s="120"/>
    </row>
    <row r="542" spans="2:17" ht="18">
      <c r="B542" s="1063" t="s">
        <v>57</v>
      </c>
      <c r="C542" s="1513"/>
      <c r="D542" s="1513"/>
      <c r="E542" s="1513"/>
      <c r="F542" s="1513"/>
      <c r="G542" s="2049">
        <f>+GETPIVOTDATA("Sum of Dr. Final 23-24",Pivot!$A$1,"Note",27,"BS Main Head","Other - Establishment Expenses","BS Sub Head","Audit Expenses")-GETPIVOTDATA("Sum of Cr. Final 23-24",Pivot!$A$1,"Note",27,"BS Main Head","Other - Establishment Expenses","BS Sub Head","Audit Expenses")</f>
        <v>7403</v>
      </c>
      <c r="H542" s="2057">
        <f>+GETPIVOTDATA("Sum of Dr. Final 22-23",Pivot!$A$1,"Note",27,"BS Main Head","Other - Establishment Expenses","BS Sub Head","Audit Expenses")-GETPIVOTDATA("Sum of Cr. Final 22-23",Pivot!$A$1,"Note",27,"BS Main Head","Other - Establishment Expenses","BS Sub Head","Audit Expenses")</f>
        <v>0</v>
      </c>
      <c r="I542" s="120"/>
      <c r="J542" s="120"/>
      <c r="K542" s="120"/>
      <c r="L542" s="120"/>
      <c r="M542" s="120"/>
      <c r="N542" s="120"/>
      <c r="O542" s="120"/>
      <c r="P542" s="120"/>
      <c r="Q542" s="120"/>
    </row>
    <row r="543" spans="2:17" ht="18">
      <c r="B543" s="1101" t="s">
        <v>62</v>
      </c>
      <c r="C543" s="85"/>
      <c r="D543" s="85"/>
      <c r="E543" s="85"/>
      <c r="F543" s="1513"/>
      <c r="G543" s="2049">
        <f>+GETPIVOTDATA("Sum of Dr. Final 23-24",Pivot!$A$1,"Note",27,"BS Main Head","Other - Establishment Expenses","BS Sub Head","Bank Commission &amp; Charges")-GETPIVOTDATA("Sum of Cr. Final 23-24",Pivot!$A$1,"Note",27,"BS Main Head","Other - Establishment Expenses","BS Sub Head","Bank Commission &amp; Charges")</f>
        <v>182542.48</v>
      </c>
      <c r="H543" s="2057">
        <f>+GETPIVOTDATA("Sum of Dr. Final 22-23",Pivot!$A$1,"Note",27,"BS Main Head","Other - Establishment Expenses","BS Sub Head","Bank Commission &amp; Charges")-GETPIVOTDATA("Sum of Cr. Final 22-23",Pivot!$A$1,"Note",27,"BS Main Head","Other - Establishment Expenses","BS Sub Head","Bank Commission &amp; Charges")</f>
        <v>412603.48</v>
      </c>
      <c r="I543" s="120"/>
      <c r="J543" s="120"/>
      <c r="K543" s="120"/>
      <c r="L543" s="120"/>
      <c r="M543" s="120"/>
      <c r="N543" s="120"/>
      <c r="O543" s="120"/>
      <c r="P543" s="120"/>
      <c r="Q543" s="120"/>
    </row>
    <row r="544" spans="2:17" ht="18">
      <c r="B544" s="1063" t="s">
        <v>932</v>
      </c>
      <c r="C544" s="24"/>
      <c r="D544" s="24"/>
      <c r="E544" s="24"/>
      <c r="F544" s="24"/>
      <c r="G544" s="1848">
        <f>+GETPIVOTDATA("Sum of Dr. Final 23-24",Pivot!$A$1,"Note",27,"BS Main Head","Other - Establishment Expenses","BS Sub Head","Bad Debts")-GETPIVOTDATA("Sum of Cr. Final 23-24",Pivot!$A$1,"Note",27,"BS Main Head","Other - Establishment Expenses","BS Sub Head","Bad Debts")</f>
        <v>0</v>
      </c>
      <c r="H544" s="1047">
        <f>+GETPIVOTDATA("Sum of Dr. Final 22-23",Pivot!$A$1,"Note",27,"BS Main Head","Other - Establishment Expenses","BS Sub Head","Bad Debts")-GETPIVOTDATA("Sum of Cr. Final 22-23",Pivot!$A$1,"Note",27,"BS Main Head","Other - Establishment Expenses","BS Sub Head","Bad Debts")</f>
        <v>0</v>
      </c>
      <c r="I544" s="21"/>
      <c r="J544" s="21"/>
      <c r="K544" s="21"/>
      <c r="L544" s="21"/>
      <c r="M544" s="21"/>
      <c r="N544" s="21"/>
      <c r="O544" s="21"/>
      <c r="P544" s="21"/>
      <c r="Q544" s="21"/>
    </row>
    <row r="545" spans="2:17" ht="18">
      <c r="B545" s="1063" t="s">
        <v>933</v>
      </c>
      <c r="C545" s="24"/>
      <c r="D545" s="24"/>
      <c r="E545" s="24"/>
      <c r="F545" s="24"/>
      <c r="G545" s="1848">
        <f>+GETPIVOTDATA("Sum of Dr. Final 23-24",Pivot!$A$1,"Note",27,"BS Main Head","Other - Establishment Expenses","BS Sub Head","CSR Expenses")-GETPIVOTDATA("Sum of Cr. Final 23-24",Pivot!$A$1,"Note",27,"BS Main Head","Other - Establishment Expenses","BS Sub Head","CSR Expenses")</f>
        <v>0</v>
      </c>
      <c r="H545" s="1047">
        <f>+GETPIVOTDATA("Sum of Dr. Final 22-23",Pivot!$A$1,"Note",27,"BS Main Head","Other - Establishment Expenses","BS Sub Head","CSR Expenses")-GETPIVOTDATA("Sum of Cr. Final 22-23",Pivot!$A$1,"Note",27,"BS Main Head","Other - Establishment Expenses","BS Sub Head","CSR Expenses")</f>
        <v>0</v>
      </c>
      <c r="I545" s="21"/>
      <c r="J545" s="21"/>
      <c r="K545" s="21"/>
      <c r="L545" s="21"/>
      <c r="M545" s="21"/>
      <c r="N545" s="21"/>
      <c r="O545" s="21"/>
      <c r="P545" s="21"/>
      <c r="Q545" s="21"/>
    </row>
    <row r="546" spans="2:17" ht="18">
      <c r="B546" s="1063" t="s">
        <v>148</v>
      </c>
      <c r="C546" s="24"/>
      <c r="D546" s="24"/>
      <c r="E546" s="24"/>
      <c r="F546" s="1513"/>
      <c r="G546" s="2049">
        <f>+GETPIVOTDATA("Sum of Dr. Final 23-24",Pivot!$A$1,"Note",27,"BS Main Head","Other - Establishment Expenses","BS Sub Head","Donation")-GETPIVOTDATA("Sum of Cr. Final 23-24",Pivot!$A$1,"Note",27,"BS Main Head","Other - Establishment Expenses","BS Sub Head","Donation")</f>
        <v>2500</v>
      </c>
      <c r="H546" s="2057">
        <f>+GETPIVOTDATA("Sum of Dr. Final 22-23",Pivot!$A$1,"Note",27,"BS Main Head","Other - Establishment Expenses","BS Sub Head","Donation")-GETPIVOTDATA("Sum of Cr. Final 22-23",Pivot!$A$1,"Note",27,"BS Main Head","Other - Establishment Expenses","BS Sub Head","Donation")</f>
        <v>37500</v>
      </c>
      <c r="I546" s="120"/>
      <c r="J546" s="120"/>
      <c r="K546" s="120"/>
      <c r="L546" s="120"/>
      <c r="M546" s="120"/>
      <c r="N546" s="120"/>
      <c r="O546" s="120"/>
      <c r="P546" s="120"/>
      <c r="Q546" s="120"/>
    </row>
    <row r="547" spans="2:17" ht="18">
      <c r="B547" s="1063" t="s">
        <v>197</v>
      </c>
      <c r="C547" s="24"/>
      <c r="D547" s="24"/>
      <c r="E547" s="24"/>
      <c r="F547" s="1513"/>
      <c r="G547" s="2049">
        <f>+GETPIVOTDATA("Sum of Dr. Final 23-24",Pivot!$A$1,"Note",27,"BS Main Head","Other - Establishment Expenses","BS Sub Head","Insurance Charges")-GETPIVOTDATA("Sum of Cr. Final 23-24",Pivot!$A$1,"Note",27,"BS Main Head","Other - Establishment Expenses","BS Sub Head","Insurance Charges")</f>
        <v>1196371</v>
      </c>
      <c r="H547" s="2057">
        <f>+GETPIVOTDATA("Sum of Dr. Final 22-23",Pivot!$A$1,"Note",27,"BS Main Head","Other - Establishment Expenses","BS Sub Head","Insurance Charges")-GETPIVOTDATA("Sum of Cr. Final 22-23",Pivot!$A$1,"Note",27,"BS Main Head","Other - Establishment Expenses","BS Sub Head","Insurance Charges")</f>
        <v>1422847</v>
      </c>
      <c r="I547" s="120"/>
      <c r="J547" s="120"/>
      <c r="K547" s="120"/>
      <c r="L547" s="120"/>
      <c r="M547" s="120"/>
      <c r="N547" s="120"/>
      <c r="O547" s="120"/>
      <c r="P547" s="120"/>
      <c r="Q547" s="120"/>
    </row>
    <row r="548" spans="2:17" ht="18">
      <c r="B548" s="1063" t="s">
        <v>49</v>
      </c>
      <c r="C548" s="24"/>
      <c r="D548" s="24"/>
      <c r="E548" s="24"/>
      <c r="F548" s="1513"/>
      <c r="G548" s="2049">
        <f>+GETPIVOTDATA("Sum of Dr. Final 23-24",Pivot!$A$1,"Note",27,"BS Main Head","Other - Establishment Expenses","BS Sub Head","General Expenses")-GETPIVOTDATA("Sum of Cr. Final 23-24",Pivot!$A$1,"Note",27,"BS Main Head","Other - Establishment Expenses","BS Sub Head","General Expenses")</f>
        <v>1088707.29</v>
      </c>
      <c r="H548" s="2057">
        <f>+GETPIVOTDATA("Sum of Dr. Final 22-23",Pivot!$A$1,"Note",27,"BS Main Head","Other - Establishment Expenses","BS Sub Head","General Expenses")-GETPIVOTDATA("Sum of Cr. Final 22-23",Pivot!$A$1,"Note",27,"BS Main Head","Other - Establishment Expenses","BS Sub Head","General Expenses")</f>
        <v>959429.4</v>
      </c>
      <c r="I548" s="120"/>
      <c r="J548" s="120"/>
      <c r="K548" s="120"/>
      <c r="L548" s="120"/>
      <c r="M548" s="120"/>
      <c r="N548" s="120"/>
      <c r="O548" s="120"/>
      <c r="P548" s="120"/>
      <c r="Q548" s="120"/>
    </row>
    <row r="549" spans="2:17" ht="18">
      <c r="B549" s="1063" t="s">
        <v>2255</v>
      </c>
      <c r="C549" s="1513"/>
      <c r="D549" s="1513"/>
      <c r="E549" s="1513"/>
      <c r="F549" s="1513"/>
      <c r="G549" s="1848">
        <v>0</v>
      </c>
      <c r="H549" s="2057">
        <f>+GETPIVOTDATA("Sum of Dr. Final 22-23",Pivot!$A$1,"PARTICULARS","GST ANNUAL RETURN CHARGES","Note",27,"BS Main Head","Other - Establishment Expenses","BS Sub Head","Legal and Professional Charges")-GETPIVOTDATA("Sum of Cr. Final 22-23",Pivot!$A$1,"PARTICULARS","GST ANNUAL RETURN CHARGES","Note",27,"BS Main Head","Other - Establishment Expenses","BS Sub Head","Legal and Professional Charges")</f>
        <v>30000</v>
      </c>
      <c r="I549" s="120"/>
      <c r="J549" s="120"/>
      <c r="K549" s="120"/>
      <c r="L549" s="120"/>
      <c r="M549" s="120"/>
      <c r="N549" s="120"/>
      <c r="O549" s="120"/>
      <c r="P549" s="120"/>
      <c r="Q549" s="120"/>
    </row>
    <row r="550" spans="2:17" ht="18">
      <c r="B550" s="1063" t="s">
        <v>934</v>
      </c>
      <c r="C550" s="24"/>
      <c r="D550" s="24"/>
      <c r="E550" s="24"/>
      <c r="F550" s="1513"/>
      <c r="G550" s="2049">
        <f>+GETPIVOTDATA("Sum of Dr. Final 23-24",Pivot!$A$1,"Note",27,"BS Main Head","Other - Establishment Expenses","BS Sub Head","Legal and Professional Charges")-GETPIVOTDATA("Sum of Cr. Final 23-24",Pivot!$A$1,"Note",27,"BS Main Head","Other - Establishment Expenses","BS Sub Head","Legal and Professional Charges")</f>
        <v>1049763</v>
      </c>
      <c r="H550" s="2057">
        <f>+GETPIVOTDATA("Sum of Dr. Final 22-23",Pivot!$A$1,"Note",27,"BS Main Head","Other - Establishment Expenses","BS Sub Head","Legal and Professional Charges")-GETPIVOTDATA("Sum of Cr. Final 22-23",Pivot!$A$1,"Note",27,"BS Main Head","Other - Establishment Expenses","BS Sub Head","Legal and Professional Charges")-GETPIVOTDATA("Sum of Dr. Final 22-23",Pivot!$A$1,"PARTICULARS","GST ANNUAL RETURN CHARGES","Note",27,"BS Main Head","Other - Establishment Expenses","BS Sub Head","Legal and Professional Charges")-GETPIVOTDATA("Sum of Cr. Final 22-23",Pivot!$A$1,"PARTICULARS","GST ANNUAL RETURN CHARGES","Note",27,"BS Main Head","Other - Establishment Expenses","BS Sub Head","Legal and Professional Charges")</f>
        <v>808784</v>
      </c>
      <c r="I550" s="120"/>
      <c r="J550" s="120"/>
      <c r="K550" s="120"/>
      <c r="L550" s="120"/>
      <c r="M550" s="120"/>
      <c r="N550" s="120"/>
      <c r="O550" s="120"/>
      <c r="P550" s="120"/>
      <c r="Q550" s="120"/>
    </row>
    <row r="551" spans="2:17" ht="18">
      <c r="B551" s="1063" t="s">
        <v>935</v>
      </c>
      <c r="C551" s="24"/>
      <c r="D551" s="24"/>
      <c r="E551" s="24"/>
      <c r="F551" s="24"/>
      <c r="G551" s="2049">
        <f>+GETPIVOTDATA("Sum of Dr. Final 23-24",Pivot!$A$1,"Note",27,"BS Main Head","Other - Establishment Expenses","BS Sub Head","Listing Expenses")-GETPIVOTDATA("Sum of Cr. Final 23-24",Pivot!$A$1,"Note",27,"BS Main Head","Other - Establishment Expenses","BS Sub Head","Listing Expenses")</f>
        <v>55000</v>
      </c>
      <c r="H551" s="2057">
        <f>+GETPIVOTDATA("Sum of Dr. Final 22-23",Pivot!$A$1,"Note",27,"BS Main Head","Other - Establishment Expenses","BS Sub Head","Listing Expenses")-GETPIVOTDATA("Sum of Cr. Final 22-23",Pivot!$A$1,"Note",27,"BS Main Head","Other - Establishment Expenses","BS Sub Head","Listing Expenses")</f>
        <v>55000</v>
      </c>
      <c r="I551" s="21"/>
      <c r="J551" s="21"/>
      <c r="K551" s="21"/>
      <c r="L551" s="21"/>
      <c r="M551" s="21"/>
      <c r="N551" s="21"/>
      <c r="O551" s="21"/>
      <c r="P551" s="21"/>
      <c r="Q551" s="21"/>
    </row>
    <row r="552" spans="2:17" ht="18">
      <c r="B552" s="1063" t="s">
        <v>3093</v>
      </c>
      <c r="C552" s="24"/>
      <c r="D552" s="24"/>
      <c r="E552" s="24"/>
      <c r="F552" s="24"/>
      <c r="G552" s="2049">
        <f>+GETPIVOTDATA("Sum of Dr. Final 23-24",Pivot!$A$1,"Note",27,"BS Main Head","Other - Establishment Expenses","BS Sub Head","Loss on Discardment of FA")</f>
        <v>323224</v>
      </c>
      <c r="H552" s="2057">
        <v>0</v>
      </c>
      <c r="I552" s="21"/>
      <c r="J552" s="21"/>
      <c r="K552" s="21"/>
      <c r="L552" s="21"/>
      <c r="M552" s="21"/>
      <c r="N552" s="21"/>
      <c r="O552" s="21"/>
      <c r="P552" s="21"/>
      <c r="Q552" s="21"/>
    </row>
    <row r="553" spans="2:17" ht="18">
      <c r="B553" s="1063" t="s">
        <v>3094</v>
      </c>
      <c r="C553" s="24"/>
      <c r="D553" s="24"/>
      <c r="E553" s="24"/>
      <c r="F553" s="24"/>
      <c r="G553" s="2049">
        <f>+GETPIVOTDATA("Sum of Dr. Final 23-24",Pivot!$A$1,"Note",27,"BS Main Head","Other - Establishment Expenses","BS Sub Head","Profit/(Loss) on sale of Asset")</f>
        <v>84364</v>
      </c>
      <c r="H553" s="2057">
        <v>0</v>
      </c>
      <c r="I553" s="21"/>
      <c r="J553" s="21"/>
      <c r="K553" s="21"/>
      <c r="L553" s="21"/>
      <c r="M553" s="21"/>
      <c r="N553" s="21"/>
      <c r="O553" s="21"/>
      <c r="P553" s="21"/>
      <c r="Q553" s="21"/>
    </row>
    <row r="554" spans="2:17" ht="18">
      <c r="B554" s="1063" t="s">
        <v>75</v>
      </c>
      <c r="C554" s="24"/>
      <c r="D554" s="24"/>
      <c r="E554" s="24"/>
      <c r="F554" s="1513"/>
      <c r="G554" s="2049">
        <f>+GETPIVOTDATA("Sum of Dr. Final 23-24",Pivot!$A$1,"Note",27,"BS Main Head","Other - Establishment Expenses","BS Sub Head","Office Expenses")-GETPIVOTDATA("Sum of Cr. Final 23-24",Pivot!$A$1,"Note",27,"BS Main Head","Other - Establishment Expenses","BS Sub Head","Office Expenses")</f>
        <v>368775.28</v>
      </c>
      <c r="H554" s="2057">
        <f>+GETPIVOTDATA("Sum of Dr. Final 22-23",Pivot!$A$1,"Note",27,"BS Main Head","Other - Establishment Expenses","BS Sub Head","Office Expenses")-GETPIVOTDATA("Sum of Cr. Final 22-23",Pivot!$A$1,"Note",27,"BS Main Head","Other - Establishment Expenses","BS Sub Head","Office Expenses")</f>
        <v>391899.9</v>
      </c>
      <c r="I554" s="120"/>
      <c r="J554" s="120"/>
      <c r="K554" s="120"/>
      <c r="L554" s="120"/>
      <c r="M554" s="120"/>
      <c r="N554" s="120"/>
      <c r="O554" s="120"/>
      <c r="P554" s="120"/>
      <c r="Q554" s="120"/>
    </row>
    <row r="555" spans="2:17" ht="18">
      <c r="B555" s="1063" t="s">
        <v>342</v>
      </c>
      <c r="C555" s="24"/>
      <c r="D555" s="24"/>
      <c r="E555" s="24"/>
      <c r="F555" s="1513"/>
      <c r="G555" s="2049">
        <f>+GETPIVOTDATA("Sum of Dr. Final 23-24",Pivot!$A$1,"Note",27,"BS Main Head","Other - Establishment Expenses","BS Sub Head","Printing &amp; Stationery")-GETPIVOTDATA("Sum of Cr. Final 23-24",Pivot!$A$1,"Note",27,"BS Main Head","Other - Establishment Expenses","BS Sub Head","Printing &amp; Stationery")</f>
        <v>217506.58</v>
      </c>
      <c r="H555" s="2057">
        <f>+GETPIVOTDATA("Sum of Dr. Final 22-23",Pivot!$A$1,"Note",27,"BS Main Head","Other - Establishment Expenses","BS Sub Head","Printing &amp; Stationery")-GETPIVOTDATA("Sum of Cr. Final 22-23",Pivot!$A$1,"Note",27,"BS Main Head","Other - Establishment Expenses","BS Sub Head","Printing &amp; Stationery")</f>
        <v>269184.78000000003</v>
      </c>
      <c r="I555" s="120"/>
      <c r="J555" s="120"/>
      <c r="K555" s="120"/>
      <c r="L555" s="120"/>
      <c r="M555" s="120"/>
      <c r="N555" s="120"/>
      <c r="O555" s="120"/>
      <c r="P555" s="120"/>
      <c r="Q555" s="120"/>
    </row>
    <row r="556" spans="2:17" ht="18">
      <c r="B556" s="1063" t="s">
        <v>82</v>
      </c>
      <c r="C556" s="24"/>
      <c r="D556" s="24"/>
      <c r="E556" s="24"/>
      <c r="F556" s="1513"/>
      <c r="G556" s="2049">
        <f>+GETPIVOTDATA("Sum of Dr. Final 23-24",Pivot!$A$1,"Note",27,"BS Main Head","Other - Establishment Expenses","BS Sub Head","Rates &amp; Taxes")-GETPIVOTDATA("Sum of Cr. Final 23-24",Pivot!$A$1,"Note",27,"BS Main Head","Other - Establishment Expenses","BS Sub Head","Rates &amp; Taxes")</f>
        <v>438340</v>
      </c>
      <c r="H556" s="2057">
        <f>+GETPIVOTDATA("Sum of Dr. Final 22-23",Pivot!$A$1,"Note",27,"BS Main Head","Other - Establishment Expenses","BS Sub Head","Rates &amp; Taxes")-GETPIVOTDATA("Sum of Cr. Final 22-23",Pivot!$A$1,"Note",27,"BS Main Head","Other - Establishment Expenses","BS Sub Head","Rates &amp; Taxes")</f>
        <v>714305</v>
      </c>
      <c r="I556" s="120"/>
      <c r="J556" s="120"/>
      <c r="K556" s="120"/>
      <c r="L556" s="120"/>
      <c r="M556" s="120"/>
      <c r="N556" s="120"/>
      <c r="O556" s="120"/>
      <c r="P556" s="120"/>
      <c r="Q556" s="120"/>
    </row>
    <row r="557" spans="2:17" ht="18">
      <c r="B557" s="1141" t="s">
        <v>925</v>
      </c>
      <c r="C557" s="1513"/>
      <c r="D557" s="1513"/>
      <c r="E557" s="1513"/>
      <c r="F557" s="1513"/>
      <c r="G557" s="2049"/>
      <c r="H557" s="2057"/>
      <c r="I557" s="120"/>
      <c r="J557" s="120"/>
      <c r="K557" s="120"/>
      <c r="L557" s="120"/>
      <c r="M557" s="120"/>
      <c r="N557" s="120"/>
      <c r="O557" s="120"/>
      <c r="P557" s="120"/>
      <c r="Q557" s="120"/>
    </row>
    <row r="558" spans="2:17" ht="18">
      <c r="B558" s="1063" t="s">
        <v>936</v>
      </c>
      <c r="C558" s="24"/>
      <c r="D558" s="24"/>
      <c r="E558" s="24"/>
      <c r="F558" s="1554"/>
      <c r="G558" s="2049">
        <f>+GETPIVOTDATA("Sum of Dr. Final 23-24",Pivot!$A$1,"Note",27,"BS Main Head","Other - Establishment Expenses","BS Sub Head","Repairs &amp; Maintainence - Vehicle")-GETPIVOTDATA("Sum of Cr. Final 23-24",Pivot!$A$1,"Note",27,"BS Main Head","Other - Establishment Expenses","BS Sub Head","Repairs &amp; Maintainence - Vehicle")</f>
        <v>1019578</v>
      </c>
      <c r="H558" s="2057">
        <f>+GETPIVOTDATA("Sum of Dr. Final 22-23",Pivot!$A$1,"Note",27,"BS Main Head","Other - Establishment Expenses","BS Sub Head","Repairs &amp; Maintainence - Vehicle")-GETPIVOTDATA("Sum of Cr. Final 22-23",Pivot!$A$1,"Note",27,"BS Main Head","Other - Establishment Expenses","BS Sub Head","Repairs &amp; Maintainence - Vehicle")</f>
        <v>996236.52</v>
      </c>
      <c r="I558" s="120"/>
      <c r="J558" s="120"/>
      <c r="K558" s="120"/>
      <c r="L558" s="120"/>
      <c r="M558" s="120"/>
      <c r="N558" s="120"/>
      <c r="O558" s="120"/>
      <c r="P558" s="120"/>
      <c r="Q558" s="120"/>
    </row>
    <row r="559" spans="2:17" ht="18">
      <c r="B559" s="1063" t="s">
        <v>937</v>
      </c>
      <c r="C559" s="24"/>
      <c r="D559" s="24"/>
      <c r="E559" s="24"/>
      <c r="F559" s="1513"/>
      <c r="G559" s="2049">
        <f>+GETPIVOTDATA("Sum of Dr. Final 23-24",Pivot!$A$1,"Note",27,"BS Main Head","Other - Establishment Expenses","BS Sub Head","Repairs &amp; Maintainence - Others")-GETPIVOTDATA("Sum of Cr. Final 23-24",Pivot!$A$1,"Note",27,"BS Main Head","Other - Establishment Expenses","BS Sub Head","Repairs &amp; Maintainence - Others")</f>
        <v>357129.36</v>
      </c>
      <c r="H559" s="2057">
        <f>+GETPIVOTDATA("Sum of Dr. Final 22-23",Pivot!$A$1,"Note",27,"BS Main Head","Other - Establishment Expenses","BS Sub Head","Repairs &amp; Maintainence - Others")-GETPIVOTDATA("Sum of Cr. Final 22-23",Pivot!$A$1,"Note",27,"BS Main Head","Other - Establishment Expenses","BS Sub Head","Repairs &amp; Maintainence - Others")</f>
        <v>268584</v>
      </c>
      <c r="I559" s="120"/>
      <c r="J559" s="120"/>
      <c r="K559" s="120"/>
      <c r="L559" s="120"/>
      <c r="M559" s="120"/>
      <c r="N559" s="120"/>
      <c r="O559" s="120"/>
      <c r="P559" s="120"/>
      <c r="Q559" s="120"/>
    </row>
    <row r="560" spans="2:17" ht="18">
      <c r="B560" s="1063" t="s">
        <v>938</v>
      </c>
      <c r="C560" s="24"/>
      <c r="D560" s="24"/>
      <c r="E560" s="24"/>
      <c r="F560" s="1503"/>
      <c r="G560" s="2049">
        <f>+GETPIVOTDATA("Sum of Dr. Final 23-24",Pivot!$A$1,"Note",27,"BS Main Head","Other - Establishment Expenses","BS Sub Head","Rent Expense")-GETPIVOTDATA("Sum of Cr. Final 23-24",Pivot!$A$1,"Note",27,"BS Main Head","Other - Establishment Expenses","BS Sub Head","Rent Expense")</f>
        <v>643125</v>
      </c>
      <c r="H560" s="2057">
        <f>+GETPIVOTDATA("Sum of Dr. Final 22-23",Pivot!$A$1,"Note",27,"BS Main Head","Other - Establishment Expenses","BS Sub Head","Rent Expense")-GETPIVOTDATA("Sum of Cr. Final 22-23",Pivot!$A$1,"Note",27,"BS Main Head","Other - Establishment Expenses","BS Sub Head","Rent Expense")</f>
        <v>642000</v>
      </c>
      <c r="I560" s="21"/>
      <c r="J560" s="21"/>
      <c r="K560" s="21"/>
      <c r="L560" s="21"/>
      <c r="M560" s="21"/>
      <c r="N560" s="21"/>
      <c r="O560" s="21"/>
      <c r="P560" s="21"/>
      <c r="Q560" s="21"/>
    </row>
    <row r="561" spans="2:19" ht="18">
      <c r="B561" s="1063" t="s">
        <v>939</v>
      </c>
      <c r="C561" s="24"/>
      <c r="D561" s="24"/>
      <c r="E561" s="24"/>
      <c r="F561" s="1555"/>
      <c r="G561" s="2049">
        <f>+GETPIVOTDATA("Sum of Dr. Final 23-24",Pivot!$A$1,"Note",27,"BS Main Head","Other - Establishment Expenses","BS Sub Head","Travelling and Conveyance Expense")-GETPIVOTDATA("Sum of Cr. Final 23-24",Pivot!$A$1,"Note",27,"BS Main Head","Other - Establishment Expenses","BS Sub Head","Travelling and Conveyance Expense")</f>
        <v>434684</v>
      </c>
      <c r="H561" s="2057">
        <f>+GETPIVOTDATA("Sum of Dr. Final 22-23",Pivot!$A$1,"Note",27,"BS Main Head","Other - Establishment Expenses","BS Sub Head","Travelling and Conveyance Expense")-GETPIVOTDATA("Sum of Cr. Final 22-23",Pivot!$A$1,"Note",27,"BS Main Head","Other - Establishment Expenses","BS Sub Head","Travelling and Conveyance Expense")</f>
        <v>540011</v>
      </c>
      <c r="I561" s="120"/>
      <c r="J561" s="120"/>
      <c r="K561" s="120"/>
      <c r="L561" s="120"/>
      <c r="M561" s="120"/>
      <c r="N561" s="120"/>
      <c r="O561" s="120"/>
      <c r="P561" s="120"/>
      <c r="Q561" s="120"/>
    </row>
    <row r="562" spans="2:19" ht="18">
      <c r="B562" s="1063" t="s">
        <v>355</v>
      </c>
      <c r="C562" s="24"/>
      <c r="D562" s="24"/>
      <c r="E562" s="24"/>
      <c r="F562" s="1513"/>
      <c r="G562" s="2049">
        <f>+GETPIVOTDATA("Sum of Dr. Final 23-24",Pivot!$A$1,"Note",27,"BS Main Head","Other - Establishment Expenses","BS Sub Head","Telephone Expenses")-GETPIVOTDATA("Sum of Cr. Final 23-24",Pivot!$A$1,"Note",27,"BS Main Head","Other - Establishment Expenses","BS Sub Head","Telephone Expenses")</f>
        <v>72945</v>
      </c>
      <c r="H562" s="2057">
        <f>+GETPIVOTDATA("Sum of Dr. Final 22-23",Pivot!$A$1,"Note",27,"BS Main Head","Other - Establishment Expenses","BS Sub Head","Telephone Expenses")-GETPIVOTDATA("Sum of Cr. Final 22-23",Pivot!$A$1,"Note",27,"BS Main Head","Other - Establishment Expenses","BS Sub Head","Telephone Expenses")</f>
        <v>67429</v>
      </c>
      <c r="I562" s="120"/>
      <c r="J562" s="120"/>
      <c r="K562" s="120"/>
      <c r="L562" s="120"/>
      <c r="M562" s="120"/>
      <c r="N562" s="120"/>
      <c r="O562" s="120"/>
      <c r="P562" s="120"/>
      <c r="Q562" s="120"/>
    </row>
    <row r="563" spans="2:19" ht="18">
      <c r="B563" s="1063"/>
      <c r="C563" s="24"/>
      <c r="D563" s="24"/>
      <c r="E563" s="24"/>
      <c r="F563" s="1532" t="s">
        <v>940</v>
      </c>
      <c r="G563" s="2051">
        <f>SUM(G539:G562)</f>
        <v>8016957.9900000002</v>
      </c>
      <c r="H563" s="2055">
        <f>+SUM(H555:H562)+SUM(H540:H554)</f>
        <v>8090814.0800000001</v>
      </c>
      <c r="I563" s="1998"/>
      <c r="J563" s="1998"/>
      <c r="K563" s="1998"/>
      <c r="L563" s="1998"/>
      <c r="M563" s="1998"/>
      <c r="N563" s="1998"/>
      <c r="O563" s="1998"/>
      <c r="P563" s="1998"/>
      <c r="Q563" s="1998"/>
      <c r="S563" s="124"/>
    </row>
    <row r="564" spans="2:19" ht="18">
      <c r="B564" s="1049" t="s">
        <v>941</v>
      </c>
      <c r="C564" s="25"/>
      <c r="D564" s="25"/>
      <c r="E564" s="25"/>
      <c r="F564" s="1513"/>
      <c r="G564" s="2049"/>
      <c r="H564" s="2057"/>
      <c r="I564" s="120"/>
      <c r="J564" s="120"/>
      <c r="K564" s="120"/>
      <c r="L564" s="120"/>
      <c r="M564" s="120"/>
      <c r="N564" s="120"/>
      <c r="O564" s="120"/>
      <c r="P564" s="120"/>
      <c r="Q564" s="120"/>
    </row>
    <row r="565" spans="2:19" ht="18">
      <c r="B565" s="1063" t="s">
        <v>942</v>
      </c>
      <c r="C565" s="24"/>
      <c r="D565" s="24"/>
      <c r="E565" s="24"/>
      <c r="F565" s="1513"/>
      <c r="G565" s="2049">
        <f>+GETPIVOTDATA("Sum of Dr. Final 23-24",Pivot!$A$1,"Note",27,"BS Main Head","Other - Selling &amp; Distribution Expenses","BS Sub Head","Advertisement Expenses")-GETPIVOTDATA("Sum of Cr. Final 23-24",Pivot!$A$1,"Note",27,"BS Main Head","Other - Selling &amp; Distribution Expenses","BS Sub Head","Advertisement Expenses")</f>
        <v>156102</v>
      </c>
      <c r="H565" s="2057">
        <f>+GETPIVOTDATA("Sum of Dr. Final 22-23",Pivot!$A$1,"Note",27,"BS Main Head","Other - Selling &amp; Distribution Expenses","BS Sub Head","Advertisement Expenses")-GETPIVOTDATA("Sum of Cr. Final 22-23",Pivot!$A$1,"Note",27,"BS Main Head","Other - Selling &amp; Distribution Expenses","BS Sub Head","Advertisement Expenses")</f>
        <v>120274</v>
      </c>
      <c r="I565" s="120"/>
      <c r="J565" s="120"/>
      <c r="K565" s="120"/>
      <c r="L565" s="120"/>
      <c r="M565" s="120"/>
      <c r="N565" s="120"/>
      <c r="O565" s="120"/>
      <c r="P565" s="120"/>
      <c r="Q565" s="120"/>
    </row>
    <row r="566" spans="2:19" ht="18">
      <c r="B566" s="1063" t="s">
        <v>196</v>
      </c>
      <c r="C566" s="24"/>
      <c r="D566" s="24"/>
      <c r="E566" s="24"/>
      <c r="F566" s="1513"/>
      <c r="G566" s="2049">
        <f>+GETPIVOTDATA("Sum of Dr. Final 23-24",Pivot!$A$1,"Note",27,"BS Main Head","Other - Selling &amp; Distribution Expenses","BS Sub Head","Insurance on Sales")-GETPIVOTDATA("Sum of Cr. Final 23-24",Pivot!$A$1,"Note",27,"BS Main Head","Other - Selling &amp; Distribution Expenses","BS Sub Head","Insurance on Sales")</f>
        <v>157257</v>
      </c>
      <c r="H566" s="2057">
        <f>+GETPIVOTDATA("Sum of Dr. Final 22-23",Pivot!$A$1,"Note",27,"BS Main Head","Other - Selling &amp; Distribution Expenses","BS Sub Head","Insurance on Sales")-GETPIVOTDATA("Sum of Cr. Final 22-23",Pivot!$A$1,"Note",27,"BS Main Head","Other - Selling &amp; Distribution Expenses","BS Sub Head","Insurance on Sales")</f>
        <v>250506</v>
      </c>
      <c r="I566" s="120"/>
      <c r="J566" s="120"/>
      <c r="K566" s="120"/>
      <c r="L566" s="120"/>
      <c r="M566" s="120"/>
      <c r="N566" s="120"/>
      <c r="O566" s="120"/>
      <c r="P566" s="120"/>
      <c r="Q566" s="120"/>
    </row>
    <row r="567" spans="2:19" ht="18">
      <c r="B567" s="1063" t="s">
        <v>3051</v>
      </c>
      <c r="C567" s="24"/>
      <c r="D567" s="24"/>
      <c r="E567" s="24"/>
      <c r="F567" s="1513"/>
      <c r="G567" s="2049">
        <f>+GETPIVOTDATA("Sum of Dr. Final 23-24",Pivot!$A$1,"Note",27,"BS Main Head","Other - Selling &amp; Distribution Expenses","BS Sub Head","Freight on Sales")-GETPIVOTDATA("Sum of Cr. Final 23-24",Pivot!$A$1,"Note",27,"BS Main Head","Other - Selling &amp; Distribution Expenses","BS Sub Head","Freight on Sales")</f>
        <v>314100</v>
      </c>
      <c r="H567" s="2057">
        <f>+GETPIVOTDATA("Sum of Dr. Final 22-23",Pivot!$A$1,"Note",27,"BS Main Head","Other - Selling &amp; Distribution Expenses","BS Sub Head","Freight on Sales")-GETPIVOTDATA("Sum of Cr. Final 22-23",Pivot!$A$1,"Note",27,"BS Main Head","Other - Selling &amp; Distribution Expenses","BS Sub Head","Freight on Sales")</f>
        <v>67144</v>
      </c>
      <c r="I567" s="120"/>
      <c r="J567" s="120"/>
      <c r="K567" s="120"/>
      <c r="L567" s="120"/>
      <c r="M567" s="120"/>
      <c r="N567" s="120"/>
      <c r="O567" s="120"/>
      <c r="P567" s="120"/>
      <c r="Q567" s="120"/>
    </row>
    <row r="568" spans="2:19" ht="18">
      <c r="B568" s="1063" t="s">
        <v>943</v>
      </c>
      <c r="C568" s="24"/>
      <c r="D568" s="24"/>
      <c r="E568" s="24"/>
      <c r="F568" s="1513"/>
      <c r="G568" s="2049">
        <f>+GETPIVOTDATA("Sum of Dr. Final 23-24",Pivot!$A$1,"Note",27,"BS Main Head","Other - Selling &amp; Distribution Expenses","BS Sub Head","Commission on Sales")-GETPIVOTDATA("Sum of Cr. Final 23-24",Pivot!$A$1,"Note",27,"BS Main Head","Other - Selling &amp; Distribution Expenses","BS Sub Head","Commission on Sales")</f>
        <v>44654</v>
      </c>
      <c r="H568" s="2057">
        <f>+GETPIVOTDATA("Sum of Dr. Final 22-23",Pivot!$A$1,"Note",27,"BS Main Head","Other - Selling &amp; Distribution Expenses","BS Sub Head","Commission on Sales")-GETPIVOTDATA("Sum of Cr. Final 22-23",Pivot!$A$1,"Note",27,"BS Main Head","Other - Selling &amp; Distribution Expenses","BS Sub Head","Commission on Sales")</f>
        <v>1585770</v>
      </c>
      <c r="I568" s="120"/>
      <c r="J568" s="120"/>
      <c r="K568" s="120"/>
      <c r="L568" s="120"/>
      <c r="M568" s="120"/>
      <c r="N568" s="120"/>
      <c r="O568" s="120"/>
      <c r="P568" s="120"/>
      <c r="Q568" s="120"/>
    </row>
    <row r="569" spans="2:19" ht="18">
      <c r="B569" s="1063"/>
      <c r="C569" s="24"/>
      <c r="D569" s="24"/>
      <c r="E569" s="24"/>
      <c r="F569" s="1532" t="s">
        <v>944</v>
      </c>
      <c r="G569" s="2051">
        <f>+SUM(G565:G568)</f>
        <v>672113</v>
      </c>
      <c r="H569" s="2055">
        <f>+SUM(H565:H568)</f>
        <v>2023694</v>
      </c>
      <c r="I569" s="1998"/>
      <c r="J569" s="1998"/>
      <c r="K569" s="1998"/>
      <c r="L569" s="1998"/>
      <c r="M569" s="1998"/>
      <c r="N569" s="1998"/>
      <c r="O569" s="1998"/>
      <c r="P569" s="1998"/>
      <c r="Q569" s="1998"/>
    </row>
    <row r="570" spans="2:19" ht="18">
      <c r="B570" s="1063"/>
      <c r="C570" s="24"/>
      <c r="D570" s="24"/>
      <c r="E570" s="24"/>
      <c r="F570" s="87" t="s">
        <v>945</v>
      </c>
      <c r="G570" s="2162">
        <f>+G569+G563+G531</f>
        <v>176691419.37</v>
      </c>
      <c r="H570" s="2163">
        <f>+H569+H563+H531</f>
        <v>242294252.75999999</v>
      </c>
      <c r="I570" s="1998"/>
      <c r="J570" s="1998"/>
      <c r="K570" s="1998"/>
      <c r="L570" s="1998"/>
      <c r="M570" s="1998"/>
      <c r="N570" s="1998"/>
      <c r="O570" s="1998"/>
      <c r="P570" s="1998"/>
      <c r="Q570" s="1998"/>
    </row>
    <row r="571" spans="2:19" ht="18">
      <c r="B571" s="1114" t="s">
        <v>2658</v>
      </c>
      <c r="C571" s="24"/>
      <c r="D571" s="24"/>
      <c r="E571" s="24"/>
      <c r="F571" s="14"/>
      <c r="G571" s="2049"/>
      <c r="H571" s="2057"/>
      <c r="I571" s="21"/>
      <c r="J571" s="21"/>
      <c r="K571" s="21"/>
      <c r="L571" s="21"/>
      <c r="M571" s="21"/>
      <c r="N571" s="21"/>
      <c r="O571" s="21"/>
      <c r="P571" s="21"/>
      <c r="Q571" s="21"/>
    </row>
    <row r="572" spans="2:19" ht="18">
      <c r="B572" s="1049" t="s">
        <v>463</v>
      </c>
      <c r="C572" s="24"/>
      <c r="D572" s="24"/>
      <c r="E572" s="24"/>
      <c r="F572" s="14"/>
      <c r="G572" s="2049"/>
      <c r="H572" s="2057"/>
      <c r="I572" s="21"/>
      <c r="J572" s="21"/>
      <c r="K572" s="21"/>
      <c r="L572" s="21"/>
      <c r="M572" s="21"/>
      <c r="N572" s="21"/>
      <c r="O572" s="21"/>
      <c r="P572" s="21"/>
      <c r="Q572" s="21"/>
    </row>
    <row r="573" spans="2:19" ht="18">
      <c r="B573" s="1049" t="s">
        <v>946</v>
      </c>
      <c r="C573" s="24"/>
      <c r="D573" s="24"/>
      <c r="E573" s="24"/>
      <c r="F573" s="14"/>
      <c r="G573" s="2049"/>
      <c r="H573" s="2057"/>
      <c r="I573" s="21"/>
      <c r="J573" s="21"/>
      <c r="K573" s="21"/>
      <c r="L573" s="21"/>
      <c r="M573" s="21"/>
      <c r="N573" s="21"/>
      <c r="O573" s="21"/>
      <c r="P573" s="21"/>
      <c r="Q573" s="21"/>
    </row>
    <row r="574" spans="2:19" ht="18">
      <c r="B574" s="1063" t="s">
        <v>947</v>
      </c>
      <c r="C574" s="24"/>
      <c r="D574" s="24"/>
      <c r="E574" s="24"/>
      <c r="F574" s="14"/>
      <c r="G574" s="2049">
        <f>-G730</f>
        <v>1451163</v>
      </c>
      <c r="H574" s="2057">
        <f>-H730</f>
        <v>453421</v>
      </c>
      <c r="I574" s="1997"/>
      <c r="J574" s="1997"/>
      <c r="K574" s="1997"/>
      <c r="L574" s="1997"/>
      <c r="M574" s="1997"/>
      <c r="N574" s="1997"/>
      <c r="O574" s="1997"/>
      <c r="P574" s="1997"/>
      <c r="Q574" s="1997"/>
    </row>
    <row r="575" spans="2:19" ht="18">
      <c r="B575" s="1063" t="s">
        <v>2751</v>
      </c>
      <c r="C575" s="24"/>
      <c r="D575" s="24"/>
      <c r="E575" s="24"/>
      <c r="F575" s="14"/>
      <c r="G575" s="2049"/>
      <c r="H575" s="2057"/>
      <c r="I575" s="21"/>
      <c r="J575" s="21"/>
      <c r="K575" s="21"/>
      <c r="L575" s="21"/>
      <c r="M575" s="21"/>
      <c r="N575" s="21"/>
      <c r="O575" s="21"/>
      <c r="P575" s="21"/>
      <c r="Q575" s="21"/>
    </row>
    <row r="576" spans="2:19" ht="18">
      <c r="B576" s="1043" t="s">
        <v>779</v>
      </c>
      <c r="C576" s="24"/>
      <c r="D576" s="24"/>
      <c r="E576" s="24"/>
      <c r="F576" s="14"/>
      <c r="G576" s="2049"/>
      <c r="H576" s="2057"/>
      <c r="I576" s="21"/>
      <c r="J576" s="21"/>
      <c r="K576" s="21"/>
      <c r="L576" s="21"/>
      <c r="M576" s="21"/>
      <c r="N576" s="21"/>
      <c r="O576" s="21"/>
      <c r="P576" s="21"/>
      <c r="Q576" s="21"/>
    </row>
    <row r="577" spans="2:17" ht="18">
      <c r="B577" s="1043" t="s">
        <v>757</v>
      </c>
      <c r="C577" s="24"/>
      <c r="D577" s="24"/>
      <c r="E577" s="24"/>
      <c r="F577" s="14"/>
      <c r="G577" s="2049"/>
      <c r="H577" s="2057"/>
      <c r="I577" s="21"/>
      <c r="J577" s="21"/>
      <c r="K577" s="21"/>
      <c r="L577" s="21"/>
      <c r="M577" s="21"/>
      <c r="N577" s="21"/>
      <c r="O577" s="21"/>
      <c r="P577" s="21"/>
      <c r="Q577" s="21"/>
    </row>
    <row r="578" spans="2:17" ht="18">
      <c r="B578" s="1063"/>
      <c r="C578" s="24"/>
      <c r="D578" s="24"/>
      <c r="E578" s="24"/>
      <c r="F578" s="14"/>
      <c r="G578" s="2051">
        <f>+SUM(G574:G576)</f>
        <v>1451163</v>
      </c>
      <c r="H578" s="2055">
        <f>+SUM(H574:H576)</f>
        <v>453421</v>
      </c>
      <c r="I578" s="103"/>
      <c r="J578" s="103"/>
      <c r="K578" s="103"/>
      <c r="L578" s="103"/>
      <c r="M578" s="103"/>
      <c r="N578" s="103"/>
      <c r="O578" s="103"/>
      <c r="P578" s="103"/>
      <c r="Q578" s="103"/>
    </row>
    <row r="579" spans="2:17" ht="18">
      <c r="B579" s="1049" t="s">
        <v>948</v>
      </c>
      <c r="C579" s="24"/>
      <c r="D579" s="24"/>
      <c r="E579" s="24"/>
      <c r="F579" s="14"/>
      <c r="G579" s="2049"/>
      <c r="H579" s="2057"/>
      <c r="I579" s="21"/>
      <c r="J579" s="21"/>
      <c r="K579" s="21"/>
      <c r="L579" s="21"/>
      <c r="M579" s="21"/>
      <c r="N579" s="21"/>
      <c r="O579" s="21"/>
      <c r="P579" s="21"/>
      <c r="Q579" s="21"/>
    </row>
    <row r="580" spans="2:17" ht="18">
      <c r="B580" s="1010" t="s">
        <v>949</v>
      </c>
      <c r="C580" s="24"/>
      <c r="D580" s="24"/>
      <c r="E580" s="24"/>
      <c r="F580" s="14"/>
      <c r="G580" s="1848">
        <v>0</v>
      </c>
      <c r="H580" s="1047">
        <v>0</v>
      </c>
      <c r="I580" s="21"/>
      <c r="J580" s="21"/>
      <c r="K580" s="21"/>
      <c r="L580" s="21"/>
      <c r="M580" s="21"/>
      <c r="N580" s="21"/>
      <c r="O580" s="21"/>
      <c r="P580" s="21"/>
      <c r="Q580" s="21"/>
    </row>
    <row r="581" spans="2:17" ht="18">
      <c r="B581" s="1049"/>
      <c r="C581" s="24"/>
      <c r="D581" s="24"/>
      <c r="E581" s="24"/>
      <c r="F581" s="14"/>
      <c r="G581" s="2049"/>
      <c r="H581" s="2057"/>
      <c r="I581" s="21"/>
      <c r="J581" s="21"/>
      <c r="K581" s="21"/>
      <c r="L581" s="21"/>
      <c r="M581" s="21"/>
      <c r="N581" s="21"/>
      <c r="O581" s="21"/>
      <c r="P581" s="21"/>
      <c r="Q581" s="21"/>
    </row>
    <row r="582" spans="2:17" ht="18">
      <c r="B582" s="1063"/>
      <c r="C582" s="24"/>
      <c r="D582" s="24"/>
      <c r="E582" s="24"/>
      <c r="F582" s="14"/>
      <c r="G582" s="2051">
        <v>0</v>
      </c>
      <c r="H582" s="2055">
        <v>0</v>
      </c>
      <c r="I582" s="103"/>
      <c r="J582" s="103"/>
      <c r="K582" s="103"/>
      <c r="L582" s="103"/>
      <c r="M582" s="103"/>
      <c r="N582" s="103"/>
      <c r="O582" s="103"/>
      <c r="P582" s="103"/>
      <c r="Q582" s="103"/>
    </row>
    <row r="583" spans="2:17" ht="18.600000000000001" thickBot="1">
      <c r="B583" s="1049" t="s">
        <v>950</v>
      </c>
      <c r="C583" s="24"/>
      <c r="D583" s="24"/>
      <c r="E583" s="24"/>
      <c r="F583" s="14"/>
      <c r="G583" s="2069">
        <f>G582+G578</f>
        <v>1451163</v>
      </c>
      <c r="H583" s="2065">
        <f>H582+H578</f>
        <v>453421</v>
      </c>
      <c r="I583" s="103"/>
      <c r="J583" s="103"/>
      <c r="K583" s="103"/>
      <c r="L583" s="103"/>
      <c r="M583" s="103"/>
      <c r="N583" s="103"/>
      <c r="O583" s="103"/>
      <c r="P583" s="103"/>
      <c r="Q583" s="103"/>
    </row>
    <row r="584" spans="2:17" ht="18.600000000000001" thickTop="1">
      <c r="B584" s="1049"/>
      <c r="C584" s="24"/>
      <c r="D584" s="24"/>
      <c r="E584" s="24"/>
      <c r="F584" s="14"/>
      <c r="G584" s="2050"/>
      <c r="H584" s="2056"/>
      <c r="I584" s="103"/>
      <c r="J584" s="103"/>
      <c r="K584" s="103"/>
      <c r="L584" s="103"/>
      <c r="M584" s="103"/>
      <c r="N584" s="103"/>
      <c r="O584" s="103"/>
      <c r="P584" s="103"/>
      <c r="Q584" s="103"/>
    </row>
    <row r="585" spans="2:17" ht="18">
      <c r="B585" s="1114" t="s">
        <v>2659</v>
      </c>
      <c r="C585" s="24"/>
      <c r="D585" s="24"/>
      <c r="E585" s="24"/>
      <c r="F585" s="14"/>
      <c r="G585" s="2050"/>
      <c r="H585" s="2056"/>
      <c r="I585" s="103"/>
      <c r="J585" s="103"/>
      <c r="K585" s="103"/>
      <c r="L585" s="103"/>
      <c r="M585" s="103"/>
      <c r="N585" s="103"/>
      <c r="O585" s="103"/>
      <c r="P585" s="103"/>
      <c r="Q585" s="103"/>
    </row>
    <row r="586" spans="2:17" ht="18">
      <c r="B586" s="1063" t="s">
        <v>951</v>
      </c>
      <c r="C586" s="24"/>
      <c r="D586" s="24"/>
      <c r="E586" s="24"/>
      <c r="F586" s="14"/>
      <c r="G586" s="2049">
        <f>+G102</f>
        <v>-51111376.259682491</v>
      </c>
      <c r="H586" s="2057">
        <f>+H102</f>
        <v>-37729676.113122702</v>
      </c>
      <c r="I586" s="1997"/>
      <c r="J586" s="1997"/>
      <c r="K586" s="1997"/>
      <c r="L586" s="1997"/>
      <c r="M586" s="1997"/>
      <c r="N586" s="1997"/>
      <c r="O586" s="1997"/>
      <c r="P586" s="1997"/>
      <c r="Q586" s="1997"/>
    </row>
    <row r="587" spans="2:17" ht="18">
      <c r="B587" s="2291" t="s">
        <v>952</v>
      </c>
      <c r="C587" s="2292"/>
      <c r="D587" s="2292"/>
      <c r="E587" s="2292"/>
      <c r="F587" s="2306"/>
      <c r="G587" s="2049">
        <f>+G334</f>
        <v>2692265</v>
      </c>
      <c r="H587" s="2057">
        <f>+H334</f>
        <v>2692265</v>
      </c>
      <c r="I587" s="1997"/>
      <c r="J587" s="1997"/>
      <c r="K587" s="1997"/>
      <c r="L587" s="1997"/>
      <c r="M587" s="1997"/>
      <c r="N587" s="1997"/>
      <c r="O587" s="1997"/>
      <c r="P587" s="1997"/>
      <c r="Q587" s="1997"/>
    </row>
    <row r="588" spans="2:17" ht="18">
      <c r="B588" s="1063" t="s">
        <v>953</v>
      </c>
      <c r="C588" s="24"/>
      <c r="D588" s="24"/>
      <c r="E588" s="24"/>
      <c r="F588" s="90"/>
      <c r="G588" s="91">
        <f>+G586/G587</f>
        <v>-18.984526508230985</v>
      </c>
      <c r="H588" s="1143">
        <f>+H586/H587</f>
        <v>-14.014101922776065</v>
      </c>
      <c r="I588" s="2018"/>
      <c r="J588" s="2018"/>
      <c r="K588" s="2018"/>
      <c r="L588" s="2018"/>
      <c r="M588" s="2018"/>
      <c r="N588" s="2018"/>
      <c r="O588" s="2018"/>
      <c r="P588" s="2018"/>
      <c r="Q588" s="2018"/>
    </row>
    <row r="589" spans="2:17" ht="18">
      <c r="B589" s="1063" t="s">
        <v>954</v>
      </c>
      <c r="C589" s="24"/>
      <c r="D589" s="24"/>
      <c r="E589" s="24"/>
      <c r="F589" s="92"/>
      <c r="G589" s="91">
        <f>+G586/G587</f>
        <v>-18.984526508230985</v>
      </c>
      <c r="H589" s="1143">
        <f>+H586/H587</f>
        <v>-14.014101922776065</v>
      </c>
      <c r="I589" s="2018"/>
      <c r="J589" s="2018"/>
      <c r="K589" s="2018"/>
      <c r="L589" s="2018"/>
      <c r="M589" s="2018"/>
      <c r="N589" s="2018"/>
      <c r="O589" s="2018"/>
      <c r="P589" s="2018"/>
      <c r="Q589" s="2018"/>
    </row>
    <row r="590" spans="2:17" ht="18.600000000000001" thickBot="1">
      <c r="B590" s="999"/>
      <c r="C590" s="1000"/>
      <c r="D590" s="1000"/>
      <c r="E590" s="1000"/>
      <c r="F590" s="1301"/>
      <c r="G590" s="1279"/>
      <c r="H590" s="1280"/>
      <c r="I590" s="2018"/>
      <c r="J590" s="2018"/>
      <c r="K590" s="2018"/>
      <c r="L590" s="2018"/>
      <c r="M590" s="2018"/>
      <c r="N590" s="2018"/>
      <c r="O590" s="2018"/>
      <c r="P590" s="2018"/>
      <c r="Q590" s="2018"/>
    </row>
    <row r="591" spans="2:17" ht="18">
      <c r="B591" s="2260" t="s">
        <v>702</v>
      </c>
      <c r="C591" s="2261"/>
      <c r="D591" s="2261"/>
      <c r="E591" s="2261"/>
      <c r="F591" s="2261"/>
      <c r="G591" s="2261"/>
      <c r="H591" s="2262"/>
      <c r="I591" s="1502"/>
      <c r="J591" s="1502"/>
      <c r="K591" s="1502"/>
      <c r="L591" s="1502"/>
      <c r="M591" s="1502"/>
      <c r="N591" s="1502"/>
      <c r="O591" s="1502"/>
      <c r="P591" s="1502"/>
      <c r="Q591" s="1502"/>
    </row>
    <row r="592" spans="2:17" ht="18">
      <c r="B592" s="2279" t="s">
        <v>3056</v>
      </c>
      <c r="C592" s="2280"/>
      <c r="D592" s="2280"/>
      <c r="E592" s="2280"/>
      <c r="F592" s="2280"/>
      <c r="G592" s="2280"/>
      <c r="H592" s="2281"/>
      <c r="I592" s="1502"/>
      <c r="J592" s="1502"/>
      <c r="K592" s="1502"/>
      <c r="L592" s="1502"/>
      <c r="M592" s="1502"/>
      <c r="N592" s="1502"/>
      <c r="O592" s="1502"/>
      <c r="P592" s="1502"/>
      <c r="Q592" s="1502"/>
    </row>
    <row r="593" spans="2:17" ht="18">
      <c r="B593" s="1262"/>
      <c r="C593" s="1260"/>
      <c r="D593" s="1260"/>
      <c r="E593" s="1260"/>
      <c r="F593" s="1260"/>
      <c r="G593" s="1260"/>
      <c r="H593" s="1261"/>
      <c r="I593" s="1502"/>
      <c r="J593" s="1502"/>
      <c r="K593" s="1502"/>
      <c r="L593" s="1502"/>
      <c r="M593" s="1502"/>
      <c r="N593" s="1502"/>
      <c r="O593" s="1502"/>
      <c r="P593" s="1502"/>
      <c r="Q593" s="1502"/>
    </row>
    <row r="594" spans="2:17" ht="18">
      <c r="B594" s="1053" t="s">
        <v>0</v>
      </c>
      <c r="C594" s="1054"/>
      <c r="D594" s="1054"/>
      <c r="E594" s="1054"/>
      <c r="F594" s="1037"/>
      <c r="G594" s="1004" t="s">
        <v>704</v>
      </c>
      <c r="H594" s="1005" t="s">
        <v>704</v>
      </c>
      <c r="I594" s="1996"/>
      <c r="J594" s="1996"/>
      <c r="K594" s="1996"/>
      <c r="L594" s="1996"/>
      <c r="M594" s="1996"/>
      <c r="N594" s="1996"/>
      <c r="O594" s="1996"/>
      <c r="P594" s="1996"/>
      <c r="Q594" s="1996"/>
    </row>
    <row r="595" spans="2:17" ht="18">
      <c r="B595" s="1036"/>
      <c r="C595" s="44"/>
      <c r="D595" s="44"/>
      <c r="E595" s="44"/>
      <c r="F595" s="29"/>
      <c r="G595" s="30" t="str">
        <f>+G7</f>
        <v>March 31, 2024 (₹)</v>
      </c>
      <c r="H595" s="1038" t="str">
        <f>+H7</f>
        <v>March 31, 2023 (₹)</v>
      </c>
      <c r="I595" s="1996"/>
      <c r="J595" s="1996"/>
      <c r="K595" s="1996"/>
      <c r="L595" s="1996"/>
      <c r="M595" s="1996"/>
      <c r="N595" s="1996"/>
      <c r="O595" s="1996"/>
      <c r="P595" s="1996"/>
      <c r="Q595" s="1996"/>
    </row>
    <row r="596" spans="2:17" ht="18">
      <c r="B596" s="1049"/>
      <c r="C596" s="24"/>
      <c r="D596" s="24"/>
      <c r="E596" s="24"/>
      <c r="F596" s="14"/>
      <c r="G596" s="1298"/>
      <c r="H596" s="1299"/>
      <c r="I596" s="2018"/>
      <c r="J596" s="2018"/>
      <c r="K596" s="2018"/>
      <c r="L596" s="2018"/>
      <c r="M596" s="2018"/>
      <c r="N596" s="2018"/>
      <c r="O596" s="2018"/>
      <c r="P596" s="2018"/>
      <c r="Q596" s="2018"/>
    </row>
    <row r="597" spans="2:17" ht="18">
      <c r="B597" s="1114" t="s">
        <v>2660</v>
      </c>
      <c r="C597" s="24"/>
      <c r="D597" s="24"/>
      <c r="E597" s="24"/>
      <c r="F597" s="14"/>
      <c r="G597" s="22"/>
      <c r="H597" s="1032"/>
      <c r="I597" s="21"/>
      <c r="J597" s="21"/>
      <c r="K597" s="21"/>
      <c r="L597" s="21"/>
      <c r="M597" s="21"/>
      <c r="N597" s="21"/>
      <c r="O597" s="21"/>
      <c r="P597" s="21"/>
      <c r="Q597" s="21"/>
    </row>
    <row r="598" spans="2:17" ht="18">
      <c r="B598" s="1049"/>
      <c r="C598" s="24"/>
      <c r="D598" s="24"/>
      <c r="E598" s="24"/>
      <c r="F598" s="14"/>
      <c r="G598" s="22"/>
      <c r="H598" s="1032"/>
      <c r="I598" s="21"/>
      <c r="J598" s="21"/>
      <c r="K598" s="21"/>
      <c r="L598" s="21"/>
      <c r="M598" s="21"/>
      <c r="N598" s="21"/>
      <c r="O598" s="21"/>
      <c r="P598" s="21"/>
      <c r="Q598" s="21"/>
    </row>
    <row r="599" spans="2:17" ht="18">
      <c r="B599" s="1049" t="s">
        <v>955</v>
      </c>
      <c r="C599" s="24"/>
      <c r="D599" s="24"/>
      <c r="E599" s="24"/>
      <c r="F599" s="14"/>
      <c r="G599" s="22"/>
      <c r="H599" s="1032"/>
      <c r="I599" s="21"/>
      <c r="J599" s="21"/>
      <c r="K599" s="21"/>
      <c r="L599" s="21"/>
      <c r="M599" s="21"/>
      <c r="N599" s="21"/>
      <c r="O599" s="21"/>
      <c r="P599" s="21"/>
      <c r="Q599" s="21"/>
    </row>
    <row r="600" spans="2:17" ht="18">
      <c r="B600" s="1063" t="s">
        <v>956</v>
      </c>
      <c r="C600" s="24"/>
      <c r="D600" s="24"/>
      <c r="E600" s="24"/>
      <c r="F600" s="14"/>
      <c r="G600" s="2129">
        <f>+GETPIVOTDATA("Sum of Dr. Final 23-24",Pivot!$A$1,"PARTICULARS","Import Waste Paper Purchase","Note",23,"BS Main Head","Raw Material Consumed","BS Sub Head","Raw Material Purchase")</f>
        <v>81135916.489999995</v>
      </c>
      <c r="H600" s="2188">
        <v>253815527</v>
      </c>
      <c r="I600" s="21"/>
      <c r="J600" s="21"/>
      <c r="K600" s="21"/>
      <c r="L600" s="21"/>
      <c r="M600" s="21"/>
      <c r="N600" s="21"/>
      <c r="O600" s="21"/>
      <c r="P600" s="21"/>
      <c r="Q600" s="21"/>
    </row>
    <row r="601" spans="2:17" ht="18">
      <c r="B601" s="1063" t="s">
        <v>957</v>
      </c>
      <c r="C601" s="24"/>
      <c r="D601" s="24"/>
      <c r="E601" s="24"/>
      <c r="F601" s="14"/>
      <c r="G601" s="1857">
        <v>0</v>
      </c>
      <c r="H601" s="1858">
        <v>0</v>
      </c>
      <c r="I601" s="21"/>
      <c r="J601" s="21"/>
      <c r="K601" s="21"/>
      <c r="L601" s="21"/>
      <c r="M601" s="21"/>
      <c r="N601" s="21"/>
      <c r="O601" s="21"/>
      <c r="P601" s="21"/>
      <c r="Q601" s="21"/>
    </row>
    <row r="602" spans="2:17" ht="18">
      <c r="B602" s="1063" t="s">
        <v>958</v>
      </c>
      <c r="C602" s="24"/>
      <c r="D602" s="24"/>
      <c r="E602" s="24"/>
      <c r="F602" s="14"/>
      <c r="G602" s="1857">
        <v>0</v>
      </c>
      <c r="H602" s="2130">
        <v>626391</v>
      </c>
      <c r="I602" s="21"/>
      <c r="J602" s="21"/>
      <c r="K602" s="21"/>
      <c r="L602" s="21"/>
      <c r="M602" s="21"/>
      <c r="N602" s="21"/>
      <c r="O602" s="21"/>
      <c r="P602" s="21"/>
      <c r="Q602" s="21"/>
    </row>
    <row r="603" spans="2:17" ht="18">
      <c r="B603" s="1049"/>
      <c r="C603" s="24"/>
      <c r="D603" s="24"/>
      <c r="E603" s="24"/>
      <c r="F603" s="14"/>
      <c r="G603" s="2129"/>
      <c r="H603" s="2130"/>
      <c r="I603" s="21"/>
      <c r="J603" s="21"/>
      <c r="K603" s="21"/>
      <c r="L603" s="21"/>
      <c r="M603" s="21"/>
      <c r="N603" s="21"/>
      <c r="O603" s="21"/>
      <c r="P603" s="21"/>
      <c r="Q603" s="21"/>
    </row>
    <row r="604" spans="2:17" ht="18">
      <c r="B604" s="1049" t="s">
        <v>959</v>
      </c>
      <c r="C604" s="24"/>
      <c r="D604" s="24"/>
      <c r="E604" s="24"/>
      <c r="F604" s="14"/>
      <c r="G604" s="2129"/>
      <c r="H604" s="2130"/>
      <c r="I604" s="21"/>
      <c r="J604" s="21"/>
      <c r="K604" s="21"/>
      <c r="L604" s="21"/>
      <c r="M604" s="21"/>
      <c r="N604" s="21"/>
      <c r="O604" s="21"/>
      <c r="P604" s="21"/>
      <c r="Q604" s="21"/>
    </row>
    <row r="605" spans="2:17" ht="18">
      <c r="B605" s="1049" t="s">
        <v>960</v>
      </c>
      <c r="C605" s="24"/>
      <c r="D605" s="24"/>
      <c r="E605" s="24"/>
      <c r="F605" s="14"/>
      <c r="G605" s="2129"/>
      <c r="H605" s="2130"/>
      <c r="I605" s="21"/>
      <c r="J605" s="21"/>
      <c r="K605" s="21"/>
      <c r="L605" s="21"/>
      <c r="M605" s="21"/>
      <c r="N605" s="21"/>
      <c r="O605" s="21"/>
      <c r="P605" s="21"/>
      <c r="Q605" s="21"/>
    </row>
    <row r="606" spans="2:17" ht="18">
      <c r="B606" s="1063" t="s">
        <v>961</v>
      </c>
      <c r="C606" s="24"/>
      <c r="D606" s="24"/>
      <c r="E606" s="24"/>
      <c r="F606" s="14"/>
      <c r="G606" s="2129">
        <f>+'CLOSING STOCK 31-03-24'!P20</f>
        <v>8397838</v>
      </c>
      <c r="H606" s="2130">
        <v>33334557.8336384</v>
      </c>
      <c r="I606" s="21"/>
      <c r="J606" s="21"/>
      <c r="K606" s="21"/>
      <c r="L606" s="21"/>
      <c r="M606" s="21"/>
      <c r="N606" s="21"/>
      <c r="O606" s="21"/>
      <c r="P606" s="21"/>
      <c r="Q606" s="21"/>
    </row>
    <row r="607" spans="2:17" ht="18">
      <c r="B607" s="1063" t="s">
        <v>962</v>
      </c>
      <c r="C607" s="24"/>
      <c r="D607" s="24"/>
      <c r="E607" s="24"/>
      <c r="F607" s="14"/>
      <c r="G607" s="2129">
        <f>+'CLOSING STOCK 31-03-24'!P24</f>
        <v>3529969</v>
      </c>
      <c r="H607" s="2130">
        <v>1216175</v>
      </c>
      <c r="I607" s="21"/>
      <c r="J607" s="21"/>
      <c r="K607" s="21"/>
      <c r="L607" s="21"/>
      <c r="M607" s="21"/>
      <c r="N607" s="21"/>
      <c r="O607" s="21"/>
      <c r="P607" s="21"/>
      <c r="Q607" s="21"/>
    </row>
    <row r="608" spans="2:17" ht="18">
      <c r="B608" s="1049"/>
      <c r="C608" s="24"/>
      <c r="D608" s="24"/>
      <c r="E608" s="24"/>
      <c r="F608" s="14"/>
      <c r="G608" s="2129"/>
      <c r="H608" s="2130"/>
      <c r="I608" s="21"/>
      <c r="J608" s="21"/>
      <c r="K608" s="21"/>
      <c r="L608" s="21"/>
      <c r="M608" s="21"/>
      <c r="N608" s="21"/>
      <c r="O608" s="21"/>
      <c r="P608" s="21"/>
      <c r="Q608" s="21"/>
    </row>
    <row r="609" spans="2:20" ht="18">
      <c r="B609" s="1049" t="s">
        <v>963</v>
      </c>
      <c r="C609" s="24"/>
      <c r="D609" s="24"/>
      <c r="E609" s="24"/>
      <c r="F609" s="14"/>
      <c r="G609" s="2129"/>
      <c r="H609" s="2130"/>
      <c r="I609" s="21"/>
      <c r="J609" s="21"/>
      <c r="K609" s="21"/>
      <c r="L609" s="21"/>
      <c r="M609" s="21"/>
      <c r="N609" s="21"/>
      <c r="O609" s="21"/>
      <c r="P609" s="21"/>
      <c r="Q609" s="21"/>
    </row>
    <row r="610" spans="2:20" ht="18">
      <c r="B610" s="1063" t="s">
        <v>964</v>
      </c>
      <c r="C610" s="24"/>
      <c r="D610" s="24"/>
      <c r="E610" s="24"/>
      <c r="F610" s="14"/>
      <c r="G610" s="2129">
        <f>+'CLOSING STOCK 31-03-24'!P32</f>
        <v>3887585</v>
      </c>
      <c r="H610" s="2130">
        <v>16465227</v>
      </c>
      <c r="I610" s="21"/>
      <c r="J610" s="21"/>
      <c r="K610" s="21"/>
      <c r="L610" s="21"/>
      <c r="M610" s="21"/>
      <c r="N610" s="21"/>
      <c r="O610" s="21"/>
      <c r="P610" s="21"/>
      <c r="Q610" s="21"/>
    </row>
    <row r="611" spans="2:20" ht="18">
      <c r="B611" s="1049"/>
      <c r="C611" s="24"/>
      <c r="D611" s="24"/>
      <c r="E611" s="24"/>
      <c r="F611" s="14"/>
      <c r="G611" s="22"/>
      <c r="H611" s="1032"/>
      <c r="I611" s="21"/>
      <c r="J611" s="21"/>
      <c r="K611" s="21"/>
      <c r="L611" s="21"/>
      <c r="M611" s="21"/>
      <c r="N611" s="21"/>
      <c r="O611" s="21"/>
      <c r="P611" s="21"/>
      <c r="Q611" s="21"/>
    </row>
    <row r="612" spans="2:20" ht="18">
      <c r="B612" s="2303" t="s">
        <v>965</v>
      </c>
      <c r="C612" s="2304"/>
      <c r="D612" s="2304"/>
      <c r="E612" s="2304"/>
      <c r="F612" s="2307"/>
      <c r="G612" s="93"/>
      <c r="H612" s="1144"/>
      <c r="I612" s="2019"/>
      <c r="J612" s="2019"/>
      <c r="K612" s="2019"/>
      <c r="L612" s="2019"/>
      <c r="M612" s="2019"/>
      <c r="N612" s="2019"/>
      <c r="O612" s="2019"/>
      <c r="P612" s="2019"/>
      <c r="Q612" s="2019"/>
    </row>
    <row r="613" spans="2:20" ht="18">
      <c r="B613" s="1145" t="s">
        <v>966</v>
      </c>
      <c r="C613" s="94"/>
      <c r="D613" s="94"/>
      <c r="E613" s="94"/>
      <c r="F613" s="95"/>
      <c r="G613" s="93"/>
      <c r="H613" s="1144"/>
      <c r="I613" s="2019"/>
      <c r="J613" s="2019"/>
      <c r="K613" s="2019"/>
      <c r="L613" s="2019"/>
      <c r="M613" s="2019"/>
      <c r="N613" s="2019"/>
      <c r="O613" s="2019"/>
      <c r="P613" s="2019"/>
      <c r="Q613" s="2019"/>
    </row>
    <row r="614" spans="2:20" ht="18">
      <c r="B614" s="1145" t="s">
        <v>967</v>
      </c>
      <c r="C614" s="94"/>
      <c r="D614" s="94"/>
      <c r="E614" s="94"/>
      <c r="F614" s="95"/>
      <c r="G614" s="93"/>
      <c r="H614" s="1144"/>
      <c r="I614" s="2019"/>
      <c r="J614" s="2019"/>
      <c r="K614" s="2019"/>
      <c r="L614" s="2019"/>
      <c r="M614" s="2019"/>
      <c r="N614" s="2019"/>
      <c r="O614" s="2019"/>
      <c r="P614" s="2019"/>
      <c r="Q614" s="2019"/>
    </row>
    <row r="615" spans="2:20" ht="18">
      <c r="B615" s="1141" t="s">
        <v>961</v>
      </c>
      <c r="C615" s="24"/>
      <c r="D615" s="24"/>
      <c r="E615" s="24"/>
      <c r="F615" s="14"/>
      <c r="G615" s="22"/>
      <c r="H615" s="1032"/>
      <c r="I615" s="21"/>
      <c r="J615" s="21"/>
      <c r="K615" s="21"/>
      <c r="L615" s="21"/>
      <c r="M615" s="21"/>
      <c r="N615" s="21"/>
      <c r="O615" s="21"/>
      <c r="P615" s="21"/>
      <c r="Q615" s="21"/>
      <c r="S615" t="s">
        <v>3142</v>
      </c>
    </row>
    <row r="616" spans="2:20" ht="18">
      <c r="B616" s="1063" t="s">
        <v>968</v>
      </c>
      <c r="C616" s="24"/>
      <c r="D616" s="24"/>
      <c r="E616" s="24"/>
      <c r="F616" s="14"/>
      <c r="G616" s="2129">
        <f>+T619</f>
        <v>93543859.489999995</v>
      </c>
      <c r="H616" s="2188">
        <v>254674839</v>
      </c>
      <c r="I616" s="21"/>
      <c r="J616" s="21"/>
      <c r="K616" s="21"/>
      <c r="L616" s="21"/>
      <c r="M616" s="21"/>
      <c r="N616" s="21"/>
      <c r="O616" s="21"/>
      <c r="P616" s="21"/>
      <c r="Q616" s="21"/>
      <c r="S616" t="s">
        <v>251</v>
      </c>
      <c r="T616" s="1">
        <f>+'CLOSING STOCK 31-03-24'!F19</f>
        <v>18377393</v>
      </c>
    </row>
    <row r="617" spans="2:20" ht="18">
      <c r="B617" s="1063" t="s">
        <v>969</v>
      </c>
      <c r="C617" s="24"/>
      <c r="D617" s="24"/>
      <c r="E617" s="24"/>
      <c r="F617" s="14"/>
      <c r="G617" s="96">
        <f>+G616/(G616+G626)</f>
        <v>0.27995070141905476</v>
      </c>
      <c r="H617" s="1146">
        <f>+H616/(H616+H626)</f>
        <v>0.33546893070860256</v>
      </c>
      <c r="I617" s="2020"/>
      <c r="J617" s="2020"/>
      <c r="K617" s="2020"/>
      <c r="L617" s="2020"/>
      <c r="M617" s="2020"/>
      <c r="N617" s="2020"/>
      <c r="O617" s="2020"/>
      <c r="P617" s="2020"/>
      <c r="Q617" s="2020"/>
      <c r="S617" t="s">
        <v>3143</v>
      </c>
      <c r="T617" s="1">
        <f>+G600</f>
        <v>81135916.489999995</v>
      </c>
    </row>
    <row r="618" spans="2:20" ht="18">
      <c r="B618" s="1049"/>
      <c r="C618" s="24"/>
      <c r="D618" s="24"/>
      <c r="E618" s="24"/>
      <c r="F618" s="14"/>
      <c r="G618" s="22"/>
      <c r="H618" s="1032"/>
      <c r="I618" s="21"/>
      <c r="J618" s="21"/>
      <c r="K618" s="21"/>
      <c r="L618" s="21"/>
      <c r="M618" s="21"/>
      <c r="N618" s="21"/>
      <c r="O618" s="21"/>
      <c r="P618" s="21"/>
      <c r="Q618" s="21"/>
      <c r="S618" t="s">
        <v>920</v>
      </c>
      <c r="T618" s="1">
        <f>-'CLOSING STOCK 31-03-24'!P18</f>
        <v>-5969450</v>
      </c>
    </row>
    <row r="619" spans="2:20" ht="18">
      <c r="B619" s="1141" t="s">
        <v>958</v>
      </c>
      <c r="C619" s="24"/>
      <c r="D619" s="24"/>
      <c r="E619" s="24"/>
      <c r="F619" s="14"/>
      <c r="G619" s="22"/>
      <c r="H619" s="1032"/>
      <c r="I619" s="21"/>
      <c r="J619" s="21"/>
      <c r="K619" s="21"/>
      <c r="L619" s="21"/>
      <c r="M619" s="21"/>
      <c r="N619" s="21"/>
      <c r="O619" s="21"/>
      <c r="P619" s="21"/>
      <c r="Q619" s="21"/>
      <c r="T619" s="1">
        <f>SUM(T616:T618)</f>
        <v>93543859.489999995</v>
      </c>
    </row>
    <row r="620" spans="2:20" ht="18">
      <c r="B620" s="1063" t="s">
        <v>968</v>
      </c>
      <c r="C620" s="24"/>
      <c r="D620" s="24"/>
      <c r="E620" s="24"/>
      <c r="F620" s="14"/>
      <c r="G620" s="22">
        <f>+G602</f>
        <v>0</v>
      </c>
      <c r="H620" s="2130">
        <v>626391</v>
      </c>
      <c r="I620" s="21"/>
      <c r="J620" s="21"/>
      <c r="K620" s="21"/>
      <c r="L620" s="21"/>
      <c r="M620" s="21"/>
      <c r="N620" s="21"/>
      <c r="O620" s="21"/>
      <c r="P620" s="21"/>
      <c r="Q620" s="21"/>
    </row>
    <row r="621" spans="2:20" ht="18">
      <c r="B621" s="1063" t="s">
        <v>969</v>
      </c>
      <c r="C621" s="24"/>
      <c r="D621" s="24"/>
      <c r="E621" s="24"/>
      <c r="F621" s="14"/>
      <c r="G621" s="96">
        <f>+G620/(G620+G634)</f>
        <v>0</v>
      </c>
      <c r="H621" s="1146">
        <f>+H620/(H620+H634)</f>
        <v>4.5735501367238807E-2</v>
      </c>
      <c r="I621" s="2020"/>
      <c r="J621" s="2020"/>
      <c r="K621" s="2020"/>
      <c r="L621" s="2020"/>
      <c r="M621" s="2020"/>
      <c r="N621" s="2020"/>
      <c r="O621" s="2020"/>
      <c r="P621" s="2020"/>
      <c r="Q621" s="2020"/>
    </row>
    <row r="622" spans="2:20" ht="18">
      <c r="B622" s="1049"/>
      <c r="C622" s="24"/>
      <c r="D622" s="24"/>
      <c r="E622" s="24"/>
      <c r="F622" s="14"/>
      <c r="G622" s="22"/>
      <c r="H622" s="1032"/>
      <c r="I622" s="21"/>
      <c r="J622" s="21"/>
      <c r="K622" s="21"/>
      <c r="L622" s="21"/>
      <c r="M622" s="21"/>
      <c r="N622" s="21"/>
      <c r="O622" s="21"/>
      <c r="P622" s="21"/>
      <c r="Q622" s="21"/>
    </row>
    <row r="623" spans="2:20" ht="18">
      <c r="B623" s="1145" t="s">
        <v>970</v>
      </c>
      <c r="C623" s="94"/>
      <c r="D623" s="94"/>
      <c r="E623" s="94"/>
      <c r="F623" s="95"/>
      <c r="G623" s="93"/>
      <c r="H623" s="1144"/>
      <c r="I623" s="2019"/>
      <c r="J623" s="2019"/>
      <c r="K623" s="2019"/>
      <c r="L623" s="2019"/>
      <c r="M623" s="2019"/>
      <c r="N623" s="2019"/>
      <c r="O623" s="2019"/>
      <c r="P623" s="2019"/>
      <c r="Q623" s="2019"/>
    </row>
    <row r="624" spans="2:20" ht="18">
      <c r="B624" s="1145" t="s">
        <v>967</v>
      </c>
      <c r="C624" s="94"/>
      <c r="D624" s="94"/>
      <c r="E624" s="94"/>
      <c r="F624" s="95"/>
      <c r="G624" s="93"/>
      <c r="H624" s="1144"/>
      <c r="I624" s="2019"/>
      <c r="J624" s="2019"/>
      <c r="K624" s="2019"/>
      <c r="L624" s="2019"/>
      <c r="M624" s="2019"/>
      <c r="N624" s="2019"/>
      <c r="O624" s="2019"/>
      <c r="P624" s="2019"/>
      <c r="Q624" s="2019"/>
    </row>
    <row r="625" spans="2:20" ht="18">
      <c r="B625" s="1141" t="s">
        <v>961</v>
      </c>
      <c r="C625" s="24"/>
      <c r="D625" s="24"/>
      <c r="E625" s="24"/>
      <c r="F625" s="14"/>
      <c r="G625" s="22"/>
      <c r="H625" s="1032"/>
      <c r="I625" s="21"/>
      <c r="J625" s="21"/>
      <c r="K625" s="21"/>
      <c r="L625" s="21"/>
      <c r="M625" s="21"/>
      <c r="N625" s="21"/>
      <c r="O625" s="21"/>
      <c r="P625" s="21"/>
      <c r="Q625" s="21"/>
    </row>
    <row r="626" spans="2:20" ht="18">
      <c r="B626" s="1063" t="s">
        <v>968</v>
      </c>
      <c r="C626" s="24"/>
      <c r="D626" s="24"/>
      <c r="E626" s="24"/>
      <c r="F626" s="14"/>
      <c r="G626" s="2187">
        <f>+T630</f>
        <v>240600184.5</v>
      </c>
      <c r="H626" s="2188">
        <v>504485893</v>
      </c>
      <c r="I626" s="21"/>
      <c r="J626" s="21"/>
      <c r="K626" s="21"/>
      <c r="L626" s="21"/>
      <c r="M626" s="21"/>
      <c r="N626" s="21"/>
      <c r="O626" s="21"/>
      <c r="P626" s="21"/>
      <c r="Q626" s="21"/>
      <c r="S626" t="s">
        <v>3144</v>
      </c>
    </row>
    <row r="627" spans="2:20" ht="18">
      <c r="B627" s="1063" t="s">
        <v>969</v>
      </c>
      <c r="C627" s="24"/>
      <c r="D627" s="24"/>
      <c r="E627" s="24"/>
      <c r="F627" s="14"/>
      <c r="G627" s="96">
        <f>+G626/(G616+G626)</f>
        <v>0.72004929858094524</v>
      </c>
      <c r="H627" s="1146">
        <f>+H626/(H616+H626)</f>
        <v>0.66453106929139749</v>
      </c>
      <c r="I627" s="2020"/>
      <c r="J627" s="2020"/>
      <c r="K627" s="2020"/>
      <c r="L627" s="2020"/>
      <c r="M627" s="2020"/>
      <c r="N627" s="2020"/>
      <c r="O627" s="2020"/>
      <c r="P627" s="2020"/>
      <c r="Q627" s="2020"/>
      <c r="S627" t="s">
        <v>251</v>
      </c>
      <c r="T627" s="1">
        <f>+'CLOSING STOCK 31-03-24'!F11</f>
        <v>1738506</v>
      </c>
    </row>
    <row r="628" spans="2:20" ht="18">
      <c r="B628" s="1049"/>
      <c r="C628" s="24"/>
      <c r="D628" s="24"/>
      <c r="E628" s="24"/>
      <c r="F628" s="14"/>
      <c r="G628" s="22"/>
      <c r="H628" s="1032"/>
      <c r="I628" s="21"/>
      <c r="J628" s="21"/>
      <c r="K628" s="21"/>
      <c r="L628" s="21"/>
      <c r="M628" s="21"/>
      <c r="N628" s="21"/>
      <c r="O628" s="21"/>
      <c r="P628" s="21"/>
      <c r="Q628" s="21"/>
      <c r="S628" t="s">
        <v>3143</v>
      </c>
      <c r="T628" s="1">
        <f>+GETPIVOTDATA("Sum of Dr. Final 23-24",Pivot!$A$1,"PARTICULARS","Waste Paper Purchase","Note",23,"BS Main Head","Raw Material Consumed","BS Sub Head","Raw Material Purchase")+GETPIVOTDATA("Sum of Dr. Final 23-24",Pivot!$A$1,"PARTICULARS","URD Purchase  on Waste Paper","Note",23,"BS Main Head","Raw Material Consumed","BS Sub Head","Raw Material Purchase")</f>
        <v>241290066.5</v>
      </c>
    </row>
    <row r="629" spans="2:20" ht="18">
      <c r="B629" s="1141" t="s">
        <v>962</v>
      </c>
      <c r="C629" s="24"/>
      <c r="D629" s="24"/>
      <c r="E629" s="24"/>
      <c r="F629" s="14"/>
      <c r="G629" s="22"/>
      <c r="H629" s="1032"/>
      <c r="I629" s="21"/>
      <c r="J629" s="21"/>
      <c r="K629" s="21"/>
      <c r="L629" s="21"/>
      <c r="M629" s="21"/>
      <c r="N629" s="21"/>
      <c r="O629" s="21"/>
      <c r="P629" s="21"/>
      <c r="Q629" s="21"/>
      <c r="S629" t="s">
        <v>920</v>
      </c>
      <c r="T629" s="1">
        <f>-'CLOSING STOCK 31-03-24'!P11</f>
        <v>-2428388</v>
      </c>
    </row>
    <row r="630" spans="2:20" ht="18">
      <c r="B630" s="1063" t="s">
        <v>968</v>
      </c>
      <c r="C630" s="24"/>
      <c r="D630" s="24"/>
      <c r="E630" s="24"/>
      <c r="F630" s="14"/>
      <c r="G630" s="2049">
        <f>+T636</f>
        <v>37737996.5</v>
      </c>
      <c r="H630" s="2057">
        <v>53861149</v>
      </c>
      <c r="I630" s="1997"/>
      <c r="J630" s="1997"/>
      <c r="K630" s="1997"/>
      <c r="L630" s="1997"/>
      <c r="M630" s="1997"/>
      <c r="N630" s="1997"/>
      <c r="O630" s="1997"/>
      <c r="P630" s="1997"/>
      <c r="Q630" s="1997"/>
      <c r="T630" s="1">
        <f>SUM(T627:T629)</f>
        <v>240600184.5</v>
      </c>
    </row>
    <row r="631" spans="2:20" ht="18">
      <c r="B631" s="1063" t="s">
        <v>969</v>
      </c>
      <c r="C631" s="24"/>
      <c r="D631" s="24"/>
      <c r="E631" s="24"/>
      <c r="F631" s="14"/>
      <c r="G631" s="96">
        <v>1</v>
      </c>
      <c r="H631" s="1146">
        <v>1</v>
      </c>
      <c r="I631" s="2020"/>
      <c r="J631" s="2020"/>
      <c r="K631" s="2020"/>
      <c r="L631" s="2020"/>
      <c r="M631" s="2020"/>
      <c r="N631" s="2020"/>
      <c r="O631" s="2020"/>
      <c r="P631" s="2020"/>
      <c r="Q631" s="2020"/>
    </row>
    <row r="632" spans="2:20" ht="18">
      <c r="B632" s="1049"/>
      <c r="C632" s="24"/>
      <c r="D632" s="24"/>
      <c r="E632" s="24"/>
      <c r="F632" s="14"/>
      <c r="G632" s="22"/>
      <c r="H632" s="1032"/>
      <c r="I632" s="21"/>
      <c r="J632" s="21"/>
      <c r="K632" s="21"/>
      <c r="L632" s="21"/>
      <c r="M632" s="21"/>
      <c r="N632" s="21"/>
      <c r="O632" s="21"/>
      <c r="P632" s="21"/>
      <c r="Q632" s="21"/>
      <c r="S632" t="s">
        <v>962</v>
      </c>
    </row>
    <row r="633" spans="2:20" ht="18">
      <c r="B633" s="1141" t="s">
        <v>958</v>
      </c>
      <c r="C633" s="24"/>
      <c r="D633" s="24"/>
      <c r="E633" s="24"/>
      <c r="F633" s="14"/>
      <c r="G633" s="22"/>
      <c r="H633" s="1032"/>
      <c r="I633" s="21"/>
      <c r="J633" s="21"/>
      <c r="K633" s="21"/>
      <c r="L633" s="21"/>
      <c r="M633" s="21"/>
      <c r="N633" s="21"/>
      <c r="O633" s="21"/>
      <c r="P633" s="21"/>
      <c r="Q633" s="21"/>
      <c r="S633" t="s">
        <v>251</v>
      </c>
      <c r="T633" s="1">
        <f>+'CLOSING STOCK 31-03-24'!F24</f>
        <v>1216175</v>
      </c>
    </row>
    <row r="634" spans="2:20" ht="18">
      <c r="B634" s="1063" t="s">
        <v>968</v>
      </c>
      <c r="C634" s="24"/>
      <c r="D634" s="24"/>
      <c r="E634" s="24"/>
      <c r="F634" s="14"/>
      <c r="G634" s="2049">
        <f>+G528</f>
        <v>11539309.399999999</v>
      </c>
      <c r="H634" s="2057">
        <v>13069555.939999998</v>
      </c>
      <c r="I634" s="1997"/>
      <c r="J634" s="1997"/>
      <c r="K634" s="1997"/>
      <c r="L634" s="1997"/>
      <c r="M634" s="1997"/>
      <c r="N634" s="1997"/>
      <c r="O634" s="1997"/>
      <c r="P634" s="1997"/>
      <c r="Q634" s="1997"/>
      <c r="S634" t="s">
        <v>3143</v>
      </c>
      <c r="T634" s="1">
        <f>+GETPIVOTDATA("Sum of Dr. Final 23-24",Pivot!$A$1,"PARTICULARS","Chemical Purchase","Note",23,"BS Main Head","Raw Material Consumed","BS Sub Head","Raw Material Purchase")+GETPIVOTDATA("Sum of Dr. Final 23-24",Pivot!$A$1,"PARTICULARS","Purchase Expenses : Chemical","Note",23,"BS Main Head","Raw Material Consumed","BS Sub Head","Raw Material Purchase")+GETPIVOTDATA("Sum of Dr. Final 23-24",Pivot!$A$1,"PARTICULARS","Other Charges : Chemical","Note",23,"BS Main Head","Raw Material Consumed","BS Sub Head","Raw Material Purchase")</f>
        <v>40051790.5</v>
      </c>
    </row>
    <row r="635" spans="2:20" ht="18">
      <c r="B635" s="1063" t="s">
        <v>969</v>
      </c>
      <c r="C635" s="24"/>
      <c r="D635" s="24"/>
      <c r="E635" s="24"/>
      <c r="F635" s="14"/>
      <c r="G635" s="96">
        <f>+G634/(G634+G620)</f>
        <v>1</v>
      </c>
      <c r="H635" s="1146">
        <f>+H634/(H634+H620)</f>
        <v>0.95426449863276119</v>
      </c>
      <c r="I635" s="2020"/>
      <c r="J635" s="2020"/>
      <c r="K635" s="2020"/>
      <c r="L635" s="2020"/>
      <c r="M635" s="2020"/>
      <c r="N635" s="2020"/>
      <c r="O635" s="2020"/>
      <c r="P635" s="2020"/>
      <c r="Q635" s="2020"/>
      <c r="S635" t="s">
        <v>920</v>
      </c>
      <c r="T635" s="1">
        <f>-'CLOSING STOCK 31-03-24'!P24</f>
        <v>-3529969</v>
      </c>
    </row>
    <row r="636" spans="2:20" ht="18">
      <c r="B636" s="1049"/>
      <c r="C636" s="24"/>
      <c r="D636" s="24"/>
      <c r="E636" s="24"/>
      <c r="F636" s="14"/>
      <c r="G636" s="22"/>
      <c r="H636" s="1032"/>
      <c r="I636" s="21"/>
      <c r="J636" s="21"/>
      <c r="K636" s="21"/>
      <c r="L636" s="21"/>
      <c r="M636" s="21"/>
      <c r="N636" s="21"/>
      <c r="O636" s="21"/>
      <c r="P636" s="21"/>
      <c r="Q636" s="21"/>
      <c r="T636" s="1">
        <f>SUM(T633:T635)</f>
        <v>37737996.5</v>
      </c>
    </row>
    <row r="637" spans="2:20" ht="18">
      <c r="B637" s="1049" t="s">
        <v>971</v>
      </c>
      <c r="C637" s="24"/>
      <c r="D637" s="24"/>
      <c r="E637" s="24"/>
      <c r="F637" s="14"/>
      <c r="G637" s="22"/>
      <c r="H637" s="1032"/>
      <c r="I637" s="21"/>
      <c r="J637" s="21"/>
      <c r="K637" s="21"/>
      <c r="L637" s="21"/>
      <c r="M637" s="21"/>
      <c r="N637" s="21"/>
      <c r="O637" s="21"/>
      <c r="P637" s="21"/>
      <c r="Q637" s="21"/>
    </row>
    <row r="638" spans="2:20" ht="18">
      <c r="B638" s="1049" t="s">
        <v>964</v>
      </c>
      <c r="C638" s="24"/>
      <c r="D638" s="24"/>
      <c r="E638" s="24"/>
      <c r="F638" s="14"/>
      <c r="G638" s="22"/>
      <c r="H638" s="1032"/>
      <c r="I638" s="21"/>
      <c r="J638" s="21"/>
      <c r="K638" s="21"/>
      <c r="L638" s="21"/>
      <c r="M638" s="21"/>
      <c r="N638" s="21"/>
      <c r="O638" s="21"/>
      <c r="P638" s="21"/>
      <c r="Q638" s="21"/>
    </row>
    <row r="639" spans="2:20" ht="18">
      <c r="B639" s="1141" t="s">
        <v>972</v>
      </c>
      <c r="C639" s="24"/>
      <c r="D639" s="24"/>
      <c r="E639" s="24"/>
      <c r="F639" s="14"/>
      <c r="G639" s="22"/>
      <c r="H639" s="1032"/>
      <c r="I639" s="21"/>
      <c r="J639" s="21"/>
      <c r="K639" s="21"/>
      <c r="L639" s="21"/>
      <c r="M639" s="21"/>
      <c r="N639" s="21"/>
      <c r="O639" s="21"/>
      <c r="P639" s="21"/>
      <c r="Q639" s="21"/>
    </row>
    <row r="640" spans="2:20" ht="18">
      <c r="B640" s="1063" t="s">
        <v>964</v>
      </c>
      <c r="C640" s="24"/>
      <c r="D640" s="24"/>
      <c r="E640" s="24"/>
      <c r="F640" s="14"/>
      <c r="G640" s="2159">
        <f>+G485</f>
        <v>579738206.39999998</v>
      </c>
      <c r="H640" s="2160">
        <v>1052317702.4200001</v>
      </c>
      <c r="I640" s="1997"/>
      <c r="J640" s="1997"/>
      <c r="K640" s="1997"/>
      <c r="L640" s="1997"/>
      <c r="M640" s="1997"/>
      <c r="N640" s="1997"/>
      <c r="O640" s="1997"/>
      <c r="P640" s="1997"/>
      <c r="Q640" s="1997"/>
    </row>
    <row r="641" spans="2:17" ht="18.600000000000001" thickBot="1">
      <c r="B641" s="1200"/>
      <c r="C641" s="1000"/>
      <c r="D641" s="1000"/>
      <c r="E641" s="1000"/>
      <c r="F641" s="1201"/>
      <c r="G641" s="1202"/>
      <c r="H641" s="1197"/>
      <c r="I641" s="21"/>
      <c r="J641" s="21"/>
      <c r="K641" s="21"/>
      <c r="L641" s="21"/>
      <c r="M641" s="21"/>
      <c r="N641" s="21"/>
      <c r="O641" s="21"/>
      <c r="P641" s="21"/>
      <c r="Q641" s="21"/>
    </row>
    <row r="642" spans="2:17" ht="18">
      <c r="B642" s="2274" t="s">
        <v>702</v>
      </c>
      <c r="C642" s="2275"/>
      <c r="D642" s="2275"/>
      <c r="E642" s="2275"/>
      <c r="F642" s="2275"/>
      <c r="G642" s="2275"/>
      <c r="H642" s="2276"/>
      <c r="I642" s="1879"/>
      <c r="J642" s="1879"/>
      <c r="K642" s="1879"/>
      <c r="L642" s="1879"/>
      <c r="M642" s="1879"/>
      <c r="N642" s="1879"/>
      <c r="O642" s="1879"/>
      <c r="P642" s="1879"/>
      <c r="Q642" s="1879"/>
    </row>
    <row r="643" spans="2:17" ht="18">
      <c r="B643" s="2251" t="s">
        <v>3056</v>
      </c>
      <c r="C643" s="2252"/>
      <c r="D643" s="2252"/>
      <c r="E643" s="2252"/>
      <c r="F643" s="2252"/>
      <c r="G643" s="2252"/>
      <c r="H643" s="2253"/>
      <c r="I643" s="1879"/>
      <c r="J643" s="1879"/>
      <c r="K643" s="1879"/>
      <c r="L643" s="1879"/>
      <c r="M643" s="1879"/>
      <c r="N643" s="1879"/>
      <c r="O643" s="1879"/>
      <c r="P643" s="1879"/>
      <c r="Q643" s="1879"/>
    </row>
    <row r="644" spans="2:17" ht="18">
      <c r="B644" s="996"/>
      <c r="C644" s="24"/>
      <c r="D644" s="24"/>
      <c r="E644" s="24"/>
      <c r="F644" s="80"/>
      <c r="G644" s="1004" t="s">
        <v>756</v>
      </c>
      <c r="H644" s="1005" t="s">
        <v>756</v>
      </c>
      <c r="I644" s="1996"/>
      <c r="J644" s="1996"/>
      <c r="K644" s="1996"/>
      <c r="L644" s="1996"/>
      <c r="M644" s="1996"/>
      <c r="N644" s="1996"/>
      <c r="O644" s="1996"/>
      <c r="P644" s="1996"/>
      <c r="Q644" s="1996"/>
    </row>
    <row r="645" spans="2:17" ht="18">
      <c r="B645" s="1076" t="s">
        <v>2661</v>
      </c>
      <c r="C645" s="24"/>
      <c r="D645" s="24"/>
      <c r="E645" s="24"/>
      <c r="F645" s="14"/>
      <c r="G645" s="6" t="str">
        <f>+G7</f>
        <v>March 31, 2024 (₹)</v>
      </c>
      <c r="H645" s="1007" t="str">
        <f>+H7</f>
        <v>March 31, 2023 (₹)</v>
      </c>
      <c r="I645" s="103"/>
      <c r="J645" s="103"/>
      <c r="K645" s="103"/>
      <c r="L645" s="103"/>
      <c r="M645" s="103"/>
      <c r="N645" s="103"/>
      <c r="O645" s="103"/>
      <c r="P645" s="103"/>
      <c r="Q645" s="103"/>
    </row>
    <row r="646" spans="2:17" ht="18">
      <c r="B646" s="1063" t="s">
        <v>973</v>
      </c>
      <c r="C646" s="24"/>
      <c r="D646" s="24"/>
      <c r="E646" s="24"/>
      <c r="F646" s="14"/>
      <c r="G646" s="2049">
        <f>+G540</f>
        <v>275000</v>
      </c>
      <c r="H646" s="2057">
        <f>+H540</f>
        <v>275000</v>
      </c>
      <c r="I646" s="1874"/>
      <c r="J646" s="1874"/>
      <c r="K646" s="1874"/>
      <c r="L646" s="1874"/>
      <c r="M646" s="1874"/>
      <c r="N646" s="1874"/>
      <c r="O646" s="1874"/>
      <c r="P646" s="1874"/>
      <c r="Q646" s="1874"/>
    </row>
    <row r="647" spans="2:17" ht="18">
      <c r="B647" s="1063" t="s">
        <v>57</v>
      </c>
      <c r="C647" s="24"/>
      <c r="D647" s="24"/>
      <c r="E647" s="24"/>
      <c r="F647" s="14"/>
      <c r="G647" s="1856">
        <v>0</v>
      </c>
      <c r="H647" s="2070">
        <v>0</v>
      </c>
      <c r="I647" s="1874"/>
      <c r="J647" s="1874"/>
      <c r="K647" s="1874"/>
      <c r="L647" s="1874"/>
      <c r="M647" s="1874"/>
      <c r="N647" s="1874"/>
      <c r="O647" s="1874"/>
      <c r="P647" s="1874"/>
      <c r="Q647" s="1874"/>
    </row>
    <row r="648" spans="2:17" ht="18">
      <c r="B648" s="1063"/>
      <c r="C648" s="24"/>
      <c r="D648" s="24"/>
      <c r="E648" s="24"/>
      <c r="F648" s="14"/>
      <c r="G648" s="2067">
        <f>+G646+G647</f>
        <v>275000</v>
      </c>
      <c r="H648" s="2068">
        <f>+H646+H647</f>
        <v>275000</v>
      </c>
      <c r="I648" s="1874"/>
      <c r="J648" s="1874"/>
      <c r="K648" s="1874"/>
      <c r="L648" s="1874"/>
      <c r="M648" s="1874"/>
      <c r="N648" s="1874"/>
      <c r="O648" s="1874"/>
      <c r="P648" s="1874"/>
      <c r="Q648" s="1874"/>
    </row>
    <row r="649" spans="2:17" ht="18">
      <c r="B649" s="1063"/>
      <c r="C649" s="24"/>
      <c r="D649" s="24"/>
      <c r="E649" s="24"/>
      <c r="F649" s="1508"/>
      <c r="G649" s="1132"/>
      <c r="H649" s="1133"/>
      <c r="I649" s="21"/>
      <c r="J649" s="21"/>
      <c r="K649" s="21"/>
      <c r="L649" s="21"/>
      <c r="M649" s="21"/>
      <c r="N649" s="21"/>
      <c r="O649" s="21"/>
      <c r="P649" s="21"/>
      <c r="Q649" s="21"/>
    </row>
    <row r="650" spans="2:17" ht="18">
      <c r="B650" s="1114" t="s">
        <v>2662</v>
      </c>
      <c r="C650" s="24"/>
      <c r="D650" s="24"/>
      <c r="E650" s="24"/>
      <c r="F650" s="1508"/>
      <c r="G650" s="66"/>
      <c r="H650" s="1103"/>
      <c r="I650" s="21"/>
      <c r="J650" s="21"/>
      <c r="K650" s="21"/>
      <c r="L650" s="21"/>
      <c r="M650" s="21"/>
      <c r="N650" s="21"/>
      <c r="O650" s="21"/>
      <c r="P650" s="21"/>
      <c r="Q650" s="21"/>
    </row>
    <row r="651" spans="2:17" ht="18">
      <c r="B651" s="1063" t="s">
        <v>2752</v>
      </c>
      <c r="C651" s="24"/>
      <c r="D651" s="24"/>
      <c r="E651" s="24"/>
      <c r="F651" s="1508"/>
      <c r="G651" s="1004" t="s">
        <v>756</v>
      </c>
      <c r="H651" s="1005" t="s">
        <v>756</v>
      </c>
      <c r="I651" s="1996"/>
      <c r="J651" s="1996"/>
      <c r="K651" s="1996"/>
      <c r="L651" s="1996"/>
      <c r="M651" s="1996"/>
      <c r="N651" s="1996"/>
      <c r="O651" s="1996"/>
      <c r="P651" s="1996"/>
      <c r="Q651" s="1996"/>
    </row>
    <row r="652" spans="2:17" ht="18">
      <c r="B652" s="1477" t="s">
        <v>463</v>
      </c>
      <c r="C652" s="1117"/>
      <c r="D652" s="1117"/>
      <c r="E652" s="1147"/>
      <c r="F652" s="1435" t="s">
        <v>974</v>
      </c>
      <c r="G652" s="6" t="str">
        <f>+G645</f>
        <v>March 31, 2024 (₹)</v>
      </c>
      <c r="H652" s="1007" t="str">
        <f>+H645</f>
        <v>March 31, 2023 (₹)</v>
      </c>
      <c r="I652" s="103"/>
      <c r="J652" s="103"/>
      <c r="K652" s="103"/>
      <c r="L652" s="103"/>
      <c r="M652" s="103"/>
      <c r="N652" s="103"/>
      <c r="O652" s="103"/>
      <c r="P652" s="103"/>
      <c r="Q652" s="103"/>
    </row>
    <row r="653" spans="2:17" ht="18">
      <c r="B653" s="1049" t="s">
        <v>13</v>
      </c>
      <c r="C653" s="24"/>
      <c r="D653" s="24"/>
      <c r="E653" s="24"/>
      <c r="F653" s="97"/>
      <c r="G653" s="10"/>
      <c r="H653" s="1013"/>
      <c r="I653" s="103"/>
      <c r="J653" s="103"/>
      <c r="K653" s="103"/>
      <c r="L653" s="103"/>
      <c r="M653" s="103"/>
      <c r="N653" s="103"/>
      <c r="O653" s="103"/>
      <c r="P653" s="103"/>
      <c r="Q653" s="103"/>
    </row>
    <row r="654" spans="2:17" ht="18">
      <c r="B654" s="1063" t="s">
        <v>975</v>
      </c>
      <c r="C654" s="24"/>
      <c r="D654" s="24"/>
      <c r="E654" s="24"/>
      <c r="F654" s="98">
        <v>6</v>
      </c>
      <c r="G654" s="2049">
        <f t="shared" ref="G654:H656" si="10">+G20</f>
        <v>81160771.019999996</v>
      </c>
      <c r="H654" s="2160">
        <f t="shared" si="10"/>
        <v>115802242.14</v>
      </c>
      <c r="I654" s="1997"/>
      <c r="J654" s="1997"/>
      <c r="K654" s="1997"/>
      <c r="L654" s="1997"/>
      <c r="M654" s="1997"/>
      <c r="N654" s="1997"/>
      <c r="O654" s="1997"/>
      <c r="P654" s="1997"/>
      <c r="Q654" s="1997"/>
    </row>
    <row r="655" spans="2:17" ht="18">
      <c r="B655" s="1063" t="s">
        <v>976</v>
      </c>
      <c r="C655" s="24"/>
      <c r="D655" s="24"/>
      <c r="E655" s="24"/>
      <c r="F655" s="98">
        <v>7</v>
      </c>
      <c r="G655" s="2049">
        <f t="shared" si="10"/>
        <v>279466.64</v>
      </c>
      <c r="H655" s="2057">
        <f t="shared" si="10"/>
        <v>239775.64</v>
      </c>
      <c r="I655" s="1997"/>
      <c r="J655" s="1997"/>
      <c r="K655" s="1997"/>
      <c r="L655" s="1997"/>
      <c r="M655" s="1997"/>
      <c r="N655" s="1997"/>
      <c r="O655" s="1997"/>
      <c r="P655" s="1997"/>
      <c r="Q655" s="1997"/>
    </row>
    <row r="656" spans="2:17" ht="18">
      <c r="B656" s="1063" t="s">
        <v>2894</v>
      </c>
      <c r="C656" s="24"/>
      <c r="D656" s="24"/>
      <c r="E656" s="24"/>
      <c r="F656" s="98">
        <v>8</v>
      </c>
      <c r="G656" s="2073">
        <f t="shared" si="10"/>
        <v>7407950.3599999994</v>
      </c>
      <c r="H656" s="2074">
        <f t="shared" si="10"/>
        <v>10949791.359999999</v>
      </c>
      <c r="I656" s="21"/>
      <c r="J656" s="21"/>
      <c r="K656" s="21"/>
      <c r="L656" s="21"/>
      <c r="M656" s="21"/>
      <c r="N656" s="21"/>
      <c r="O656" s="21"/>
      <c r="P656" s="21"/>
      <c r="Q656" s="21"/>
    </row>
    <row r="657" spans="2:17" ht="18">
      <c r="B657" s="1063"/>
      <c r="C657" s="24"/>
      <c r="D657" s="24"/>
      <c r="E657" s="24"/>
      <c r="F657" s="98"/>
      <c r="G657" s="2116">
        <f>+SUM(G654:G656)</f>
        <v>88848188.019999996</v>
      </c>
      <c r="H657" s="2189">
        <f>+SUM(H654:H656)</f>
        <v>126991809.14</v>
      </c>
      <c r="I657" s="26"/>
      <c r="J657" s="26"/>
      <c r="K657" s="26"/>
      <c r="L657" s="26"/>
      <c r="M657" s="26"/>
      <c r="N657" s="26"/>
      <c r="O657" s="26"/>
      <c r="P657" s="26"/>
      <c r="Q657" s="26"/>
    </row>
    <row r="658" spans="2:17" ht="18">
      <c r="B658" s="1049" t="s">
        <v>726</v>
      </c>
      <c r="C658" s="24"/>
      <c r="D658" s="24"/>
      <c r="E658" s="24"/>
      <c r="F658" s="98"/>
      <c r="G658" s="2109"/>
      <c r="H658" s="2100"/>
      <c r="I658" s="26"/>
      <c r="J658" s="26"/>
      <c r="K658" s="26"/>
      <c r="L658" s="26"/>
      <c r="M658" s="26"/>
      <c r="N658" s="26"/>
      <c r="O658" s="26"/>
      <c r="P658" s="26"/>
      <c r="Q658" s="26"/>
    </row>
    <row r="659" spans="2:17" ht="18">
      <c r="B659" s="1063" t="s">
        <v>977</v>
      </c>
      <c r="C659" s="24"/>
      <c r="D659" s="24"/>
      <c r="E659" s="24"/>
      <c r="F659" s="98">
        <v>15</v>
      </c>
      <c r="G659" s="2190">
        <f t="shared" ref="G659:H661" si="11">+G42</f>
        <v>114945991.02</v>
      </c>
      <c r="H659" s="2191">
        <f t="shared" si="11"/>
        <v>101274693.28</v>
      </c>
      <c r="I659" s="21"/>
      <c r="J659" s="21"/>
      <c r="K659" s="21"/>
      <c r="L659" s="21"/>
      <c r="M659" s="21"/>
      <c r="N659" s="21"/>
      <c r="O659" s="21"/>
      <c r="P659" s="21"/>
      <c r="Q659" s="21"/>
    </row>
    <row r="660" spans="2:17" ht="18">
      <c r="B660" s="1063" t="s">
        <v>978</v>
      </c>
      <c r="C660" s="24"/>
      <c r="D660" s="24"/>
      <c r="E660" s="24"/>
      <c r="F660" s="98">
        <v>16</v>
      </c>
      <c r="G660" s="2190">
        <f t="shared" si="11"/>
        <v>109494915.47000001</v>
      </c>
      <c r="H660" s="2074">
        <f t="shared" si="11"/>
        <v>91597921.990151003</v>
      </c>
      <c r="I660" s="21"/>
      <c r="J660" s="21"/>
      <c r="K660" s="21"/>
      <c r="L660" s="21"/>
      <c r="M660" s="21"/>
      <c r="N660" s="21"/>
      <c r="O660" s="21"/>
      <c r="P660" s="21"/>
      <c r="Q660" s="21"/>
    </row>
    <row r="661" spans="2:17" ht="18">
      <c r="B661" s="1063" t="s">
        <v>979</v>
      </c>
      <c r="C661" s="24"/>
      <c r="D661" s="24"/>
      <c r="E661" s="24"/>
      <c r="F661" s="98">
        <v>17</v>
      </c>
      <c r="G661" s="2073">
        <f t="shared" si="11"/>
        <v>2576739</v>
      </c>
      <c r="H661" s="2074">
        <f t="shared" si="11"/>
        <v>6397608</v>
      </c>
      <c r="I661" s="21"/>
      <c r="J661" s="21"/>
      <c r="K661" s="21"/>
      <c r="L661" s="21"/>
      <c r="M661" s="21"/>
      <c r="N661" s="21"/>
      <c r="O661" s="21"/>
      <c r="P661" s="21"/>
      <c r="Q661" s="21"/>
    </row>
    <row r="662" spans="2:17" ht="18">
      <c r="B662" s="2308" t="s">
        <v>824</v>
      </c>
      <c r="C662" s="2309"/>
      <c r="D662" s="2309"/>
      <c r="E662" s="2309"/>
      <c r="F662" s="2310"/>
      <c r="G662" s="2192">
        <f>+SUM(G659:G661)</f>
        <v>227017645.49000001</v>
      </c>
      <c r="H662" s="2189">
        <f>+SUM(H659:H661)</f>
        <v>199270223.27015102</v>
      </c>
      <c r="I662" s="26"/>
      <c r="J662" s="26"/>
      <c r="K662" s="26"/>
      <c r="L662" s="26"/>
      <c r="M662" s="26"/>
      <c r="N662" s="26"/>
      <c r="O662" s="26"/>
      <c r="P662" s="26"/>
      <c r="Q662" s="26"/>
    </row>
    <row r="663" spans="2:17" ht="18">
      <c r="B663" s="1049" t="s">
        <v>980</v>
      </c>
      <c r="C663" s="24"/>
      <c r="D663" s="24"/>
      <c r="E663" s="24"/>
      <c r="F663" s="1556"/>
      <c r="G663" s="26"/>
      <c r="H663" s="1034"/>
      <c r="I663" s="26"/>
      <c r="J663" s="26"/>
      <c r="K663" s="26"/>
      <c r="L663" s="26"/>
      <c r="M663" s="26"/>
      <c r="N663" s="26"/>
      <c r="O663" s="26"/>
      <c r="P663" s="26"/>
      <c r="Q663" s="26"/>
    </row>
    <row r="664" spans="2:17" ht="35.25" customHeight="1">
      <c r="B664" s="2291" t="s">
        <v>981</v>
      </c>
      <c r="C664" s="2292"/>
      <c r="D664" s="2292"/>
      <c r="E664" s="2292"/>
      <c r="F664" s="2292"/>
      <c r="G664" s="2292"/>
      <c r="H664" s="2293"/>
      <c r="I664" s="99"/>
      <c r="J664" s="99"/>
      <c r="K664" s="99"/>
      <c r="L664" s="99"/>
      <c r="M664" s="99"/>
      <c r="N664" s="99"/>
      <c r="O664" s="99"/>
      <c r="P664" s="99"/>
      <c r="Q664" s="99"/>
    </row>
    <row r="665" spans="2:17" ht="18">
      <c r="B665" s="1049" t="s">
        <v>982</v>
      </c>
      <c r="C665" s="24"/>
      <c r="D665" s="24"/>
      <c r="E665" s="24"/>
      <c r="F665" s="1556"/>
      <c r="G665" s="26"/>
      <c r="H665" s="1034"/>
      <c r="I665" s="26"/>
      <c r="J665" s="26"/>
      <c r="K665" s="26"/>
      <c r="L665" s="26"/>
      <c r="M665" s="26"/>
      <c r="N665" s="26"/>
      <c r="O665" s="26"/>
      <c r="P665" s="26"/>
      <c r="Q665" s="26"/>
    </row>
    <row r="666" spans="2:17" ht="92.25" customHeight="1">
      <c r="B666" s="2291" t="s">
        <v>983</v>
      </c>
      <c r="C666" s="2292"/>
      <c r="D666" s="2292"/>
      <c r="E666" s="2292"/>
      <c r="F666" s="2292"/>
      <c r="G666" s="2292"/>
      <c r="H666" s="2293"/>
      <c r="I666" s="99"/>
      <c r="J666" s="99"/>
      <c r="K666" s="99"/>
      <c r="L666" s="99"/>
      <c r="M666" s="99"/>
      <c r="N666" s="99"/>
      <c r="O666" s="99"/>
      <c r="P666" s="99"/>
      <c r="Q666" s="99"/>
    </row>
    <row r="667" spans="2:17" ht="18">
      <c r="B667" s="1049" t="s">
        <v>984</v>
      </c>
      <c r="C667" s="24"/>
      <c r="D667" s="24"/>
      <c r="E667" s="24"/>
      <c r="F667" s="1556"/>
      <c r="G667" s="26"/>
      <c r="H667" s="1034"/>
      <c r="I667" s="26"/>
      <c r="J667" s="26"/>
      <c r="K667" s="26"/>
      <c r="L667" s="26"/>
      <c r="M667" s="26"/>
      <c r="N667" s="26"/>
      <c r="O667" s="26"/>
      <c r="P667" s="26"/>
      <c r="Q667" s="26"/>
    </row>
    <row r="668" spans="2:17" ht="18">
      <c r="B668" s="1063" t="s">
        <v>985</v>
      </c>
      <c r="C668" s="24"/>
      <c r="D668" s="24"/>
      <c r="E668" s="24"/>
      <c r="F668" s="1556"/>
      <c r="G668" s="26"/>
      <c r="H668" s="1034"/>
      <c r="I668" s="26"/>
      <c r="J668" s="26"/>
      <c r="K668" s="26"/>
      <c r="L668" s="26"/>
      <c r="M668" s="26"/>
      <c r="N668" s="26"/>
      <c r="O668" s="26"/>
      <c r="P668" s="26"/>
      <c r="Q668" s="26"/>
    </row>
    <row r="669" spans="2:17" ht="57" customHeight="1">
      <c r="B669" s="2291" t="s">
        <v>986</v>
      </c>
      <c r="C669" s="2292"/>
      <c r="D669" s="2292"/>
      <c r="E669" s="2292"/>
      <c r="F669" s="2292"/>
      <c r="G669" s="2292"/>
      <c r="H669" s="2293"/>
      <c r="I669" s="99"/>
      <c r="J669" s="99"/>
      <c r="K669" s="99"/>
      <c r="L669" s="99"/>
      <c r="M669" s="99"/>
      <c r="N669" s="99"/>
      <c r="O669" s="99"/>
      <c r="P669" s="99"/>
      <c r="Q669" s="99"/>
    </row>
    <row r="670" spans="2:17" ht="19.5" customHeight="1">
      <c r="B670" s="1101" t="s">
        <v>987</v>
      </c>
      <c r="C670" s="99"/>
      <c r="D670" s="99"/>
      <c r="E670" s="99"/>
      <c r="F670" s="99"/>
      <c r="G670" s="99"/>
      <c r="H670" s="1148"/>
      <c r="I670" s="99"/>
      <c r="J670" s="99"/>
      <c r="K670" s="99"/>
      <c r="L670" s="99"/>
      <c r="M670" s="99"/>
      <c r="N670" s="99"/>
      <c r="O670" s="99"/>
      <c r="P670" s="99"/>
      <c r="Q670" s="99"/>
    </row>
    <row r="671" spans="2:17" ht="54" customHeight="1">
      <c r="B671" s="2303" t="s">
        <v>988</v>
      </c>
      <c r="C671" s="2304"/>
      <c r="D671" s="2304"/>
      <c r="E671" s="2304"/>
      <c r="F671" s="2304"/>
      <c r="G671" s="2304"/>
      <c r="H671" s="2305"/>
      <c r="I671" s="94"/>
      <c r="J671" s="94"/>
      <c r="K671" s="94"/>
      <c r="L671" s="94"/>
      <c r="M671" s="94"/>
      <c r="N671" s="94"/>
      <c r="O671" s="94"/>
      <c r="P671" s="94"/>
      <c r="Q671" s="94"/>
    </row>
    <row r="672" spans="2:17" ht="37.5" customHeight="1">
      <c r="B672" s="2303" t="s">
        <v>989</v>
      </c>
      <c r="C672" s="2304"/>
      <c r="D672" s="2304"/>
      <c r="E672" s="2304"/>
      <c r="F672" s="2304"/>
      <c r="G672" s="2304"/>
      <c r="H672" s="2305"/>
      <c r="I672" s="94"/>
      <c r="J672" s="94"/>
      <c r="K672" s="94"/>
      <c r="L672" s="94"/>
      <c r="M672" s="94"/>
      <c r="N672" s="94"/>
      <c r="O672" s="94"/>
      <c r="P672" s="94"/>
      <c r="Q672" s="94"/>
    </row>
    <row r="673" spans="2:17" ht="72.75" customHeight="1">
      <c r="B673" s="2291" t="s">
        <v>2895</v>
      </c>
      <c r="C673" s="2292"/>
      <c r="D673" s="2292"/>
      <c r="E673" s="2292"/>
      <c r="F673" s="2292"/>
      <c r="G673" s="2292"/>
      <c r="H673" s="2293"/>
      <c r="I673" s="99"/>
      <c r="J673" s="99"/>
      <c r="K673" s="99"/>
      <c r="L673" s="99"/>
      <c r="M673" s="99"/>
      <c r="N673" s="99"/>
      <c r="O673" s="99"/>
      <c r="P673" s="99"/>
      <c r="Q673" s="99"/>
    </row>
    <row r="674" spans="2:17" ht="37.950000000000003" customHeight="1">
      <c r="B674" s="2291" t="s">
        <v>990</v>
      </c>
      <c r="C674" s="2292"/>
      <c r="D674" s="2292"/>
      <c r="E674" s="2292"/>
      <c r="F674" s="2292"/>
      <c r="G674" s="2292"/>
      <c r="H674" s="2293"/>
      <c r="I674" s="99"/>
      <c r="J674" s="99"/>
      <c r="K674" s="99"/>
      <c r="L674" s="99"/>
      <c r="M674" s="99"/>
      <c r="N674" s="99"/>
      <c r="O674" s="99"/>
      <c r="P674" s="99"/>
      <c r="Q674" s="99"/>
    </row>
    <row r="675" spans="2:17" ht="57.75" customHeight="1">
      <c r="B675" s="2291" t="s">
        <v>2896</v>
      </c>
      <c r="C675" s="2292"/>
      <c r="D675" s="2292"/>
      <c r="E675" s="2292"/>
      <c r="F675" s="2292"/>
      <c r="G675" s="2292"/>
      <c r="H675" s="2293"/>
      <c r="I675" s="99"/>
      <c r="J675" s="99"/>
      <c r="K675" s="99"/>
      <c r="L675" s="99"/>
      <c r="M675" s="99"/>
      <c r="N675" s="99"/>
      <c r="O675" s="99"/>
      <c r="P675" s="99"/>
      <c r="Q675" s="99"/>
    </row>
    <row r="676" spans="2:17" ht="38.25" customHeight="1">
      <c r="B676" s="2291" t="s">
        <v>991</v>
      </c>
      <c r="C676" s="2292"/>
      <c r="D676" s="2292"/>
      <c r="E676" s="2292"/>
      <c r="F676" s="2292"/>
      <c r="G676" s="2292"/>
      <c r="H676" s="2293"/>
      <c r="I676" s="99"/>
      <c r="J676" s="99"/>
      <c r="K676" s="99"/>
      <c r="L676" s="99"/>
      <c r="M676" s="99"/>
      <c r="N676" s="99"/>
      <c r="O676" s="99"/>
      <c r="P676" s="99"/>
      <c r="Q676" s="99"/>
    </row>
    <row r="677" spans="2:17" ht="56.25" customHeight="1">
      <c r="B677" s="2291" t="s">
        <v>992</v>
      </c>
      <c r="C677" s="2292"/>
      <c r="D677" s="2292"/>
      <c r="E677" s="2292"/>
      <c r="F677" s="2292"/>
      <c r="G677" s="2292"/>
      <c r="H677" s="2293"/>
      <c r="I677" s="99"/>
      <c r="J677" s="99"/>
      <c r="K677" s="99"/>
      <c r="L677" s="99"/>
      <c r="M677" s="99"/>
      <c r="N677" s="99"/>
      <c r="O677" s="99"/>
      <c r="P677" s="99"/>
      <c r="Q677" s="99"/>
    </row>
    <row r="678" spans="2:17" ht="18">
      <c r="B678" s="1145" t="s">
        <v>993</v>
      </c>
      <c r="C678" s="99"/>
      <c r="D678" s="99"/>
      <c r="E678" s="99"/>
      <c r="F678" s="99"/>
      <c r="G678" s="99"/>
      <c r="H678" s="1148"/>
      <c r="I678" s="99"/>
      <c r="J678" s="99"/>
      <c r="K678" s="99"/>
      <c r="L678" s="99"/>
      <c r="M678" s="99"/>
      <c r="N678" s="99"/>
      <c r="O678" s="99"/>
      <c r="P678" s="99"/>
      <c r="Q678" s="99"/>
    </row>
    <row r="679" spans="2:17" ht="52.5" customHeight="1">
      <c r="B679" s="2291" t="s">
        <v>994</v>
      </c>
      <c r="C679" s="2292"/>
      <c r="D679" s="2292"/>
      <c r="E679" s="2292"/>
      <c r="F679" s="2292"/>
      <c r="G679" s="2292"/>
      <c r="H679" s="2293"/>
      <c r="I679" s="99"/>
      <c r="J679" s="99"/>
      <c r="K679" s="99"/>
      <c r="L679" s="99"/>
      <c r="M679" s="99"/>
      <c r="N679" s="99"/>
      <c r="O679" s="99"/>
      <c r="P679" s="99"/>
      <c r="Q679" s="99"/>
    </row>
    <row r="680" spans="2:17" ht="18">
      <c r="B680" s="1570" t="s">
        <v>995</v>
      </c>
      <c r="C680" s="1149"/>
      <c r="D680" s="1149"/>
      <c r="E680" s="1149"/>
      <c r="F680" s="1150"/>
      <c r="G680" s="1004" t="s">
        <v>756</v>
      </c>
      <c r="H680" s="1005" t="s">
        <v>756</v>
      </c>
      <c r="I680" s="1996"/>
      <c r="J680" s="1996"/>
      <c r="K680" s="1996"/>
      <c r="L680" s="1996"/>
      <c r="M680" s="1996"/>
      <c r="N680" s="1996"/>
      <c r="O680" s="1996"/>
      <c r="P680" s="1996"/>
      <c r="Q680" s="1996"/>
    </row>
    <row r="681" spans="2:17" ht="18">
      <c r="B681" s="1036"/>
      <c r="C681" s="44"/>
      <c r="D681" s="44"/>
      <c r="E681" s="44"/>
      <c r="F681" s="100"/>
      <c r="G681" s="6" t="str">
        <f>+G652</f>
        <v>March 31, 2024 (₹)</v>
      </c>
      <c r="H681" s="1007" t="str">
        <f>+H652</f>
        <v>March 31, 2023 (₹)</v>
      </c>
      <c r="I681" s="103"/>
      <c r="J681" s="103"/>
      <c r="K681" s="103"/>
      <c r="L681" s="103"/>
      <c r="M681" s="103"/>
      <c r="N681" s="103"/>
      <c r="O681" s="103"/>
      <c r="P681" s="103"/>
      <c r="Q681" s="103"/>
    </row>
    <row r="682" spans="2:17" ht="18">
      <c r="B682" s="1063" t="s">
        <v>996</v>
      </c>
      <c r="C682" s="24"/>
      <c r="D682" s="24"/>
      <c r="E682" s="24"/>
      <c r="F682" s="101"/>
      <c r="G682" s="2049">
        <f>+G378+G386</f>
        <v>67361089</v>
      </c>
      <c r="H682" s="2057">
        <f>+H378+H386</f>
        <v>61781526.090000004</v>
      </c>
      <c r="I682" s="1997"/>
      <c r="J682" s="1997"/>
      <c r="K682" s="1997"/>
      <c r="L682" s="1997"/>
      <c r="M682" s="1997"/>
      <c r="N682" s="1997"/>
      <c r="O682" s="1997"/>
      <c r="P682" s="1997"/>
      <c r="Q682" s="1997"/>
    </row>
    <row r="683" spans="2:17" ht="18">
      <c r="B683" s="1063" t="s">
        <v>997</v>
      </c>
      <c r="C683" s="24"/>
      <c r="D683" s="24"/>
      <c r="E683" s="24"/>
      <c r="F683" s="101"/>
      <c r="G683" s="2049">
        <f>+G426</f>
        <v>89643931.159999996</v>
      </c>
      <c r="H683" s="2057">
        <f>+H426</f>
        <v>78274677.280000001</v>
      </c>
      <c r="I683" s="1997"/>
      <c r="J683" s="1997"/>
      <c r="K683" s="1997"/>
      <c r="L683" s="1997"/>
      <c r="M683" s="1997"/>
      <c r="N683" s="1997"/>
      <c r="O683" s="1997"/>
      <c r="P683" s="1997"/>
      <c r="Q683" s="1997"/>
    </row>
    <row r="684" spans="2:17" ht="18">
      <c r="B684" s="1036" t="s">
        <v>998</v>
      </c>
      <c r="C684" s="44"/>
      <c r="D684" s="44"/>
      <c r="E684" s="44"/>
      <c r="F684" s="100"/>
      <c r="G684" s="2049">
        <f>+G422+G423</f>
        <v>25302059.859999999</v>
      </c>
      <c r="H684" s="2057">
        <f>+H422+H423</f>
        <v>23000016</v>
      </c>
      <c r="I684" s="1997"/>
      <c r="J684" s="1997"/>
      <c r="K684" s="1997"/>
      <c r="L684" s="1997"/>
      <c r="M684" s="1997"/>
      <c r="N684" s="1997"/>
      <c r="O684" s="1997"/>
      <c r="P684" s="1997"/>
      <c r="Q684" s="1997"/>
    </row>
    <row r="685" spans="2:17" ht="18.600000000000001" thickBot="1">
      <c r="B685" s="2297" t="s">
        <v>824</v>
      </c>
      <c r="C685" s="2298"/>
      <c r="D685" s="2298"/>
      <c r="E685" s="2298"/>
      <c r="F685" s="2299"/>
      <c r="G685" s="2193">
        <f>+SUM(G682:G684)</f>
        <v>182307080.01999998</v>
      </c>
      <c r="H685" s="2194">
        <f>+SUM(H682:H684)</f>
        <v>163056219.37</v>
      </c>
      <c r="I685" s="103"/>
      <c r="J685" s="103"/>
      <c r="K685" s="103"/>
      <c r="L685" s="103"/>
      <c r="M685" s="103"/>
      <c r="N685" s="103"/>
      <c r="O685" s="103"/>
      <c r="P685" s="103"/>
      <c r="Q685" s="103"/>
    </row>
    <row r="686" spans="2:17" ht="18">
      <c r="B686" s="2274" t="s">
        <v>702</v>
      </c>
      <c r="C686" s="2275"/>
      <c r="D686" s="2275"/>
      <c r="E686" s="2275"/>
      <c r="F686" s="2275"/>
      <c r="G686" s="2275"/>
      <c r="H686" s="2276"/>
      <c r="I686" s="1879"/>
      <c r="J686" s="1879"/>
      <c r="K686" s="1879"/>
      <c r="L686" s="1879"/>
      <c r="M686" s="1879"/>
      <c r="N686" s="1879"/>
      <c r="O686" s="1879"/>
      <c r="P686" s="1879"/>
      <c r="Q686" s="1879"/>
    </row>
    <row r="687" spans="2:17" ht="18.600000000000001" thickBot="1">
      <c r="B687" s="2437" t="s">
        <v>3056</v>
      </c>
      <c r="C687" s="2438"/>
      <c r="D687" s="2438"/>
      <c r="E687" s="2438"/>
      <c r="F687" s="2438"/>
      <c r="G687" s="2438"/>
      <c r="H687" s="2439"/>
      <c r="I687" s="1879"/>
      <c r="J687" s="1879"/>
      <c r="K687" s="1879"/>
      <c r="L687" s="1879"/>
      <c r="M687" s="1879"/>
      <c r="N687" s="1879"/>
      <c r="O687" s="1879"/>
      <c r="P687" s="1879"/>
      <c r="Q687" s="1879"/>
    </row>
    <row r="688" spans="2:17" ht="18">
      <c r="B688" s="1302"/>
      <c r="C688" s="102"/>
      <c r="D688" s="102"/>
      <c r="E688" s="102"/>
      <c r="F688" s="102"/>
      <c r="G688" s="103"/>
      <c r="H688" s="1020"/>
      <c r="I688" s="103"/>
      <c r="J688" s="103"/>
      <c r="K688" s="103"/>
      <c r="L688" s="103"/>
      <c r="M688" s="103"/>
      <c r="N688" s="103"/>
      <c r="O688" s="103"/>
      <c r="P688" s="103"/>
      <c r="Q688" s="103"/>
    </row>
    <row r="689" spans="2:17" ht="18">
      <c r="B689" s="1076" t="s">
        <v>2663</v>
      </c>
      <c r="C689" s="102"/>
      <c r="D689" s="102"/>
      <c r="E689" s="102"/>
      <c r="F689" s="102"/>
      <c r="G689" s="103"/>
      <c r="H689" s="1020"/>
      <c r="I689" s="103"/>
      <c r="J689" s="103"/>
      <c r="K689" s="103"/>
      <c r="L689" s="103"/>
      <c r="M689" s="103"/>
      <c r="N689" s="103"/>
      <c r="O689" s="103"/>
      <c r="P689" s="103"/>
      <c r="Q689" s="103"/>
    </row>
    <row r="690" spans="2:17" ht="75" customHeight="1">
      <c r="B690" s="2291" t="s">
        <v>999</v>
      </c>
      <c r="C690" s="2292"/>
      <c r="D690" s="2292"/>
      <c r="E690" s="2292"/>
      <c r="F690" s="2292"/>
      <c r="G690" s="2292"/>
      <c r="H690" s="2293"/>
      <c r="I690" s="99"/>
      <c r="J690" s="99"/>
      <c r="K690" s="99"/>
      <c r="L690" s="99"/>
      <c r="M690" s="99"/>
      <c r="N690" s="99"/>
      <c r="O690" s="99"/>
      <c r="P690" s="99"/>
      <c r="Q690" s="99"/>
    </row>
    <row r="691" spans="2:17" ht="38.4" customHeight="1">
      <c r="B691" s="2291" t="s">
        <v>1000</v>
      </c>
      <c r="C691" s="2292"/>
      <c r="D691" s="2292"/>
      <c r="E691" s="2292"/>
      <c r="F691" s="2292"/>
      <c r="G691" s="2292"/>
      <c r="H691" s="2293"/>
      <c r="I691" s="99"/>
      <c r="J691" s="99"/>
      <c r="K691" s="99"/>
      <c r="L691" s="99"/>
      <c r="M691" s="99"/>
      <c r="N691" s="99"/>
      <c r="O691" s="99"/>
      <c r="P691" s="99"/>
      <c r="Q691" s="99"/>
    </row>
    <row r="692" spans="2:17" ht="36.6" customHeight="1">
      <c r="B692" s="2291" t="s">
        <v>1001</v>
      </c>
      <c r="C692" s="2292"/>
      <c r="D692" s="2292"/>
      <c r="E692" s="2292"/>
      <c r="F692" s="2292"/>
      <c r="G692" s="2292"/>
      <c r="H692" s="2293"/>
      <c r="I692" s="99"/>
      <c r="J692" s="99"/>
      <c r="K692" s="99"/>
      <c r="L692" s="99"/>
      <c r="M692" s="99"/>
      <c r="N692" s="99"/>
      <c r="O692" s="99"/>
      <c r="P692" s="99"/>
      <c r="Q692" s="99"/>
    </row>
    <row r="693" spans="2:17" ht="37.200000000000003" customHeight="1">
      <c r="B693" s="2294" t="s">
        <v>4709</v>
      </c>
      <c r="C693" s="2295"/>
      <c r="D693" s="2295"/>
      <c r="E693" s="2295"/>
      <c r="F693" s="2295"/>
      <c r="G693" s="2295"/>
      <c r="H693" s="2296"/>
      <c r="I693" s="852"/>
      <c r="J693" s="852"/>
      <c r="K693" s="852"/>
      <c r="L693" s="852"/>
      <c r="M693" s="852"/>
      <c r="N693" s="852"/>
      <c r="O693" s="852"/>
      <c r="P693" s="852"/>
      <c r="Q693" s="852"/>
    </row>
    <row r="694" spans="2:17" ht="18">
      <c r="B694" s="1281"/>
      <c r="C694" s="852"/>
      <c r="D694" s="852"/>
      <c r="E694" s="852"/>
      <c r="F694" s="852"/>
      <c r="G694" s="852"/>
      <c r="H694" s="1282"/>
      <c r="I694" s="852"/>
      <c r="J694" s="852"/>
      <c r="K694" s="852"/>
      <c r="L694" s="852"/>
      <c r="M694" s="852"/>
      <c r="N694" s="852"/>
      <c r="O694" s="852"/>
      <c r="P694" s="852"/>
      <c r="Q694" s="852"/>
    </row>
    <row r="695" spans="2:17" ht="18">
      <c r="B695" s="1161" t="s">
        <v>0</v>
      </c>
      <c r="C695" s="1175"/>
      <c r="D695" s="1175"/>
      <c r="E695" s="1175"/>
      <c r="F695" s="1303"/>
      <c r="G695" s="1004" t="s">
        <v>756</v>
      </c>
      <c r="H695" s="1005" t="s">
        <v>756</v>
      </c>
      <c r="I695" s="1996"/>
      <c r="J695" s="1996"/>
      <c r="K695" s="1996"/>
      <c r="L695" s="1996"/>
      <c r="M695" s="1996"/>
      <c r="N695" s="1996"/>
      <c r="O695" s="1996"/>
      <c r="P695" s="1996"/>
      <c r="Q695" s="1996"/>
    </row>
    <row r="696" spans="2:17" ht="18">
      <c r="B696" s="1304"/>
      <c r="C696" s="44"/>
      <c r="D696" s="44"/>
      <c r="E696" s="44"/>
      <c r="F696" s="29"/>
      <c r="G696" s="6" t="str">
        <f>+G681</f>
        <v>March 31, 2024 (₹)</v>
      </c>
      <c r="H696" s="1007" t="str">
        <f>+H681</f>
        <v>March 31, 2023 (₹)</v>
      </c>
      <c r="I696" s="103"/>
      <c r="J696" s="103"/>
      <c r="K696" s="103"/>
      <c r="L696" s="103"/>
      <c r="M696" s="103"/>
      <c r="N696" s="103"/>
      <c r="O696" s="103"/>
      <c r="P696" s="103"/>
      <c r="Q696" s="103"/>
    </row>
    <row r="697" spans="2:17" ht="18">
      <c r="B697" s="1114" t="s">
        <v>2664</v>
      </c>
      <c r="C697" s="24"/>
      <c r="D697" s="24"/>
      <c r="E697" s="24"/>
      <c r="F697" s="1508"/>
      <c r="G697" s="10"/>
      <c r="H697" s="1013"/>
      <c r="I697" s="103"/>
      <c r="J697" s="103"/>
      <c r="K697" s="103"/>
      <c r="L697" s="103"/>
      <c r="M697" s="103"/>
      <c r="N697" s="103"/>
      <c r="O697" s="103"/>
      <c r="P697" s="103"/>
      <c r="Q697" s="103"/>
    </row>
    <row r="698" spans="2:17" ht="18">
      <c r="B698" s="1049" t="s">
        <v>1002</v>
      </c>
      <c r="C698" s="24"/>
      <c r="D698" s="24"/>
      <c r="E698" s="24"/>
      <c r="F698" s="103"/>
      <c r="G698" s="10"/>
      <c r="H698" s="1013"/>
      <c r="I698" s="103"/>
      <c r="J698" s="103"/>
      <c r="K698" s="103"/>
      <c r="L698" s="103"/>
      <c r="M698" s="103"/>
      <c r="N698" s="103"/>
      <c r="O698" s="103"/>
      <c r="P698" s="103"/>
      <c r="Q698" s="103"/>
    </row>
    <row r="699" spans="2:17" ht="18">
      <c r="B699" s="1049" t="s">
        <v>1003</v>
      </c>
      <c r="C699" s="24"/>
      <c r="D699" s="24"/>
      <c r="E699" s="24"/>
      <c r="F699" s="103"/>
      <c r="G699" s="2051">
        <f>+G720</f>
        <v>5661657</v>
      </c>
      <c r="H699" s="2055">
        <f>+H720</f>
        <v>5527056</v>
      </c>
      <c r="I699" s="103"/>
      <c r="J699" s="103"/>
      <c r="K699" s="103"/>
      <c r="L699" s="103"/>
      <c r="M699" s="103"/>
      <c r="N699" s="103"/>
      <c r="O699" s="103"/>
      <c r="P699" s="103"/>
      <c r="Q699" s="103"/>
    </row>
    <row r="700" spans="2:17" ht="56.4" customHeight="1">
      <c r="B700" s="2263" t="s">
        <v>1004</v>
      </c>
      <c r="C700" s="2264"/>
      <c r="D700" s="2264"/>
      <c r="E700" s="2264"/>
      <c r="F700" s="2264"/>
      <c r="G700" s="1153"/>
      <c r="H700" s="1154"/>
      <c r="I700" s="121"/>
      <c r="J700" s="121"/>
      <c r="K700" s="121"/>
      <c r="L700" s="121"/>
      <c r="M700" s="121"/>
      <c r="N700" s="121"/>
      <c r="O700" s="121"/>
      <c r="P700" s="121"/>
      <c r="Q700" s="121"/>
    </row>
    <row r="701" spans="2:17" ht="18">
      <c r="B701" s="1012"/>
      <c r="C701" s="1514"/>
      <c r="D701" s="1514"/>
      <c r="E701" s="1514"/>
      <c r="F701" s="1514"/>
      <c r="G701" s="104"/>
      <c r="H701" s="1155"/>
      <c r="I701" s="2021"/>
      <c r="J701" s="2021"/>
      <c r="K701" s="2021"/>
      <c r="L701" s="2021"/>
      <c r="M701" s="2021"/>
      <c r="N701" s="2021"/>
      <c r="O701" s="2021"/>
      <c r="P701" s="2021"/>
      <c r="Q701" s="2021"/>
    </row>
    <row r="702" spans="2:17" ht="18">
      <c r="B702" s="1156" t="s">
        <v>1005</v>
      </c>
      <c r="C702" s="105"/>
      <c r="D702" s="105"/>
      <c r="E702" s="105"/>
      <c r="F702" s="105"/>
      <c r="G702" s="106"/>
      <c r="H702" s="1157"/>
      <c r="I702" s="2022"/>
      <c r="J702" s="2022"/>
      <c r="K702" s="2022"/>
      <c r="L702" s="2022"/>
      <c r="M702" s="2022"/>
      <c r="N702" s="2022"/>
      <c r="O702" s="2022"/>
      <c r="P702" s="2022"/>
      <c r="Q702" s="2022"/>
    </row>
    <row r="703" spans="2:17" ht="18">
      <c r="B703" s="1053" t="s">
        <v>0</v>
      </c>
      <c r="C703" s="1003"/>
      <c r="D703" s="1003"/>
      <c r="E703" s="1158"/>
      <c r="F703" s="1159"/>
      <c r="G703" s="1004" t="s">
        <v>756</v>
      </c>
      <c r="H703" s="1005" t="s">
        <v>756</v>
      </c>
      <c r="I703" s="1996"/>
      <c r="J703" s="1996"/>
      <c r="K703" s="1996"/>
      <c r="L703" s="1996"/>
      <c r="M703" s="1996"/>
      <c r="N703" s="1996"/>
      <c r="O703" s="1996"/>
      <c r="P703" s="1996"/>
      <c r="Q703" s="1996"/>
    </row>
    <row r="704" spans="2:17" ht="18">
      <c r="B704" s="1160"/>
      <c r="C704" s="5"/>
      <c r="D704" s="5"/>
      <c r="E704" s="45"/>
      <c r="F704" s="107"/>
      <c r="G704" s="6" t="str">
        <f>+G7</f>
        <v>March 31, 2024 (₹)</v>
      </c>
      <c r="H704" s="1007" t="str">
        <f>+H7</f>
        <v>March 31, 2023 (₹)</v>
      </c>
      <c r="I704" s="103"/>
      <c r="J704" s="103"/>
      <c r="K704" s="103"/>
      <c r="L704" s="103"/>
      <c r="M704" s="103"/>
      <c r="N704" s="103"/>
      <c r="O704" s="103"/>
      <c r="P704" s="103"/>
      <c r="Q704" s="103"/>
    </row>
    <row r="705" spans="2:17" ht="36" customHeight="1">
      <c r="B705" s="2288" t="s">
        <v>4710</v>
      </c>
      <c r="C705" s="2289"/>
      <c r="D705" s="2289"/>
      <c r="E705" s="2289"/>
      <c r="F705" s="2290"/>
      <c r="G705" s="1162"/>
      <c r="H705" s="1163"/>
      <c r="I705" s="2019"/>
      <c r="J705" s="2019"/>
      <c r="K705" s="2019"/>
      <c r="L705" s="2019"/>
      <c r="M705" s="2019"/>
      <c r="N705" s="2019"/>
      <c r="O705" s="2019"/>
      <c r="P705" s="2019"/>
      <c r="Q705" s="2019"/>
    </row>
    <row r="706" spans="2:17" ht="18">
      <c r="B706" s="996" t="s">
        <v>1006</v>
      </c>
      <c r="C706" s="1508"/>
      <c r="D706" s="1508"/>
      <c r="E706" s="1503"/>
      <c r="F706" s="86"/>
      <c r="G706" s="2073">
        <f>+H713</f>
        <v>7646580</v>
      </c>
      <c r="H706" s="2074">
        <v>7346716</v>
      </c>
      <c r="I706" s="1874"/>
      <c r="J706" s="1874"/>
      <c r="K706" s="1874"/>
      <c r="L706" s="1874"/>
      <c r="M706" s="1874"/>
      <c r="N706" s="1874"/>
      <c r="O706" s="1874"/>
      <c r="P706" s="1874"/>
      <c r="Q706" s="1874"/>
    </row>
    <row r="707" spans="2:17" ht="18">
      <c r="B707" s="996" t="s">
        <v>1007</v>
      </c>
      <c r="C707" s="1508"/>
      <c r="D707" s="1508"/>
      <c r="E707" s="1503"/>
      <c r="F707" s="86"/>
      <c r="G707" s="2073">
        <v>729210</v>
      </c>
      <c r="H707" s="2074">
        <v>719981</v>
      </c>
      <c r="I707" s="1874"/>
      <c r="J707" s="1874"/>
      <c r="K707" s="1874"/>
      <c r="L707" s="1874"/>
      <c r="M707" s="1874"/>
      <c r="N707" s="1874"/>
      <c r="O707" s="1874"/>
      <c r="P707" s="1874"/>
      <c r="Q707" s="1874"/>
    </row>
    <row r="708" spans="2:17" ht="18">
      <c r="B708" s="996" t="s">
        <v>1008</v>
      </c>
      <c r="C708" s="1508"/>
      <c r="D708" s="1508"/>
      <c r="E708" s="1503"/>
      <c r="F708" s="109"/>
      <c r="G708" s="1851">
        <v>0</v>
      </c>
      <c r="H708" s="1852">
        <v>0</v>
      </c>
      <c r="I708" s="1874"/>
      <c r="J708" s="1874"/>
      <c r="K708" s="1874"/>
      <c r="L708" s="1874"/>
      <c r="M708" s="1874"/>
      <c r="N708" s="1874"/>
      <c r="O708" s="1874"/>
      <c r="P708" s="1874"/>
      <c r="Q708" s="1874"/>
    </row>
    <row r="709" spans="2:17" ht="18">
      <c r="B709" s="996" t="s">
        <v>1009</v>
      </c>
      <c r="C709" s="1508"/>
      <c r="D709" s="1508"/>
      <c r="E709" s="1503"/>
      <c r="F709" s="109"/>
      <c r="G709" s="2073">
        <v>571964</v>
      </c>
      <c r="H709" s="2074">
        <v>534106</v>
      </c>
      <c r="I709" s="1874"/>
      <c r="J709" s="1874"/>
      <c r="K709" s="1874"/>
      <c r="L709" s="1874"/>
      <c r="M709" s="1874"/>
      <c r="N709" s="1874"/>
      <c r="O709" s="1874"/>
      <c r="P709" s="1874"/>
      <c r="Q709" s="1874"/>
    </row>
    <row r="710" spans="2:17" ht="18">
      <c r="B710" s="996" t="s">
        <v>1010</v>
      </c>
      <c r="C710" s="1508"/>
      <c r="D710" s="1508"/>
      <c r="E710" s="1503"/>
      <c r="F710" s="109"/>
      <c r="G710" s="2073">
        <f>120547</f>
        <v>120547</v>
      </c>
      <c r="H710" s="2074">
        <v>-115003</v>
      </c>
      <c r="I710" s="1874"/>
      <c r="J710" s="1874"/>
      <c r="K710" s="1874"/>
      <c r="L710" s="1874"/>
      <c r="M710" s="1874"/>
      <c r="N710" s="1874"/>
      <c r="O710" s="1874"/>
      <c r="P710" s="1874"/>
      <c r="Q710" s="1874"/>
    </row>
    <row r="711" spans="2:17" ht="18">
      <c r="B711" s="996" t="s">
        <v>1011</v>
      </c>
      <c r="C711" s="1508"/>
      <c r="D711" s="1508"/>
      <c r="E711" s="1503"/>
      <c r="F711" s="109"/>
      <c r="G711" s="2073">
        <v>-449862</v>
      </c>
      <c r="H711" s="2074">
        <v>-448327</v>
      </c>
      <c r="I711" s="1874"/>
      <c r="J711" s="1874"/>
      <c r="K711" s="1874"/>
      <c r="L711" s="1874"/>
      <c r="M711" s="1874"/>
      <c r="N711" s="1874"/>
      <c r="O711" s="1874"/>
      <c r="P711" s="1874"/>
      <c r="Q711" s="1874"/>
    </row>
    <row r="712" spans="2:17" ht="18">
      <c r="B712" s="996" t="s">
        <v>1012</v>
      </c>
      <c r="C712" s="1508"/>
      <c r="D712" s="1508"/>
      <c r="E712" s="1503"/>
      <c r="F712" s="109"/>
      <c r="G712" s="2073">
        <v>-1628089</v>
      </c>
      <c r="H712" s="2074">
        <v>-390893</v>
      </c>
      <c r="I712" s="1874"/>
      <c r="J712" s="1874"/>
      <c r="K712" s="1874"/>
      <c r="L712" s="1874"/>
      <c r="M712" s="1874"/>
      <c r="N712" s="1874"/>
      <c r="O712" s="1874"/>
      <c r="P712" s="1874"/>
      <c r="Q712" s="1874"/>
    </row>
    <row r="713" spans="2:17" ht="18">
      <c r="B713" s="992" t="s">
        <v>1013</v>
      </c>
      <c r="C713" s="1508"/>
      <c r="D713" s="1508"/>
      <c r="E713" s="1503"/>
      <c r="F713" s="80"/>
      <c r="G713" s="2116">
        <f>+SUM(G706:G712)</f>
        <v>6990350</v>
      </c>
      <c r="H713" s="2117">
        <f>+SUM(H706:H712)</f>
        <v>7646580</v>
      </c>
      <c r="I713" s="1998"/>
      <c r="J713" s="1998"/>
      <c r="K713" s="1998"/>
      <c r="L713" s="1998"/>
      <c r="M713" s="1998"/>
      <c r="N713" s="1998"/>
      <c r="O713" s="1998"/>
      <c r="P713" s="1998"/>
      <c r="Q713" s="1998"/>
    </row>
    <row r="714" spans="2:17" ht="18">
      <c r="B714" s="996" t="s">
        <v>1014</v>
      </c>
      <c r="C714" s="1508"/>
      <c r="D714" s="1508"/>
      <c r="E714" s="1503"/>
      <c r="F714" s="109"/>
      <c r="G714" s="2073"/>
      <c r="H714" s="2074"/>
      <c r="I714" s="1874"/>
      <c r="J714" s="1874"/>
      <c r="K714" s="1874"/>
      <c r="L714" s="1874"/>
      <c r="M714" s="1874"/>
      <c r="N714" s="1874"/>
      <c r="O714" s="1874"/>
      <c r="P714" s="1874"/>
      <c r="Q714" s="1874"/>
    </row>
    <row r="715" spans="2:17" ht="18">
      <c r="B715" s="996" t="s">
        <v>1015</v>
      </c>
      <c r="C715" s="1508"/>
      <c r="D715" s="1508"/>
      <c r="E715" s="1503"/>
      <c r="F715" s="86"/>
      <c r="G715" s="2073">
        <f>+H720</f>
        <v>5527056</v>
      </c>
      <c r="H715" s="2074">
        <v>5262294</v>
      </c>
      <c r="I715" s="1874"/>
      <c r="J715" s="1874"/>
      <c r="K715" s="1874"/>
      <c r="L715" s="1874"/>
      <c r="M715" s="1874"/>
      <c r="N715" s="1874"/>
      <c r="O715" s="1874"/>
      <c r="P715" s="1874"/>
      <c r="Q715" s="1874"/>
    </row>
    <row r="716" spans="2:17" ht="18">
      <c r="B716" s="996" t="s">
        <v>1016</v>
      </c>
      <c r="C716" s="1508"/>
      <c r="D716" s="1508"/>
      <c r="E716" s="1503"/>
      <c r="F716" s="109"/>
      <c r="G716" s="2073">
        <f>413424</f>
        <v>413424</v>
      </c>
      <c r="H716" s="2074">
        <f>382569</f>
        <v>382569</v>
      </c>
      <c r="I716" s="1874"/>
      <c r="J716" s="1874"/>
      <c r="K716" s="1874"/>
      <c r="L716" s="1874"/>
      <c r="M716" s="1874"/>
      <c r="N716" s="1874"/>
      <c r="O716" s="1874"/>
      <c r="P716" s="1874"/>
      <c r="Q716" s="1874"/>
    </row>
    <row r="717" spans="2:17" ht="18">
      <c r="B717" s="996" t="s">
        <v>1017</v>
      </c>
      <c r="C717" s="1508"/>
      <c r="D717" s="1508"/>
      <c r="E717" s="1503"/>
      <c r="F717" s="109"/>
      <c r="G717" s="2073">
        <v>-56379</v>
      </c>
      <c r="H717" s="2074">
        <v>-52475</v>
      </c>
      <c r="I717" s="1874"/>
      <c r="J717" s="1874"/>
      <c r="K717" s="1874"/>
      <c r="L717" s="1874"/>
      <c r="M717" s="1874"/>
      <c r="N717" s="1874"/>
      <c r="O717" s="1874"/>
      <c r="P717" s="1874"/>
      <c r="Q717" s="1874"/>
    </row>
    <row r="718" spans="2:17" ht="18">
      <c r="B718" s="996" t="s">
        <v>1018</v>
      </c>
      <c r="C718" s="1508"/>
      <c r="D718" s="1508"/>
      <c r="E718" s="1503"/>
      <c r="F718" s="109"/>
      <c r="G718" s="2073">
        <v>227418</v>
      </c>
      <c r="H718" s="2074">
        <v>382995</v>
      </c>
      <c r="I718" s="1874"/>
      <c r="J718" s="1874"/>
      <c r="K718" s="1874"/>
      <c r="L718" s="1874"/>
      <c r="M718" s="1874"/>
      <c r="N718" s="1874"/>
      <c r="O718" s="1874"/>
      <c r="P718" s="1874"/>
      <c r="Q718" s="1874"/>
    </row>
    <row r="719" spans="2:17" ht="18">
      <c r="B719" s="996" t="s">
        <v>1011</v>
      </c>
      <c r="C719" s="1508"/>
      <c r="D719" s="1508"/>
      <c r="E719" s="1503"/>
      <c r="F719" s="109"/>
      <c r="G719" s="2073">
        <v>-449862</v>
      </c>
      <c r="H719" s="2074">
        <v>-448327</v>
      </c>
      <c r="I719" s="1874"/>
      <c r="J719" s="1874"/>
      <c r="K719" s="1874"/>
      <c r="L719" s="1874"/>
      <c r="M719" s="1874"/>
      <c r="N719" s="1874"/>
      <c r="O719" s="1874"/>
      <c r="P719" s="1874"/>
      <c r="Q719" s="1874"/>
    </row>
    <row r="720" spans="2:17" ht="18">
      <c r="B720" s="992" t="s">
        <v>1019</v>
      </c>
      <c r="C720" s="1508"/>
      <c r="D720" s="1508"/>
      <c r="E720" s="1503"/>
      <c r="F720" s="80"/>
      <c r="G720" s="2116">
        <f>+SUM(G715:G719)</f>
        <v>5661657</v>
      </c>
      <c r="H720" s="2117">
        <f>+SUM(H715:H719)</f>
        <v>5527056</v>
      </c>
      <c r="I720" s="1998"/>
      <c r="J720" s="1998"/>
      <c r="K720" s="1998"/>
      <c r="L720" s="1998"/>
      <c r="M720" s="1998"/>
      <c r="N720" s="1998"/>
      <c r="O720" s="1998"/>
      <c r="P720" s="1998"/>
      <c r="Q720" s="1998"/>
    </row>
    <row r="721" spans="2:17" ht="18">
      <c r="B721" s="992" t="s">
        <v>1005</v>
      </c>
      <c r="C721" s="1559"/>
      <c r="D721" s="1559"/>
      <c r="E721" s="1559"/>
      <c r="F721" s="108"/>
      <c r="G721" s="2073"/>
      <c r="H721" s="2074"/>
      <c r="I721" s="1874"/>
      <c r="J721" s="1874"/>
      <c r="K721" s="1874"/>
      <c r="L721" s="1874"/>
      <c r="M721" s="1874"/>
      <c r="N721" s="1874"/>
      <c r="O721" s="1874"/>
      <c r="P721" s="1874"/>
      <c r="Q721" s="1874"/>
    </row>
    <row r="722" spans="2:17" ht="18">
      <c r="B722" s="996" t="s">
        <v>1020</v>
      </c>
      <c r="C722" s="1508"/>
      <c r="D722" s="1508"/>
      <c r="E722" s="1503"/>
      <c r="F722" s="109"/>
      <c r="G722" s="2073">
        <f>-G720</f>
        <v>-5661657</v>
      </c>
      <c r="H722" s="2074">
        <f>-H720</f>
        <v>-5527056</v>
      </c>
      <c r="I722" s="1874"/>
      <c r="J722" s="1874"/>
      <c r="K722" s="1874"/>
      <c r="L722" s="1874"/>
      <c r="M722" s="1874"/>
      <c r="N722" s="1874"/>
      <c r="O722" s="1874"/>
      <c r="P722" s="1874"/>
      <c r="Q722" s="1874"/>
    </row>
    <row r="723" spans="2:17" ht="18">
      <c r="B723" s="1164" t="s">
        <v>1021</v>
      </c>
      <c r="C723" s="1508"/>
      <c r="D723" s="1508"/>
      <c r="E723" s="1503"/>
      <c r="F723" s="109"/>
      <c r="G723" s="2131">
        <f>+G713</f>
        <v>6990350</v>
      </c>
      <c r="H723" s="2132">
        <f>+H713</f>
        <v>7646580</v>
      </c>
      <c r="I723" s="123"/>
      <c r="J723" s="123"/>
      <c r="K723" s="123"/>
      <c r="L723" s="123"/>
      <c r="M723" s="123"/>
      <c r="N723" s="123"/>
      <c r="O723" s="123"/>
      <c r="P723" s="123"/>
      <c r="Q723" s="123"/>
    </row>
    <row r="724" spans="2:17" ht="18">
      <c r="B724" s="1166" t="s">
        <v>1022</v>
      </c>
      <c r="C724" s="1508"/>
      <c r="D724" s="1508"/>
      <c r="E724" s="1503"/>
      <c r="F724" s="111"/>
      <c r="G724" s="2133">
        <f>+SUM(G722:G723)</f>
        <v>1328693</v>
      </c>
      <c r="H724" s="2134">
        <f>+SUM(H722:H723)</f>
        <v>2119524</v>
      </c>
      <c r="I724" s="2023"/>
      <c r="J724" s="2023"/>
      <c r="K724" s="2023"/>
      <c r="L724" s="2023"/>
      <c r="M724" s="2023"/>
      <c r="N724" s="2023"/>
      <c r="O724" s="2023"/>
      <c r="P724" s="2023"/>
      <c r="Q724" s="2023"/>
    </row>
    <row r="725" spans="2:17" ht="18">
      <c r="B725" s="996" t="s">
        <v>1023</v>
      </c>
      <c r="C725" s="1508"/>
      <c r="D725" s="1508"/>
      <c r="E725" s="1503"/>
      <c r="F725" s="109"/>
      <c r="G725" s="2073"/>
      <c r="H725" s="2074"/>
      <c r="I725" s="1874"/>
      <c r="J725" s="1874"/>
      <c r="K725" s="1874"/>
      <c r="L725" s="1874"/>
      <c r="M725" s="1874"/>
      <c r="N725" s="1874"/>
      <c r="O725" s="1874"/>
      <c r="P725" s="1874"/>
      <c r="Q725" s="1874"/>
    </row>
    <row r="726" spans="2:17" ht="18">
      <c r="B726" s="996" t="s">
        <v>1007</v>
      </c>
      <c r="C726" s="1508"/>
      <c r="D726" s="1508"/>
      <c r="E726" s="1503"/>
      <c r="F726" s="109"/>
      <c r="G726" s="2073">
        <f t="shared" ref="G726:H728" si="12">+G707</f>
        <v>729210</v>
      </c>
      <c r="H726" s="2074">
        <f t="shared" si="12"/>
        <v>719981</v>
      </c>
      <c r="I726" s="1874"/>
      <c r="J726" s="1874"/>
      <c r="K726" s="1874"/>
      <c r="L726" s="1874"/>
      <c r="M726" s="1874"/>
      <c r="N726" s="1874"/>
      <c r="O726" s="1874"/>
      <c r="P726" s="1874"/>
      <c r="Q726" s="1874"/>
    </row>
    <row r="727" spans="2:17" ht="18">
      <c r="B727" s="996" t="s">
        <v>1008</v>
      </c>
      <c r="C727" s="1508"/>
      <c r="D727" s="1508"/>
      <c r="E727" s="1503"/>
      <c r="F727" s="109"/>
      <c r="G727" s="1851">
        <f t="shared" si="12"/>
        <v>0</v>
      </c>
      <c r="H727" s="1852">
        <f t="shared" si="12"/>
        <v>0</v>
      </c>
      <c r="I727" s="1874"/>
      <c r="J727" s="1874"/>
      <c r="K727" s="1874"/>
      <c r="L727" s="1874"/>
      <c r="M727" s="1874"/>
      <c r="N727" s="1874"/>
      <c r="O727" s="1874"/>
      <c r="P727" s="1874"/>
      <c r="Q727" s="1874"/>
    </row>
    <row r="728" spans="2:17" ht="18">
      <c r="B728" s="996" t="s">
        <v>1009</v>
      </c>
      <c r="C728" s="1508"/>
      <c r="D728" s="1508"/>
      <c r="E728" s="1503"/>
      <c r="F728" s="109"/>
      <c r="G728" s="2073">
        <f t="shared" si="12"/>
        <v>571964</v>
      </c>
      <c r="H728" s="2074">
        <f t="shared" si="12"/>
        <v>534106</v>
      </c>
      <c r="I728" s="1874"/>
      <c r="J728" s="1874"/>
      <c r="K728" s="1874"/>
      <c r="L728" s="1874"/>
      <c r="M728" s="1874"/>
      <c r="N728" s="1874"/>
      <c r="O728" s="1874"/>
      <c r="P728" s="1874"/>
      <c r="Q728" s="1874"/>
    </row>
    <row r="729" spans="2:17" ht="18">
      <c r="B729" s="996" t="s">
        <v>1016</v>
      </c>
      <c r="C729" s="1508"/>
      <c r="D729" s="1508"/>
      <c r="E729" s="1503"/>
      <c r="F729" s="109"/>
      <c r="G729" s="2073">
        <f>-G716</f>
        <v>-413424</v>
      </c>
      <c r="H729" s="2074">
        <f>-H716</f>
        <v>-382569</v>
      </c>
      <c r="I729" s="1874"/>
      <c r="J729" s="1874"/>
      <c r="K729" s="1874"/>
      <c r="L729" s="1874"/>
      <c r="M729" s="1874"/>
      <c r="N729" s="1874"/>
      <c r="O729" s="1874"/>
      <c r="P729" s="1874"/>
      <c r="Q729" s="1874"/>
    </row>
    <row r="730" spans="2:17" ht="18">
      <c r="B730" s="996" t="s">
        <v>1010</v>
      </c>
      <c r="C730" s="1508"/>
      <c r="D730" s="1508"/>
      <c r="E730" s="1503"/>
      <c r="F730" s="109"/>
      <c r="G730" s="2073">
        <f>+G712+G710-G717</f>
        <v>-1451163</v>
      </c>
      <c r="H730" s="2074">
        <f>+H712+H710-H717</f>
        <v>-453421</v>
      </c>
      <c r="I730" s="1874"/>
      <c r="J730" s="1874"/>
      <c r="K730" s="1874"/>
      <c r="L730" s="1874"/>
      <c r="M730" s="1874"/>
      <c r="N730" s="1874"/>
      <c r="O730" s="1874"/>
      <c r="P730" s="1874"/>
      <c r="Q730" s="1874"/>
    </row>
    <row r="731" spans="2:17" ht="18">
      <c r="B731" s="992" t="s">
        <v>1024</v>
      </c>
      <c r="C731" s="1508"/>
      <c r="D731" s="1508"/>
      <c r="E731" s="1503"/>
      <c r="F731" s="80"/>
      <c r="G731" s="2116">
        <f>+SUM(G726:G730)</f>
        <v>-563413</v>
      </c>
      <c r="H731" s="2117">
        <f>+SUM(H726:H730)</f>
        <v>418097</v>
      </c>
      <c r="I731" s="1998"/>
      <c r="J731" s="1998"/>
      <c r="K731" s="1998"/>
      <c r="L731" s="1998"/>
      <c r="M731" s="1998"/>
      <c r="N731" s="1998"/>
      <c r="O731" s="1998"/>
      <c r="P731" s="1998"/>
      <c r="Q731" s="1998"/>
    </row>
    <row r="732" spans="2:17" ht="18">
      <c r="B732" s="996" t="s">
        <v>1025</v>
      </c>
      <c r="C732" s="1508"/>
      <c r="D732" s="1508"/>
      <c r="E732" s="1503"/>
      <c r="F732" s="109"/>
      <c r="G732" s="11"/>
      <c r="H732" s="1015"/>
      <c r="I732" s="1874"/>
      <c r="J732" s="1874"/>
      <c r="K732" s="1874"/>
      <c r="L732" s="1874"/>
      <c r="M732" s="1874"/>
      <c r="N732" s="1874"/>
      <c r="O732" s="1874"/>
      <c r="P732" s="1874"/>
      <c r="Q732" s="1874"/>
    </row>
    <row r="733" spans="2:17" ht="18">
      <c r="B733" s="996" t="s">
        <v>1026</v>
      </c>
      <c r="C733" s="1508"/>
      <c r="D733" s="1508"/>
      <c r="E733" s="1503"/>
      <c r="F733" s="109"/>
      <c r="G733" s="112">
        <v>7.22E-2</v>
      </c>
      <c r="H733" s="1167">
        <v>7.4800000000000005E-2</v>
      </c>
      <c r="I733" s="2024"/>
      <c r="J733" s="2024"/>
      <c r="K733" s="2024"/>
      <c r="L733" s="2024"/>
      <c r="M733" s="2024"/>
      <c r="N733" s="2024"/>
      <c r="O733" s="2024"/>
      <c r="P733" s="2024"/>
      <c r="Q733" s="2024"/>
    </row>
    <row r="734" spans="2:17" ht="18">
      <c r="B734" s="996" t="s">
        <v>1027</v>
      </c>
      <c r="C734" s="1508"/>
      <c r="D734" s="1508"/>
      <c r="E734" s="1503"/>
      <c r="F734" s="109"/>
      <c r="G734" s="112">
        <v>7.22E-2</v>
      </c>
      <c r="H734" s="1167">
        <v>7.4800000000000005E-2</v>
      </c>
      <c r="I734" s="2024"/>
      <c r="J734" s="2024"/>
      <c r="K734" s="2024"/>
      <c r="L734" s="2024"/>
      <c r="M734" s="2024"/>
      <c r="N734" s="2024"/>
      <c r="O734" s="2024"/>
      <c r="P734" s="2024"/>
      <c r="Q734" s="2024"/>
    </row>
    <row r="735" spans="2:17" ht="18">
      <c r="B735" s="1052" t="s">
        <v>1028</v>
      </c>
      <c r="C735" s="5"/>
      <c r="D735" s="5"/>
      <c r="E735" s="45"/>
      <c r="F735" s="107"/>
      <c r="G735" s="113">
        <v>0.06</v>
      </c>
      <c r="H735" s="1168">
        <v>0.06</v>
      </c>
      <c r="I735" s="2024"/>
      <c r="J735" s="2024"/>
      <c r="K735" s="2024"/>
      <c r="L735" s="2024"/>
      <c r="M735" s="2024"/>
      <c r="N735" s="2024"/>
      <c r="O735" s="2024"/>
      <c r="P735" s="2024"/>
      <c r="Q735" s="2024"/>
    </row>
    <row r="736" spans="2:17" ht="18">
      <c r="B736" s="1052" t="s">
        <v>1029</v>
      </c>
      <c r="C736" s="5"/>
      <c r="D736" s="5"/>
      <c r="E736" s="45"/>
      <c r="F736" s="114"/>
      <c r="G736" s="113">
        <f>+SUM(G733:G735)</f>
        <v>0.2044</v>
      </c>
      <c r="H736" s="1168">
        <f>+SUM(H733:H735)</f>
        <v>0.20960000000000001</v>
      </c>
      <c r="I736" s="2024"/>
      <c r="J736" s="2024"/>
      <c r="K736" s="2024"/>
      <c r="L736" s="2024"/>
      <c r="M736" s="2024"/>
      <c r="N736" s="2024"/>
      <c r="O736" s="2024"/>
      <c r="P736" s="2024"/>
      <c r="Q736" s="2024"/>
    </row>
    <row r="737" spans="2:17" ht="18">
      <c r="B737" s="1160" t="s">
        <v>1030</v>
      </c>
      <c r="C737" s="5"/>
      <c r="D737" s="5"/>
      <c r="E737" s="45"/>
      <c r="F737" s="115"/>
      <c r="G737" s="2135">
        <f>G716+G717</f>
        <v>357045</v>
      </c>
      <c r="H737" s="2136">
        <f>H716+H717</f>
        <v>330094</v>
      </c>
      <c r="I737" s="2004"/>
      <c r="J737" s="2004"/>
      <c r="K737" s="2004"/>
      <c r="L737" s="2004"/>
      <c r="M737" s="2004"/>
      <c r="N737" s="2004"/>
      <c r="O737" s="2004"/>
      <c r="P737" s="2004"/>
      <c r="Q737" s="2004"/>
    </row>
    <row r="738" spans="2:17" ht="18">
      <c r="B738" s="1170"/>
      <c r="C738" s="1171"/>
      <c r="D738" s="1171"/>
      <c r="E738" s="1171"/>
      <c r="F738" s="1171"/>
      <c r="G738" s="1151"/>
      <c r="H738" s="1152"/>
      <c r="I738" s="103"/>
      <c r="J738" s="103"/>
      <c r="K738" s="103"/>
      <c r="L738" s="103"/>
      <c r="M738" s="103"/>
      <c r="N738" s="103"/>
      <c r="O738" s="103"/>
      <c r="P738" s="103"/>
      <c r="Q738" s="103"/>
    </row>
    <row r="739" spans="2:17" ht="18">
      <c r="B739" s="1049" t="s">
        <v>1031</v>
      </c>
      <c r="C739" s="24"/>
      <c r="D739" s="24"/>
      <c r="E739" s="1504"/>
      <c r="F739" s="1504"/>
      <c r="G739" s="21"/>
      <c r="H739" s="1032"/>
      <c r="I739" s="21"/>
      <c r="J739" s="21"/>
      <c r="K739" s="21"/>
      <c r="L739" s="21"/>
      <c r="M739" s="21"/>
      <c r="N739" s="21"/>
      <c r="O739" s="21"/>
      <c r="P739" s="21"/>
      <c r="Q739" s="21"/>
    </row>
    <row r="740" spans="2:17" ht="18">
      <c r="B740" s="1060" t="s">
        <v>1032</v>
      </c>
      <c r="C740" s="1513"/>
      <c r="D740" s="1513"/>
      <c r="E740" s="1513"/>
      <c r="F740" s="1513"/>
      <c r="G740" s="120"/>
      <c r="H740" s="1172"/>
      <c r="I740" s="120"/>
      <c r="J740" s="120"/>
      <c r="K740" s="120"/>
      <c r="L740" s="120"/>
      <c r="M740" s="120"/>
      <c r="N740" s="120"/>
      <c r="O740" s="120"/>
      <c r="P740" s="120"/>
      <c r="Q740" s="120"/>
    </row>
    <row r="741" spans="2:17" ht="18">
      <c r="B741" s="1056" t="s">
        <v>2665</v>
      </c>
      <c r="C741" s="1560"/>
      <c r="D741" s="1560"/>
      <c r="E741" s="1560"/>
      <c r="F741" s="1560"/>
      <c r="G741" s="117"/>
      <c r="H741" s="1173"/>
      <c r="I741" s="117"/>
      <c r="J741" s="117"/>
      <c r="K741" s="117"/>
      <c r="L741" s="117"/>
      <c r="M741" s="117"/>
      <c r="N741" s="117"/>
      <c r="O741" s="117"/>
      <c r="P741" s="117"/>
      <c r="Q741" s="117"/>
    </row>
    <row r="742" spans="2:17" ht="18">
      <c r="B742" s="2265" t="s">
        <v>2753</v>
      </c>
      <c r="C742" s="2266"/>
      <c r="D742" s="2266"/>
      <c r="E742" s="2266"/>
      <c r="F742" s="2266"/>
      <c r="G742" s="2266"/>
      <c r="H742" s="2267"/>
      <c r="I742" s="1518"/>
      <c r="J742" s="1518"/>
      <c r="K742" s="1518"/>
      <c r="L742" s="1518"/>
      <c r="M742" s="1518"/>
      <c r="N742" s="1518"/>
      <c r="O742" s="1518"/>
      <c r="P742" s="1518"/>
      <c r="Q742" s="1518"/>
    </row>
    <row r="743" spans="2:17" ht="18">
      <c r="B743" s="2265"/>
      <c r="C743" s="2266"/>
      <c r="D743" s="2266"/>
      <c r="E743" s="2266"/>
      <c r="F743" s="2266"/>
      <c r="G743" s="2266"/>
      <c r="H743" s="2267"/>
      <c r="I743" s="1518"/>
      <c r="J743" s="1518"/>
      <c r="K743" s="1518"/>
      <c r="L743" s="1518"/>
      <c r="M743" s="1518"/>
      <c r="N743" s="1518"/>
      <c r="O743" s="1518"/>
      <c r="P743" s="1518"/>
      <c r="Q743" s="1518"/>
    </row>
    <row r="744" spans="2:17" ht="18">
      <c r="B744" s="2265"/>
      <c r="C744" s="2266"/>
      <c r="D744" s="2266"/>
      <c r="E744" s="2266"/>
      <c r="F744" s="2266"/>
      <c r="G744" s="2266"/>
      <c r="H744" s="2267"/>
      <c r="I744" s="1518"/>
      <c r="J744" s="1518"/>
      <c r="K744" s="1518"/>
      <c r="L744" s="1518"/>
      <c r="M744" s="1518"/>
      <c r="N744" s="1518"/>
      <c r="O744" s="1518"/>
      <c r="P744" s="1518"/>
      <c r="Q744" s="1518"/>
    </row>
    <row r="745" spans="2:17" ht="18">
      <c r="B745" s="2265"/>
      <c r="C745" s="2266"/>
      <c r="D745" s="2266"/>
      <c r="E745" s="2266"/>
      <c r="F745" s="2266"/>
      <c r="G745" s="2266"/>
      <c r="H745" s="2267"/>
      <c r="I745" s="1518"/>
      <c r="J745" s="1518"/>
      <c r="K745" s="1518"/>
      <c r="L745" s="1518"/>
      <c r="M745" s="1518"/>
      <c r="N745" s="1518"/>
      <c r="O745" s="1518"/>
      <c r="P745" s="1518"/>
      <c r="Q745" s="1518"/>
    </row>
    <row r="746" spans="2:17" ht="19.2" customHeight="1">
      <c r="B746" s="2265"/>
      <c r="C746" s="2266"/>
      <c r="D746" s="2266"/>
      <c r="E746" s="2266"/>
      <c r="F746" s="2266"/>
      <c r="G746" s="2266"/>
      <c r="H746" s="2267"/>
      <c r="I746" s="1518"/>
      <c r="J746" s="1518"/>
      <c r="K746" s="1518"/>
      <c r="L746" s="1518"/>
      <c r="M746" s="1518"/>
      <c r="N746" s="1518"/>
      <c r="O746" s="1518"/>
      <c r="P746" s="1518"/>
      <c r="Q746" s="1518"/>
    </row>
    <row r="747" spans="2:17" ht="18">
      <c r="B747" s="1076" t="s">
        <v>1033</v>
      </c>
      <c r="C747" s="24"/>
      <c r="D747" s="24"/>
      <c r="E747" s="1523"/>
      <c r="F747" s="1523"/>
      <c r="G747" s="103"/>
      <c r="H747" s="1020"/>
      <c r="I747" s="103"/>
      <c r="J747" s="103"/>
      <c r="K747" s="103"/>
      <c r="L747" s="103"/>
      <c r="M747" s="103"/>
      <c r="N747" s="103"/>
      <c r="O747" s="103"/>
      <c r="P747" s="103"/>
      <c r="Q747" s="103"/>
    </row>
    <row r="748" spans="2:17" ht="18">
      <c r="B748" s="2268" t="s">
        <v>2897</v>
      </c>
      <c r="C748" s="2269"/>
      <c r="D748" s="2269"/>
      <c r="E748" s="2269"/>
      <c r="F748" s="2269"/>
      <c r="G748" s="2269"/>
      <c r="H748" s="2270"/>
      <c r="I748" s="1887"/>
      <c r="J748" s="1887"/>
      <c r="K748" s="1887"/>
      <c r="L748" s="1887"/>
      <c r="M748" s="1887"/>
      <c r="N748" s="1887"/>
      <c r="O748" s="1887"/>
      <c r="P748" s="1887"/>
      <c r="Q748" s="1887"/>
    </row>
    <row r="749" spans="2:17" ht="12.6" customHeight="1">
      <c r="B749" s="2268"/>
      <c r="C749" s="2269"/>
      <c r="D749" s="2269"/>
      <c r="E749" s="2269"/>
      <c r="F749" s="2269"/>
      <c r="G749" s="2269"/>
      <c r="H749" s="2270"/>
      <c r="I749" s="1887"/>
      <c r="J749" s="1887"/>
      <c r="K749" s="1887"/>
      <c r="L749" s="1887"/>
      <c r="M749" s="1887"/>
      <c r="N749" s="1887"/>
      <c r="O749" s="1887"/>
      <c r="P749" s="1887"/>
      <c r="Q749" s="1887"/>
    </row>
    <row r="750" spans="2:17" ht="7.2" customHeight="1">
      <c r="B750" s="2268"/>
      <c r="C750" s="2269"/>
      <c r="D750" s="2269"/>
      <c r="E750" s="2269"/>
      <c r="F750" s="2269"/>
      <c r="G750" s="2269"/>
      <c r="H750" s="2270"/>
      <c r="I750" s="1887"/>
      <c r="J750" s="1887"/>
      <c r="K750" s="1887"/>
      <c r="L750" s="1887"/>
      <c r="M750" s="1887"/>
      <c r="N750" s="1887"/>
      <c r="O750" s="1887"/>
      <c r="P750" s="1887"/>
      <c r="Q750" s="1887"/>
    </row>
    <row r="751" spans="2:17" ht="18.600000000000001" thickBot="1">
      <c r="B751" s="2271"/>
      <c r="C751" s="2272"/>
      <c r="D751" s="2272"/>
      <c r="E751" s="2272"/>
      <c r="F751" s="2272"/>
      <c r="G751" s="2272"/>
      <c r="H751" s="2273"/>
      <c r="I751" s="1887"/>
      <c r="J751" s="1887"/>
      <c r="K751" s="1887"/>
      <c r="L751" s="1887"/>
      <c r="M751" s="1887"/>
      <c r="N751" s="1887"/>
      <c r="O751" s="1887"/>
      <c r="P751" s="1887"/>
      <c r="Q751" s="1887"/>
    </row>
    <row r="752" spans="2:17" ht="18">
      <c r="B752" s="2274" t="s">
        <v>702</v>
      </c>
      <c r="C752" s="2275"/>
      <c r="D752" s="2275"/>
      <c r="E752" s="2275"/>
      <c r="F752" s="2275"/>
      <c r="G752" s="2275"/>
      <c r="H752" s="2276"/>
      <c r="I752" s="1879"/>
      <c r="J752" s="1879"/>
      <c r="K752" s="1879"/>
      <c r="L752" s="1879"/>
      <c r="M752" s="1879"/>
      <c r="N752" s="1879"/>
      <c r="O752" s="1879"/>
      <c r="P752" s="1879"/>
      <c r="Q752" s="1879"/>
    </row>
    <row r="753" spans="2:17" ht="18">
      <c r="B753" s="2251" t="s">
        <v>3056</v>
      </c>
      <c r="C753" s="2252"/>
      <c r="D753" s="2252"/>
      <c r="E753" s="2252"/>
      <c r="F753" s="2252"/>
      <c r="G753" s="2252"/>
      <c r="H753" s="2253"/>
      <c r="I753" s="1879"/>
      <c r="J753" s="1879"/>
      <c r="K753" s="1879"/>
      <c r="L753" s="1879"/>
      <c r="M753" s="1879"/>
      <c r="N753" s="1879"/>
      <c r="O753" s="1879"/>
      <c r="P753" s="1879"/>
      <c r="Q753" s="1879"/>
    </row>
    <row r="754" spans="2:17" ht="18">
      <c r="B754" s="1076" t="s">
        <v>2666</v>
      </c>
      <c r="C754" s="56"/>
      <c r="D754" s="56"/>
      <c r="E754" s="1503"/>
      <c r="F754" s="1503"/>
      <c r="G754" s="26"/>
      <c r="H754" s="1034"/>
      <c r="I754" s="26"/>
      <c r="J754" s="26"/>
      <c r="K754" s="26"/>
      <c r="L754" s="26"/>
      <c r="M754" s="26"/>
      <c r="N754" s="26"/>
      <c r="O754" s="26"/>
      <c r="P754" s="26"/>
      <c r="Q754" s="26"/>
    </row>
    <row r="755" spans="2:17" ht="18">
      <c r="B755" s="1049"/>
      <c r="C755" s="25"/>
      <c r="D755" s="25"/>
      <c r="E755" s="1503"/>
      <c r="F755" s="1503"/>
      <c r="G755" s="26"/>
      <c r="H755" s="1034"/>
      <c r="I755" s="26"/>
      <c r="J755" s="26"/>
      <c r="K755" s="26"/>
      <c r="L755" s="26"/>
      <c r="M755" s="26"/>
      <c r="N755" s="26"/>
      <c r="O755" s="26"/>
      <c r="P755" s="26"/>
      <c r="Q755" s="26"/>
    </row>
    <row r="756" spans="2:17" ht="18">
      <c r="B756" s="1056" t="s">
        <v>1034</v>
      </c>
      <c r="C756" s="1513"/>
      <c r="D756" s="1513"/>
      <c r="E756" s="1503"/>
      <c r="F756" s="1503"/>
      <c r="G756" s="26"/>
      <c r="H756" s="1034"/>
      <c r="I756" s="26"/>
      <c r="J756" s="26"/>
      <c r="K756" s="26"/>
      <c r="L756" s="26"/>
      <c r="M756" s="26"/>
      <c r="N756" s="26"/>
      <c r="O756" s="26"/>
      <c r="P756" s="26"/>
      <c r="Q756" s="26"/>
    </row>
    <row r="757" spans="2:17" ht="18">
      <c r="B757" s="1060" t="s">
        <v>1035</v>
      </c>
      <c r="C757" s="1513"/>
      <c r="D757" s="1513"/>
      <c r="E757" s="1503"/>
      <c r="F757" s="1503"/>
      <c r="G757" s="26"/>
      <c r="H757" s="1034"/>
      <c r="I757" s="26"/>
      <c r="J757" s="26"/>
      <c r="K757" s="26"/>
      <c r="L757" s="26"/>
      <c r="M757" s="26"/>
      <c r="N757" s="26"/>
      <c r="O757" s="26"/>
      <c r="P757" s="26"/>
      <c r="Q757" s="26"/>
    </row>
    <row r="758" spans="2:17" ht="18">
      <c r="B758" s="1060" t="s">
        <v>2754</v>
      </c>
      <c r="C758" s="1513"/>
      <c r="D758" s="1513"/>
      <c r="E758" s="1503"/>
      <c r="F758" s="1503"/>
      <c r="G758" s="26"/>
      <c r="H758" s="1034"/>
      <c r="I758" s="26"/>
      <c r="J758" s="26"/>
      <c r="K758" s="26"/>
      <c r="L758" s="26"/>
      <c r="M758" s="26"/>
      <c r="N758" s="26"/>
      <c r="O758" s="26"/>
      <c r="P758" s="26"/>
      <c r="Q758" s="26"/>
    </row>
    <row r="759" spans="2:17" ht="18">
      <c r="B759" s="1060" t="s">
        <v>1037</v>
      </c>
      <c r="C759" s="1513"/>
      <c r="D759" s="1513"/>
      <c r="E759" s="1503"/>
      <c r="F759" s="1503"/>
      <c r="G759" s="26"/>
      <c r="H759" s="1034"/>
      <c r="I759" s="26"/>
      <c r="J759" s="26"/>
      <c r="K759" s="26"/>
      <c r="L759" s="26"/>
      <c r="M759" s="26"/>
      <c r="N759" s="26"/>
      <c r="O759" s="26"/>
      <c r="P759" s="26"/>
      <c r="Q759" s="26"/>
    </row>
    <row r="760" spans="2:17" ht="18">
      <c r="B760" s="1060" t="s">
        <v>1038</v>
      </c>
      <c r="C760" s="1513"/>
      <c r="D760" s="1513"/>
      <c r="E760" s="1503"/>
      <c r="F760" s="1503"/>
      <c r="G760" s="26"/>
      <c r="H760" s="1034"/>
      <c r="I760" s="26"/>
      <c r="J760" s="26"/>
      <c r="K760" s="26"/>
      <c r="L760" s="26"/>
      <c r="M760" s="26"/>
      <c r="N760" s="26"/>
      <c r="O760" s="26"/>
      <c r="P760" s="26"/>
      <c r="Q760" s="26"/>
    </row>
    <row r="761" spans="2:17" ht="18">
      <c r="B761" s="1056" t="s">
        <v>1039</v>
      </c>
      <c r="C761" s="1513"/>
      <c r="D761" s="1513"/>
      <c r="E761" s="1503"/>
      <c r="F761" s="1503"/>
      <c r="G761" s="26"/>
      <c r="H761" s="1034"/>
      <c r="I761" s="26"/>
      <c r="J761" s="26"/>
      <c r="K761" s="26"/>
      <c r="L761" s="26"/>
      <c r="M761" s="26"/>
      <c r="N761" s="26"/>
      <c r="O761" s="26"/>
      <c r="P761" s="26"/>
      <c r="Q761" s="26"/>
    </row>
    <row r="762" spans="2:17" ht="18">
      <c r="B762" s="1060" t="s">
        <v>1040</v>
      </c>
      <c r="C762" s="1513"/>
      <c r="D762" s="1513"/>
      <c r="E762" s="1503"/>
      <c r="F762" s="1503"/>
      <c r="G762" s="26"/>
      <c r="H762" s="1034"/>
      <c r="I762" s="26"/>
      <c r="J762" s="26"/>
      <c r="K762" s="26"/>
      <c r="L762" s="26"/>
      <c r="M762" s="26"/>
      <c r="N762" s="26"/>
      <c r="O762" s="26"/>
      <c r="P762" s="26"/>
      <c r="Q762" s="26"/>
    </row>
    <row r="763" spans="2:17" ht="18">
      <c r="B763" s="1060" t="s">
        <v>1041</v>
      </c>
      <c r="C763" s="1513"/>
      <c r="D763" s="1513"/>
      <c r="E763" s="1503"/>
      <c r="F763" s="1503"/>
      <c r="G763" s="26"/>
      <c r="H763" s="1034"/>
      <c r="I763" s="26"/>
      <c r="J763" s="26"/>
      <c r="K763" s="26"/>
      <c r="L763" s="26"/>
      <c r="M763" s="26"/>
      <c r="N763" s="26"/>
      <c r="O763" s="26"/>
      <c r="P763" s="26"/>
      <c r="Q763" s="26"/>
    </row>
    <row r="764" spans="2:17" ht="18">
      <c r="B764" s="1060" t="s">
        <v>1042</v>
      </c>
      <c r="C764" s="1513"/>
      <c r="D764" s="1513"/>
      <c r="E764" s="1503"/>
      <c r="F764" s="1503"/>
      <c r="G764" s="26"/>
      <c r="H764" s="1034"/>
      <c r="I764" s="26"/>
      <c r="J764" s="26"/>
      <c r="K764" s="26"/>
      <c r="L764" s="26"/>
      <c r="M764" s="26"/>
      <c r="N764" s="26"/>
      <c r="O764" s="26"/>
      <c r="P764" s="26"/>
      <c r="Q764" s="26"/>
    </row>
    <row r="765" spans="2:17" ht="18">
      <c r="B765" s="1060" t="s">
        <v>1043</v>
      </c>
      <c r="C765" s="1513"/>
      <c r="D765" s="1513"/>
      <c r="E765" s="1503"/>
      <c r="F765" s="1503"/>
      <c r="G765" s="26"/>
      <c r="H765" s="1034"/>
      <c r="I765" s="26"/>
      <c r="J765" s="26"/>
      <c r="K765" s="26"/>
      <c r="L765" s="26"/>
      <c r="M765" s="26"/>
      <c r="N765" s="26"/>
      <c r="O765" s="26"/>
      <c r="P765" s="26"/>
      <c r="Q765" s="26"/>
    </row>
    <row r="766" spans="2:17" ht="18">
      <c r="B766" s="1060" t="s">
        <v>2697</v>
      </c>
      <c r="C766" s="1513"/>
      <c r="D766" s="1513"/>
      <c r="E766" s="1503"/>
      <c r="F766" s="1503"/>
      <c r="G766" s="26"/>
      <c r="H766" s="1034"/>
      <c r="I766" s="26"/>
      <c r="J766" s="26"/>
      <c r="K766" s="26"/>
      <c r="L766" s="26"/>
      <c r="M766" s="26"/>
      <c r="N766" s="26"/>
      <c r="O766" s="26"/>
      <c r="P766" s="26"/>
      <c r="Q766" s="26"/>
    </row>
    <row r="767" spans="2:17" ht="18">
      <c r="B767" s="1060" t="s">
        <v>2698</v>
      </c>
      <c r="C767" s="1513"/>
      <c r="D767" s="1513"/>
      <c r="E767" s="1503"/>
      <c r="F767" s="1503"/>
      <c r="G767" s="26"/>
      <c r="H767" s="1034"/>
      <c r="I767" s="26"/>
      <c r="J767" s="26"/>
      <c r="K767" s="26"/>
      <c r="L767" s="26"/>
      <c r="M767" s="26"/>
      <c r="N767" s="26"/>
      <c r="O767" s="26"/>
      <c r="P767" s="26"/>
      <c r="Q767" s="26"/>
    </row>
    <row r="768" spans="2:17" ht="18">
      <c r="B768" s="1060"/>
      <c r="C768" s="1513"/>
      <c r="D768" s="1513"/>
      <c r="E768" s="1503"/>
      <c r="F768" s="1503"/>
      <c r="G768" s="26"/>
      <c r="H768" s="1034"/>
      <c r="I768" s="26"/>
      <c r="J768" s="26"/>
      <c r="K768" s="26"/>
      <c r="L768" s="26"/>
      <c r="M768" s="26"/>
      <c r="N768" s="26"/>
      <c r="O768" s="26"/>
      <c r="P768" s="26"/>
      <c r="Q768" s="26"/>
    </row>
    <row r="769" spans="2:17" ht="18">
      <c r="B769" s="1049" t="s">
        <v>1044</v>
      </c>
      <c r="C769" s="24"/>
      <c r="D769" s="24"/>
      <c r="E769" s="1503"/>
      <c r="F769" s="1503"/>
      <c r="G769" s="26"/>
      <c r="H769" s="1034"/>
      <c r="I769" s="26"/>
      <c r="J769" s="26"/>
      <c r="K769" s="26"/>
      <c r="L769" s="26"/>
      <c r="M769" s="26"/>
      <c r="N769" s="26"/>
      <c r="O769" s="26"/>
      <c r="P769" s="26"/>
      <c r="Q769" s="26"/>
    </row>
    <row r="770" spans="2:17" ht="18">
      <c r="B770" s="1056" t="s">
        <v>1045</v>
      </c>
      <c r="C770" s="1513"/>
      <c r="D770" s="1513"/>
      <c r="E770" s="1503"/>
      <c r="F770" s="1503"/>
      <c r="G770" s="26"/>
      <c r="H770" s="1034"/>
      <c r="I770" s="26"/>
      <c r="J770" s="26"/>
      <c r="K770" s="26"/>
      <c r="L770" s="26"/>
      <c r="M770" s="26"/>
      <c r="N770" s="26"/>
      <c r="O770" s="26"/>
      <c r="P770" s="26"/>
      <c r="Q770" s="26"/>
    </row>
    <row r="771" spans="2:17" ht="18">
      <c r="B771" s="1060" t="s">
        <v>1046</v>
      </c>
      <c r="C771" s="1513"/>
      <c r="D771" s="1513"/>
      <c r="E771" s="1513" t="s">
        <v>1047</v>
      </c>
      <c r="F771" s="1503"/>
      <c r="G771" s="26"/>
      <c r="H771" s="1034"/>
      <c r="I771" s="26"/>
      <c r="J771" s="26"/>
      <c r="K771" s="26"/>
      <c r="L771" s="26"/>
      <c r="M771" s="26"/>
      <c r="N771" s="26"/>
      <c r="O771" s="26"/>
      <c r="P771" s="26"/>
      <c r="Q771" s="26"/>
    </row>
    <row r="772" spans="2:17" ht="18">
      <c r="B772" s="1060" t="s">
        <v>1048</v>
      </c>
      <c r="C772" s="1513"/>
      <c r="D772" s="1513"/>
      <c r="E772" s="1513" t="s">
        <v>1049</v>
      </c>
      <c r="F772" s="1503"/>
      <c r="G772" s="26"/>
      <c r="H772" s="1034"/>
      <c r="I772" s="26"/>
      <c r="J772" s="26"/>
      <c r="K772" s="26"/>
      <c r="L772" s="26"/>
      <c r="M772" s="26"/>
      <c r="N772" s="26"/>
      <c r="O772" s="26"/>
      <c r="P772" s="26"/>
      <c r="Q772" s="26"/>
    </row>
    <row r="773" spans="2:17" ht="18">
      <c r="B773" s="1060" t="s">
        <v>1050</v>
      </c>
      <c r="C773" s="1513"/>
      <c r="D773" s="1513"/>
      <c r="E773" s="1513" t="s">
        <v>1051</v>
      </c>
      <c r="F773" s="1503"/>
      <c r="G773" s="26"/>
      <c r="H773" s="1034"/>
      <c r="I773" s="26"/>
      <c r="J773" s="26"/>
      <c r="K773" s="26"/>
      <c r="L773" s="26"/>
      <c r="M773" s="26"/>
      <c r="N773" s="26"/>
      <c r="O773" s="26"/>
      <c r="P773" s="26"/>
      <c r="Q773" s="26"/>
    </row>
    <row r="774" spans="2:17" ht="18">
      <c r="B774" s="1060" t="s">
        <v>1052</v>
      </c>
      <c r="C774" s="1513"/>
      <c r="D774" s="1513"/>
      <c r="E774" s="1513" t="s">
        <v>1053</v>
      </c>
      <c r="F774" s="1503"/>
      <c r="G774" s="26"/>
      <c r="H774" s="1034"/>
      <c r="I774" s="26"/>
      <c r="J774" s="26"/>
      <c r="K774" s="26"/>
      <c r="L774" s="26"/>
      <c r="M774" s="26"/>
      <c r="N774" s="26"/>
      <c r="O774" s="26"/>
      <c r="P774" s="26"/>
      <c r="Q774" s="26"/>
    </row>
    <row r="775" spans="2:17" ht="18">
      <c r="B775" s="1060" t="s">
        <v>1054</v>
      </c>
      <c r="C775" s="1513"/>
      <c r="D775" s="1513"/>
      <c r="E775" s="1513" t="s">
        <v>1055</v>
      </c>
      <c r="F775" s="1503"/>
      <c r="G775" s="26"/>
      <c r="H775" s="1034"/>
      <c r="I775" s="26"/>
      <c r="J775" s="26"/>
      <c r="K775" s="26"/>
      <c r="L775" s="26"/>
      <c r="M775" s="26"/>
      <c r="N775" s="26"/>
      <c r="O775" s="26"/>
      <c r="P775" s="26"/>
      <c r="Q775" s="26"/>
    </row>
    <row r="776" spans="2:17" ht="18">
      <c r="B776" s="1060" t="s">
        <v>1056</v>
      </c>
      <c r="C776" s="1513"/>
      <c r="D776" s="1513"/>
      <c r="E776" s="1513" t="s">
        <v>1057</v>
      </c>
      <c r="F776" s="1503"/>
      <c r="G776" s="26"/>
      <c r="H776" s="1034"/>
      <c r="I776" s="26"/>
      <c r="J776" s="26"/>
      <c r="K776" s="26"/>
      <c r="L776" s="26"/>
      <c r="M776" s="26"/>
      <c r="N776" s="26"/>
      <c r="O776" s="26"/>
      <c r="P776" s="26"/>
      <c r="Q776" s="26"/>
    </row>
    <row r="777" spans="2:17" ht="18">
      <c r="B777" s="1060" t="s">
        <v>1058</v>
      </c>
      <c r="C777" s="24"/>
      <c r="D777" s="24"/>
      <c r="E777" s="24" t="s">
        <v>1059</v>
      </c>
      <c r="F777" s="1503"/>
      <c r="G777" s="26"/>
      <c r="H777" s="1034"/>
      <c r="I777" s="26"/>
      <c r="J777" s="26"/>
      <c r="K777" s="26"/>
      <c r="L777" s="26"/>
      <c r="M777" s="26"/>
      <c r="N777" s="26"/>
      <c r="O777" s="26"/>
      <c r="P777" s="26"/>
      <c r="Q777" s="26"/>
    </row>
    <row r="778" spans="2:17" ht="18">
      <c r="B778" s="1063" t="s">
        <v>1060</v>
      </c>
      <c r="C778" s="24"/>
      <c r="D778" s="24"/>
      <c r="E778" s="24" t="s">
        <v>1061</v>
      </c>
      <c r="F778" s="1503"/>
      <c r="G778" s="26"/>
      <c r="H778" s="1034"/>
      <c r="I778" s="26"/>
      <c r="J778" s="26"/>
      <c r="K778" s="26"/>
      <c r="L778" s="26"/>
      <c r="M778" s="26"/>
      <c r="N778" s="26"/>
      <c r="O778" s="26"/>
      <c r="P778" s="26"/>
      <c r="Q778" s="26"/>
    </row>
    <row r="779" spans="2:17" ht="18">
      <c r="B779" s="1063" t="s">
        <v>1062</v>
      </c>
      <c r="C779" s="24"/>
      <c r="D779" s="24"/>
      <c r="E779" s="24" t="s">
        <v>1053</v>
      </c>
      <c r="F779" s="1503"/>
      <c r="G779" s="26"/>
      <c r="H779" s="1034"/>
      <c r="I779" s="26"/>
      <c r="J779" s="26"/>
      <c r="K779" s="26"/>
      <c r="L779" s="26"/>
      <c r="M779" s="26"/>
      <c r="N779" s="26"/>
      <c r="O779" s="26"/>
      <c r="P779" s="26"/>
      <c r="Q779" s="26"/>
    </row>
    <row r="780" spans="2:17" ht="18">
      <c r="B780" s="1063" t="s">
        <v>1063</v>
      </c>
      <c r="C780" s="24"/>
      <c r="D780" s="24"/>
      <c r="E780" s="24" t="s">
        <v>1064</v>
      </c>
      <c r="F780" s="1503"/>
      <c r="G780" s="26"/>
      <c r="H780" s="1034"/>
      <c r="I780" s="26"/>
      <c r="J780" s="26"/>
      <c r="K780" s="26"/>
      <c r="L780" s="26"/>
      <c r="M780" s="26"/>
      <c r="N780" s="26"/>
      <c r="O780" s="26"/>
      <c r="P780" s="26"/>
      <c r="Q780" s="26"/>
    </row>
    <row r="781" spans="2:17" ht="18">
      <c r="B781" s="1036"/>
      <c r="C781" s="44"/>
      <c r="D781" s="44"/>
      <c r="E781" s="44" t="s">
        <v>1065</v>
      </c>
      <c r="F781" s="45"/>
      <c r="G781" s="79"/>
      <c r="H781" s="1116"/>
      <c r="I781" s="26"/>
      <c r="J781" s="26"/>
      <c r="K781" s="26"/>
      <c r="L781" s="26"/>
      <c r="M781" s="26"/>
      <c r="N781" s="26"/>
      <c r="O781" s="26"/>
      <c r="P781" s="26"/>
      <c r="Q781" s="26"/>
    </row>
    <row r="782" spans="2:17" ht="18">
      <c r="B782" s="1053" t="s">
        <v>0</v>
      </c>
      <c r="C782" s="1054"/>
      <c r="D782" s="1054"/>
      <c r="E782" s="1055"/>
      <c r="F782" s="1174"/>
      <c r="G782" s="1004" t="s">
        <v>756</v>
      </c>
      <c r="H782" s="1005" t="s">
        <v>756</v>
      </c>
      <c r="I782" s="1996"/>
      <c r="J782" s="1996"/>
      <c r="K782" s="1996"/>
      <c r="L782" s="1996"/>
      <c r="M782" s="1996"/>
      <c r="N782" s="1996"/>
      <c r="O782" s="1996"/>
      <c r="P782" s="1996"/>
      <c r="Q782" s="1996"/>
    </row>
    <row r="783" spans="2:17" ht="18">
      <c r="B783" s="1036"/>
      <c r="C783" s="44"/>
      <c r="D783" s="44"/>
      <c r="E783" s="28"/>
      <c r="F783" s="118"/>
      <c r="G783" s="6" t="s">
        <v>3052</v>
      </c>
      <c r="H783" s="1007" t="s">
        <v>705</v>
      </c>
      <c r="I783" s="103"/>
      <c r="J783" s="103"/>
      <c r="K783" s="103"/>
      <c r="L783" s="103"/>
      <c r="M783" s="103"/>
      <c r="N783" s="103"/>
      <c r="O783" s="103"/>
      <c r="P783" s="103"/>
      <c r="Q783" s="103"/>
    </row>
    <row r="784" spans="2:17" ht="18">
      <c r="B784" s="1066" t="s">
        <v>1066</v>
      </c>
      <c r="C784" s="1175"/>
      <c r="D784" s="1175"/>
      <c r="E784" s="1106"/>
      <c r="F784" s="1176"/>
      <c r="G784" s="1177"/>
      <c r="H784" s="1108"/>
      <c r="I784" s="21"/>
      <c r="J784" s="21"/>
      <c r="K784" s="21"/>
      <c r="L784" s="21"/>
      <c r="M784" s="21"/>
      <c r="N784" s="21"/>
      <c r="O784" s="21"/>
      <c r="P784" s="21"/>
      <c r="Q784" s="21"/>
    </row>
    <row r="785" spans="2:17" ht="18">
      <c r="B785" s="1114" t="s">
        <v>1067</v>
      </c>
      <c r="C785" s="24"/>
      <c r="D785" s="24"/>
      <c r="E785" s="1504"/>
      <c r="F785" s="119"/>
      <c r="G785" s="22"/>
      <c r="H785" s="1032"/>
      <c r="I785" s="21"/>
      <c r="J785" s="21"/>
      <c r="K785" s="21"/>
      <c r="L785" s="21"/>
      <c r="M785" s="21"/>
      <c r="N785" s="21"/>
      <c r="O785" s="21"/>
      <c r="P785" s="21"/>
      <c r="Q785" s="21"/>
    </row>
    <row r="786" spans="2:17" ht="18">
      <c r="B786" s="1114" t="s">
        <v>1068</v>
      </c>
      <c r="C786" s="24"/>
      <c r="D786" s="24"/>
      <c r="E786" s="1504"/>
      <c r="F786" s="119"/>
      <c r="G786" s="22"/>
      <c r="H786" s="1032"/>
      <c r="I786" s="21"/>
      <c r="J786" s="21"/>
      <c r="K786" s="21"/>
      <c r="L786" s="21"/>
      <c r="M786" s="21"/>
      <c r="N786" s="21"/>
      <c r="O786" s="21"/>
      <c r="P786" s="21"/>
      <c r="Q786" s="21"/>
    </row>
    <row r="787" spans="2:17" ht="18">
      <c r="B787" s="1049" t="s">
        <v>1070</v>
      </c>
      <c r="C787" s="24"/>
      <c r="D787" s="24"/>
      <c r="E787" s="1504"/>
      <c r="F787" s="119"/>
      <c r="G787" s="22"/>
      <c r="H787" s="1032"/>
      <c r="I787" s="21"/>
      <c r="J787" s="21"/>
      <c r="K787" s="21"/>
      <c r="L787" s="21"/>
      <c r="M787" s="21"/>
      <c r="N787" s="21"/>
      <c r="O787" s="21"/>
      <c r="P787" s="21"/>
      <c r="Q787" s="21"/>
    </row>
    <row r="788" spans="2:17" ht="18">
      <c r="B788" s="1063" t="s">
        <v>1041</v>
      </c>
      <c r="C788" s="24"/>
      <c r="D788" s="24"/>
      <c r="E788" s="1504"/>
      <c r="F788" s="119"/>
      <c r="G788" s="2129">
        <v>7145985</v>
      </c>
      <c r="H788" s="2130">
        <v>4493760</v>
      </c>
      <c r="I788" s="21"/>
      <c r="J788" s="21"/>
      <c r="K788" s="21"/>
      <c r="L788" s="21"/>
      <c r="M788" s="21"/>
      <c r="N788" s="21"/>
      <c r="O788" s="21"/>
      <c r="P788" s="21"/>
      <c r="Q788" s="21"/>
    </row>
    <row r="789" spans="2:17" ht="18">
      <c r="B789" s="1063"/>
      <c r="C789" s="24"/>
      <c r="D789" s="24"/>
      <c r="E789" s="1504"/>
      <c r="F789" s="119"/>
      <c r="G789" s="2129"/>
      <c r="H789" s="2130"/>
      <c r="I789" s="21"/>
      <c r="J789" s="21"/>
      <c r="K789" s="21"/>
      <c r="L789" s="21"/>
      <c r="M789" s="21"/>
      <c r="N789" s="21"/>
      <c r="O789" s="21"/>
      <c r="P789" s="21"/>
      <c r="Q789" s="21"/>
    </row>
    <row r="790" spans="2:17" ht="18">
      <c r="B790" s="1049" t="s">
        <v>2900</v>
      </c>
      <c r="C790" s="24"/>
      <c r="D790" s="24"/>
      <c r="E790" s="1504"/>
      <c r="F790" s="119"/>
      <c r="G790" s="2129">
        <f>+SUM(G791:G803)</f>
        <v>3071404</v>
      </c>
      <c r="H790" s="2129">
        <f>+SUM(H791:H803)</f>
        <v>2607763</v>
      </c>
      <c r="I790" s="21"/>
      <c r="J790" s="21"/>
      <c r="K790" s="21"/>
      <c r="L790" s="21"/>
      <c r="M790" s="21"/>
      <c r="N790" s="21"/>
      <c r="O790" s="21"/>
      <c r="P790" s="21"/>
      <c r="Q790" s="21"/>
    </row>
    <row r="791" spans="2:17" ht="18" hidden="1">
      <c r="B791" s="1063" t="s">
        <v>1036</v>
      </c>
      <c r="C791" s="24"/>
      <c r="D791" s="24"/>
      <c r="E791" s="1504"/>
      <c r="F791" s="119"/>
      <c r="G791" s="2129">
        <v>268636</v>
      </c>
      <c r="H791" s="2130">
        <v>208411</v>
      </c>
      <c r="I791" s="21"/>
      <c r="J791" s="21"/>
      <c r="K791" s="21"/>
      <c r="L791" s="21"/>
      <c r="M791" s="21"/>
      <c r="N791" s="21"/>
      <c r="O791" s="21"/>
      <c r="P791" s="21"/>
      <c r="Q791" s="21"/>
    </row>
    <row r="792" spans="2:17" ht="18" hidden="1">
      <c r="B792" s="1063" t="s">
        <v>1071</v>
      </c>
      <c r="C792" s="24"/>
      <c r="D792" s="24"/>
      <c r="E792" s="1504"/>
      <c r="F792" s="119"/>
      <c r="G792" s="2129">
        <v>433714</v>
      </c>
      <c r="H792" s="2130">
        <v>289027</v>
      </c>
      <c r="I792" s="21"/>
      <c r="J792" s="21"/>
      <c r="K792" s="21"/>
      <c r="L792" s="21"/>
      <c r="M792" s="21"/>
      <c r="N792" s="21"/>
      <c r="O792" s="21"/>
      <c r="P792" s="21"/>
      <c r="Q792" s="21"/>
    </row>
    <row r="793" spans="2:17" ht="18" hidden="1">
      <c r="B793" s="1063" t="s">
        <v>1037</v>
      </c>
      <c r="C793" s="24"/>
      <c r="D793" s="24"/>
      <c r="E793" s="1504"/>
      <c r="F793" s="119"/>
      <c r="G793" s="2129">
        <v>592469</v>
      </c>
      <c r="H793" s="2130">
        <v>528305</v>
      </c>
      <c r="I793" s="21"/>
      <c r="J793" s="21"/>
      <c r="K793" s="21"/>
      <c r="L793" s="21"/>
      <c r="M793" s="21"/>
      <c r="N793" s="21"/>
      <c r="O793" s="21"/>
      <c r="P793" s="21"/>
      <c r="Q793" s="21"/>
    </row>
    <row r="794" spans="2:17" ht="18" hidden="1">
      <c r="B794" s="1063" t="s">
        <v>1046</v>
      </c>
      <c r="C794" s="24"/>
      <c r="D794" s="24"/>
      <c r="E794" s="1504"/>
      <c r="F794" s="119"/>
      <c r="G794" s="2129">
        <v>168715</v>
      </c>
      <c r="H794" s="2130">
        <v>155769</v>
      </c>
      <c r="I794" s="21"/>
      <c r="J794" s="21"/>
      <c r="K794" s="21"/>
      <c r="L794" s="21"/>
      <c r="M794" s="21"/>
      <c r="N794" s="21"/>
      <c r="O794" s="21"/>
      <c r="P794" s="21"/>
      <c r="Q794" s="21"/>
    </row>
    <row r="795" spans="2:17" ht="18" hidden="1">
      <c r="B795" s="1063" t="s">
        <v>1072</v>
      </c>
      <c r="C795" s="24"/>
      <c r="D795" s="24"/>
      <c r="E795" s="1504"/>
      <c r="F795" s="119"/>
      <c r="G795" s="2129">
        <v>32390</v>
      </c>
      <c r="H795" s="2130">
        <v>100339</v>
      </c>
      <c r="I795" s="21"/>
      <c r="J795" s="21"/>
      <c r="K795" s="21"/>
      <c r="L795" s="21"/>
      <c r="M795" s="21"/>
      <c r="N795" s="21"/>
      <c r="O795" s="21"/>
      <c r="P795" s="21"/>
      <c r="Q795" s="21"/>
    </row>
    <row r="796" spans="2:17" ht="18" hidden="1">
      <c r="B796" s="1063" t="s">
        <v>1047</v>
      </c>
      <c r="C796" s="24"/>
      <c r="D796" s="24"/>
      <c r="E796" s="1504"/>
      <c r="F796" s="119"/>
      <c r="G796" s="2129">
        <v>58292</v>
      </c>
      <c r="H796" s="2130">
        <v>83076</v>
      </c>
      <c r="I796" s="21"/>
      <c r="J796" s="21"/>
      <c r="K796" s="21"/>
      <c r="L796" s="21"/>
      <c r="M796" s="21"/>
      <c r="N796" s="21"/>
      <c r="O796" s="21"/>
      <c r="P796" s="21"/>
      <c r="Q796" s="21"/>
    </row>
    <row r="797" spans="2:17" ht="18" hidden="1">
      <c r="B797" s="1063" t="s">
        <v>1073</v>
      </c>
      <c r="C797" s="24"/>
      <c r="D797" s="24"/>
      <c r="E797" s="1504"/>
      <c r="F797" s="119"/>
      <c r="G797" s="2129">
        <v>337425</v>
      </c>
      <c r="H797" s="2130">
        <v>311538</v>
      </c>
      <c r="I797" s="21"/>
      <c r="J797" s="21"/>
      <c r="K797" s="21"/>
      <c r="L797" s="21"/>
      <c r="M797" s="21"/>
      <c r="N797" s="21"/>
      <c r="O797" s="21"/>
      <c r="P797" s="21"/>
      <c r="Q797" s="21"/>
    </row>
    <row r="798" spans="2:17" ht="18" hidden="1">
      <c r="B798" s="1063" t="s">
        <v>1055</v>
      </c>
      <c r="C798" s="24"/>
      <c r="D798" s="24"/>
      <c r="E798" s="1504"/>
      <c r="F798" s="119"/>
      <c r="G798" s="2129">
        <v>117568</v>
      </c>
      <c r="H798" s="2130">
        <v>108550</v>
      </c>
      <c r="I798" s="21"/>
      <c r="J798" s="21"/>
      <c r="K798" s="21"/>
      <c r="L798" s="21"/>
      <c r="M798" s="21"/>
      <c r="N798" s="21"/>
      <c r="O798" s="21"/>
      <c r="P798" s="21"/>
      <c r="Q798" s="21"/>
    </row>
    <row r="799" spans="2:17" ht="18" hidden="1">
      <c r="B799" s="1063" t="s">
        <v>1057</v>
      </c>
      <c r="C799" s="24"/>
      <c r="D799" s="24"/>
      <c r="E799" s="1504"/>
      <c r="F799" s="119"/>
      <c r="G799" s="2129">
        <v>108462</v>
      </c>
      <c r="H799" s="2130">
        <v>100140</v>
      </c>
      <c r="I799" s="21"/>
      <c r="J799" s="21"/>
      <c r="K799" s="21"/>
      <c r="L799" s="21"/>
      <c r="M799" s="21"/>
      <c r="N799" s="21"/>
      <c r="O799" s="21"/>
      <c r="P799" s="21"/>
      <c r="Q799" s="21"/>
    </row>
    <row r="800" spans="2:17" ht="18" hidden="1">
      <c r="B800" s="1063" t="s">
        <v>1053</v>
      </c>
      <c r="C800" s="24"/>
      <c r="D800" s="24"/>
      <c r="E800" s="1504"/>
      <c r="F800" s="119"/>
      <c r="G800" s="2129">
        <v>162776</v>
      </c>
      <c r="H800" s="2130">
        <v>240277</v>
      </c>
      <c r="I800" s="21"/>
      <c r="J800" s="21"/>
      <c r="K800" s="21"/>
      <c r="L800" s="21"/>
      <c r="M800" s="21"/>
      <c r="N800" s="21"/>
      <c r="O800" s="21"/>
      <c r="P800" s="21"/>
      <c r="Q800" s="21"/>
    </row>
    <row r="801" spans="2:17" ht="18" hidden="1">
      <c r="B801" s="1063" t="s">
        <v>1074</v>
      </c>
      <c r="C801" s="24"/>
      <c r="D801" s="24"/>
      <c r="E801" s="1504"/>
      <c r="F801" s="119"/>
      <c r="G801" s="2073">
        <v>136544</v>
      </c>
      <c r="H801" s="2130">
        <v>173189</v>
      </c>
      <c r="I801" s="21"/>
      <c r="J801" s="21"/>
      <c r="K801" s="21"/>
      <c r="L801" s="21"/>
      <c r="M801" s="21"/>
      <c r="N801" s="21"/>
      <c r="O801" s="21"/>
      <c r="P801" s="21"/>
      <c r="Q801" s="21"/>
    </row>
    <row r="802" spans="2:17" ht="18" hidden="1">
      <c r="B802" s="1063" t="s">
        <v>2118</v>
      </c>
      <c r="C802" s="24"/>
      <c r="D802" s="24"/>
      <c r="E802" s="1504"/>
      <c r="F802" s="119"/>
      <c r="G802" s="2073">
        <v>97319</v>
      </c>
      <c r="H802" s="2130">
        <v>33249</v>
      </c>
      <c r="I802" s="21"/>
      <c r="J802" s="21"/>
      <c r="K802" s="21"/>
      <c r="L802" s="21"/>
      <c r="M802" s="21"/>
      <c r="N802" s="21"/>
      <c r="O802" s="21"/>
      <c r="P802" s="21"/>
      <c r="Q802" s="21"/>
    </row>
    <row r="803" spans="2:17" ht="18" hidden="1">
      <c r="B803" s="1063" t="s">
        <v>1035</v>
      </c>
      <c r="C803" s="24"/>
      <c r="D803" s="24"/>
      <c r="E803" s="1504"/>
      <c r="F803" s="119"/>
      <c r="G803" s="2129">
        <v>557094</v>
      </c>
      <c r="H803" s="2130">
        <v>275893</v>
      </c>
      <c r="I803" s="21"/>
      <c r="J803" s="21"/>
      <c r="K803" s="21"/>
      <c r="L803" s="21"/>
      <c r="M803" s="21"/>
      <c r="N803" s="21"/>
      <c r="O803" s="21"/>
      <c r="P803" s="21"/>
      <c r="Q803" s="21"/>
    </row>
    <row r="804" spans="2:17" ht="18">
      <c r="B804" s="1063"/>
      <c r="C804" s="24"/>
      <c r="D804" s="24"/>
      <c r="E804" s="1504"/>
      <c r="F804" s="119"/>
      <c r="G804" s="2129"/>
      <c r="H804" s="2130"/>
      <c r="I804" s="21"/>
      <c r="J804" s="21"/>
      <c r="K804" s="21"/>
      <c r="L804" s="21"/>
      <c r="M804" s="21"/>
      <c r="N804" s="21"/>
      <c r="O804" s="21"/>
      <c r="P804" s="21"/>
      <c r="Q804" s="21"/>
    </row>
    <row r="805" spans="2:17" ht="18">
      <c r="B805" s="1049" t="s">
        <v>1075</v>
      </c>
      <c r="C805" s="24"/>
      <c r="D805" s="24"/>
      <c r="E805" s="1504"/>
      <c r="F805" s="119"/>
      <c r="G805" s="2129"/>
      <c r="H805" s="2130"/>
      <c r="I805" s="21"/>
      <c r="J805" s="21"/>
      <c r="K805" s="21"/>
      <c r="L805" s="21"/>
      <c r="M805" s="21"/>
      <c r="N805" s="21"/>
      <c r="O805" s="21"/>
      <c r="P805" s="21"/>
      <c r="Q805" s="21"/>
    </row>
    <row r="806" spans="2:17" ht="18">
      <c r="B806" s="1063" t="s">
        <v>1035</v>
      </c>
      <c r="C806" s="24"/>
      <c r="D806" s="24"/>
      <c r="E806" s="1504"/>
      <c r="G806" s="2073">
        <v>360000</v>
      </c>
      <c r="H806" s="2130">
        <v>960000</v>
      </c>
      <c r="I806" s="21"/>
      <c r="J806" s="21"/>
      <c r="K806" s="21"/>
      <c r="L806" s="21"/>
      <c r="M806" s="21"/>
      <c r="N806" s="21"/>
      <c r="O806" s="21"/>
      <c r="P806" s="21"/>
      <c r="Q806" s="21"/>
    </row>
    <row r="807" spans="2:17" ht="18">
      <c r="B807" s="1063" t="s">
        <v>1036</v>
      </c>
      <c r="C807" s="24"/>
      <c r="D807" s="24"/>
      <c r="E807" s="1504"/>
      <c r="G807" s="2073">
        <v>1320000</v>
      </c>
      <c r="H807" s="2130">
        <v>1920000</v>
      </c>
      <c r="I807" s="21"/>
      <c r="J807" s="21"/>
      <c r="K807" s="21"/>
      <c r="L807" s="21"/>
      <c r="M807" s="21"/>
      <c r="N807" s="21"/>
      <c r="O807" s="21"/>
      <c r="P807" s="21"/>
      <c r="Q807" s="21"/>
    </row>
    <row r="808" spans="2:17" ht="18">
      <c r="B808" s="1063" t="s">
        <v>1037</v>
      </c>
      <c r="C808" s="24"/>
      <c r="D808" s="24"/>
      <c r="E808" s="1504"/>
      <c r="G808" s="2073">
        <v>360000</v>
      </c>
      <c r="H808" s="2130">
        <v>960000</v>
      </c>
      <c r="I808" s="21"/>
      <c r="J808" s="21"/>
      <c r="K808" s="21"/>
      <c r="L808" s="21"/>
      <c r="M808" s="21"/>
      <c r="N808" s="21"/>
      <c r="O808" s="21"/>
      <c r="P808" s="21"/>
      <c r="Q808" s="21"/>
    </row>
    <row r="809" spans="2:17" ht="18">
      <c r="B809" s="1063" t="s">
        <v>1038</v>
      </c>
      <c r="C809" s="24"/>
      <c r="D809" s="24"/>
      <c r="E809" s="1504"/>
      <c r="G809" s="2073">
        <v>360000</v>
      </c>
      <c r="H809" s="2130">
        <v>960000</v>
      </c>
      <c r="I809" s="21"/>
      <c r="J809" s="21"/>
      <c r="K809" s="21"/>
      <c r="L809" s="21"/>
      <c r="M809" s="21"/>
      <c r="N809" s="21"/>
      <c r="O809" s="21"/>
      <c r="P809" s="21"/>
      <c r="Q809" s="21"/>
    </row>
    <row r="810" spans="2:17" ht="18">
      <c r="B810" s="1063"/>
      <c r="C810" s="24"/>
      <c r="D810" s="24"/>
      <c r="E810" s="1504"/>
      <c r="F810" s="1504"/>
      <c r="G810" s="2073"/>
      <c r="H810" s="2074"/>
      <c r="I810" s="21"/>
      <c r="J810" s="21"/>
      <c r="K810" s="21"/>
      <c r="L810" s="21"/>
      <c r="M810" s="21"/>
      <c r="N810" s="21"/>
      <c r="O810" s="21"/>
      <c r="P810" s="21"/>
      <c r="Q810" s="21"/>
    </row>
    <row r="811" spans="2:17" ht="18">
      <c r="B811" s="1049" t="s">
        <v>2901</v>
      </c>
      <c r="C811" s="24"/>
      <c r="D811" s="24"/>
      <c r="E811" s="1504"/>
      <c r="F811" s="1504"/>
      <c r="G811" s="2073"/>
      <c r="H811" s="2074"/>
      <c r="I811" s="21"/>
      <c r="J811" s="21"/>
      <c r="K811" s="21"/>
      <c r="L811" s="21"/>
      <c r="M811" s="21"/>
      <c r="N811" s="21"/>
      <c r="O811" s="21"/>
      <c r="P811" s="21"/>
      <c r="Q811" s="21"/>
    </row>
    <row r="812" spans="2:17" ht="18.600000000000001" thickBot="1">
      <c r="B812" s="999" t="s">
        <v>1074</v>
      </c>
      <c r="C812" s="1000"/>
      <c r="D812" s="1000"/>
      <c r="E812" s="1191"/>
      <c r="F812" s="1191"/>
      <c r="G812" s="2137">
        <v>11213</v>
      </c>
      <c r="H812" s="2138">
        <v>840000</v>
      </c>
      <c r="I812" s="21"/>
      <c r="J812" s="21"/>
      <c r="K812" s="21"/>
      <c r="L812" s="21"/>
      <c r="M812" s="21"/>
      <c r="N812" s="21"/>
      <c r="O812" s="21"/>
      <c r="P812" s="21"/>
      <c r="Q812" s="21"/>
    </row>
    <row r="813" spans="2:17" ht="18" hidden="1">
      <c r="B813" s="2254" t="s">
        <v>702</v>
      </c>
      <c r="C813" s="2255"/>
      <c r="D813" s="2255"/>
      <c r="E813" s="2255"/>
      <c r="F813" s="2255"/>
      <c r="G813" s="2255"/>
      <c r="H813" s="2256"/>
      <c r="I813" s="2025"/>
      <c r="J813" s="2025"/>
      <c r="K813" s="2025"/>
      <c r="L813" s="2025"/>
      <c r="M813" s="2025"/>
      <c r="N813" s="2025"/>
      <c r="O813" s="2025"/>
      <c r="P813" s="2025"/>
      <c r="Q813" s="2025"/>
    </row>
    <row r="814" spans="2:17" ht="18" hidden="1">
      <c r="B814" s="2257" t="s">
        <v>2117</v>
      </c>
      <c r="C814" s="2258"/>
      <c r="D814" s="2258"/>
      <c r="E814" s="2258"/>
      <c r="F814" s="2258"/>
      <c r="G814" s="2258"/>
      <c r="H814" s="2259"/>
      <c r="I814" s="2025"/>
      <c r="J814" s="2025"/>
      <c r="K814" s="2025"/>
      <c r="L814" s="2025"/>
      <c r="M814" s="2025"/>
      <c r="N814" s="2025"/>
      <c r="O814" s="2025"/>
      <c r="P814" s="2025"/>
      <c r="Q814" s="2025"/>
    </row>
    <row r="815" spans="2:17" ht="18" hidden="1">
      <c r="B815" s="1812" t="s">
        <v>0</v>
      </c>
      <c r="C815" s="1813"/>
      <c r="D815" s="1813"/>
      <c r="E815" s="1814"/>
      <c r="F815" s="1815"/>
      <c r="G815" s="1816" t="s">
        <v>756</v>
      </c>
      <c r="H815" s="1817" t="s">
        <v>756</v>
      </c>
      <c r="I815" s="2014"/>
      <c r="J815" s="2014"/>
      <c r="K815" s="2014"/>
      <c r="L815" s="2014"/>
      <c r="M815" s="2014"/>
      <c r="N815" s="2014"/>
      <c r="O815" s="2014"/>
      <c r="P815" s="2014"/>
      <c r="Q815" s="2014"/>
    </row>
    <row r="816" spans="2:17" ht="18" hidden="1">
      <c r="B816" s="1818"/>
      <c r="C816" s="1819"/>
      <c r="D816" s="1819"/>
      <c r="E816" s="1748"/>
      <c r="F816" s="1820"/>
      <c r="G816" s="1821" t="s">
        <v>705</v>
      </c>
      <c r="H816" s="1822" t="s">
        <v>706</v>
      </c>
      <c r="I816" s="2026"/>
      <c r="J816" s="2026"/>
      <c r="K816" s="2026"/>
      <c r="L816" s="2026"/>
      <c r="M816" s="2026"/>
      <c r="N816" s="2026"/>
      <c r="O816" s="2026"/>
      <c r="P816" s="2026"/>
      <c r="Q816" s="2026"/>
    </row>
    <row r="817" spans="2:17" ht="18">
      <c r="B817" s="1063"/>
      <c r="C817" s="24"/>
      <c r="D817" s="24"/>
      <c r="E817" s="1504"/>
      <c r="F817" s="119"/>
      <c r="G817" s="22"/>
      <c r="H817" s="1032"/>
      <c r="I817" s="21"/>
      <c r="J817" s="21"/>
      <c r="K817" s="21"/>
      <c r="L817" s="21"/>
      <c r="M817" s="21"/>
      <c r="N817" s="21"/>
      <c r="O817" s="21"/>
      <c r="P817" s="21"/>
      <c r="Q817" s="21"/>
    </row>
    <row r="818" spans="2:17" ht="18">
      <c r="B818" s="1863" t="s">
        <v>1076</v>
      </c>
      <c r="C818" s="24"/>
      <c r="D818" s="24"/>
      <c r="E818" s="1504"/>
      <c r="F818" s="119"/>
      <c r="G818" s="22"/>
      <c r="H818" s="1032"/>
      <c r="I818" s="21"/>
      <c r="J818" s="21"/>
      <c r="K818" s="21"/>
      <c r="L818" s="21"/>
      <c r="M818" s="21"/>
      <c r="N818" s="21"/>
      <c r="O818" s="21"/>
      <c r="P818" s="21"/>
      <c r="Q818" s="21"/>
    </row>
    <row r="819" spans="2:17" ht="18">
      <c r="B819" s="1864" t="s">
        <v>1077</v>
      </c>
      <c r="C819" s="24"/>
      <c r="D819" s="24"/>
      <c r="E819" s="1504"/>
      <c r="F819" s="119"/>
      <c r="G819" s="1857">
        <v>0</v>
      </c>
      <c r="H819" s="2130">
        <v>395594</v>
      </c>
      <c r="I819" s="21"/>
      <c r="J819" s="21"/>
      <c r="K819" s="21"/>
      <c r="L819" s="21"/>
      <c r="M819" s="21"/>
      <c r="N819" s="21"/>
      <c r="O819" s="21"/>
      <c r="P819" s="21"/>
      <c r="Q819" s="21"/>
    </row>
    <row r="820" spans="2:17" ht="18">
      <c r="B820" s="1864"/>
      <c r="C820" s="24"/>
      <c r="D820" s="24"/>
      <c r="E820" s="1504"/>
      <c r="F820" s="119"/>
      <c r="G820" s="1857"/>
      <c r="H820" s="2130"/>
      <c r="I820" s="21"/>
      <c r="J820" s="21"/>
      <c r="K820" s="21"/>
      <c r="L820" s="21"/>
      <c r="M820" s="21"/>
      <c r="N820" s="21"/>
      <c r="O820" s="21"/>
      <c r="P820" s="21"/>
      <c r="Q820" s="21"/>
    </row>
    <row r="821" spans="2:17" ht="18">
      <c r="B821" s="1863" t="s">
        <v>2119</v>
      </c>
      <c r="C821" s="24"/>
      <c r="D821" s="24"/>
      <c r="E821" s="1504"/>
      <c r="F821" s="119"/>
      <c r="G821" s="1857"/>
      <c r="H821" s="2130"/>
      <c r="I821" s="21"/>
      <c r="J821" s="21"/>
      <c r="K821" s="21"/>
      <c r="L821" s="21"/>
      <c r="M821" s="21"/>
      <c r="N821" s="21"/>
      <c r="O821" s="21"/>
      <c r="P821" s="21"/>
      <c r="Q821" s="21"/>
    </row>
    <row r="822" spans="2:17" ht="18">
      <c r="B822" s="1864" t="s">
        <v>1088</v>
      </c>
      <c r="C822" s="24"/>
      <c r="D822" s="24"/>
      <c r="E822" s="1504"/>
      <c r="F822" s="119"/>
      <c r="G822" s="1857">
        <v>0</v>
      </c>
      <c r="H822" s="2130">
        <v>2391600</v>
      </c>
      <c r="I822" s="21"/>
      <c r="J822" s="21"/>
      <c r="K822" s="21"/>
      <c r="L822" s="21"/>
      <c r="M822" s="21"/>
      <c r="N822" s="21"/>
      <c r="O822" s="21"/>
      <c r="P822" s="21"/>
      <c r="Q822" s="21"/>
    </row>
    <row r="823" spans="2:17" ht="18">
      <c r="B823" s="1864"/>
      <c r="C823" s="24"/>
      <c r="D823" s="24"/>
      <c r="E823" s="1504"/>
      <c r="F823" s="119"/>
      <c r="G823" s="2129"/>
      <c r="H823" s="2130"/>
      <c r="I823" s="21"/>
      <c r="J823" s="21"/>
      <c r="K823" s="21"/>
      <c r="L823" s="21"/>
      <c r="M823" s="21"/>
      <c r="N823" s="21"/>
      <c r="O823" s="21"/>
      <c r="P823" s="21"/>
      <c r="Q823" s="21"/>
    </row>
    <row r="824" spans="2:17" ht="18">
      <c r="B824" s="1863" t="s">
        <v>1078</v>
      </c>
      <c r="C824" s="24"/>
      <c r="D824" s="24"/>
      <c r="E824" s="1504"/>
      <c r="F824" s="119"/>
      <c r="G824" s="2129"/>
      <c r="H824" s="2130"/>
      <c r="I824" s="21"/>
      <c r="J824" s="21"/>
      <c r="K824" s="21"/>
      <c r="L824" s="21"/>
      <c r="M824" s="21"/>
      <c r="N824" s="21"/>
      <c r="O824" s="21"/>
      <c r="P824" s="21"/>
      <c r="Q824" s="21"/>
    </row>
    <row r="825" spans="2:17" ht="18">
      <c r="B825" s="1864" t="s">
        <v>2697</v>
      </c>
      <c r="C825" s="24"/>
      <c r="D825" s="24"/>
      <c r="E825" s="1504"/>
      <c r="F825" s="119"/>
      <c r="G825" s="1857">
        <v>0</v>
      </c>
      <c r="H825" s="2130">
        <v>3858557</v>
      </c>
      <c r="I825" s="21"/>
      <c r="J825" s="21"/>
      <c r="K825" s="21"/>
      <c r="L825" s="21"/>
      <c r="M825" s="21"/>
      <c r="N825" s="21"/>
      <c r="O825" s="21"/>
      <c r="P825" s="21"/>
      <c r="Q825" s="21"/>
    </row>
    <row r="826" spans="2:17" ht="18">
      <c r="B826" s="1864" t="s">
        <v>2698</v>
      </c>
      <c r="C826" s="24"/>
      <c r="D826" s="24"/>
      <c r="E826" s="1504"/>
      <c r="F826" s="119"/>
      <c r="G826" s="2129">
        <v>13919919</v>
      </c>
      <c r="H826" s="2130">
        <v>19470315</v>
      </c>
      <c r="I826" s="21"/>
      <c r="J826" s="21"/>
      <c r="K826" s="21"/>
      <c r="L826" s="21"/>
      <c r="M826" s="21"/>
      <c r="N826" s="21"/>
      <c r="O826" s="21"/>
      <c r="P826" s="21"/>
      <c r="Q826" s="21"/>
    </row>
    <row r="827" spans="2:17" ht="18">
      <c r="B827" s="1864" t="s">
        <v>4762</v>
      </c>
      <c r="C827" s="24"/>
      <c r="D827" s="24"/>
      <c r="E827" s="1504"/>
      <c r="F827" s="119"/>
      <c r="G827" s="2129">
        <v>1405352</v>
      </c>
      <c r="H827" s="2130"/>
      <c r="I827" s="21"/>
      <c r="J827" s="21"/>
      <c r="K827" s="21"/>
      <c r="L827" s="21"/>
      <c r="M827" s="21"/>
      <c r="N827" s="21"/>
      <c r="O827" s="21"/>
      <c r="P827" s="21"/>
      <c r="Q827" s="21"/>
    </row>
    <row r="828" spans="2:17" ht="18">
      <c r="B828" s="1864"/>
      <c r="C828" s="24"/>
      <c r="D828" s="24"/>
      <c r="E828" s="1504"/>
      <c r="F828" s="119"/>
      <c r="G828" s="2129"/>
      <c r="H828" s="2130"/>
      <c r="I828" s="21"/>
      <c r="J828" s="21"/>
      <c r="K828" s="21"/>
      <c r="L828" s="21"/>
      <c r="M828" s="21"/>
      <c r="N828" s="21"/>
      <c r="O828" s="21"/>
      <c r="P828" s="21"/>
      <c r="Q828" s="21"/>
    </row>
    <row r="829" spans="2:17" ht="18">
      <c r="B829" s="1863" t="s">
        <v>943</v>
      </c>
      <c r="C829" s="24"/>
      <c r="D829" s="24"/>
      <c r="E829" s="1504"/>
      <c r="F829" s="119"/>
      <c r="G829" s="2129"/>
      <c r="H829" s="2130"/>
      <c r="I829" s="21"/>
      <c r="J829" s="21"/>
      <c r="K829" s="21"/>
      <c r="L829" s="21"/>
      <c r="M829" s="21"/>
      <c r="N829" s="21"/>
      <c r="O829" s="21"/>
      <c r="P829" s="21"/>
      <c r="Q829" s="21"/>
    </row>
    <row r="830" spans="2:17" ht="18">
      <c r="B830" s="1864" t="s">
        <v>2697</v>
      </c>
      <c r="C830" s="24"/>
      <c r="D830" s="24"/>
      <c r="E830" s="1504"/>
      <c r="F830" s="119"/>
      <c r="G830" s="1857">
        <v>0</v>
      </c>
      <c r="H830" s="2130">
        <v>54438</v>
      </c>
      <c r="I830" s="21"/>
      <c r="J830" s="21"/>
      <c r="K830" s="21"/>
      <c r="L830" s="21"/>
      <c r="M830" s="21"/>
      <c r="N830" s="21"/>
      <c r="O830" s="21"/>
      <c r="P830" s="21"/>
      <c r="Q830" s="21"/>
    </row>
    <row r="831" spans="2:17" ht="18">
      <c r="B831" s="1864"/>
      <c r="C831" s="24"/>
      <c r="D831" s="24"/>
      <c r="E831" s="1504"/>
      <c r="F831" s="119"/>
      <c r="G831" s="2129"/>
      <c r="H831" s="2130"/>
      <c r="I831" s="21"/>
      <c r="J831" s="21"/>
      <c r="K831" s="21"/>
      <c r="L831" s="21"/>
      <c r="M831" s="21"/>
      <c r="N831" s="21"/>
      <c r="O831" s="21"/>
      <c r="P831" s="21"/>
      <c r="Q831" s="21"/>
    </row>
    <row r="832" spans="2:17" ht="18">
      <c r="B832" s="1863" t="s">
        <v>1079</v>
      </c>
      <c r="C832" s="24"/>
      <c r="D832" s="24"/>
      <c r="E832" s="1504"/>
      <c r="F832" s="119"/>
      <c r="G832" s="2129"/>
      <c r="H832" s="2130"/>
      <c r="I832" s="21"/>
      <c r="J832" s="21"/>
      <c r="K832" s="21"/>
      <c r="L832" s="21"/>
      <c r="M832" s="21"/>
      <c r="N832" s="21"/>
      <c r="O832" s="21"/>
      <c r="P832" s="21"/>
      <c r="Q832" s="21"/>
    </row>
    <row r="833" spans="2:17" ht="18">
      <c r="B833" s="1864" t="s">
        <v>1042</v>
      </c>
      <c r="C833" s="24"/>
      <c r="D833" s="24"/>
      <c r="E833" s="1504"/>
      <c r="F833" s="119"/>
      <c r="G833" s="2129">
        <f>231700-5369</f>
        <v>226331</v>
      </c>
      <c r="H833" s="2130">
        <v>10325176</v>
      </c>
      <c r="I833" s="21"/>
      <c r="J833" s="21"/>
      <c r="K833" s="21"/>
      <c r="L833" s="21"/>
      <c r="M833" s="21"/>
      <c r="N833" s="21"/>
      <c r="O833" s="21"/>
      <c r="P833" s="21"/>
      <c r="Q833" s="21"/>
    </row>
    <row r="834" spans="2:17" ht="18">
      <c r="B834" s="1864" t="s">
        <v>1043</v>
      </c>
      <c r="C834" s="24"/>
      <c r="D834" s="24"/>
      <c r="E834" s="1504"/>
      <c r="F834" s="119"/>
      <c r="G834" s="1857">
        <v>0</v>
      </c>
      <c r="H834" s="2188">
        <v>115495605</v>
      </c>
      <c r="I834" s="21"/>
      <c r="J834" s="21"/>
      <c r="K834" s="21"/>
      <c r="L834" s="21"/>
      <c r="M834" s="21"/>
      <c r="N834" s="21"/>
      <c r="O834" s="21"/>
      <c r="P834" s="21"/>
      <c r="Q834" s="21"/>
    </row>
    <row r="835" spans="2:17" ht="18">
      <c r="B835" s="1864" t="s">
        <v>2697</v>
      </c>
      <c r="C835" s="24"/>
      <c r="D835" s="24"/>
      <c r="E835" s="1504"/>
      <c r="F835" s="119"/>
      <c r="G835" s="1857">
        <v>0</v>
      </c>
      <c r="H835" s="2130">
        <v>13459689</v>
      </c>
      <c r="I835" s="21"/>
      <c r="J835" s="21"/>
      <c r="K835" s="21"/>
      <c r="L835" s="21"/>
      <c r="M835" s="21"/>
      <c r="N835" s="21"/>
      <c r="O835" s="21"/>
      <c r="P835" s="21"/>
      <c r="Q835" s="21"/>
    </row>
    <row r="836" spans="2:17" ht="18">
      <c r="B836" s="1864" t="s">
        <v>4761</v>
      </c>
      <c r="C836" s="24"/>
      <c r="D836" s="24"/>
      <c r="E836" s="1504"/>
      <c r="F836" s="119"/>
      <c r="G836" s="2129">
        <v>82414120</v>
      </c>
      <c r="H836" s="2130"/>
      <c r="I836" s="21"/>
      <c r="J836" s="21"/>
      <c r="K836" s="21"/>
      <c r="L836" s="21"/>
      <c r="M836" s="21"/>
      <c r="N836" s="21"/>
      <c r="O836" s="21"/>
      <c r="P836" s="21"/>
      <c r="Q836" s="21"/>
    </row>
    <row r="837" spans="2:17" ht="18">
      <c r="B837" s="1865"/>
      <c r="C837" s="44"/>
      <c r="D837" s="44"/>
      <c r="E837" s="28"/>
      <c r="F837" s="83"/>
      <c r="G837" s="2139"/>
      <c r="H837" s="2140"/>
      <c r="I837" s="21"/>
      <c r="J837" s="21"/>
      <c r="K837" s="21"/>
      <c r="L837" s="21"/>
      <c r="M837" s="21"/>
      <c r="N837" s="21"/>
      <c r="O837" s="21"/>
      <c r="P837" s="21"/>
      <c r="Q837" s="21"/>
    </row>
    <row r="838" spans="2:17" ht="18">
      <c r="B838" s="1868" t="s">
        <v>1080</v>
      </c>
      <c r="C838" s="1175"/>
      <c r="D838" s="1175"/>
      <c r="E838" s="1106"/>
      <c r="F838" s="1176"/>
      <c r="G838" s="2141"/>
      <c r="H838" s="2142"/>
      <c r="I838" s="21"/>
      <c r="J838" s="21"/>
      <c r="K838" s="21"/>
      <c r="L838" s="21"/>
      <c r="M838" s="21"/>
      <c r="N838" s="21"/>
      <c r="O838" s="21"/>
      <c r="P838" s="21"/>
      <c r="Q838" s="21"/>
    </row>
    <row r="839" spans="2:17" ht="18">
      <c r="B839" s="1060" t="s">
        <v>2902</v>
      </c>
      <c r="C839" s="24"/>
      <c r="D839" s="24"/>
      <c r="E839" s="1504"/>
      <c r="F839" s="119"/>
      <c r="G839" s="2129">
        <f>+SUM(G840:G852)</f>
        <v>3800000</v>
      </c>
      <c r="H839" s="2129">
        <f>+SUM(H840:H852)</f>
        <v>14400000</v>
      </c>
      <c r="I839" s="21"/>
      <c r="J839" s="21"/>
      <c r="K839" s="21"/>
      <c r="L839" s="21"/>
      <c r="M839" s="21"/>
      <c r="N839" s="21"/>
      <c r="O839" s="21"/>
      <c r="P839" s="21"/>
      <c r="Q839" s="21"/>
    </row>
    <row r="840" spans="2:17" ht="18" hidden="1">
      <c r="B840" s="1063" t="s">
        <v>1081</v>
      </c>
      <c r="C840" s="24"/>
      <c r="D840" s="24"/>
      <c r="E840" s="1504"/>
      <c r="F840" s="119"/>
      <c r="G840" s="2129">
        <v>2100000</v>
      </c>
      <c r="H840" s="2130">
        <v>0</v>
      </c>
      <c r="I840" s="21"/>
      <c r="J840" s="21"/>
      <c r="K840" s="21"/>
      <c r="L840" s="21"/>
      <c r="M840" s="21"/>
      <c r="N840" s="21"/>
      <c r="O840" s="21"/>
      <c r="P840" s="21"/>
      <c r="Q840" s="21"/>
    </row>
    <row r="841" spans="2:17" ht="18" hidden="1">
      <c r="B841" s="1063" t="s">
        <v>1047</v>
      </c>
      <c r="C841" s="24"/>
      <c r="D841" s="24"/>
      <c r="E841" s="1504"/>
      <c r="F841" s="119"/>
      <c r="G841" s="2129">
        <v>0</v>
      </c>
      <c r="H841" s="2130">
        <v>0</v>
      </c>
      <c r="I841" s="21"/>
      <c r="J841" s="21"/>
      <c r="K841" s="21"/>
      <c r="L841" s="21"/>
      <c r="M841" s="21"/>
      <c r="N841" s="21"/>
      <c r="O841" s="21"/>
      <c r="P841" s="21"/>
      <c r="Q841" s="21"/>
    </row>
    <row r="842" spans="2:17" ht="18" hidden="1">
      <c r="B842" s="1063" t="s">
        <v>1055</v>
      </c>
      <c r="C842" s="24"/>
      <c r="D842" s="24"/>
      <c r="E842" s="1504"/>
      <c r="F842" s="119"/>
      <c r="G842" s="2129">
        <v>0</v>
      </c>
      <c r="H842" s="2130">
        <v>0</v>
      </c>
      <c r="I842" s="21"/>
      <c r="J842" s="21"/>
      <c r="K842" s="21"/>
      <c r="L842" s="21"/>
      <c r="M842" s="21"/>
      <c r="N842" s="21"/>
      <c r="O842" s="21"/>
      <c r="P842" s="21"/>
      <c r="Q842" s="21"/>
    </row>
    <row r="843" spans="2:17" ht="18" hidden="1">
      <c r="B843" s="1063" t="s">
        <v>1046</v>
      </c>
      <c r="C843" s="24"/>
      <c r="D843" s="24"/>
      <c r="E843" s="1504"/>
      <c r="F843" s="119"/>
      <c r="G843" s="2129">
        <v>0</v>
      </c>
      <c r="H843" s="2130">
        <v>0</v>
      </c>
      <c r="I843" s="21"/>
      <c r="J843" s="21"/>
      <c r="K843" s="21"/>
      <c r="L843" s="21"/>
      <c r="M843" s="21"/>
      <c r="N843" s="21"/>
      <c r="O843" s="21"/>
      <c r="P843" s="21"/>
      <c r="Q843" s="21"/>
    </row>
    <row r="844" spans="2:17" ht="18" hidden="1">
      <c r="B844" s="1063" t="s">
        <v>325</v>
      </c>
      <c r="C844" s="24"/>
      <c r="D844" s="24"/>
      <c r="E844" s="1504"/>
      <c r="F844" s="119"/>
      <c r="G844" s="2129">
        <v>0</v>
      </c>
      <c r="H844" s="2130">
        <v>0</v>
      </c>
      <c r="I844" s="21"/>
      <c r="J844" s="21"/>
      <c r="K844" s="21"/>
      <c r="L844" s="21"/>
      <c r="M844" s="21"/>
      <c r="N844" s="21"/>
      <c r="O844" s="21"/>
      <c r="P844" s="21"/>
      <c r="Q844" s="21"/>
    </row>
    <row r="845" spans="2:17" ht="18" hidden="1">
      <c r="B845" s="1063" t="s">
        <v>1073</v>
      </c>
      <c r="C845" s="24"/>
      <c r="D845" s="24"/>
      <c r="E845" s="1504"/>
      <c r="F845" s="119"/>
      <c r="G845" s="2129">
        <v>0</v>
      </c>
      <c r="H845" s="2130">
        <v>0</v>
      </c>
      <c r="I845" s="21"/>
      <c r="J845" s="21"/>
      <c r="K845" s="21"/>
      <c r="L845" s="21"/>
      <c r="M845" s="21"/>
      <c r="N845" s="21"/>
      <c r="O845" s="21"/>
      <c r="P845" s="21"/>
      <c r="Q845" s="21"/>
    </row>
    <row r="846" spans="2:17" ht="18" hidden="1">
      <c r="B846" s="1063" t="s">
        <v>1082</v>
      </c>
      <c r="C846" s="24"/>
      <c r="D846" s="24"/>
      <c r="E846" s="1504"/>
      <c r="F846" s="119"/>
      <c r="G846" s="2129">
        <v>0</v>
      </c>
      <c r="H846" s="2130">
        <v>0</v>
      </c>
      <c r="I846" s="21"/>
      <c r="J846" s="21"/>
      <c r="K846" s="21"/>
      <c r="L846" s="21"/>
      <c r="M846" s="21"/>
      <c r="N846" s="21"/>
      <c r="O846" s="21"/>
      <c r="P846" s="21"/>
      <c r="Q846" s="21"/>
    </row>
    <row r="847" spans="2:17" ht="18" hidden="1">
      <c r="B847" s="1063" t="s">
        <v>1053</v>
      </c>
      <c r="C847" s="24"/>
      <c r="D847" s="24"/>
      <c r="E847" s="1504"/>
      <c r="F847" s="119"/>
      <c r="G847" s="2129">
        <v>0</v>
      </c>
      <c r="H847" s="2130">
        <v>0</v>
      </c>
      <c r="I847" s="21"/>
      <c r="J847" s="21"/>
      <c r="K847" s="21"/>
      <c r="L847" s="21"/>
      <c r="M847" s="21"/>
      <c r="N847" s="21"/>
      <c r="O847" s="21"/>
      <c r="P847" s="21"/>
      <c r="Q847" s="21"/>
    </row>
    <row r="848" spans="2:17" ht="18" hidden="1">
      <c r="B848" s="1063" t="s">
        <v>1083</v>
      </c>
      <c r="C848" s="24"/>
      <c r="D848" s="24"/>
      <c r="E848" s="1504"/>
      <c r="F848" s="119"/>
      <c r="G848" s="2129">
        <v>600000</v>
      </c>
      <c r="H848" s="2130">
        <v>1000000</v>
      </c>
      <c r="I848" s="21"/>
      <c r="J848" s="21"/>
      <c r="K848" s="21"/>
      <c r="L848" s="21"/>
      <c r="M848" s="21"/>
      <c r="N848" s="21"/>
      <c r="O848" s="21"/>
      <c r="P848" s="21"/>
      <c r="Q848" s="21"/>
    </row>
    <row r="849" spans="2:19" ht="18" hidden="1">
      <c r="B849" s="1063" t="s">
        <v>1084</v>
      </c>
      <c r="C849" s="24"/>
      <c r="D849" s="24"/>
      <c r="E849" s="1504"/>
      <c r="F849" s="119"/>
      <c r="G849" s="2129"/>
      <c r="H849" s="2130">
        <v>400000</v>
      </c>
      <c r="I849" s="21"/>
      <c r="J849" s="21"/>
      <c r="K849" s="21"/>
      <c r="L849" s="21"/>
      <c r="M849" s="21"/>
      <c r="N849" s="21"/>
      <c r="O849" s="21"/>
      <c r="P849" s="21"/>
      <c r="Q849" s="21"/>
    </row>
    <row r="850" spans="2:19" ht="18" hidden="1">
      <c r="B850" s="1063" t="s">
        <v>2120</v>
      </c>
      <c r="C850" s="24"/>
      <c r="D850" s="24"/>
      <c r="E850" s="1504"/>
      <c r="F850" s="119"/>
      <c r="G850" s="2129"/>
      <c r="H850" s="2130">
        <v>2500000</v>
      </c>
      <c r="I850" s="21"/>
      <c r="J850" s="21"/>
      <c r="K850" s="21"/>
      <c r="L850" s="21"/>
      <c r="M850" s="21"/>
      <c r="N850" s="21"/>
      <c r="O850" s="21"/>
      <c r="P850" s="21"/>
      <c r="Q850" s="21"/>
    </row>
    <row r="851" spans="2:19" ht="18" hidden="1">
      <c r="B851" s="1063" t="s">
        <v>1038</v>
      </c>
      <c r="C851" s="24"/>
      <c r="D851" s="24"/>
      <c r="E851" s="1504"/>
      <c r="F851" s="119"/>
      <c r="G851" s="2129">
        <v>550000</v>
      </c>
      <c r="H851" s="2130">
        <v>4500000</v>
      </c>
      <c r="I851" s="21"/>
      <c r="J851" s="21"/>
      <c r="K851" s="21"/>
      <c r="L851" s="21"/>
      <c r="M851" s="21"/>
      <c r="N851" s="21"/>
      <c r="O851" s="21"/>
      <c r="P851" s="21"/>
      <c r="Q851" s="21"/>
    </row>
    <row r="852" spans="2:19" ht="18" hidden="1">
      <c r="B852" s="1063" t="s">
        <v>1035</v>
      </c>
      <c r="C852" s="24"/>
      <c r="D852" s="24"/>
      <c r="E852" s="1504"/>
      <c r="F852" s="119"/>
      <c r="G852" s="2129">
        <v>550000</v>
      </c>
      <c r="H852" s="2130">
        <v>6000000</v>
      </c>
      <c r="I852" s="21"/>
      <c r="J852" s="21"/>
      <c r="K852" s="21"/>
      <c r="L852" s="21"/>
      <c r="M852" s="21"/>
      <c r="N852" s="21"/>
      <c r="O852" s="21"/>
      <c r="P852" s="21"/>
      <c r="Q852" s="21"/>
    </row>
    <row r="853" spans="2:19" ht="18">
      <c r="B853" s="1063"/>
      <c r="C853" s="24"/>
      <c r="D853" s="24"/>
      <c r="E853" s="1504"/>
      <c r="F853" s="119"/>
      <c r="G853" s="2129"/>
      <c r="H853" s="2130"/>
      <c r="I853" s="21"/>
      <c r="J853" s="21"/>
      <c r="K853" s="21"/>
      <c r="L853" s="21"/>
      <c r="M853" s="21"/>
      <c r="N853" s="21"/>
      <c r="O853" s="21"/>
      <c r="P853" s="21"/>
      <c r="Q853" s="21"/>
    </row>
    <row r="854" spans="2:19" ht="18">
      <c r="B854" s="1060" t="s">
        <v>2903</v>
      </c>
      <c r="C854" s="24"/>
      <c r="D854" s="24"/>
      <c r="E854" s="1504"/>
      <c r="F854" s="119"/>
      <c r="G854" s="2129">
        <f>+SUM(G855:G861)</f>
        <v>7151953</v>
      </c>
      <c r="H854" s="2129">
        <f>+SUM(H855:H861)</f>
        <v>2960388</v>
      </c>
      <c r="I854" s="21"/>
      <c r="J854" s="21"/>
      <c r="K854" s="21"/>
      <c r="L854" s="21"/>
      <c r="M854" s="21"/>
      <c r="N854" s="21"/>
      <c r="O854" s="21"/>
      <c r="P854" s="21"/>
      <c r="Q854" s="21"/>
    </row>
    <row r="855" spans="2:19" ht="18" hidden="1">
      <c r="B855" s="1063" t="s">
        <v>1083</v>
      </c>
      <c r="C855" s="24"/>
      <c r="D855" s="24"/>
      <c r="E855" s="1504"/>
      <c r="F855" s="119"/>
      <c r="G855" s="2129">
        <v>0</v>
      </c>
      <c r="H855" s="2130">
        <v>600000</v>
      </c>
      <c r="I855" s="21"/>
      <c r="J855" s="21"/>
      <c r="K855" s="21"/>
      <c r="L855" s="21"/>
      <c r="M855" s="21"/>
      <c r="N855" s="21"/>
      <c r="O855" s="21"/>
      <c r="P855" s="21"/>
      <c r="Q855" s="21"/>
    </row>
    <row r="856" spans="2:19" ht="18" hidden="1">
      <c r="B856" s="1063" t="s">
        <v>1081</v>
      </c>
      <c r="C856" s="24"/>
      <c r="D856" s="24"/>
      <c r="E856" s="1504"/>
      <c r="F856" s="119"/>
      <c r="G856" s="2129">
        <v>600000</v>
      </c>
      <c r="H856" s="2130">
        <v>0</v>
      </c>
      <c r="I856" s="21"/>
      <c r="J856" s="21"/>
      <c r="K856" s="21"/>
      <c r="L856" s="21"/>
      <c r="M856" s="21"/>
      <c r="N856" s="21"/>
      <c r="O856" s="21"/>
      <c r="P856" s="21"/>
      <c r="Q856" s="21"/>
    </row>
    <row r="857" spans="2:19" ht="18" hidden="1">
      <c r="B857" s="1063" t="s">
        <v>1082</v>
      </c>
      <c r="C857" s="24"/>
      <c r="D857" s="24"/>
      <c r="E857" s="1504"/>
      <c r="F857" s="119"/>
      <c r="G857" s="2129">
        <v>500000</v>
      </c>
      <c r="H857" s="2130">
        <v>500000</v>
      </c>
      <c r="I857" s="21"/>
      <c r="J857" s="21"/>
      <c r="K857" s="21"/>
      <c r="L857" s="21"/>
      <c r="M857" s="21"/>
      <c r="N857" s="21"/>
      <c r="O857" s="21"/>
      <c r="P857" s="21"/>
      <c r="Q857" s="21"/>
    </row>
    <row r="858" spans="2:19" ht="18" hidden="1">
      <c r="B858" s="1063" t="s">
        <v>1053</v>
      </c>
      <c r="C858" s="24"/>
      <c r="D858" s="24"/>
      <c r="E858" s="1504"/>
      <c r="F858" s="119"/>
      <c r="G858" s="2129">
        <v>1839987</v>
      </c>
      <c r="H858" s="2130">
        <v>1035388</v>
      </c>
      <c r="I858" s="21"/>
      <c r="J858" s="21"/>
      <c r="K858" s="21"/>
      <c r="L858" s="21"/>
      <c r="M858" s="21"/>
      <c r="N858" s="21"/>
      <c r="O858" s="21"/>
      <c r="P858" s="21"/>
      <c r="Q858" s="21"/>
    </row>
    <row r="859" spans="2:19" ht="18" hidden="1">
      <c r="B859" s="1063" t="s">
        <v>1084</v>
      </c>
      <c r="C859" s="24"/>
      <c r="D859" s="24"/>
      <c r="E859" s="1504"/>
      <c r="F859" s="119"/>
      <c r="G859" s="2129">
        <v>456381</v>
      </c>
      <c r="H859" s="2130">
        <v>825000</v>
      </c>
      <c r="I859" s="21"/>
      <c r="J859" s="21"/>
      <c r="K859" s="21"/>
      <c r="L859" s="21"/>
      <c r="M859" s="21"/>
      <c r="N859" s="21"/>
      <c r="O859" s="21"/>
      <c r="P859" s="21"/>
      <c r="Q859" s="21"/>
    </row>
    <row r="860" spans="2:19" ht="18">
      <c r="B860" s="1063" t="s">
        <v>46</v>
      </c>
      <c r="C860" s="24"/>
      <c r="D860" s="24"/>
      <c r="E860" s="1504"/>
      <c r="F860" s="119"/>
      <c r="G860" s="2129">
        <v>1138072</v>
      </c>
      <c r="H860" s="2130">
        <v>0</v>
      </c>
      <c r="I860" s="21"/>
      <c r="J860" s="21"/>
      <c r="K860" s="21"/>
      <c r="L860" s="21"/>
      <c r="M860" s="21"/>
      <c r="N860" s="21"/>
      <c r="O860" s="21"/>
      <c r="P860" s="21"/>
      <c r="Q860" s="21"/>
    </row>
    <row r="861" spans="2:19" ht="18">
      <c r="B861" s="1063" t="s">
        <v>496</v>
      </c>
      <c r="C861" s="24"/>
      <c r="D861" s="24"/>
      <c r="E861" s="1504"/>
      <c r="F861" s="119"/>
      <c r="G861" s="2129">
        <v>2617513</v>
      </c>
      <c r="H861" s="2130">
        <v>0</v>
      </c>
      <c r="I861" s="21"/>
      <c r="J861" s="21"/>
      <c r="K861" s="21"/>
      <c r="L861" s="21"/>
      <c r="M861" s="21"/>
      <c r="N861" s="21"/>
      <c r="O861" s="21"/>
      <c r="P861" s="21"/>
      <c r="Q861" s="21"/>
    </row>
    <row r="862" spans="2:19" ht="18" hidden="1">
      <c r="B862" s="1053" t="s">
        <v>0</v>
      </c>
      <c r="C862" s="1054"/>
      <c r="D862" s="1054"/>
      <c r="E862" s="1055"/>
      <c r="F862" s="1174"/>
      <c r="G862" s="2103" t="s">
        <v>756</v>
      </c>
      <c r="H862" s="2104" t="s">
        <v>756</v>
      </c>
      <c r="I862" s="1996"/>
      <c r="J862" s="1996"/>
      <c r="K862" s="1996"/>
      <c r="L862" s="1996"/>
      <c r="M862" s="1996"/>
      <c r="N862" s="1996"/>
      <c r="O862" s="1996"/>
      <c r="P862" s="1996"/>
      <c r="Q862" s="1996"/>
    </row>
    <row r="863" spans="2:19" ht="18" hidden="1">
      <c r="B863" s="1036"/>
      <c r="C863" s="44"/>
      <c r="D863" s="44"/>
      <c r="E863" s="28"/>
      <c r="F863" s="118"/>
      <c r="G863" s="2114" t="s">
        <v>3052</v>
      </c>
      <c r="H863" s="2115" t="s">
        <v>705</v>
      </c>
      <c r="I863" s="103"/>
      <c r="J863" s="103"/>
      <c r="K863" s="103"/>
      <c r="L863" s="103"/>
      <c r="M863" s="103"/>
      <c r="N863" s="103"/>
      <c r="O863" s="103"/>
      <c r="P863" s="103"/>
      <c r="Q863" s="103"/>
    </row>
    <row r="864" spans="2:19" ht="18">
      <c r="B864" s="1095" t="s">
        <v>2905</v>
      </c>
      <c r="F864" s="1524"/>
      <c r="G864" s="2143"/>
      <c r="H864" s="2144"/>
      <c r="I864" s="1999"/>
      <c r="J864" s="1999"/>
      <c r="K864" s="1999"/>
      <c r="L864" s="1999"/>
      <c r="M864" s="1999"/>
      <c r="N864" s="1999"/>
      <c r="O864" s="1999"/>
      <c r="P864" s="1999"/>
      <c r="Q864" s="1999"/>
      <c r="S864" s="3"/>
    </row>
    <row r="865" spans="2:17" ht="18">
      <c r="B865" s="1063"/>
      <c r="D865" s="2287" t="s">
        <v>1085</v>
      </c>
      <c r="E865" s="2287"/>
      <c r="F865" s="1871"/>
      <c r="G865" s="2050"/>
      <c r="H865" s="2056"/>
      <c r="I865" s="1998"/>
      <c r="J865" s="1998"/>
      <c r="K865" s="1998"/>
      <c r="L865" s="1998"/>
      <c r="M865" s="1998"/>
      <c r="N865" s="1998"/>
      <c r="O865" s="1998"/>
      <c r="P865" s="1998"/>
      <c r="Q865" s="1998"/>
    </row>
    <row r="866" spans="2:17" ht="18">
      <c r="B866" s="824"/>
      <c r="D866" s="1871" t="s">
        <v>4711</v>
      </c>
      <c r="E866" s="1871" t="s">
        <v>2259</v>
      </c>
      <c r="F866" s="1872"/>
      <c r="G866" s="2145"/>
      <c r="H866" s="2146"/>
    </row>
    <row r="867" spans="2:17" ht="18">
      <c r="B867" s="1049" t="s">
        <v>2904</v>
      </c>
      <c r="D867" s="2149">
        <f>+SUM(D868:D880)</f>
        <v>43286690</v>
      </c>
      <c r="E867" s="2149">
        <f>+SUM(E868:E880)</f>
        <v>42581809</v>
      </c>
      <c r="F867" s="1874"/>
      <c r="G867" s="2049">
        <f>SUM(G868:G880)</f>
        <v>37219886</v>
      </c>
      <c r="H867" s="2049">
        <f>SUM(H868:H880)</f>
        <v>37803245</v>
      </c>
      <c r="I867" s="1874"/>
      <c r="J867" s="1874"/>
      <c r="K867" s="1874"/>
      <c r="L867" s="1874"/>
      <c r="M867" s="1874"/>
      <c r="N867" s="1874"/>
      <c r="O867" s="1874"/>
      <c r="P867" s="1874"/>
      <c r="Q867" s="1874"/>
    </row>
    <row r="868" spans="2:17" ht="18" hidden="1">
      <c r="B868" s="1063" t="s">
        <v>1081</v>
      </c>
      <c r="D868" s="21">
        <v>4440664</v>
      </c>
      <c r="E868" s="21">
        <v>3290010</v>
      </c>
      <c r="F868" s="1874"/>
      <c r="G868" s="2073">
        <v>4465191</v>
      </c>
      <c r="H868" s="2074">
        <v>2718431</v>
      </c>
      <c r="I868" s="21"/>
      <c r="J868" s="21"/>
      <c r="K868" s="21"/>
      <c r="L868" s="21"/>
      <c r="M868" s="21"/>
      <c r="N868" s="21"/>
      <c r="O868" s="21"/>
      <c r="P868" s="21"/>
      <c r="Q868" s="21"/>
    </row>
    <row r="869" spans="2:17" ht="18" hidden="1">
      <c r="B869" s="1063" t="s">
        <v>1046</v>
      </c>
      <c r="D869" s="21">
        <v>2174069</v>
      </c>
      <c r="E869" s="21">
        <v>2035251</v>
      </c>
      <c r="F869" s="1874"/>
      <c r="G869" s="2073">
        <v>2187364</v>
      </c>
      <c r="H869" s="2074">
        <v>2035521</v>
      </c>
      <c r="I869" s="21"/>
      <c r="J869" s="21"/>
      <c r="K869" s="21"/>
      <c r="L869" s="21"/>
      <c r="M869" s="21"/>
      <c r="N869" s="21"/>
      <c r="O869" s="21"/>
      <c r="P869" s="21"/>
      <c r="Q869" s="21"/>
    </row>
    <row r="870" spans="2:17" ht="18" hidden="1">
      <c r="B870" s="1063" t="s">
        <v>1086</v>
      </c>
      <c r="D870" s="21">
        <v>858235</v>
      </c>
      <c r="E870" s="21">
        <v>1348334</v>
      </c>
      <c r="F870" s="1874"/>
      <c r="G870" s="2073">
        <v>383005</v>
      </c>
      <c r="H870" s="2074">
        <v>853856</v>
      </c>
      <c r="I870" s="21"/>
      <c r="J870" s="21"/>
      <c r="K870" s="21"/>
      <c r="L870" s="21"/>
      <c r="M870" s="21"/>
      <c r="N870" s="21"/>
      <c r="O870" s="21"/>
      <c r="P870" s="21"/>
      <c r="Q870" s="21"/>
    </row>
    <row r="871" spans="2:17" ht="18" hidden="1">
      <c r="B871" s="1063" t="s">
        <v>1047</v>
      </c>
      <c r="D871" s="21">
        <v>1089679</v>
      </c>
      <c r="E871" s="21">
        <v>1085610</v>
      </c>
      <c r="F871" s="1874"/>
      <c r="G871" s="2073">
        <v>0</v>
      </c>
      <c r="H871" s="2074">
        <v>1085610</v>
      </c>
      <c r="I871" s="21"/>
      <c r="J871" s="21"/>
      <c r="K871" s="21"/>
      <c r="L871" s="21"/>
      <c r="M871" s="21"/>
      <c r="N871" s="21"/>
      <c r="O871" s="21"/>
      <c r="P871" s="21"/>
      <c r="Q871" s="21"/>
    </row>
    <row r="872" spans="2:17" ht="18" hidden="1">
      <c r="B872" s="1063" t="s">
        <v>1073</v>
      </c>
      <c r="D872" s="21">
        <v>4348133</v>
      </c>
      <c r="E872" s="21">
        <v>4071040</v>
      </c>
      <c r="F872" s="1874"/>
      <c r="G872" s="2073">
        <v>4374722</v>
      </c>
      <c r="H872" s="2074">
        <v>4071040</v>
      </c>
      <c r="I872" s="21"/>
      <c r="J872" s="21"/>
      <c r="K872" s="21"/>
      <c r="L872" s="21"/>
      <c r="M872" s="21"/>
      <c r="N872" s="21"/>
      <c r="O872" s="21"/>
      <c r="P872" s="21"/>
      <c r="Q872" s="21"/>
    </row>
    <row r="873" spans="2:17" ht="18" hidden="1">
      <c r="B873" s="1063" t="s">
        <v>1037</v>
      </c>
      <c r="D873" s="21">
        <v>7709117</v>
      </c>
      <c r="E873" s="21">
        <v>7544039</v>
      </c>
      <c r="F873" s="1874"/>
      <c r="G873" s="2073">
        <v>7756259</v>
      </c>
      <c r="H873" s="2074">
        <v>6626309</v>
      </c>
      <c r="I873" s="21"/>
      <c r="J873" s="21"/>
      <c r="K873" s="21"/>
      <c r="L873" s="21"/>
      <c r="M873" s="21"/>
      <c r="N873" s="21"/>
      <c r="O873" s="21"/>
      <c r="P873" s="21"/>
      <c r="Q873" s="21"/>
    </row>
    <row r="874" spans="2:17" ht="18" hidden="1">
      <c r="B874" s="1063" t="s">
        <v>1055</v>
      </c>
      <c r="D874" s="21">
        <v>1515012</v>
      </c>
      <c r="E874" s="21">
        <v>1418464</v>
      </c>
      <c r="F874" s="1874"/>
      <c r="G874" s="2073">
        <v>1524277</v>
      </c>
      <c r="H874" s="2074">
        <v>1418464</v>
      </c>
      <c r="I874" s="21"/>
      <c r="J874" s="21"/>
      <c r="K874" s="21"/>
      <c r="L874" s="21"/>
      <c r="M874" s="21"/>
      <c r="N874" s="21"/>
      <c r="O874" s="21"/>
      <c r="P874" s="21"/>
      <c r="Q874" s="21"/>
    </row>
    <row r="875" spans="2:17" ht="18" hidden="1">
      <c r="B875" s="1063" t="s">
        <v>325</v>
      </c>
      <c r="D875" s="21">
        <v>1397657</v>
      </c>
      <c r="E875" s="21">
        <v>1308589</v>
      </c>
      <c r="F875" s="1874"/>
      <c r="G875" s="2073">
        <v>1406203</v>
      </c>
      <c r="H875" s="2074">
        <v>1308589</v>
      </c>
      <c r="I875" s="21"/>
      <c r="J875" s="21"/>
      <c r="K875" s="21"/>
      <c r="L875" s="21"/>
      <c r="M875" s="21"/>
      <c r="N875" s="21"/>
      <c r="O875" s="21"/>
      <c r="P875" s="21"/>
      <c r="Q875" s="21"/>
    </row>
    <row r="876" spans="2:17" ht="18" hidden="1">
      <c r="B876" s="1063" t="s">
        <v>1053</v>
      </c>
      <c r="D876" s="21">
        <v>2369216</v>
      </c>
      <c r="E876" s="21">
        <v>3229650</v>
      </c>
      <c r="F876" s="1874"/>
      <c r="G876" s="2073">
        <v>559911</v>
      </c>
      <c r="H876" s="2074">
        <v>2253400</v>
      </c>
      <c r="I876" s="21"/>
      <c r="J876" s="21"/>
      <c r="K876" s="21"/>
      <c r="L876" s="21"/>
      <c r="M876" s="21"/>
      <c r="N876" s="21"/>
      <c r="O876" s="21"/>
      <c r="P876" s="21"/>
      <c r="Q876" s="21"/>
    </row>
    <row r="877" spans="2:17" ht="18" hidden="1">
      <c r="B877" s="1063" t="s">
        <v>1084</v>
      </c>
      <c r="D877" s="21">
        <v>1903397</v>
      </c>
      <c r="E877" s="21">
        <v>2607458</v>
      </c>
      <c r="F877" s="1874"/>
      <c r="G877" s="2073">
        <v>1562798</v>
      </c>
      <c r="H877" s="2074">
        <v>1896290</v>
      </c>
      <c r="I877" s="21"/>
      <c r="J877" s="21"/>
      <c r="K877" s="21"/>
      <c r="L877" s="21"/>
      <c r="M877" s="21"/>
      <c r="N877" s="21"/>
      <c r="O877" s="21"/>
      <c r="P877" s="21"/>
      <c r="Q877" s="21"/>
    </row>
    <row r="878" spans="2:17" ht="18" hidden="1">
      <c r="B878" s="1063" t="s">
        <v>2260</v>
      </c>
      <c r="D878" s="21">
        <v>5665821</v>
      </c>
      <c r="E878" s="21">
        <v>5310124</v>
      </c>
      <c r="F878" s="1874"/>
      <c r="G878" s="2073">
        <v>5700468</v>
      </c>
      <c r="H878" s="2074">
        <v>4760312</v>
      </c>
      <c r="I878" s="21"/>
      <c r="J878" s="21"/>
      <c r="K878" s="21"/>
      <c r="L878" s="21"/>
      <c r="M878" s="21"/>
      <c r="N878" s="21"/>
      <c r="O878" s="21"/>
      <c r="P878" s="21"/>
      <c r="Q878" s="21"/>
    </row>
    <row r="879" spans="2:17" ht="18" hidden="1">
      <c r="B879" s="1063" t="s">
        <v>2118</v>
      </c>
      <c r="D879" s="21">
        <v>2560368</v>
      </c>
      <c r="E879" s="21">
        <v>2529925</v>
      </c>
      <c r="F879" s="1874"/>
      <c r="G879" s="2073">
        <v>0</v>
      </c>
      <c r="H879" s="2074">
        <v>2529925</v>
      </c>
      <c r="I879" s="21"/>
      <c r="J879" s="21"/>
      <c r="K879" s="21"/>
      <c r="L879" s="21"/>
      <c r="M879" s="21"/>
      <c r="N879" s="21"/>
      <c r="O879" s="21"/>
      <c r="P879" s="21"/>
      <c r="Q879" s="21"/>
    </row>
    <row r="880" spans="2:17" ht="18" hidden="1">
      <c r="B880" s="1063" t="s">
        <v>1035</v>
      </c>
      <c r="C880" s="21"/>
      <c r="D880" s="21">
        <v>7255322</v>
      </c>
      <c r="E880" s="21">
        <v>6803315</v>
      </c>
      <c r="F880" s="1874"/>
      <c r="G880" s="2073">
        <v>7299688</v>
      </c>
      <c r="H880" s="2074">
        <v>6245498</v>
      </c>
      <c r="I880" s="21"/>
      <c r="J880" s="21"/>
      <c r="K880" s="21"/>
      <c r="L880" s="21"/>
      <c r="M880" s="21"/>
      <c r="N880" s="21"/>
      <c r="O880" s="21"/>
      <c r="P880" s="21"/>
      <c r="Q880" s="21"/>
    </row>
    <row r="881" spans="2:17" ht="18">
      <c r="B881" s="1063"/>
      <c r="C881" s="21"/>
      <c r="D881" s="21"/>
      <c r="E881" s="21"/>
      <c r="F881" s="1874"/>
      <c r="G881" s="2073"/>
      <c r="H881" s="2074"/>
      <c r="I881" s="21"/>
      <c r="J881" s="21"/>
      <c r="K881" s="21"/>
      <c r="L881" s="21"/>
      <c r="M881" s="21"/>
      <c r="N881" s="21"/>
      <c r="O881" s="21"/>
      <c r="P881" s="21"/>
      <c r="Q881" s="21"/>
    </row>
    <row r="882" spans="2:17" ht="18">
      <c r="B882" s="1049" t="s">
        <v>1087</v>
      </c>
      <c r="C882" s="1874"/>
      <c r="D882" s="1874"/>
      <c r="E882" s="1875"/>
      <c r="F882" s="1875"/>
      <c r="G882" s="2147"/>
      <c r="H882" s="2148"/>
      <c r="I882" s="1875"/>
      <c r="J882" s="1875"/>
      <c r="K882" s="1875"/>
      <c r="L882" s="1875"/>
      <c r="M882" s="1875"/>
      <c r="N882" s="1875"/>
      <c r="O882" s="1875"/>
      <c r="P882" s="1875"/>
      <c r="Q882" s="1875"/>
    </row>
    <row r="883" spans="2:17" ht="18">
      <c r="B883" s="1864" t="s">
        <v>1089</v>
      </c>
      <c r="C883" s="120"/>
      <c r="D883" s="120"/>
      <c r="E883" s="1513"/>
      <c r="F883" s="1513"/>
      <c r="G883" s="2071">
        <v>2400131</v>
      </c>
      <c r="H883" s="2072">
        <v>1561707</v>
      </c>
      <c r="I883" s="120"/>
      <c r="J883" s="120"/>
      <c r="K883" s="120"/>
      <c r="L883" s="120"/>
      <c r="M883" s="120"/>
      <c r="N883" s="120"/>
      <c r="O883" s="120"/>
      <c r="P883" s="120"/>
      <c r="Q883" s="120"/>
    </row>
    <row r="884" spans="2:17" ht="18">
      <c r="B884" s="1864" t="s">
        <v>2697</v>
      </c>
      <c r="C884" s="120"/>
      <c r="D884" s="120"/>
      <c r="E884" s="1513"/>
      <c r="F884" s="1513"/>
      <c r="G884" s="1849">
        <v>0</v>
      </c>
      <c r="H884" s="2072">
        <v>146832</v>
      </c>
      <c r="I884" s="120"/>
      <c r="J884" s="120"/>
      <c r="K884" s="120"/>
      <c r="L884" s="120"/>
      <c r="M884" s="120"/>
      <c r="N884" s="120"/>
      <c r="O884" s="120"/>
      <c r="P884" s="120"/>
      <c r="Q884" s="120"/>
    </row>
    <row r="885" spans="2:17" ht="18">
      <c r="B885" s="1864" t="s">
        <v>2698</v>
      </c>
      <c r="C885" s="120"/>
      <c r="D885" s="120"/>
      <c r="E885" s="1513"/>
      <c r="F885" s="1513"/>
      <c r="G885" s="2071">
        <v>474189</v>
      </c>
      <c r="H885" s="2072">
        <v>2129493</v>
      </c>
      <c r="I885" s="120"/>
      <c r="J885" s="120"/>
      <c r="K885" s="120"/>
      <c r="L885" s="120"/>
      <c r="M885" s="120"/>
      <c r="N885" s="120"/>
      <c r="O885" s="120"/>
      <c r="P885" s="120"/>
      <c r="Q885" s="120"/>
    </row>
    <row r="886" spans="2:17" ht="18">
      <c r="B886" s="1864" t="s">
        <v>4762</v>
      </c>
      <c r="C886" s="120"/>
      <c r="D886" s="120"/>
      <c r="E886" s="1513"/>
      <c r="F886" s="1513"/>
      <c r="G886" s="2071">
        <f>+GETPIVOTDATA("Sum of Cr. Final 23-24",Pivot!$A$1,"PARTICULARS","RADHIKA SALES CORPORATION [ WP]","Note",17,"BS Main Head","Trade Payables","BS Sub Head","Trade Payables")</f>
        <v>328373</v>
      </c>
      <c r="H886" s="2072"/>
      <c r="I886" s="120"/>
      <c r="J886" s="120"/>
      <c r="K886" s="120"/>
      <c r="L886" s="120"/>
      <c r="M886" s="120"/>
      <c r="N886" s="120"/>
      <c r="O886" s="120"/>
      <c r="P886" s="120"/>
      <c r="Q886" s="120"/>
    </row>
    <row r="887" spans="2:17" ht="18">
      <c r="B887" s="1864"/>
      <c r="C887" s="120"/>
      <c r="D887" s="120"/>
      <c r="E887" s="1513"/>
      <c r="F887" s="1513"/>
      <c r="G887" s="2071"/>
      <c r="H887" s="2072"/>
      <c r="I887" s="120"/>
      <c r="J887" s="120"/>
      <c r="K887" s="120"/>
      <c r="L887" s="120"/>
      <c r="M887" s="120"/>
      <c r="N887" s="120"/>
      <c r="O887" s="120"/>
      <c r="P887" s="120"/>
      <c r="Q887" s="120"/>
    </row>
    <row r="888" spans="2:17" ht="18">
      <c r="B888" s="1863" t="s">
        <v>14</v>
      </c>
      <c r="C888" s="120"/>
      <c r="D888" s="120"/>
      <c r="E888" s="1513"/>
      <c r="F888" s="1513"/>
      <c r="G888" s="2071"/>
      <c r="H888" s="2072"/>
      <c r="I888" s="120"/>
      <c r="J888" s="120"/>
      <c r="K888" s="120"/>
      <c r="L888" s="120"/>
      <c r="M888" s="120"/>
      <c r="N888" s="120"/>
      <c r="O888" s="120"/>
      <c r="P888" s="120"/>
      <c r="Q888" s="120"/>
    </row>
    <row r="889" spans="2:17" ht="18">
      <c r="B889" s="1864" t="s">
        <v>1042</v>
      </c>
      <c r="C889" s="1874"/>
      <c r="D889" s="1874"/>
      <c r="E889" s="1875"/>
      <c r="F889" s="1875"/>
      <c r="G889" s="1878">
        <v>0</v>
      </c>
      <c r="H889" s="2148">
        <v>305863</v>
      </c>
      <c r="I889" s="1875"/>
      <c r="J889" s="1875"/>
      <c r="K889" s="1875"/>
      <c r="L889" s="1875"/>
      <c r="M889" s="1875"/>
      <c r="N889" s="1875"/>
      <c r="O889" s="1875"/>
      <c r="P889" s="1875"/>
      <c r="Q889" s="1875"/>
    </row>
    <row r="890" spans="2:17" ht="18">
      <c r="B890" s="1864" t="s">
        <v>1088</v>
      </c>
      <c r="C890" s="1874"/>
      <c r="D890" s="1874"/>
      <c r="E890" s="1875"/>
      <c r="F890" s="1875"/>
      <c r="G890" s="1878">
        <v>0</v>
      </c>
      <c r="H890" s="2148">
        <v>10899010</v>
      </c>
      <c r="I890" s="1875"/>
      <c r="J890" s="1875"/>
      <c r="K890" s="1875"/>
      <c r="L890" s="1875"/>
      <c r="M890" s="1875"/>
      <c r="N890" s="1875"/>
      <c r="O890" s="1875"/>
      <c r="P890" s="1875"/>
      <c r="Q890" s="1875"/>
    </row>
    <row r="891" spans="2:17" ht="18">
      <c r="B891" s="1864" t="s">
        <v>4762</v>
      </c>
      <c r="C891" s="1874"/>
      <c r="D891" s="1874"/>
      <c r="E891" s="1875"/>
      <c r="F891" s="1875"/>
      <c r="G891" s="2071">
        <f>+GETPIVOTDATA("Sum of Dr. Final 23-24",Pivot!$A$1,"PARTICULARS","RADHIKA SALES CORPORATION","Note",6,"BS Main Head","Financial Assets","BS Sub Head","Trade Receivables")</f>
        <v>11449790</v>
      </c>
      <c r="H891" s="2148"/>
      <c r="I891" s="1875"/>
      <c r="J891" s="1875"/>
      <c r="K891" s="1875"/>
      <c r="L891" s="1875"/>
      <c r="M891" s="1875"/>
      <c r="N891" s="1875"/>
      <c r="O891" s="1875"/>
      <c r="P891" s="1875"/>
      <c r="Q891" s="1875"/>
    </row>
    <row r="892" spans="2:17" ht="18.600000000000001" thickBot="1">
      <c r="B892" s="999"/>
      <c r="C892" s="1196"/>
      <c r="D892" s="1196"/>
      <c r="E892" s="1191"/>
      <c r="F892" s="1191"/>
      <c r="G892" s="1203"/>
      <c r="H892" s="1204"/>
      <c r="I892" s="21"/>
      <c r="J892" s="21"/>
      <c r="K892" s="21"/>
      <c r="L892" s="21"/>
      <c r="M892" s="21"/>
      <c r="N892" s="21"/>
      <c r="O892" s="21"/>
      <c r="P892" s="21"/>
      <c r="Q892" s="21"/>
    </row>
    <row r="893" spans="2:17" ht="18">
      <c r="B893" s="2260" t="s">
        <v>702</v>
      </c>
      <c r="C893" s="2261"/>
      <c r="D893" s="2261"/>
      <c r="E893" s="2261"/>
      <c r="F893" s="2261"/>
      <c r="G893" s="2261"/>
      <c r="H893" s="2262"/>
      <c r="I893" s="1502"/>
      <c r="J893" s="1502"/>
      <c r="K893" s="1502"/>
      <c r="L893" s="1502"/>
      <c r="M893" s="1502"/>
      <c r="N893" s="1502"/>
      <c r="O893" s="1502"/>
      <c r="P893" s="1502"/>
      <c r="Q893" s="1502"/>
    </row>
    <row r="894" spans="2:17" ht="18">
      <c r="B894" s="2279" t="s">
        <v>3056</v>
      </c>
      <c r="C894" s="2280"/>
      <c r="D894" s="2280"/>
      <c r="E894" s="2280"/>
      <c r="F894" s="2280"/>
      <c r="G894" s="2280"/>
      <c r="H894" s="2281"/>
      <c r="I894" s="1502"/>
      <c r="J894" s="1502"/>
      <c r="K894" s="1502"/>
      <c r="L894" s="1502"/>
      <c r="M894" s="1502"/>
      <c r="N894" s="1502"/>
      <c r="O894" s="1502"/>
      <c r="P894" s="1502"/>
      <c r="Q894" s="1502"/>
    </row>
    <row r="895" spans="2:17" ht="18">
      <c r="B895" s="1262"/>
      <c r="C895" s="1260"/>
      <c r="D895" s="1260"/>
      <c r="E895" s="1260"/>
      <c r="F895" s="1260"/>
      <c r="G895" s="1260"/>
      <c r="H895" s="1261"/>
      <c r="I895" s="1502"/>
      <c r="J895" s="1502"/>
      <c r="K895" s="1502"/>
      <c r="L895" s="1502"/>
      <c r="M895" s="1502"/>
      <c r="N895" s="1502"/>
      <c r="O895" s="1502"/>
      <c r="P895" s="1502"/>
      <c r="Q895" s="1502"/>
    </row>
    <row r="896" spans="2:17" ht="18">
      <c r="B896" s="1053" t="s">
        <v>0</v>
      </c>
      <c r="C896" s="1054"/>
      <c r="D896" s="1054"/>
      <c r="E896" s="1055"/>
      <c r="F896" s="1055"/>
      <c r="G896" s="1004" t="s">
        <v>756</v>
      </c>
      <c r="H896" s="1005" t="s">
        <v>756</v>
      </c>
      <c r="I896" s="1996"/>
      <c r="J896" s="1996"/>
      <c r="K896" s="1996"/>
      <c r="L896" s="1996"/>
      <c r="M896" s="1996"/>
      <c r="N896" s="1996"/>
      <c r="O896" s="1996"/>
      <c r="P896" s="1996"/>
      <c r="Q896" s="1996"/>
    </row>
    <row r="897" spans="2:17" ht="18">
      <c r="B897" s="1036"/>
      <c r="C897" s="44"/>
      <c r="D897" s="44"/>
      <c r="E897" s="28"/>
      <c r="F897" s="28"/>
      <c r="G897" s="6" t="s">
        <v>3052</v>
      </c>
      <c r="H897" s="1007" t="s">
        <v>705</v>
      </c>
      <c r="I897" s="103"/>
      <c r="J897" s="103"/>
      <c r="K897" s="103"/>
      <c r="L897" s="103"/>
      <c r="M897" s="103"/>
      <c r="N897" s="103"/>
      <c r="O897" s="103"/>
      <c r="P897" s="103"/>
      <c r="Q897" s="103"/>
    </row>
    <row r="898" spans="2:17" ht="18">
      <c r="B898" s="1178"/>
      <c r="C898" s="1175"/>
      <c r="D898" s="1175"/>
      <c r="E898" s="1071"/>
      <c r="F898" s="1071"/>
      <c r="G898" s="1064"/>
      <c r="H898" s="1065"/>
      <c r="I898" s="120"/>
      <c r="J898" s="120"/>
      <c r="K898" s="120"/>
      <c r="L898" s="120"/>
      <c r="M898" s="120"/>
      <c r="N898" s="120"/>
      <c r="O898" s="120"/>
      <c r="P898" s="120"/>
      <c r="Q898" s="120"/>
    </row>
    <row r="899" spans="2:17" ht="18">
      <c r="B899" s="1076" t="s">
        <v>2667</v>
      </c>
      <c r="C899" s="56"/>
      <c r="D899" s="56"/>
      <c r="E899" s="1503"/>
      <c r="F899" s="1503"/>
      <c r="G899" s="69"/>
      <c r="H899" s="1090"/>
      <c r="I899" s="26"/>
      <c r="J899" s="26"/>
      <c r="K899" s="26"/>
      <c r="L899" s="26"/>
      <c r="M899" s="26"/>
      <c r="N899" s="26"/>
      <c r="O899" s="26"/>
      <c r="P899" s="26"/>
      <c r="Q899" s="26"/>
    </row>
    <row r="900" spans="2:17" ht="18">
      <c r="B900" s="1063"/>
      <c r="C900" s="24"/>
      <c r="D900" s="24"/>
      <c r="E900" s="1503"/>
      <c r="F900" s="1503"/>
      <c r="G900" s="69"/>
      <c r="H900" s="1090"/>
      <c r="I900" s="26"/>
      <c r="J900" s="26"/>
      <c r="K900" s="26"/>
      <c r="L900" s="26"/>
      <c r="M900" s="26"/>
      <c r="N900" s="26"/>
      <c r="O900" s="26"/>
      <c r="P900" s="26"/>
      <c r="Q900" s="26"/>
    </row>
    <row r="901" spans="2:17" ht="18">
      <c r="B901" s="1077" t="s">
        <v>1090</v>
      </c>
      <c r="C901" s="1513"/>
      <c r="D901" s="1513"/>
      <c r="E901" s="1503"/>
      <c r="F901" s="1503"/>
      <c r="G901" s="69"/>
      <c r="H901" s="1090"/>
      <c r="I901" s="26"/>
      <c r="J901" s="26"/>
      <c r="K901" s="26"/>
      <c r="L901" s="26"/>
      <c r="M901" s="26"/>
      <c r="N901" s="26"/>
      <c r="O901" s="26"/>
      <c r="P901" s="26"/>
      <c r="Q901" s="26"/>
    </row>
    <row r="902" spans="2:17" ht="18">
      <c r="B902" s="1060" t="s">
        <v>1091</v>
      </c>
      <c r="C902" s="1513"/>
      <c r="D902" s="1513"/>
      <c r="E902" s="1503"/>
      <c r="F902" s="120"/>
      <c r="G902" s="2071">
        <v>5000000</v>
      </c>
      <c r="H902" s="2072">
        <v>5000000</v>
      </c>
      <c r="I902" s="120"/>
      <c r="J902" s="120"/>
      <c r="K902" s="120"/>
      <c r="L902" s="120"/>
      <c r="M902" s="120"/>
      <c r="N902" s="120"/>
      <c r="O902" s="120"/>
      <c r="P902" s="120"/>
      <c r="Q902" s="120"/>
    </row>
    <row r="903" spans="2:17" ht="18">
      <c r="B903" s="1060" t="s">
        <v>2755</v>
      </c>
      <c r="C903" s="24"/>
      <c r="D903" s="24"/>
      <c r="E903" s="1503"/>
      <c r="F903" s="120"/>
      <c r="G903" s="2049">
        <v>825000</v>
      </c>
      <c r="H903" s="2057">
        <v>825000</v>
      </c>
      <c r="I903" s="1874"/>
      <c r="J903" s="1874"/>
      <c r="K903" s="1874"/>
      <c r="L903" s="1874"/>
      <c r="M903" s="1874"/>
      <c r="N903" s="1874"/>
      <c r="O903" s="1874"/>
      <c r="P903" s="1874"/>
      <c r="Q903" s="1874"/>
    </row>
    <row r="904" spans="2:17" ht="18">
      <c r="B904" s="1060" t="s">
        <v>1092</v>
      </c>
      <c r="C904" s="24"/>
      <c r="D904" s="24"/>
      <c r="E904" s="1503"/>
      <c r="F904" s="120"/>
      <c r="G904" s="2049">
        <v>500000</v>
      </c>
      <c r="H904" s="2057">
        <v>500000</v>
      </c>
      <c r="I904" s="1874"/>
      <c r="J904" s="1874"/>
      <c r="K904" s="1874"/>
      <c r="L904" s="1874"/>
      <c r="M904" s="1874"/>
      <c r="N904" s="1874"/>
      <c r="O904" s="1874"/>
      <c r="P904" s="1874"/>
      <c r="Q904" s="1874"/>
    </row>
    <row r="905" spans="2:17" ht="18">
      <c r="B905" s="1060"/>
      <c r="C905" s="24"/>
      <c r="D905" s="24"/>
      <c r="E905" s="1503"/>
      <c r="F905" s="120"/>
      <c r="G905" s="2049"/>
      <c r="H905" s="2057"/>
      <c r="I905" s="1874"/>
      <c r="J905" s="1874"/>
      <c r="K905" s="1874"/>
      <c r="L905" s="1874"/>
      <c r="M905" s="1874"/>
      <c r="N905" s="1874"/>
      <c r="O905" s="1874"/>
      <c r="P905" s="1874"/>
      <c r="Q905" s="1874"/>
    </row>
    <row r="906" spans="2:17" ht="18">
      <c r="B906" s="1066" t="s">
        <v>1093</v>
      </c>
      <c r="C906" s="24"/>
      <c r="D906" s="24"/>
      <c r="E906" s="1503"/>
      <c r="F906" s="1503"/>
      <c r="G906" s="2049">
        <f>+'MSME Intt'!P1</f>
        <v>3260275.3854138013</v>
      </c>
      <c r="H906" s="2057">
        <v>47689</v>
      </c>
      <c r="I906" s="1874"/>
      <c r="J906" s="1874"/>
      <c r="K906" s="1874"/>
      <c r="L906" s="1874"/>
      <c r="M906" s="1874"/>
      <c r="N906" s="1874"/>
      <c r="O906" s="1874"/>
      <c r="P906" s="1874"/>
      <c r="Q906" s="1874"/>
    </row>
    <row r="907" spans="2:17" ht="18">
      <c r="B907" s="996" t="s">
        <v>757</v>
      </c>
      <c r="C907" s="1513"/>
      <c r="D907" s="1513"/>
      <c r="E907" s="1503"/>
      <c r="F907" s="1503"/>
      <c r="G907" s="2049" t="s">
        <v>757</v>
      </c>
      <c r="H907" s="2057" t="s">
        <v>757</v>
      </c>
      <c r="I907" s="1874"/>
      <c r="J907" s="1874"/>
      <c r="K907" s="1874"/>
      <c r="L907" s="1874"/>
      <c r="M907" s="1874"/>
      <c r="N907" s="1874"/>
      <c r="O907" s="1874"/>
      <c r="P907" s="1874"/>
      <c r="Q907" s="1874"/>
    </row>
    <row r="908" spans="2:17" ht="18">
      <c r="B908" s="1066" t="s">
        <v>1094</v>
      </c>
      <c r="C908" s="1513"/>
      <c r="D908" s="1513"/>
      <c r="E908" s="1503"/>
      <c r="F908" s="1503"/>
      <c r="G908" s="1848">
        <v>0</v>
      </c>
      <c r="H908" s="2057">
        <v>43930</v>
      </c>
      <c r="I908" s="1874"/>
      <c r="J908" s="1874"/>
      <c r="K908" s="1874"/>
      <c r="L908" s="1874"/>
      <c r="M908" s="1874"/>
      <c r="N908" s="1874"/>
      <c r="O908" s="1874"/>
      <c r="P908" s="1874"/>
      <c r="Q908" s="1874"/>
    </row>
    <row r="909" spans="2:17" ht="18">
      <c r="B909" s="996"/>
      <c r="C909" s="1513"/>
      <c r="D909" s="1513"/>
      <c r="E909" s="1503"/>
      <c r="F909" s="1503"/>
      <c r="G909" s="1848"/>
      <c r="H909" s="2057"/>
      <c r="I909" s="1874"/>
      <c r="J909" s="1874"/>
      <c r="K909" s="1874"/>
      <c r="L909" s="1874"/>
      <c r="M909" s="1874"/>
      <c r="N909" s="1874"/>
      <c r="O909" s="1874"/>
      <c r="P909" s="1874"/>
      <c r="Q909" s="1874"/>
    </row>
    <row r="910" spans="2:17" ht="18">
      <c r="B910" s="1066" t="s">
        <v>1095</v>
      </c>
      <c r="C910" s="1513"/>
      <c r="D910" s="1513"/>
      <c r="E910" s="1503"/>
      <c r="F910" s="1503"/>
      <c r="G910" s="1848"/>
      <c r="H910" s="2057"/>
      <c r="I910" s="1874"/>
      <c r="J910" s="1874"/>
      <c r="K910" s="1874"/>
      <c r="L910" s="1874"/>
      <c r="M910" s="1874"/>
      <c r="N910" s="1874"/>
      <c r="O910" s="1874"/>
      <c r="P910" s="1874"/>
      <c r="Q910" s="1874"/>
    </row>
    <row r="911" spans="2:17" ht="18">
      <c r="B911" s="1060" t="s">
        <v>1096</v>
      </c>
      <c r="C911" s="1513"/>
      <c r="D911" s="1513"/>
      <c r="E911" s="1503"/>
      <c r="F911" s="1503"/>
      <c r="G911" s="1848">
        <v>0</v>
      </c>
      <c r="H911" s="1047">
        <v>0</v>
      </c>
      <c r="I911" s="1874"/>
      <c r="J911" s="1874"/>
      <c r="K911" s="1874"/>
      <c r="L911" s="1874"/>
      <c r="M911" s="1874"/>
      <c r="N911" s="1874"/>
      <c r="O911" s="1874"/>
      <c r="P911" s="1874"/>
      <c r="Q911" s="1874"/>
    </row>
    <row r="912" spans="2:17" ht="18">
      <c r="B912" s="1060" t="s">
        <v>1097</v>
      </c>
      <c r="C912" s="1513"/>
      <c r="D912" s="1513"/>
      <c r="E912" s="1503"/>
      <c r="F912" s="1503"/>
      <c r="G912" s="1848">
        <v>0</v>
      </c>
      <c r="H912" s="1047">
        <v>0</v>
      </c>
      <c r="I912" s="1874"/>
      <c r="J912" s="1874"/>
      <c r="K912" s="1874"/>
      <c r="L912" s="1874"/>
      <c r="M912" s="1874"/>
      <c r="N912" s="1874"/>
      <c r="O912" s="1874"/>
      <c r="P912" s="1874"/>
      <c r="Q912" s="1874"/>
    </row>
    <row r="913" spans="2:17" ht="78" customHeight="1">
      <c r="B913" s="2265" t="s">
        <v>2878</v>
      </c>
      <c r="C913" s="2266"/>
      <c r="D913" s="2266"/>
      <c r="E913" s="2266"/>
      <c r="F913" s="2266"/>
      <c r="G913" s="2049"/>
      <c r="H913" s="2057"/>
      <c r="I913" s="1874"/>
      <c r="J913" s="1874"/>
      <c r="K913" s="1874"/>
      <c r="L913" s="1874"/>
      <c r="M913" s="1874"/>
      <c r="N913" s="1874"/>
      <c r="O913" s="1874"/>
      <c r="P913" s="1874"/>
      <c r="Q913" s="1874"/>
    </row>
    <row r="914" spans="2:17" ht="18">
      <c r="B914" s="1012"/>
      <c r="C914" s="1514"/>
      <c r="D914" s="1514"/>
      <c r="E914" s="1514"/>
      <c r="F914" s="1515"/>
      <c r="G914" s="2049"/>
      <c r="H914" s="2057"/>
      <c r="I914" s="1874"/>
      <c r="J914" s="1874"/>
      <c r="K914" s="1874"/>
      <c r="L914" s="1874"/>
      <c r="M914" s="1874"/>
      <c r="N914" s="1874"/>
      <c r="O914" s="1874"/>
      <c r="P914" s="1874"/>
      <c r="Q914" s="1874"/>
    </row>
    <row r="915" spans="2:17" ht="18">
      <c r="B915" s="1066" t="s">
        <v>1098</v>
      </c>
      <c r="C915" s="1515"/>
      <c r="D915" s="1515"/>
      <c r="E915" s="1515"/>
      <c r="F915" s="1515"/>
      <c r="G915" s="2049"/>
      <c r="H915" s="2057"/>
      <c r="I915" s="1874"/>
      <c r="J915" s="1874"/>
      <c r="K915" s="1874"/>
      <c r="L915" s="1874"/>
      <c r="M915" s="1874"/>
      <c r="N915" s="1874"/>
      <c r="O915" s="1874"/>
      <c r="P915" s="1874"/>
      <c r="Q915" s="1874"/>
    </row>
    <row r="916" spans="2:17" ht="18">
      <c r="B916" s="1060" t="s">
        <v>1096</v>
      </c>
      <c r="C916" s="1515"/>
      <c r="D916" s="1515"/>
      <c r="E916" s="1515"/>
      <c r="F916" s="1515"/>
      <c r="G916" s="1848">
        <v>0</v>
      </c>
      <c r="H916" s="1047">
        <v>0</v>
      </c>
      <c r="I916" s="1874"/>
      <c r="J916" s="1874"/>
      <c r="K916" s="1874"/>
      <c r="L916" s="1874"/>
      <c r="M916" s="1874"/>
      <c r="N916" s="1874"/>
      <c r="O916" s="1874"/>
      <c r="P916" s="1874"/>
      <c r="Q916" s="1874"/>
    </row>
    <row r="917" spans="2:17" ht="18">
      <c r="B917" s="1060" t="s">
        <v>1097</v>
      </c>
      <c r="C917" s="1515"/>
      <c r="D917" s="1515"/>
      <c r="E917" s="1515"/>
      <c r="F917" s="1515"/>
      <c r="G917" s="2049">
        <v>667226</v>
      </c>
      <c r="H917" s="2057">
        <v>667226</v>
      </c>
      <c r="I917" s="1874"/>
      <c r="J917" s="1874"/>
      <c r="K917" s="1874"/>
      <c r="L917" s="1874"/>
      <c r="M917" s="1874"/>
      <c r="N917" s="1874"/>
      <c r="O917" s="1874"/>
      <c r="P917" s="1874"/>
      <c r="Q917" s="1874"/>
    </row>
    <row r="918" spans="2:17" ht="18">
      <c r="B918" s="1066" t="s">
        <v>1099</v>
      </c>
      <c r="C918" s="1515"/>
      <c r="D918" s="1515"/>
      <c r="E918" s="1515"/>
      <c r="F918" s="1515"/>
      <c r="G918" s="2049"/>
      <c r="H918" s="2057"/>
      <c r="I918" s="1874"/>
      <c r="J918" s="1874"/>
      <c r="K918" s="1874"/>
      <c r="L918" s="1874"/>
      <c r="M918" s="1874"/>
      <c r="N918" s="1874"/>
      <c r="O918" s="1874"/>
      <c r="P918" s="1874"/>
      <c r="Q918" s="1874"/>
    </row>
    <row r="919" spans="2:17" ht="18">
      <c r="B919" s="1060" t="s">
        <v>1096</v>
      </c>
      <c r="C919" s="1515"/>
      <c r="D919" s="1515"/>
      <c r="E919" s="1515"/>
      <c r="F919" s="1515"/>
      <c r="G919" s="1848">
        <v>0</v>
      </c>
      <c r="H919" s="1047">
        <v>0</v>
      </c>
      <c r="I919" s="1874"/>
      <c r="J919" s="1874"/>
      <c r="K919" s="1874"/>
      <c r="L919" s="1874"/>
      <c r="M919" s="1874"/>
      <c r="N919" s="1874"/>
      <c r="O919" s="1874"/>
      <c r="P919" s="1874"/>
      <c r="Q919" s="1874"/>
    </row>
    <row r="920" spans="2:17" ht="18">
      <c r="B920" s="1060" t="s">
        <v>1097</v>
      </c>
      <c r="C920" s="1515"/>
      <c r="D920" s="1515"/>
      <c r="E920" s="1515"/>
      <c r="F920" s="1515"/>
      <c r="G920" s="2049">
        <v>627223</v>
      </c>
      <c r="H920" s="2057">
        <v>627223</v>
      </c>
      <c r="I920" s="1874"/>
      <c r="J920" s="1874"/>
      <c r="K920" s="1874"/>
      <c r="L920" s="1874"/>
      <c r="M920" s="1874"/>
      <c r="N920" s="1874"/>
      <c r="O920" s="1874"/>
      <c r="P920" s="1874"/>
      <c r="Q920" s="1874"/>
    </row>
    <row r="921" spans="2:17" ht="128.4" customHeight="1">
      <c r="B921" s="2282" t="s">
        <v>2871</v>
      </c>
      <c r="C921" s="2283"/>
      <c r="D921" s="2283"/>
      <c r="E921" s="2283"/>
      <c r="F921" s="2283"/>
      <c r="G921" s="2112"/>
      <c r="H921" s="2113"/>
      <c r="I921" s="2009"/>
      <c r="J921" s="2009"/>
      <c r="K921" s="2009"/>
      <c r="L921" s="2009"/>
      <c r="M921" s="2009"/>
      <c r="N921" s="2009"/>
      <c r="O921" s="2009"/>
      <c r="P921" s="2009"/>
      <c r="Q921" s="2009"/>
    </row>
    <row r="922" spans="2:17" ht="18">
      <c r="B922" s="1501"/>
      <c r="C922" s="1516"/>
      <c r="D922" s="1516"/>
      <c r="E922" s="1516"/>
      <c r="F922" s="1516"/>
      <c r="G922" s="2112"/>
      <c r="H922" s="2113"/>
      <c r="I922" s="2009"/>
      <c r="J922" s="2009"/>
      <c r="K922" s="2009"/>
      <c r="L922" s="2009"/>
      <c r="M922" s="2009"/>
      <c r="N922" s="2009"/>
      <c r="O922" s="2009"/>
      <c r="P922" s="2009"/>
      <c r="Q922" s="2009"/>
    </row>
    <row r="923" spans="2:17" ht="18">
      <c r="B923" s="1461" t="s">
        <v>1100</v>
      </c>
      <c r="C923" s="1516"/>
      <c r="D923" s="1516"/>
      <c r="E923" s="1516"/>
      <c r="F923" s="1516"/>
      <c r="G923" s="2112"/>
      <c r="H923" s="2113"/>
      <c r="I923" s="2009"/>
      <c r="J923" s="2009"/>
      <c r="K923" s="2009"/>
      <c r="L923" s="2009"/>
      <c r="M923" s="2009"/>
      <c r="N923" s="2009"/>
      <c r="O923" s="2009"/>
      <c r="P923" s="2009"/>
      <c r="Q923" s="2009"/>
    </row>
    <row r="924" spans="2:17" ht="18">
      <c r="B924" s="2284" t="s">
        <v>1101</v>
      </c>
      <c r="C924" s="2285"/>
      <c r="D924" s="2285"/>
      <c r="E924" s="2285"/>
      <c r="F924" s="2286"/>
      <c r="G924" s="2150"/>
      <c r="H924" s="2158">
        <v>0</v>
      </c>
      <c r="I924" s="2027"/>
      <c r="J924" s="2027"/>
      <c r="K924" s="2027"/>
      <c r="L924" s="2027"/>
      <c r="M924" s="2027"/>
      <c r="N924" s="2027"/>
      <c r="O924" s="2027"/>
      <c r="P924" s="2027"/>
      <c r="Q924" s="2027"/>
    </row>
    <row r="925" spans="2:17" ht="18">
      <c r="B925" s="1179"/>
      <c r="C925" s="1517"/>
      <c r="D925" s="1517"/>
      <c r="E925" s="1517"/>
      <c r="F925" s="1517"/>
      <c r="G925" s="19"/>
      <c r="H925" s="1030"/>
      <c r="I925" s="19"/>
      <c r="J925" s="19"/>
      <c r="K925" s="19"/>
      <c r="L925" s="19"/>
      <c r="M925" s="19"/>
      <c r="N925" s="19"/>
      <c r="O925" s="19"/>
      <c r="P925" s="19"/>
      <c r="Q925" s="19"/>
    </row>
    <row r="926" spans="2:17" ht="18">
      <c r="B926" s="1076" t="s">
        <v>2668</v>
      </c>
      <c r="C926" s="1513"/>
      <c r="D926" s="1513"/>
      <c r="E926" s="1503"/>
      <c r="F926" s="1503"/>
      <c r="G926" s="26"/>
      <c r="H926" s="1034"/>
      <c r="I926" s="26"/>
      <c r="J926" s="26"/>
      <c r="K926" s="26"/>
      <c r="L926" s="26"/>
      <c r="M926" s="26"/>
      <c r="N926" s="26"/>
      <c r="O926" s="26"/>
      <c r="P926" s="26"/>
      <c r="Q926" s="26"/>
    </row>
    <row r="927" spans="2:17" ht="18">
      <c r="B927" s="2265" t="s">
        <v>1103</v>
      </c>
      <c r="C927" s="2266"/>
      <c r="D927" s="2266"/>
      <c r="E927" s="2266"/>
      <c r="F927" s="2266"/>
      <c r="G927" s="2266"/>
      <c r="H927" s="2267"/>
      <c r="I927" s="1518"/>
      <c r="J927" s="1518"/>
      <c r="K927" s="1518"/>
      <c r="L927" s="1518"/>
      <c r="M927" s="1518"/>
      <c r="N927" s="1518"/>
      <c r="O927" s="1518"/>
      <c r="P927" s="1518"/>
      <c r="Q927" s="1518"/>
    </row>
    <row r="928" spans="2:17" ht="18">
      <c r="B928" s="1180"/>
      <c r="C928" s="1502"/>
      <c r="D928" s="1502"/>
      <c r="E928" s="1502"/>
      <c r="F928" s="1502"/>
      <c r="G928" s="103"/>
      <c r="H928" s="1020"/>
      <c r="I928" s="103"/>
      <c r="J928" s="103"/>
      <c r="K928" s="103"/>
      <c r="L928" s="103"/>
      <c r="M928" s="103"/>
      <c r="N928" s="103"/>
      <c r="O928" s="103"/>
      <c r="P928" s="103"/>
      <c r="Q928" s="103"/>
    </row>
    <row r="929" spans="2:17" ht="18">
      <c r="B929" s="1076" t="s">
        <v>2631</v>
      </c>
      <c r="C929" s="1513"/>
      <c r="D929" s="1513"/>
      <c r="E929" s="1503"/>
      <c r="F929" s="1503"/>
      <c r="G929" s="26"/>
      <c r="H929" s="1034"/>
      <c r="I929" s="26"/>
      <c r="J929" s="26"/>
      <c r="K929" s="26"/>
      <c r="L929" s="26"/>
      <c r="M929" s="26"/>
      <c r="N929" s="26"/>
      <c r="O929" s="26"/>
      <c r="P929" s="26"/>
      <c r="Q929" s="26"/>
    </row>
    <row r="930" spans="2:17" ht="36" customHeight="1">
      <c r="B930" s="2265" t="s">
        <v>1104</v>
      </c>
      <c r="C930" s="2266"/>
      <c r="D930" s="2266"/>
      <c r="E930" s="2266"/>
      <c r="F930" s="2266"/>
      <c r="G930" s="2266"/>
      <c r="H930" s="2267"/>
      <c r="I930" s="1518"/>
      <c r="J930" s="1518"/>
      <c r="K930" s="1518"/>
      <c r="L930" s="1518"/>
      <c r="M930" s="1518"/>
      <c r="N930" s="1518"/>
      <c r="O930" s="1518"/>
      <c r="P930" s="1518"/>
      <c r="Q930" s="1518"/>
    </row>
    <row r="931" spans="2:17" ht="18">
      <c r="B931" s="1283"/>
      <c r="C931" s="1515"/>
      <c r="D931" s="1515"/>
      <c r="E931" s="1515"/>
      <c r="F931" s="1515"/>
      <c r="G931" s="54"/>
      <c r="H931" s="1074"/>
      <c r="I931" s="54"/>
      <c r="J931" s="54"/>
      <c r="K931" s="54"/>
      <c r="L931" s="54"/>
      <c r="M931" s="54"/>
      <c r="N931" s="54"/>
      <c r="O931" s="54"/>
      <c r="P931" s="54"/>
      <c r="Q931" s="54"/>
    </row>
    <row r="932" spans="2:17" ht="18">
      <c r="B932" s="1076" t="s">
        <v>1102</v>
      </c>
      <c r="C932" s="1515"/>
      <c r="D932" s="1515"/>
      <c r="E932" s="1515"/>
      <c r="F932" s="1515"/>
      <c r="G932" s="54"/>
      <c r="H932" s="1074"/>
      <c r="I932" s="54"/>
      <c r="J932" s="54"/>
      <c r="K932" s="54"/>
      <c r="L932" s="54"/>
      <c r="M932" s="54"/>
      <c r="N932" s="54"/>
      <c r="O932" s="54"/>
      <c r="P932" s="54"/>
      <c r="Q932" s="54"/>
    </row>
    <row r="933" spans="2:17" ht="18">
      <c r="B933" s="2265" t="s">
        <v>1105</v>
      </c>
      <c r="C933" s="2266"/>
      <c r="D933" s="2266"/>
      <c r="E933" s="2266"/>
      <c r="F933" s="2266"/>
      <c r="G933" s="2266"/>
      <c r="H933" s="2267"/>
      <c r="I933" s="1518"/>
      <c r="J933" s="1518"/>
      <c r="K933" s="1518"/>
      <c r="L933" s="1518"/>
      <c r="M933" s="1518"/>
      <c r="N933" s="1518"/>
      <c r="O933" s="1518"/>
      <c r="P933" s="1518"/>
      <c r="Q933" s="1518"/>
    </row>
    <row r="934" spans="2:17" ht="18">
      <c r="B934" s="2265"/>
      <c r="C934" s="2266"/>
      <c r="D934" s="2266"/>
      <c r="E934" s="2266"/>
      <c r="F934" s="2266"/>
      <c r="G934" s="2266"/>
      <c r="H934" s="2267"/>
      <c r="I934" s="1518"/>
      <c r="J934" s="1518"/>
      <c r="K934" s="1518"/>
      <c r="L934" s="1518"/>
      <c r="M934" s="1518"/>
      <c r="N934" s="1518"/>
      <c r="O934" s="1518"/>
      <c r="P934" s="1518"/>
      <c r="Q934" s="1518"/>
    </row>
    <row r="935" spans="2:17" ht="20.399999999999999" customHeight="1">
      <c r="B935" s="2265"/>
      <c r="C935" s="2266"/>
      <c r="D935" s="2266"/>
      <c r="E935" s="2266"/>
      <c r="F935" s="2266"/>
      <c r="G935" s="2266"/>
      <c r="H935" s="2267"/>
      <c r="I935" s="1518"/>
      <c r="J935" s="1518"/>
      <c r="K935" s="1518"/>
      <c r="L935" s="1518"/>
      <c r="M935" s="1518"/>
      <c r="N935" s="1518"/>
      <c r="O935" s="1518"/>
      <c r="P935" s="1518"/>
      <c r="Q935" s="1518"/>
    </row>
    <row r="936" spans="2:17" ht="18">
      <c r="B936" s="1016"/>
      <c r="C936" s="1518"/>
      <c r="D936" s="1518"/>
      <c r="E936" s="1518"/>
      <c r="F936" s="1518"/>
      <c r="G936" s="1518"/>
      <c r="H936" s="1181"/>
      <c r="I936" s="1518"/>
      <c r="J936" s="1518"/>
      <c r="K936" s="1518"/>
      <c r="L936" s="1518"/>
      <c r="M936" s="1518"/>
      <c r="N936" s="1518"/>
      <c r="O936" s="1518"/>
      <c r="P936" s="1518"/>
      <c r="Q936" s="1518"/>
    </row>
    <row r="937" spans="2:17" ht="18">
      <c r="B937" s="1076" t="s">
        <v>2768</v>
      </c>
      <c r="C937" s="1518"/>
      <c r="D937" s="1518"/>
      <c r="E937" s="1518"/>
      <c r="F937" s="1518"/>
      <c r="G937" s="1518"/>
      <c r="H937" s="1181"/>
      <c r="I937" s="1518"/>
      <c r="J937" s="1518"/>
      <c r="K937" s="1518"/>
      <c r="L937" s="1518"/>
      <c r="M937" s="1518"/>
      <c r="N937" s="1518"/>
      <c r="O937" s="1518"/>
      <c r="P937" s="1518"/>
      <c r="Q937" s="1518"/>
    </row>
    <row r="938" spans="2:17" ht="40.950000000000003" customHeight="1">
      <c r="B938" s="2265" t="s">
        <v>2769</v>
      </c>
      <c r="C938" s="2266"/>
      <c r="D938" s="2266"/>
      <c r="E938" s="2266"/>
      <c r="F938" s="2266"/>
      <c r="G938" s="2266"/>
      <c r="H938" s="2267"/>
      <c r="I938" s="1518"/>
      <c r="J938" s="1518"/>
      <c r="K938" s="1518"/>
      <c r="L938" s="1518"/>
      <c r="M938" s="1518"/>
      <c r="N938" s="1518"/>
      <c r="O938" s="1518"/>
      <c r="P938" s="1518"/>
      <c r="Q938" s="1518"/>
    </row>
    <row r="939" spans="2:17" ht="18">
      <c r="B939" s="1016"/>
      <c r="C939" s="1518"/>
      <c r="D939" s="1518"/>
      <c r="E939" s="1518"/>
      <c r="F939" s="1518"/>
      <c r="G939" s="1518"/>
      <c r="H939" s="1181"/>
      <c r="I939" s="1518"/>
      <c r="J939" s="1518"/>
      <c r="K939" s="1518"/>
      <c r="L939" s="1518"/>
      <c r="M939" s="1518"/>
      <c r="N939" s="1518"/>
      <c r="O939" s="1518"/>
      <c r="P939" s="1518"/>
      <c r="Q939" s="1518"/>
    </row>
    <row r="940" spans="2:17" ht="18">
      <c r="B940" s="1076" t="s">
        <v>2770</v>
      </c>
      <c r="C940" s="1518"/>
      <c r="D940" s="1518"/>
      <c r="E940" s="1518"/>
      <c r="F940" s="1518"/>
      <c r="G940" s="121"/>
      <c r="H940" s="1182"/>
      <c r="I940" s="121"/>
      <c r="J940" s="121"/>
      <c r="K940" s="121"/>
      <c r="L940" s="121"/>
      <c r="M940" s="121"/>
      <c r="N940" s="121"/>
      <c r="O940" s="121"/>
      <c r="P940" s="121"/>
      <c r="Q940" s="121"/>
    </row>
    <row r="941" spans="2:17" ht="18">
      <c r="B941" s="2265" t="s">
        <v>4727</v>
      </c>
      <c r="C941" s="2266"/>
      <c r="D941" s="2266"/>
      <c r="E941" s="2266"/>
      <c r="F941" s="2266"/>
      <c r="G941" s="2266"/>
      <c r="H941" s="2267"/>
      <c r="I941" s="1518"/>
      <c r="J941" s="1518"/>
      <c r="K941" s="1518"/>
      <c r="L941" s="1518"/>
      <c r="M941" s="1518"/>
      <c r="N941" s="1518"/>
      <c r="O941" s="1518"/>
      <c r="P941" s="1518"/>
      <c r="Q941" s="1518"/>
    </row>
    <row r="942" spans="2:17" ht="18">
      <c r="B942" s="1016"/>
      <c r="C942" s="1518"/>
      <c r="D942" s="1518"/>
      <c r="E942" s="1518"/>
      <c r="F942" s="1518"/>
      <c r="G942" s="1518"/>
      <c r="H942" s="1181"/>
      <c r="I942" s="1518"/>
      <c r="J942" s="1518"/>
      <c r="K942" s="1518"/>
      <c r="L942" s="1518"/>
      <c r="M942" s="1518"/>
      <c r="N942" s="1518"/>
      <c r="O942" s="1518"/>
      <c r="P942" s="1518"/>
      <c r="Q942" s="1518"/>
    </row>
    <row r="943" spans="2:17" ht="18">
      <c r="B943" s="1405" t="s">
        <v>2876</v>
      </c>
      <c r="C943" s="1518"/>
      <c r="D943" s="1518"/>
      <c r="E943" s="1518"/>
      <c r="F943" s="1518"/>
      <c r="G943" s="1518"/>
      <c r="H943" s="1181"/>
      <c r="I943" s="1518"/>
      <c r="J943" s="1518"/>
      <c r="K943" s="1518"/>
      <c r="L943" s="1518"/>
      <c r="M943" s="1518"/>
      <c r="N943" s="1518"/>
      <c r="O943" s="1518"/>
      <c r="P943" s="1518"/>
      <c r="Q943" s="1518"/>
    </row>
    <row r="944" spans="2:17" ht="39" customHeight="1">
      <c r="B944" s="2265" t="s">
        <v>2875</v>
      </c>
      <c r="C944" s="2266"/>
      <c r="D944" s="2266"/>
      <c r="E944" s="2266"/>
      <c r="F944" s="2266"/>
      <c r="G944" s="2266"/>
      <c r="H944" s="2267"/>
      <c r="I944" s="1518"/>
      <c r="J944" s="1518"/>
      <c r="K944" s="1518"/>
      <c r="L944" s="1518"/>
      <c r="M944" s="1518"/>
      <c r="N944" s="1518"/>
      <c r="O944" s="1518"/>
      <c r="P944" s="1518"/>
      <c r="Q944" s="1518"/>
    </row>
    <row r="945" spans="2:26" ht="18">
      <c r="B945" s="1016"/>
      <c r="C945" s="1518"/>
      <c r="D945" s="1518"/>
      <c r="E945" s="1518"/>
      <c r="F945" s="1518"/>
      <c r="G945" s="1518"/>
      <c r="H945" s="1181"/>
      <c r="I945" s="1518"/>
      <c r="J945" s="1518"/>
      <c r="K945" s="1518"/>
      <c r="L945" s="1518"/>
      <c r="M945" s="1518"/>
      <c r="N945" s="1518"/>
      <c r="O945" s="1518"/>
      <c r="P945" s="1518"/>
      <c r="Q945" s="1518"/>
    </row>
    <row r="946" spans="2:26" ht="18">
      <c r="B946" s="1405" t="s">
        <v>2884</v>
      </c>
      <c r="C946" s="1518"/>
      <c r="D946" s="1518"/>
      <c r="E946" s="1518"/>
      <c r="F946" s="1518"/>
      <c r="G946" s="1518"/>
      <c r="H946" s="1181"/>
      <c r="I946" s="1518"/>
      <c r="J946" s="1518"/>
      <c r="K946" s="1518"/>
      <c r="L946" s="1518"/>
      <c r="M946" s="1518"/>
      <c r="N946" s="1518"/>
      <c r="O946" s="1518"/>
      <c r="P946" s="1518"/>
      <c r="Q946" s="1518"/>
    </row>
    <row r="947" spans="2:26" ht="39" customHeight="1">
      <c r="B947" s="2265" t="s">
        <v>2885</v>
      </c>
      <c r="C947" s="2266"/>
      <c r="D947" s="2266"/>
      <c r="E947" s="2266"/>
      <c r="F947" s="2266"/>
      <c r="G947" s="2266"/>
      <c r="H947" s="2267"/>
      <c r="I947" s="1518"/>
      <c r="J947" s="1518"/>
      <c r="K947" s="1518"/>
      <c r="L947" s="1518"/>
      <c r="M947" s="1518"/>
      <c r="N947" s="1518"/>
      <c r="O947" s="1518"/>
      <c r="P947" s="1518"/>
      <c r="Q947" s="1518"/>
    </row>
    <row r="948" spans="2:26" ht="18">
      <c r="B948" s="1016"/>
      <c r="C948" s="1518"/>
      <c r="D948" s="1518"/>
      <c r="E948" s="1518"/>
      <c r="F948" s="1518"/>
      <c r="G948" s="1518"/>
      <c r="H948" s="1181"/>
      <c r="I948" s="1518"/>
      <c r="J948" s="1518"/>
      <c r="K948" s="1518"/>
      <c r="L948" s="1518"/>
      <c r="M948" s="1518"/>
      <c r="N948" s="1518"/>
      <c r="O948" s="1518"/>
      <c r="P948" s="1518"/>
      <c r="Q948" s="1518"/>
    </row>
    <row r="949" spans="2:26" ht="18">
      <c r="B949" s="1076" t="s">
        <v>2886</v>
      </c>
      <c r="C949" s="1508"/>
      <c r="D949" s="1508"/>
      <c r="E949" s="1503"/>
      <c r="F949" s="1503" t="s">
        <v>757</v>
      </c>
      <c r="G949" s="26"/>
      <c r="H949" s="1034"/>
      <c r="I949" s="26"/>
      <c r="J949" s="26"/>
      <c r="K949" s="26"/>
      <c r="L949" s="26"/>
      <c r="M949" s="26"/>
      <c r="N949" s="26"/>
      <c r="O949" s="26"/>
      <c r="P949" s="26"/>
      <c r="Q949" s="26"/>
    </row>
    <row r="950" spans="2:26" ht="18">
      <c r="B950" s="1183" t="s">
        <v>1106</v>
      </c>
      <c r="C950" s="1508"/>
      <c r="D950" s="1508"/>
      <c r="E950" s="1503"/>
      <c r="F950" s="1503"/>
      <c r="G950" s="26"/>
      <c r="H950" s="1034"/>
      <c r="I950" s="26"/>
      <c r="J950" s="26"/>
      <c r="K950" s="26"/>
      <c r="L950" s="26"/>
      <c r="M950" s="26"/>
      <c r="N950" s="26"/>
      <c r="O950" s="26"/>
      <c r="P950" s="26"/>
      <c r="Q950" s="26"/>
    </row>
    <row r="951" spans="2:26" ht="18">
      <c r="B951" s="1183"/>
      <c r="C951" s="1508"/>
      <c r="D951" s="1508"/>
      <c r="E951" s="1503"/>
      <c r="F951" s="1503"/>
      <c r="G951" s="26"/>
      <c r="H951" s="1034"/>
      <c r="I951" s="26"/>
      <c r="J951" s="26"/>
      <c r="K951" s="26"/>
      <c r="L951" s="26"/>
      <c r="M951" s="26"/>
      <c r="N951" s="26"/>
      <c r="O951" s="26"/>
      <c r="P951" s="26"/>
      <c r="Q951" s="26"/>
    </row>
    <row r="952" spans="2:26" ht="36">
      <c r="B952" s="1161" t="s">
        <v>463</v>
      </c>
      <c r="C952" s="1429"/>
      <c r="D952" s="1430"/>
      <c r="E952" s="1564" t="s">
        <v>2880</v>
      </c>
      <c r="F952" s="1565" t="s">
        <v>1107</v>
      </c>
      <c r="G952" s="1564" t="s">
        <v>2880</v>
      </c>
      <c r="H952" s="1569" t="s">
        <v>1107</v>
      </c>
      <c r="I952" s="2028"/>
      <c r="J952" s="2028"/>
      <c r="K952" s="2028"/>
      <c r="L952" s="2028"/>
      <c r="M952" s="2028"/>
      <c r="N952" s="2028"/>
      <c r="O952" s="2028"/>
      <c r="P952" s="2028"/>
      <c r="Q952" s="2028"/>
    </row>
    <row r="953" spans="2:26" ht="18">
      <c r="B953" s="1491"/>
      <c r="C953" s="1431"/>
      <c r="D953" s="1432"/>
      <c r="E953" s="1566" t="s">
        <v>2488</v>
      </c>
      <c r="F953" s="1567" t="s">
        <v>2488</v>
      </c>
      <c r="G953" s="1566" t="s">
        <v>900</v>
      </c>
      <c r="H953" s="1568" t="s">
        <v>900</v>
      </c>
      <c r="I953" s="2028"/>
      <c r="J953" s="2028"/>
      <c r="K953" s="2028"/>
      <c r="L953" s="2028"/>
      <c r="M953" s="2028"/>
      <c r="N953" s="2028"/>
      <c r="O953" s="2028"/>
      <c r="P953" s="2028"/>
      <c r="Q953" s="2028"/>
      <c r="T953" s="2" t="s">
        <v>2261</v>
      </c>
      <c r="U953" s="2" t="s">
        <v>2036</v>
      </c>
      <c r="V953" s="1" t="s">
        <v>2572</v>
      </c>
      <c r="W953" s="1" t="s">
        <v>2575</v>
      </c>
      <c r="X953" t="s">
        <v>2579</v>
      </c>
      <c r="Y953" t="s">
        <v>2576</v>
      </c>
      <c r="Z953" t="s">
        <v>2577</v>
      </c>
    </row>
    <row r="954" spans="2:26" ht="35.4" customHeight="1">
      <c r="B954" s="2277" t="s">
        <v>1108</v>
      </c>
      <c r="C954" s="2278"/>
      <c r="D954" s="1394"/>
      <c r="E954" s="726">
        <v>0</v>
      </c>
      <c r="F954" s="11">
        <v>0</v>
      </c>
      <c r="G954" s="726">
        <v>0</v>
      </c>
      <c r="H954" s="1184">
        <v>0</v>
      </c>
      <c r="I954" s="2029"/>
      <c r="J954" s="2029"/>
      <c r="K954" s="2029"/>
      <c r="L954" s="2029"/>
      <c r="M954" s="2029"/>
      <c r="N954" s="2029"/>
      <c r="O954" s="2029"/>
      <c r="P954" s="2029"/>
      <c r="Q954" s="2029"/>
      <c r="T954" s="1" t="s">
        <v>40</v>
      </c>
      <c r="U954" s="1" t="e">
        <f>+GETPIVOTDATA("Sum of Cr. Final 22-23",#REF!,"PARTICULARS","Cellmark Netherlands B.V.","Note",17,"BS Main Head","Trade Payables","BS Sub Head","Trade Payables")</f>
        <v>#REF!</v>
      </c>
      <c r="V954" s="1">
        <v>264.95</v>
      </c>
      <c r="W954" s="1">
        <v>46366.25</v>
      </c>
      <c r="X954">
        <v>82.216899999999995</v>
      </c>
      <c r="Y954" s="410">
        <f>+W954*X954</f>
        <v>3812089.3396249996</v>
      </c>
      <c r="Z954" s="346">
        <v>45019</v>
      </c>
    </row>
    <row r="955" spans="2:26" ht="18">
      <c r="B955" s="996"/>
      <c r="C955" s="1508"/>
      <c r="D955" s="14"/>
      <c r="E955" s="726" t="s">
        <v>1109</v>
      </c>
      <c r="F955" s="11" t="s">
        <v>1109</v>
      </c>
      <c r="G955" s="726" t="s">
        <v>1109</v>
      </c>
      <c r="H955" s="1184" t="s">
        <v>1109</v>
      </c>
      <c r="I955" s="2029"/>
      <c r="J955" s="2029"/>
      <c r="K955" s="2029"/>
      <c r="L955" s="2029"/>
      <c r="M955" s="2029"/>
      <c r="N955" s="2029"/>
      <c r="O955" s="2029"/>
      <c r="P955" s="2029"/>
      <c r="Q955" s="2029"/>
      <c r="T955" s="1" t="s">
        <v>39</v>
      </c>
      <c r="U955" s="1" t="e">
        <f>+GETPIVOTDATA("Sum of Cr. Final 22-23",#REF!,"PARTICULARS","CANUSA HERSHMAN RECYCLING CO.","Note",17,"BS Main Head","Trade Payables","BS Sub Head","Trade Payables")</f>
        <v>#REF!</v>
      </c>
      <c r="V955" s="1" t="s">
        <v>2574</v>
      </c>
      <c r="W955" s="1">
        <f>4364.82+8698.42</f>
        <v>13063.24</v>
      </c>
      <c r="X955">
        <f>+X954</f>
        <v>82.216899999999995</v>
      </c>
      <c r="Y955" s="410">
        <f t="shared" ref="Y955:Y957" si="13">+W955*X955</f>
        <v>1074019.0967559998</v>
      </c>
      <c r="Z955" s="346" t="s">
        <v>2578</v>
      </c>
    </row>
    <row r="956" spans="2:26" ht="18">
      <c r="B956" s="996" t="s">
        <v>1110</v>
      </c>
      <c r="C956" s="1508"/>
      <c r="D956" s="14"/>
      <c r="E956" s="726" t="s">
        <v>1109</v>
      </c>
      <c r="F956" s="11" t="s">
        <v>1109</v>
      </c>
      <c r="G956" s="2060">
        <v>129052.79</v>
      </c>
      <c r="H956" s="2057">
        <v>10610320.330150999</v>
      </c>
      <c r="I956" s="2029"/>
      <c r="J956" s="2029"/>
      <c r="K956" s="2029"/>
      <c r="L956" s="2029"/>
      <c r="M956" s="2029"/>
      <c r="N956" s="2029"/>
      <c r="O956" s="2029"/>
      <c r="P956" s="2029"/>
      <c r="Q956" s="2029"/>
      <c r="T956" s="1" t="s">
        <v>468</v>
      </c>
      <c r="U956" s="1" t="e">
        <f>+GETPIVOTDATA("Sum of Cr. Final 22-23",#REF!,"PARTICULARS","AMASHA LTD","Note",17,"BS Main Head","Trade Payables","BS Sub Head","Trade Payables")</f>
        <v>#REF!</v>
      </c>
      <c r="V956" s="1" t="s">
        <v>2573</v>
      </c>
      <c r="W956" s="1">
        <f>7738.5+16552.8</f>
        <v>24291.3</v>
      </c>
      <c r="X956">
        <f t="shared" ref="X956:X957" si="14">+X955</f>
        <v>82.216899999999995</v>
      </c>
      <c r="Y956" s="410">
        <f t="shared" si="13"/>
        <v>1997155.3829699999</v>
      </c>
      <c r="Z956" s="346" t="s">
        <v>2578</v>
      </c>
    </row>
    <row r="957" spans="2:26" ht="18">
      <c r="B957" s="1491"/>
      <c r="C957" s="1431"/>
      <c r="D957" s="1432"/>
      <c r="E957" s="727" t="s">
        <v>1109</v>
      </c>
      <c r="F957" s="72" t="s">
        <v>1109</v>
      </c>
      <c r="G957" s="727" t="s">
        <v>1109</v>
      </c>
      <c r="H957" s="1185" t="s">
        <v>1109</v>
      </c>
      <c r="I957" s="2029"/>
      <c r="J957" s="2029"/>
      <c r="K957" s="2029"/>
      <c r="L957" s="2029"/>
      <c r="M957" s="2029"/>
      <c r="N957" s="2029"/>
      <c r="O957" s="2029"/>
      <c r="P957" s="2029"/>
      <c r="Q957" s="2029"/>
      <c r="T957" s="1" t="s">
        <v>544</v>
      </c>
      <c r="U957" s="1" t="e">
        <f>+GETPIVOTDATA("Sum of Cr. Final 22-23",#REF!,"PARTICULARS","REMONDIS TRADE &amp; SALES GMBH","Note",17,"BS Main Head","Trade Payables","BS Sub Head","Trade Payables")</f>
        <v>#REF!</v>
      </c>
      <c r="V957" s="1">
        <v>259.04000000000002</v>
      </c>
      <c r="W957" s="1">
        <f>259.04*175</f>
        <v>45332</v>
      </c>
      <c r="X957">
        <f t="shared" si="14"/>
        <v>82.216899999999995</v>
      </c>
      <c r="Y957" s="410">
        <f t="shared" si="13"/>
        <v>3727056.5107999998</v>
      </c>
      <c r="Z957" s="346"/>
    </row>
    <row r="958" spans="2:26" ht="18">
      <c r="B958" s="1186"/>
      <c r="C958" s="1507"/>
      <c r="D958" s="1507"/>
      <c r="E958" s="1507"/>
      <c r="F958" s="1507"/>
      <c r="G958" s="122"/>
      <c r="H958" s="1187"/>
      <c r="I958" s="122"/>
      <c r="J958" s="122"/>
      <c r="K958" s="122"/>
      <c r="L958" s="122"/>
      <c r="M958" s="122"/>
      <c r="N958" s="122"/>
      <c r="O958" s="122"/>
      <c r="P958" s="122"/>
      <c r="Q958" s="122"/>
      <c r="U958" s="1" t="e">
        <f>SUM(U954:U957)</f>
        <v>#REF!</v>
      </c>
      <c r="W958" s="1">
        <f>SUM(W954:W957)</f>
        <v>129052.79</v>
      </c>
      <c r="Y958" s="410">
        <f>SUM(Y954:Y957)</f>
        <v>10610320.330150999</v>
      </c>
    </row>
    <row r="959" spans="2:26" ht="18">
      <c r="B959" s="1393" t="s">
        <v>2887</v>
      </c>
      <c r="C959" s="1507"/>
      <c r="D959" s="1507"/>
      <c r="E959" s="1507"/>
      <c r="F959" s="1507"/>
      <c r="G959" s="122"/>
      <c r="H959" s="1187"/>
      <c r="I959" s="122"/>
      <c r="J959" s="122"/>
      <c r="K959" s="122"/>
      <c r="L959" s="122"/>
      <c r="M959" s="122"/>
      <c r="N959" s="122"/>
      <c r="O959" s="122"/>
      <c r="P959" s="122"/>
      <c r="Q959" s="122"/>
      <c r="Y959" s="410"/>
    </row>
    <row r="960" spans="2:26" ht="18">
      <c r="B960" s="1183" t="s">
        <v>2866</v>
      </c>
      <c r="C960" s="1507"/>
      <c r="D960" s="1507"/>
      <c r="E960" s="1507"/>
      <c r="F960" s="1507"/>
      <c r="G960" s="122"/>
      <c r="H960" s="1187"/>
      <c r="I960" s="122"/>
      <c r="J960" s="122"/>
      <c r="K960" s="122"/>
      <c r="L960" s="122"/>
      <c r="M960" s="122"/>
      <c r="N960" s="122"/>
      <c r="O960" s="122"/>
      <c r="P960" s="122"/>
      <c r="Q960" s="122"/>
      <c r="Y960" s="410"/>
    </row>
    <row r="961" spans="2:25" ht="18">
      <c r="B961" s="1186"/>
      <c r="C961" s="1507"/>
      <c r="D961" s="1507"/>
      <c r="E961" s="1507"/>
      <c r="F961" s="1507"/>
      <c r="G961" s="122"/>
      <c r="H961" s="1187"/>
      <c r="I961" s="122"/>
      <c r="J961" s="122"/>
      <c r="K961" s="122"/>
      <c r="L961" s="122"/>
      <c r="M961" s="122"/>
      <c r="N961" s="122"/>
      <c r="O961" s="122"/>
      <c r="P961" s="122"/>
      <c r="Q961" s="122"/>
      <c r="Y961" s="410"/>
    </row>
    <row r="962" spans="2:25" ht="18">
      <c r="B962" s="1053" t="s">
        <v>0</v>
      </c>
      <c r="C962" s="1054"/>
      <c r="D962" s="1054"/>
      <c r="E962" s="1055"/>
      <c r="F962" s="1055"/>
      <c r="G962" s="1004" t="s">
        <v>756</v>
      </c>
      <c r="H962" s="1400" t="s">
        <v>756</v>
      </c>
      <c r="I962" s="1996"/>
      <c r="J962" s="1996"/>
      <c r="K962" s="1996"/>
      <c r="L962" s="1996"/>
      <c r="M962" s="1996"/>
      <c r="N962" s="1996"/>
      <c r="O962" s="1996"/>
      <c r="P962" s="1996"/>
      <c r="Q962" s="1996"/>
      <c r="Y962" s="410"/>
    </row>
    <row r="963" spans="2:25" ht="18">
      <c r="B963" s="1036"/>
      <c r="C963" s="44"/>
      <c r="D963" s="44"/>
      <c r="E963" s="28"/>
      <c r="F963" s="28"/>
      <c r="G963" s="6" t="s">
        <v>3052</v>
      </c>
      <c r="H963" s="1392" t="s">
        <v>705</v>
      </c>
      <c r="I963" s="103"/>
      <c r="J963" s="103"/>
      <c r="K963" s="103"/>
      <c r="L963" s="103"/>
      <c r="M963" s="103"/>
      <c r="N963" s="103"/>
      <c r="O963" s="103"/>
      <c r="P963" s="103"/>
      <c r="Q963" s="103"/>
      <c r="Y963" s="410"/>
    </row>
    <row r="964" spans="2:25" ht="18">
      <c r="B964" s="1398" t="s">
        <v>2867</v>
      </c>
      <c r="C964" s="1397"/>
      <c r="D964" s="1397"/>
      <c r="E964" s="1397"/>
      <c r="F964" s="1397"/>
      <c r="G964" s="2151">
        <f>+K964+K965</f>
        <v>5219862</v>
      </c>
      <c r="H964" s="2152">
        <v>2816004.5</v>
      </c>
      <c r="I964" s="2030"/>
      <c r="J964" s="21" t="s">
        <v>4728</v>
      </c>
      <c r="K964" s="2030">
        <v>343900</v>
      </c>
      <c r="L964" s="2030"/>
      <c r="M964" s="2030"/>
      <c r="N964" s="2030"/>
      <c r="O964" s="2030"/>
      <c r="P964" s="2030"/>
      <c r="Q964" s="2030"/>
      <c r="Y964" s="410"/>
    </row>
    <row r="965" spans="2:25" ht="18">
      <c r="B965" s="1399" t="s">
        <v>2868</v>
      </c>
      <c r="C965" s="1507"/>
      <c r="D965" s="1507"/>
      <c r="E965" s="1507"/>
      <c r="F965" s="1507"/>
      <c r="G965" s="2153">
        <f>+K966+K967</f>
        <v>1602280.74</v>
      </c>
      <c r="H965" s="2154">
        <v>4690524.25</v>
      </c>
      <c r="I965" s="2030"/>
      <c r="J965" s="21" t="s">
        <v>4729</v>
      </c>
      <c r="K965" s="2030">
        <v>4875962</v>
      </c>
      <c r="L965" s="2030"/>
      <c r="M965" s="2030"/>
      <c r="N965" s="2030"/>
      <c r="O965" s="2030"/>
      <c r="P965" s="2030"/>
      <c r="Q965" s="2030"/>
      <c r="Y965" s="410"/>
    </row>
    <row r="966" spans="2:25" ht="18">
      <c r="B966" s="1399" t="s">
        <v>2869</v>
      </c>
      <c r="C966" s="1507"/>
      <c r="D966" s="1507"/>
      <c r="E966" s="1507"/>
      <c r="F966" s="1507"/>
      <c r="G966" s="2153">
        <f>+K968</f>
        <v>484000</v>
      </c>
      <c r="H966" s="2154">
        <v>1728000</v>
      </c>
      <c r="I966" s="2030"/>
      <c r="J966" s="21" t="s">
        <v>4730</v>
      </c>
      <c r="K966" s="2030">
        <v>825995.62</v>
      </c>
      <c r="L966" s="2030"/>
      <c r="M966" s="2030"/>
      <c r="N966" s="2030"/>
      <c r="O966" s="2030"/>
      <c r="P966" s="2030"/>
      <c r="Q966" s="2030"/>
      <c r="Y966" s="410"/>
    </row>
    <row r="967" spans="2:25" ht="18">
      <c r="B967" s="1399" t="s">
        <v>2870</v>
      </c>
      <c r="C967" s="1507"/>
      <c r="D967" s="1507"/>
      <c r="E967" s="1507"/>
      <c r="F967" s="1507"/>
      <c r="G967" s="2153">
        <f>+K969+K970</f>
        <v>7147907</v>
      </c>
      <c r="H967" s="2154">
        <v>7827242.6799999997</v>
      </c>
      <c r="I967" s="2030"/>
      <c r="J967" s="21" t="s">
        <v>4731</v>
      </c>
      <c r="K967" s="2030">
        <v>776285.12</v>
      </c>
      <c r="L967" s="2030"/>
      <c r="M967" s="2030"/>
      <c r="N967" s="2030"/>
      <c r="O967" s="2030"/>
      <c r="P967" s="2030"/>
      <c r="Q967" s="2030"/>
      <c r="R967" s="632" t="s">
        <v>3145</v>
      </c>
      <c r="Y967" s="410"/>
    </row>
    <row r="968" spans="2:25" ht="18.600000000000001" thickBot="1">
      <c r="B968" s="1519" t="s">
        <v>824</v>
      </c>
      <c r="C968" s="1520"/>
      <c r="D968" s="1520"/>
      <c r="E968" s="1520"/>
      <c r="F968" s="1520"/>
      <c r="G968" s="2155">
        <f>SUM(G964:G967)</f>
        <v>14454049.74</v>
      </c>
      <c r="H968" s="2156">
        <f>SUM(H964:H967)</f>
        <v>17061771.43</v>
      </c>
      <c r="I968" s="1422"/>
      <c r="J968" s="2030" t="s">
        <v>4732</v>
      </c>
      <c r="K968" s="2030">
        <v>484000</v>
      </c>
      <c r="L968" s="1422"/>
      <c r="M968" s="1422"/>
      <c r="N968" s="1422"/>
      <c r="O968" s="1422"/>
      <c r="P968" s="1422"/>
      <c r="Q968" s="1422"/>
      <c r="Y968" s="410"/>
    </row>
    <row r="969" spans="2:25" ht="18">
      <c r="B969" s="2260" t="s">
        <v>702</v>
      </c>
      <c r="C969" s="2261"/>
      <c r="D969" s="2261"/>
      <c r="E969" s="2261"/>
      <c r="F969" s="2261"/>
      <c r="G969" s="2261"/>
      <c r="H969" s="2262"/>
      <c r="I969" s="1502"/>
      <c r="J969" s="2030" t="s">
        <v>4733</v>
      </c>
      <c r="K969" s="2046">
        <v>5348282</v>
      </c>
      <c r="L969" s="1502"/>
      <c r="M969" s="1502"/>
      <c r="N969" s="1502"/>
      <c r="O969" s="1502"/>
      <c r="P969" s="1502"/>
      <c r="Q969" s="1502"/>
      <c r="Y969" s="410"/>
    </row>
    <row r="970" spans="2:25" ht="18.600000000000001" thickBot="1">
      <c r="B970" s="2427" t="s">
        <v>3056</v>
      </c>
      <c r="C970" s="2428"/>
      <c r="D970" s="2428"/>
      <c r="E970" s="2428"/>
      <c r="F970" s="2428"/>
      <c r="G970" s="2428"/>
      <c r="H970" s="2429"/>
      <c r="I970" s="1502"/>
      <c r="J970" s="21" t="s">
        <v>4734</v>
      </c>
      <c r="K970" s="2046">
        <v>1799625</v>
      </c>
      <c r="L970" s="1502"/>
      <c r="M970" s="1502"/>
      <c r="N970" s="1502"/>
      <c r="O970" s="1502"/>
      <c r="P970" s="1502"/>
      <c r="Q970" s="1502"/>
      <c r="Y970" s="410"/>
    </row>
    <row r="971" spans="2:25" ht="18">
      <c r="B971" s="1421"/>
      <c r="C971" s="1507"/>
      <c r="D971" s="1507"/>
      <c r="E971" s="1507"/>
      <c r="F971" s="1507"/>
      <c r="G971" s="1422"/>
      <c r="H971" s="1423"/>
      <c r="I971" s="1422"/>
      <c r="J971" s="1422"/>
      <c r="K971" s="1422"/>
      <c r="L971" s="1422"/>
      <c r="M971" s="1422"/>
      <c r="N971" s="1422"/>
      <c r="O971" s="1422"/>
      <c r="P971" s="1422"/>
      <c r="Q971" s="1422"/>
      <c r="Y971" s="410"/>
    </row>
    <row r="972" spans="2:25" ht="18">
      <c r="B972" s="1393" t="s">
        <v>2888</v>
      </c>
      <c r="C972" s="1507"/>
      <c r="D972" s="1507"/>
      <c r="E972" s="1507"/>
      <c r="F972" s="1507"/>
      <c r="G972" s="1422"/>
      <c r="H972" s="1423"/>
      <c r="I972" s="1422"/>
      <c r="J972" s="1422"/>
      <c r="K972" s="1422"/>
      <c r="L972" s="1422"/>
      <c r="M972" s="1422"/>
      <c r="N972" s="1422"/>
      <c r="O972" s="1422"/>
      <c r="P972" s="1422"/>
      <c r="Q972" s="1422"/>
      <c r="Y972" s="410"/>
    </row>
    <row r="973" spans="2:25" s="509" customFormat="1" ht="54">
      <c r="B973" s="1492" t="s">
        <v>2877</v>
      </c>
      <c r="C973" s="1436">
        <v>45016</v>
      </c>
      <c r="D973" s="1436">
        <v>44651</v>
      </c>
      <c r="E973" s="1437" t="s">
        <v>2863</v>
      </c>
      <c r="F973" s="1438" t="s">
        <v>2864</v>
      </c>
      <c r="G973" s="1437" t="s">
        <v>2780</v>
      </c>
      <c r="H973" s="1493" t="s">
        <v>2782</v>
      </c>
      <c r="I973" s="2031"/>
      <c r="J973" s="2031"/>
      <c r="K973" s="2031"/>
      <c r="L973" s="2031"/>
      <c r="M973" s="2031"/>
      <c r="N973" s="2031"/>
      <c r="O973" s="2031"/>
      <c r="P973" s="2031"/>
      <c r="Q973" s="2031"/>
      <c r="R973" s="1427"/>
      <c r="T973" s="330"/>
      <c r="U973" s="330"/>
      <c r="V973" s="330"/>
      <c r="W973" s="330"/>
      <c r="Y973" s="1428"/>
    </row>
    <row r="974" spans="2:25" ht="18">
      <c r="B974" s="1494"/>
      <c r="C974" s="1440"/>
      <c r="D974" s="1441"/>
      <c r="E974" s="1442"/>
      <c r="F974" s="1443"/>
      <c r="G974" s="1439"/>
      <c r="H974" s="1495"/>
      <c r="I974" s="2032"/>
      <c r="J974" s="2032"/>
      <c r="K974" s="2032"/>
      <c r="L974" s="2032"/>
      <c r="M974" s="2032"/>
      <c r="N974" s="2032"/>
      <c r="O974" s="2032"/>
      <c r="P974" s="2032"/>
      <c r="Q974" s="2032"/>
      <c r="Y974" s="410"/>
    </row>
    <row r="975" spans="2:25" ht="126">
      <c r="B975" s="1496" t="s">
        <v>2783</v>
      </c>
      <c r="C975" s="1444">
        <f>+'Ratio Analysis'!J7</f>
        <v>0.53359504242562594</v>
      </c>
      <c r="D975" s="1445">
        <f>+'Ratio Analysis'!K7</f>
        <v>0.98084085000816357</v>
      </c>
      <c r="E975" s="1446">
        <f>+(D975-C975)/D975</f>
        <v>0.45598203580001301</v>
      </c>
      <c r="F975" s="1447" t="s">
        <v>2872</v>
      </c>
      <c r="G975" s="1467" t="s">
        <v>2063</v>
      </c>
      <c r="H975" s="1497" t="s">
        <v>2064</v>
      </c>
      <c r="I975" s="2033"/>
      <c r="J975" s="2033"/>
      <c r="K975" s="2033"/>
      <c r="L975" s="2033"/>
      <c r="M975" s="2033"/>
      <c r="N975" s="2033"/>
      <c r="O975" s="2033"/>
      <c r="P975" s="2033"/>
      <c r="Q975" s="2033"/>
      <c r="Y975" s="410"/>
    </row>
    <row r="976" spans="2:25" ht="18">
      <c r="B976" s="1498"/>
      <c r="C976" s="1448"/>
      <c r="D976" s="1442"/>
      <c r="E976" s="1449"/>
      <c r="F976" s="1443"/>
      <c r="G976" s="1467"/>
      <c r="H976" s="1497"/>
      <c r="I976" s="2033"/>
      <c r="J976" s="2033"/>
      <c r="K976" s="2033"/>
      <c r="L976" s="2033"/>
      <c r="M976" s="2033"/>
      <c r="N976" s="2033"/>
      <c r="O976" s="2033"/>
      <c r="P976" s="2033"/>
      <c r="Q976" s="2033"/>
      <c r="Y976" s="410"/>
    </row>
    <row r="977" spans="2:25" ht="126">
      <c r="B977" s="1496" t="s">
        <v>2798</v>
      </c>
      <c r="C977" s="1444">
        <f>+'Ratio Analysis'!J19</f>
        <v>1.8462362700234536</v>
      </c>
      <c r="D977" s="1444">
        <f>+'Ratio Analysis'!K19</f>
        <v>1.3694811140491938</v>
      </c>
      <c r="E977" s="1446">
        <f>+(D977-C977)/D977</f>
        <v>-0.34812831742134853</v>
      </c>
      <c r="F977" s="1450" t="s">
        <v>2873</v>
      </c>
      <c r="G977" s="1467" t="s">
        <v>2799</v>
      </c>
      <c r="H977" s="1497" t="s">
        <v>2800</v>
      </c>
      <c r="I977" s="2033"/>
      <c r="J977" s="2033"/>
      <c r="K977" s="2033"/>
      <c r="L977" s="2033"/>
      <c r="M977" s="2033"/>
      <c r="N977" s="2033"/>
      <c r="O977" s="2033"/>
      <c r="P977" s="2033"/>
      <c r="Q977" s="2033"/>
      <c r="Y977" s="410"/>
    </row>
    <row r="978" spans="2:25" ht="18">
      <c r="B978" s="1496"/>
      <c r="C978" s="1451"/>
      <c r="D978" s="1442"/>
      <c r="E978" s="1449"/>
      <c r="F978" s="1443"/>
      <c r="G978" s="1467"/>
      <c r="H978" s="1497"/>
      <c r="I978" s="2033"/>
      <c r="J978" s="2033"/>
      <c r="K978" s="2033"/>
      <c r="L978" s="2033"/>
      <c r="M978" s="2033"/>
      <c r="N978" s="2033"/>
      <c r="O978" s="2033"/>
      <c r="P978" s="2033"/>
      <c r="Q978" s="2033"/>
      <c r="Y978" s="410"/>
    </row>
    <row r="979" spans="2:25" ht="18">
      <c r="B979" s="1496"/>
      <c r="C979" s="1448"/>
      <c r="D979" s="1442"/>
      <c r="E979" s="1449"/>
      <c r="F979" s="1443"/>
      <c r="G979" s="1467"/>
      <c r="H979" s="1497"/>
      <c r="I979" s="2033"/>
      <c r="J979" s="2033"/>
      <c r="K979" s="2033"/>
      <c r="L979" s="2033"/>
      <c r="M979" s="2033"/>
      <c r="N979" s="2033"/>
      <c r="O979" s="2033"/>
      <c r="P979" s="2033"/>
      <c r="Q979" s="2033"/>
      <c r="Y979" s="410"/>
    </row>
    <row r="980" spans="2:25" ht="90">
      <c r="B980" s="1496" t="s">
        <v>2803</v>
      </c>
      <c r="C980" s="1444">
        <f>+'Ratio Analysis'!J23</f>
        <v>-0.6116081989097979</v>
      </c>
      <c r="D980" s="1444">
        <f>+'Ratio Analysis'!K23</f>
        <v>-0.94359741017447119</v>
      </c>
      <c r="E980" s="1446">
        <f>+(D980-C980)/D980</f>
        <v>0.35183353375597809</v>
      </c>
      <c r="F980" s="1447" t="s">
        <v>2874</v>
      </c>
      <c r="G980" s="1467" t="s">
        <v>2804</v>
      </c>
      <c r="H980" s="1497" t="s">
        <v>2805</v>
      </c>
      <c r="I980" s="2033"/>
      <c r="J980" s="2033"/>
      <c r="K980" s="2033"/>
      <c r="L980" s="2033"/>
      <c r="M980" s="2033"/>
      <c r="N980" s="2033"/>
      <c r="O980" s="2033"/>
      <c r="P980" s="2033"/>
      <c r="Q980" s="2033"/>
      <c r="Y980" s="410"/>
    </row>
    <row r="981" spans="2:25" ht="18">
      <c r="B981" s="1496"/>
      <c r="C981" s="1451"/>
      <c r="D981" s="1442"/>
      <c r="E981" s="1449"/>
      <c r="F981" s="1443"/>
      <c r="G981" s="1467"/>
      <c r="H981" s="1497"/>
      <c r="I981" s="2033"/>
      <c r="J981" s="2033"/>
      <c r="K981" s="2033"/>
      <c r="L981" s="2033"/>
      <c r="M981" s="2033"/>
      <c r="N981" s="2033"/>
      <c r="O981" s="2033"/>
      <c r="P981" s="2033"/>
      <c r="Q981" s="2033"/>
      <c r="Y981" s="410"/>
    </row>
    <row r="982" spans="2:25" ht="90">
      <c r="B982" s="1496" t="s">
        <v>2809</v>
      </c>
      <c r="C982" s="1452">
        <f>+'Ratio Analysis'!J27</f>
        <v>-0.24209886532039143</v>
      </c>
      <c r="D982" s="1452">
        <f>+'Ratio Analysis'!K27</f>
        <v>-0.14820011005453718</v>
      </c>
      <c r="E982" s="1446">
        <f>+(D982-C982)/D982</f>
        <v>-0.63359436933818614</v>
      </c>
      <c r="F982" s="1447" t="s">
        <v>2874</v>
      </c>
      <c r="G982" s="1467" t="s">
        <v>2810</v>
      </c>
      <c r="H982" s="1497" t="s">
        <v>2811</v>
      </c>
      <c r="I982" s="2033"/>
      <c r="J982" s="2033"/>
      <c r="K982" s="2033"/>
      <c r="L982" s="2033"/>
      <c r="M982" s="2033"/>
      <c r="N982" s="2033"/>
      <c r="O982" s="2033"/>
      <c r="P982" s="2033"/>
      <c r="Q982" s="2033"/>
      <c r="Y982" s="410"/>
    </row>
    <row r="983" spans="2:25" ht="18">
      <c r="B983" s="1496"/>
      <c r="C983" s="1448"/>
      <c r="D983" s="1442"/>
      <c r="E983" s="1449"/>
      <c r="F983" s="1443"/>
      <c r="G983" s="1467"/>
      <c r="H983" s="1497"/>
      <c r="I983" s="2033"/>
      <c r="J983" s="2033"/>
      <c r="K983" s="2033"/>
      <c r="L983" s="2033"/>
      <c r="M983" s="2033"/>
      <c r="N983" s="2033"/>
      <c r="O983" s="2033"/>
      <c r="P983" s="2033"/>
      <c r="Q983" s="2033"/>
      <c r="Y983" s="410"/>
    </row>
    <row r="984" spans="2:25" ht="18">
      <c r="B984" s="1496" t="s">
        <v>2814</v>
      </c>
      <c r="C984" s="1444">
        <f>+'Ratio Analysis'!J32</f>
        <v>17.811651893110241</v>
      </c>
      <c r="D984" s="1444">
        <f>+'Ratio Analysis'!K32</f>
        <v>28.083283543405411</v>
      </c>
      <c r="E984" s="1446">
        <f>+(D984-C984)/D984</f>
        <v>0.36575607814589689</v>
      </c>
      <c r="F984" s="1453">
        <v>0</v>
      </c>
      <c r="G984" s="1467" t="s">
        <v>2815</v>
      </c>
      <c r="H984" s="1497" t="s">
        <v>2816</v>
      </c>
      <c r="I984" s="2033"/>
      <c r="J984" s="2033"/>
      <c r="K984" s="2033"/>
      <c r="L984" s="2033"/>
      <c r="M984" s="2033"/>
      <c r="N984" s="2033"/>
      <c r="O984" s="2033"/>
      <c r="P984" s="2033"/>
      <c r="Q984" s="2033"/>
      <c r="Y984" s="410"/>
    </row>
    <row r="985" spans="2:25" ht="18">
      <c r="B985" s="1496"/>
      <c r="C985" s="1448"/>
      <c r="D985" s="1442"/>
      <c r="E985" s="1449"/>
      <c r="F985" s="1453"/>
      <c r="G985" s="1467"/>
      <c r="H985" s="1497"/>
      <c r="I985" s="2033"/>
      <c r="J985" s="2033"/>
      <c r="K985" s="2033"/>
      <c r="L985" s="2033"/>
      <c r="M985" s="2033"/>
      <c r="N985" s="2033"/>
      <c r="O985" s="2033"/>
      <c r="P985" s="2033"/>
      <c r="Q985" s="2033"/>
      <c r="Y985" s="410"/>
    </row>
    <row r="986" spans="2:25" ht="36">
      <c r="B986" s="1496" t="s">
        <v>2819</v>
      </c>
      <c r="C986" s="1444">
        <f>+'Ratio Analysis'!J36</f>
        <v>5.9826684913820491</v>
      </c>
      <c r="D986" s="1444">
        <f>+'Ratio Analysis'!K36</f>
        <v>7.4538102120260907</v>
      </c>
      <c r="E986" s="1446">
        <f>+(D986-C986)/D986</f>
        <v>0.19736774599794332</v>
      </c>
      <c r="F986" s="1453">
        <v>0</v>
      </c>
      <c r="G986" s="1467" t="s">
        <v>2820</v>
      </c>
      <c r="H986" s="1497" t="s">
        <v>2821</v>
      </c>
      <c r="I986" s="2033"/>
      <c r="J986" s="2033"/>
      <c r="K986" s="2033"/>
      <c r="L986" s="2033"/>
      <c r="M986" s="2033"/>
      <c r="N986" s="2033"/>
      <c r="O986" s="2033"/>
      <c r="P986" s="2033"/>
      <c r="Q986" s="2033"/>
      <c r="Y986" s="410"/>
    </row>
    <row r="987" spans="2:25" ht="18">
      <c r="B987" s="1496"/>
      <c r="C987" s="1448"/>
      <c r="D987" s="1442"/>
      <c r="E987" s="1449"/>
      <c r="F987" s="1453"/>
      <c r="G987" s="1467"/>
      <c r="H987" s="1497"/>
      <c r="I987" s="2033"/>
      <c r="J987" s="2033"/>
      <c r="K987" s="2033"/>
      <c r="L987" s="2033"/>
      <c r="M987" s="2033"/>
      <c r="N987" s="2033"/>
      <c r="O987" s="2033"/>
      <c r="P987" s="2033"/>
      <c r="Q987" s="2033"/>
      <c r="Y987" s="410"/>
    </row>
    <row r="988" spans="2:25" ht="36">
      <c r="B988" s="1496" t="s">
        <v>2825</v>
      </c>
      <c r="C988" s="1444">
        <f>+'Ratio Analysis'!J40</f>
        <v>3.8918030739661944</v>
      </c>
      <c r="D988" s="1444">
        <f>+'Ratio Analysis'!K40</f>
        <v>9.2333545491752176</v>
      </c>
      <c r="E988" s="1446">
        <f>+(D988-C988)/D988</f>
        <v>0.57850605072737782</v>
      </c>
      <c r="F988" s="1453">
        <v>0</v>
      </c>
      <c r="G988" s="1467" t="s">
        <v>2826</v>
      </c>
      <c r="H988" s="1497" t="s">
        <v>2827</v>
      </c>
      <c r="I988" s="2033"/>
      <c r="J988" s="2033"/>
      <c r="K988" s="2033"/>
      <c r="L988" s="2033"/>
      <c r="M988" s="2033"/>
      <c r="N988" s="2033"/>
      <c r="O988" s="2033"/>
      <c r="P988" s="2033"/>
      <c r="Q988" s="2033"/>
      <c r="Y988" s="410"/>
    </row>
    <row r="989" spans="2:25" ht="18">
      <c r="B989" s="1496"/>
      <c r="C989" s="1448"/>
      <c r="D989" s="1442"/>
      <c r="E989" s="1449"/>
      <c r="F989" s="1443"/>
      <c r="G989" s="1467"/>
      <c r="H989" s="1497"/>
      <c r="I989" s="2033"/>
      <c r="J989" s="2033"/>
      <c r="K989" s="2033"/>
      <c r="L989" s="2033"/>
      <c r="M989" s="2033"/>
      <c r="N989" s="2033"/>
      <c r="O989" s="2033"/>
      <c r="P989" s="2033"/>
      <c r="Q989" s="2033"/>
      <c r="Y989" s="410"/>
    </row>
    <row r="990" spans="2:25" ht="126">
      <c r="B990" s="1496" t="s">
        <v>2830</v>
      </c>
      <c r="C990" s="1444">
        <f>+'Ratio Analysis'!J44</f>
        <v>-5.4630857050982105</v>
      </c>
      <c r="D990" s="1444">
        <f>+'Ratio Analysis'!K44</f>
        <v>-141.7559294491187</v>
      </c>
      <c r="E990" s="1446">
        <f>+(D990-C990)/D990</f>
        <v>0.96146132492426628</v>
      </c>
      <c r="F990" s="1447" t="s">
        <v>2872</v>
      </c>
      <c r="G990" s="1467" t="s">
        <v>2831</v>
      </c>
      <c r="H990" s="1497" t="s">
        <v>2832</v>
      </c>
      <c r="I990" s="2033"/>
      <c r="J990" s="2033"/>
      <c r="K990" s="2033"/>
      <c r="L990" s="2033"/>
      <c r="M990" s="2033"/>
      <c r="N990" s="2033"/>
      <c r="O990" s="2033"/>
      <c r="P990" s="2033"/>
      <c r="Q990" s="2033"/>
      <c r="Y990" s="410"/>
    </row>
    <row r="991" spans="2:25" ht="18">
      <c r="B991" s="1496"/>
      <c r="C991" s="1448"/>
      <c r="D991" s="1454"/>
      <c r="E991" s="1449"/>
      <c r="F991" s="1443"/>
      <c r="G991" s="1467"/>
      <c r="H991" s="1497"/>
      <c r="I991" s="2033"/>
      <c r="J991" s="2033"/>
      <c r="K991" s="2033"/>
      <c r="L991" s="2033"/>
      <c r="M991" s="2033"/>
      <c r="N991" s="2033"/>
      <c r="O991" s="2033"/>
      <c r="P991" s="2033"/>
      <c r="Q991" s="2033"/>
      <c r="Y991" s="410"/>
    </row>
    <row r="992" spans="2:25" ht="162">
      <c r="B992" s="1496" t="s">
        <v>2835</v>
      </c>
      <c r="C992" s="1452">
        <f>+'Ratio Analysis'!J48</f>
        <v>-8.6749694244809925E-2</v>
      </c>
      <c r="D992" s="1452">
        <f>+'Ratio Analysis'!K48</f>
        <v>-3.5853883315234841E-2</v>
      </c>
      <c r="E992" s="1446">
        <f>+(D992-C992)/D992</f>
        <v>-1.4195341263898382</v>
      </c>
      <c r="F992" s="1447" t="s">
        <v>4760</v>
      </c>
      <c r="G992" s="1467" t="s">
        <v>2836</v>
      </c>
      <c r="H992" s="1497" t="s">
        <v>2831</v>
      </c>
      <c r="I992" s="2033"/>
      <c r="J992" s="2033"/>
      <c r="K992" s="2033"/>
      <c r="L992" s="2033"/>
      <c r="M992" s="2033"/>
      <c r="N992" s="2033"/>
      <c r="O992" s="2033"/>
      <c r="P992" s="2033"/>
      <c r="Q992" s="2033"/>
      <c r="Y992" s="410"/>
    </row>
    <row r="993" spans="2:25" ht="18">
      <c r="B993" s="1496"/>
      <c r="C993" s="1448"/>
      <c r="D993" s="1454"/>
      <c r="E993" s="1449"/>
      <c r="F993" s="1443"/>
      <c r="G993" s="1467"/>
      <c r="H993" s="1497"/>
      <c r="I993" s="2033"/>
      <c r="J993" s="2033"/>
      <c r="K993" s="2033"/>
      <c r="L993" s="2033"/>
      <c r="M993" s="2033"/>
      <c r="N993" s="2033"/>
      <c r="O993" s="2033"/>
      <c r="P993" s="2033"/>
      <c r="Q993" s="2033"/>
      <c r="Y993" s="410"/>
    </row>
    <row r="994" spans="2:25" ht="90.6" thickBot="1">
      <c r="B994" s="1499" t="s">
        <v>2838</v>
      </c>
      <c r="C994" s="1464">
        <f>+'Ratio Analysis'!J52</f>
        <v>-0.17781224128766732</v>
      </c>
      <c r="D994" s="1464">
        <f>+'Ratio Analysis'!K52</f>
        <v>-0.11613773774292681</v>
      </c>
      <c r="E994" s="1465">
        <f>+(D994-C994)/D994</f>
        <v>-0.53104619345400239</v>
      </c>
      <c r="F994" s="1466" t="s">
        <v>2874</v>
      </c>
      <c r="G994" s="1468" t="s">
        <v>2839</v>
      </c>
      <c r="H994" s="1500" t="s">
        <v>2879</v>
      </c>
      <c r="I994" s="2033"/>
      <c r="J994" s="2033"/>
      <c r="K994" s="2033"/>
      <c r="L994" s="2033"/>
      <c r="M994" s="2033"/>
      <c r="N994" s="2033"/>
      <c r="O994" s="2033"/>
      <c r="P994" s="2033"/>
      <c r="Q994" s="2033"/>
      <c r="Y994" s="410"/>
    </row>
    <row r="995" spans="2:25" ht="18">
      <c r="B995" s="2260" t="s">
        <v>702</v>
      </c>
      <c r="C995" s="2261"/>
      <c r="D995" s="2261"/>
      <c r="E995" s="2261"/>
      <c r="F995" s="2261"/>
      <c r="G995" s="2261"/>
      <c r="H995" s="2262"/>
      <c r="I995" s="2033"/>
      <c r="J995" s="2033"/>
      <c r="K995" s="2033"/>
      <c r="L995" s="2033"/>
      <c r="M995" s="2033"/>
      <c r="N995" s="2033"/>
      <c r="O995" s="2033"/>
      <c r="P995" s="2033"/>
      <c r="Q995" s="2033"/>
      <c r="Y995" s="410"/>
    </row>
    <row r="996" spans="2:25" ht="18.600000000000001" thickBot="1">
      <c r="B996" s="2427" t="s">
        <v>3056</v>
      </c>
      <c r="C996" s="2428"/>
      <c r="D996" s="2428"/>
      <c r="E996" s="2428"/>
      <c r="F996" s="2428"/>
      <c r="G996" s="2428"/>
      <c r="H996" s="2429"/>
      <c r="I996" s="2034"/>
      <c r="J996" s="2034"/>
      <c r="K996" s="2034"/>
      <c r="L996" s="2034"/>
      <c r="M996" s="2034"/>
      <c r="N996" s="2034"/>
      <c r="O996" s="2034"/>
      <c r="P996" s="2034"/>
      <c r="Q996" s="2034"/>
      <c r="Y996" s="410"/>
    </row>
    <row r="997" spans="2:25" ht="18">
      <c r="B997" s="1076" t="s">
        <v>2889</v>
      </c>
      <c r="C997" s="1508"/>
      <c r="D997" s="1508"/>
      <c r="E997" s="1503"/>
      <c r="F997" s="1503"/>
      <c r="G997" s="26"/>
      <c r="H997" s="1034"/>
      <c r="I997" s="26"/>
      <c r="J997" s="26"/>
      <c r="K997" s="26"/>
      <c r="L997" s="26"/>
      <c r="M997" s="26"/>
      <c r="N997" s="26"/>
      <c r="O997" s="26"/>
      <c r="P997" s="26"/>
      <c r="Q997" s="26"/>
    </row>
    <row r="998" spans="2:25" ht="18">
      <c r="B998" s="1164" t="s">
        <v>1111</v>
      </c>
      <c r="C998" s="1509"/>
      <c r="D998" s="1509"/>
      <c r="E998" s="1509"/>
      <c r="F998" s="1509"/>
      <c r="G998" s="123"/>
      <c r="H998" s="1188"/>
      <c r="I998" s="123"/>
      <c r="J998" s="123"/>
      <c r="K998" s="123"/>
      <c r="L998" s="123"/>
      <c r="M998" s="123"/>
      <c r="N998" s="123"/>
      <c r="O998" s="123"/>
      <c r="P998" s="123"/>
      <c r="Q998" s="123"/>
    </row>
    <row r="999" spans="2:25" ht="18">
      <c r="B999" s="1023"/>
      <c r="C999" s="1508"/>
      <c r="D999" s="1508"/>
      <c r="E999" s="1510"/>
      <c r="F999" s="1510"/>
      <c r="G999" s="20"/>
      <c r="H999" s="1031"/>
      <c r="I999" s="20"/>
      <c r="J999" s="20"/>
      <c r="K999" s="20"/>
      <c r="L999" s="20"/>
      <c r="M999" s="20"/>
      <c r="N999" s="20"/>
      <c r="O999" s="20"/>
      <c r="P999" s="20"/>
      <c r="Q999" s="20"/>
    </row>
    <row r="1000" spans="2:25" ht="18">
      <c r="B1000" s="989" t="s">
        <v>739</v>
      </c>
      <c r="C1000" s="990"/>
      <c r="D1000" s="990"/>
      <c r="E1000" s="1504" t="s">
        <v>740</v>
      </c>
      <c r="F1000" s="1504"/>
      <c r="G1000" s="21"/>
      <c r="H1000" s="1032"/>
      <c r="I1000" s="21"/>
      <c r="J1000" s="21"/>
      <c r="K1000" s="21"/>
      <c r="L1000" s="21"/>
      <c r="M1000" s="21"/>
      <c r="N1000" s="21"/>
      <c r="O1000" s="21"/>
      <c r="P1000" s="21"/>
      <c r="Q1000" s="21"/>
    </row>
    <row r="1001" spans="2:25" ht="18">
      <c r="B1001" s="989"/>
      <c r="C1001" s="990"/>
      <c r="D1001" s="990"/>
      <c r="E1001" s="1504"/>
      <c r="F1001" s="1504"/>
      <c r="G1001" s="21"/>
      <c r="H1001" s="1032"/>
      <c r="I1001" s="21"/>
      <c r="J1001" s="21"/>
      <c r="K1001" s="21"/>
      <c r="L1001" s="21"/>
      <c r="M1001" s="21"/>
      <c r="N1001" s="21"/>
      <c r="O1001" s="21"/>
      <c r="P1001" s="21"/>
      <c r="Q1001" s="21"/>
    </row>
    <row r="1002" spans="2:25" ht="18">
      <c r="B1002" s="992" t="s">
        <v>741</v>
      </c>
      <c r="C1002" s="1508"/>
      <c r="D1002" s="1508"/>
      <c r="E1002" s="1503" t="str">
        <f>+F54</f>
        <v>ANIL KUMAR LAKHOTIYA - MANAGING  DIRECTOR</v>
      </c>
      <c r="F1002" s="1504"/>
      <c r="G1002" s="21"/>
      <c r="H1002" s="1032"/>
      <c r="I1002" s="21"/>
      <c r="J1002" s="21"/>
      <c r="K1002" s="21"/>
      <c r="L1002" s="21"/>
      <c r="M1002" s="21"/>
      <c r="N1002" s="21"/>
      <c r="O1002" s="21"/>
      <c r="P1002" s="21"/>
      <c r="Q1002" s="21"/>
    </row>
    <row r="1003" spans="2:25" ht="18">
      <c r="B1003" s="992" t="s">
        <v>743</v>
      </c>
      <c r="C1003" s="993"/>
      <c r="D1003" s="993"/>
      <c r="E1003" s="1504" t="str">
        <f>+F55</f>
        <v>(DIN:00367361)</v>
      </c>
      <c r="F1003" s="1504"/>
      <c r="G1003" s="21"/>
      <c r="H1003" s="1032"/>
      <c r="I1003" s="21"/>
      <c r="J1003" s="21"/>
      <c r="K1003" s="21"/>
      <c r="L1003" s="21"/>
      <c r="M1003" s="21"/>
      <c r="N1003" s="21"/>
      <c r="O1003" s="21"/>
      <c r="P1003" s="21"/>
      <c r="Q1003" s="21"/>
    </row>
    <row r="1004" spans="2:25" ht="18">
      <c r="B1004" s="992" t="s">
        <v>1112</v>
      </c>
      <c r="C1004" s="993"/>
      <c r="D1004" s="993"/>
      <c r="E1004" s="1504"/>
      <c r="F1004" s="1504"/>
      <c r="G1004" s="21"/>
      <c r="H1004" s="1032"/>
      <c r="I1004" s="21"/>
      <c r="J1004" s="21"/>
      <c r="K1004" s="21"/>
      <c r="L1004" s="21"/>
      <c r="M1004" s="21"/>
      <c r="N1004" s="21"/>
      <c r="O1004" s="21"/>
      <c r="P1004" s="21"/>
      <c r="Q1004" s="21"/>
    </row>
    <row r="1005" spans="2:25" ht="18">
      <c r="B1005" s="992"/>
      <c r="C1005" s="1508"/>
      <c r="D1005" s="1508"/>
      <c r="E1005" s="1511"/>
      <c r="F1005" s="1511"/>
      <c r="G1005" s="23"/>
      <c r="H1005" s="1033"/>
      <c r="I1005" s="23"/>
      <c r="J1005" s="23"/>
      <c r="K1005" s="23"/>
      <c r="L1005" s="23"/>
      <c r="M1005" s="23"/>
      <c r="N1005" s="23"/>
      <c r="O1005" s="23"/>
      <c r="P1005" s="23"/>
      <c r="Q1005" s="23"/>
    </row>
    <row r="1006" spans="2:25" ht="18">
      <c r="B1006" s="1063"/>
      <c r="C1006" s="993"/>
      <c r="D1006" s="993"/>
      <c r="E1006" s="1504"/>
      <c r="F1006" s="1508"/>
      <c r="G1006" s="21"/>
      <c r="H1006" s="1032"/>
      <c r="I1006" s="21"/>
      <c r="J1006" s="21"/>
      <c r="K1006" s="21"/>
      <c r="L1006" s="21"/>
      <c r="M1006" s="21"/>
      <c r="N1006" s="21"/>
      <c r="O1006" s="21"/>
      <c r="P1006" s="21"/>
      <c r="Q1006" s="21"/>
    </row>
    <row r="1007" spans="2:25" ht="18">
      <c r="B1007" s="1063"/>
      <c r="C1007" s="993"/>
      <c r="D1007" s="993"/>
      <c r="E1007" s="1503" t="str">
        <f>+F59</f>
        <v>KAILASH AGARWAL - WHOLE TIME DIRECTOR</v>
      </c>
      <c r="F1007" s="1508"/>
      <c r="G1007" s="21"/>
      <c r="H1007" s="1032"/>
      <c r="I1007" s="21"/>
      <c r="J1007" s="21"/>
      <c r="K1007" s="21"/>
      <c r="L1007" s="21"/>
      <c r="M1007" s="21"/>
      <c r="N1007" s="21"/>
      <c r="O1007" s="21"/>
      <c r="P1007" s="21"/>
      <c r="Q1007" s="21"/>
    </row>
    <row r="1008" spans="2:25" ht="18">
      <c r="B1008" s="992" t="s">
        <v>2626</v>
      </c>
      <c r="C1008" s="993"/>
      <c r="D1008" s="993"/>
      <c r="E1008" s="1504" t="str">
        <f>+F60</f>
        <v>(DIN:00367292)</v>
      </c>
      <c r="F1008" s="1508"/>
      <c r="G1008" s="21"/>
      <c r="H1008" s="1032"/>
      <c r="I1008" s="21"/>
      <c r="J1008" s="21"/>
      <c r="K1008" s="21"/>
      <c r="L1008" s="21"/>
      <c r="M1008" s="21"/>
      <c r="N1008" s="21"/>
      <c r="O1008" s="21"/>
      <c r="P1008" s="21"/>
      <c r="Q1008" s="21"/>
    </row>
    <row r="1009" spans="2:17" ht="18">
      <c r="B1009" s="992" t="s">
        <v>748</v>
      </c>
      <c r="C1009" s="993"/>
      <c r="D1009" s="993"/>
      <c r="E1009" s="1511"/>
      <c r="F1009" s="1511"/>
      <c r="G1009" s="23"/>
      <c r="H1009" s="1033"/>
      <c r="I1009" s="23"/>
      <c r="J1009" s="23"/>
      <c r="K1009" s="23"/>
      <c r="L1009" s="23"/>
      <c r="M1009" s="23"/>
      <c r="N1009" s="23"/>
      <c r="O1009" s="23"/>
      <c r="P1009" s="23"/>
      <c r="Q1009" s="23"/>
    </row>
    <row r="1010" spans="2:17" ht="18">
      <c r="B1010" s="992" t="s">
        <v>2629</v>
      </c>
      <c r="C1010" s="24"/>
      <c r="D1010" s="24"/>
      <c r="E1010" s="1511"/>
      <c r="F1010" s="1508"/>
      <c r="G1010" s="21"/>
      <c r="H1010" s="1032"/>
      <c r="I1010" s="21"/>
      <c r="J1010" s="21"/>
      <c r="K1010" s="21"/>
      <c r="L1010" s="21"/>
      <c r="M1010" s="21"/>
      <c r="N1010" s="21"/>
      <c r="O1010" s="21"/>
      <c r="P1010" s="21"/>
      <c r="Q1010" s="21"/>
    </row>
    <row r="1011" spans="2:17" ht="18">
      <c r="B1011" s="996" t="str">
        <f>+B210</f>
        <v>Date: 29/05/2024</v>
      </c>
      <c r="C1011" s="25"/>
      <c r="D1011" s="25"/>
      <c r="E1011" s="1511"/>
      <c r="F1011" s="1504"/>
      <c r="G1011" s="21"/>
      <c r="H1011" s="1032"/>
      <c r="I1011" s="21"/>
      <c r="J1011" s="21"/>
      <c r="K1011" s="21"/>
      <c r="L1011" s="21"/>
      <c r="M1011" s="21"/>
      <c r="N1011" s="21"/>
      <c r="O1011" s="21"/>
      <c r="P1011" s="21"/>
      <c r="Q1011" s="21"/>
    </row>
    <row r="1012" spans="2:17" ht="18">
      <c r="B1012" s="996" t="s">
        <v>750</v>
      </c>
      <c r="C1012" s="25"/>
      <c r="D1012" s="25"/>
      <c r="E1012" s="1503" t="str">
        <f>+F63</f>
        <v>JARNAIL SINGH SAINI - CHIEF FINANCIAL OFFICER &amp; EXECUTIVE DIRECTOR</v>
      </c>
      <c r="F1012" s="1504"/>
      <c r="G1012" s="21"/>
      <c r="H1012" s="1032"/>
      <c r="I1012" s="21"/>
      <c r="J1012" s="21"/>
      <c r="K1012" s="21"/>
      <c r="L1012" s="21"/>
      <c r="M1012" s="21"/>
      <c r="N1012" s="21"/>
      <c r="O1012" s="21"/>
      <c r="P1012" s="21"/>
      <c r="Q1012" s="21"/>
    </row>
    <row r="1013" spans="2:17" ht="18">
      <c r="B1013" s="996" t="str">
        <f>+B133</f>
        <v>UDIN: 24141902BKCZE8571</v>
      </c>
      <c r="C1013" s="25"/>
      <c r="D1013" s="25"/>
      <c r="E1013" s="1504" t="str">
        <f>+F64</f>
        <v>(DIN:00367656)</v>
      </c>
      <c r="F1013" s="1511"/>
      <c r="G1013" s="23"/>
      <c r="H1013" s="1033"/>
      <c r="I1013" s="23"/>
      <c r="J1013" s="23"/>
      <c r="K1013" s="23"/>
      <c r="L1013" s="23"/>
      <c r="M1013" s="23"/>
      <c r="N1013" s="23"/>
      <c r="O1013" s="23"/>
      <c r="P1013" s="23"/>
      <c r="Q1013" s="23"/>
    </row>
    <row r="1014" spans="2:17" ht="18">
      <c r="B1014" s="996"/>
      <c r="C1014" s="25"/>
      <c r="D1014" s="25"/>
      <c r="E1014" s="1511"/>
      <c r="F1014" s="1508"/>
      <c r="G1014" s="21"/>
      <c r="H1014" s="1032"/>
      <c r="I1014" s="21"/>
      <c r="J1014" s="21"/>
      <c r="K1014" s="21"/>
      <c r="L1014" s="21"/>
      <c r="M1014" s="21"/>
      <c r="N1014" s="21"/>
      <c r="O1014" s="21"/>
      <c r="P1014" s="21"/>
      <c r="Q1014" s="21"/>
    </row>
    <row r="1015" spans="2:17" ht="18">
      <c r="B1015" s="992"/>
      <c r="C1015" s="25"/>
      <c r="D1015" s="25"/>
      <c r="E1015" s="1511"/>
      <c r="F1015" s="1508"/>
      <c r="G1015" s="21"/>
      <c r="H1015" s="1032"/>
      <c r="I1015" s="21"/>
      <c r="J1015" s="21"/>
      <c r="K1015" s="21"/>
      <c r="L1015" s="21"/>
      <c r="M1015" s="21"/>
      <c r="N1015" s="21"/>
      <c r="O1015" s="21"/>
      <c r="P1015" s="21"/>
      <c r="Q1015" s="21"/>
    </row>
    <row r="1016" spans="2:17" ht="18">
      <c r="B1016" s="992"/>
      <c r="C1016" s="25"/>
      <c r="D1016" s="25"/>
      <c r="E1016" s="1511"/>
      <c r="F1016" s="1508"/>
      <c r="G1016" s="21"/>
      <c r="H1016" s="1032"/>
      <c r="I1016" s="21"/>
      <c r="J1016" s="21"/>
      <c r="K1016" s="21"/>
      <c r="L1016" s="21"/>
      <c r="M1016" s="21"/>
      <c r="N1016" s="21"/>
      <c r="O1016" s="21"/>
      <c r="P1016" s="21"/>
      <c r="Q1016" s="21"/>
    </row>
    <row r="1017" spans="2:17" ht="18">
      <c r="B1017" s="992"/>
      <c r="C1017" s="25"/>
      <c r="D1017" s="25"/>
      <c r="E1017" s="1503" t="str">
        <f>+F68</f>
        <v>OMPRAKASH RATHI - WHOLE TIME DIRECTOR</v>
      </c>
      <c r="F1017" s="1511"/>
      <c r="G1017" s="23"/>
      <c r="H1017" s="1033"/>
      <c r="I1017" s="23"/>
      <c r="J1017" s="23"/>
      <c r="K1017" s="23"/>
      <c r="L1017" s="23"/>
      <c r="M1017" s="23"/>
      <c r="N1017" s="23"/>
      <c r="O1017" s="23"/>
      <c r="P1017" s="23"/>
      <c r="Q1017" s="23"/>
    </row>
    <row r="1018" spans="2:17" ht="18">
      <c r="B1018" s="992"/>
      <c r="C1018" s="25"/>
      <c r="D1018" s="25"/>
      <c r="E1018" s="1504" t="str">
        <f>+F69</f>
        <v>(DIN:00895316)</v>
      </c>
      <c r="F1018" s="1512"/>
      <c r="G1018" s="27"/>
      <c r="H1018" s="1035"/>
      <c r="I1018" s="27"/>
      <c r="J1018" s="27"/>
      <c r="K1018" s="27"/>
      <c r="L1018" s="27"/>
      <c r="M1018" s="27"/>
      <c r="N1018" s="27"/>
      <c r="O1018" s="27"/>
      <c r="P1018" s="27"/>
      <c r="Q1018" s="27"/>
    </row>
    <row r="1019" spans="2:17" ht="18">
      <c r="B1019" s="992"/>
      <c r="C1019" s="25"/>
      <c r="D1019" s="25"/>
      <c r="E1019" s="1511"/>
      <c r="F1019" s="1512"/>
      <c r="G1019" s="27"/>
      <c r="H1019" s="1035"/>
      <c r="I1019" s="27"/>
      <c r="J1019" s="27"/>
      <c r="K1019" s="27"/>
      <c r="L1019" s="27"/>
      <c r="M1019" s="27"/>
      <c r="N1019" s="27"/>
      <c r="O1019" s="27"/>
      <c r="P1019" s="27"/>
      <c r="Q1019" s="27"/>
    </row>
    <row r="1020" spans="2:17" ht="18">
      <c r="B1020" s="992"/>
      <c r="C1020" s="25"/>
      <c r="D1020" s="25"/>
      <c r="E1020" s="1511"/>
      <c r="F1020" s="1512"/>
      <c r="G1020" s="27"/>
      <c r="H1020" s="1035"/>
      <c r="I1020" s="27"/>
      <c r="J1020" s="27"/>
      <c r="K1020" s="27"/>
      <c r="L1020" s="27"/>
      <c r="M1020" s="27"/>
      <c r="N1020" s="27"/>
      <c r="O1020" s="27"/>
      <c r="P1020" s="27"/>
      <c r="Q1020" s="27"/>
    </row>
    <row r="1021" spans="2:17" ht="18">
      <c r="B1021" s="992"/>
      <c r="C1021" s="25"/>
      <c r="D1021" s="25"/>
      <c r="E1021" s="1511"/>
      <c r="F1021" s="1512"/>
      <c r="G1021" s="27"/>
      <c r="H1021" s="1035"/>
      <c r="I1021" s="27"/>
      <c r="J1021" s="27"/>
      <c r="K1021" s="27"/>
      <c r="L1021" s="27"/>
      <c r="M1021" s="27"/>
      <c r="N1021" s="27"/>
      <c r="O1021" s="27"/>
      <c r="P1021" s="27"/>
      <c r="Q1021" s="27"/>
    </row>
    <row r="1022" spans="2:17" ht="18">
      <c r="B1022" s="992"/>
      <c r="C1022" s="25"/>
      <c r="D1022" s="25"/>
      <c r="E1022" s="1503" t="str">
        <f>+F73</f>
        <v>MAYANK LUNIYA - COMPANY SECRETARY</v>
      </c>
      <c r="F1022" s="1511"/>
      <c r="G1022" s="23"/>
      <c r="H1022" s="1033"/>
      <c r="I1022" s="23"/>
      <c r="J1022" s="23"/>
      <c r="K1022" s="23"/>
      <c r="L1022" s="23"/>
      <c r="M1022" s="23"/>
      <c r="N1022" s="23"/>
      <c r="O1022" s="23"/>
      <c r="P1022" s="23"/>
      <c r="Q1022" s="23"/>
    </row>
    <row r="1023" spans="2:17" ht="18">
      <c r="B1023" s="992"/>
      <c r="C1023" s="25"/>
      <c r="D1023" s="25"/>
      <c r="E1023" s="1504"/>
      <c r="F1023" s="1512"/>
      <c r="G1023" s="27"/>
      <c r="H1023" s="1035"/>
      <c r="I1023" s="27"/>
      <c r="J1023" s="27"/>
      <c r="K1023" s="27"/>
      <c r="L1023" s="27"/>
      <c r="M1023" s="27"/>
      <c r="N1023" s="27"/>
      <c r="O1023" s="27"/>
      <c r="P1023" s="27"/>
      <c r="Q1023" s="27"/>
    </row>
    <row r="1024" spans="2:17" ht="18">
      <c r="B1024" s="992"/>
      <c r="C1024" s="25"/>
      <c r="D1024" s="25"/>
      <c r="E1024" s="1504" t="str">
        <f>+F74</f>
        <v>Place: Nagpur</v>
      </c>
      <c r="F1024" s="1512"/>
      <c r="G1024" s="27"/>
      <c r="H1024" s="1035"/>
      <c r="I1024" s="27"/>
      <c r="J1024" s="27"/>
      <c r="K1024" s="27"/>
      <c r="L1024" s="27"/>
      <c r="M1024" s="27"/>
      <c r="N1024" s="27"/>
      <c r="O1024" s="27"/>
      <c r="P1024" s="27"/>
      <c r="Q1024" s="27"/>
    </row>
    <row r="1025" spans="2:17" ht="18.600000000000001" thickBot="1">
      <c r="B1025" s="1189"/>
      <c r="C1025" s="1190"/>
      <c r="D1025" s="1190"/>
      <c r="E1025" s="1191" t="s">
        <v>4724</v>
      </c>
      <c r="F1025" s="1192"/>
      <c r="G1025" s="1193"/>
      <c r="H1025" s="1194"/>
      <c r="I1025" s="27"/>
      <c r="J1025" s="27"/>
      <c r="K1025" s="27"/>
      <c r="L1025" s="27"/>
      <c r="M1025" s="27"/>
      <c r="N1025" s="27"/>
      <c r="O1025" s="27"/>
      <c r="P1025" s="27"/>
      <c r="Q1025" s="27"/>
    </row>
  </sheetData>
  <mergeCells count="157">
    <mergeCell ref="B954:C954"/>
    <mergeCell ref="B969:H969"/>
    <mergeCell ref="B970:H970"/>
    <mergeCell ref="B930:H930"/>
    <mergeCell ref="B933:H935"/>
    <mergeCell ref="B938:H938"/>
    <mergeCell ref="B941:H941"/>
    <mergeCell ref="B944:H944"/>
    <mergeCell ref="B947:H947"/>
    <mergeCell ref="B893:H893"/>
    <mergeCell ref="B894:H894"/>
    <mergeCell ref="B913:F913"/>
    <mergeCell ref="B921:F921"/>
    <mergeCell ref="B924:F924"/>
    <mergeCell ref="B927:H927"/>
    <mergeCell ref="B748:H751"/>
    <mergeCell ref="B752:H752"/>
    <mergeCell ref="B753:H753"/>
    <mergeCell ref="B813:H813"/>
    <mergeCell ref="B814:H814"/>
    <mergeCell ref="D865:E865"/>
    <mergeCell ref="B691:H691"/>
    <mergeCell ref="B692:H692"/>
    <mergeCell ref="B693:H693"/>
    <mergeCell ref="B700:F700"/>
    <mergeCell ref="B705:F705"/>
    <mergeCell ref="B742:H746"/>
    <mergeCell ref="B677:H677"/>
    <mergeCell ref="B679:H679"/>
    <mergeCell ref="B685:F685"/>
    <mergeCell ref="B686:H686"/>
    <mergeCell ref="B687:H687"/>
    <mergeCell ref="B690:H690"/>
    <mergeCell ref="B671:H671"/>
    <mergeCell ref="B672:H672"/>
    <mergeCell ref="B673:H673"/>
    <mergeCell ref="B674:H674"/>
    <mergeCell ref="B675:H675"/>
    <mergeCell ref="B676:H676"/>
    <mergeCell ref="B642:H642"/>
    <mergeCell ref="B643:H643"/>
    <mergeCell ref="B662:F662"/>
    <mergeCell ref="B664:H664"/>
    <mergeCell ref="B666:H666"/>
    <mergeCell ref="B669:H669"/>
    <mergeCell ref="B533:H533"/>
    <mergeCell ref="B534:H534"/>
    <mergeCell ref="B587:F587"/>
    <mergeCell ref="B591:H591"/>
    <mergeCell ref="B592:H592"/>
    <mergeCell ref="B612:F612"/>
    <mergeCell ref="B456:F456"/>
    <mergeCell ref="B457:F457"/>
    <mergeCell ref="B458:F458"/>
    <mergeCell ref="B459:F459"/>
    <mergeCell ref="B460:H460"/>
    <mergeCell ref="B461:H461"/>
    <mergeCell ref="B445:B446"/>
    <mergeCell ref="C445:C446"/>
    <mergeCell ref="D445:H445"/>
    <mergeCell ref="B452:F452"/>
    <mergeCell ref="B453:F453"/>
    <mergeCell ref="B454:F454"/>
    <mergeCell ref="B394:H394"/>
    <mergeCell ref="B395:H395"/>
    <mergeCell ref="B403:E403"/>
    <mergeCell ref="B427:F428"/>
    <mergeCell ref="B435:H437"/>
    <mergeCell ref="B438:C439"/>
    <mergeCell ref="D438:H438"/>
    <mergeCell ref="B381:F381"/>
    <mergeCell ref="B382:F382"/>
    <mergeCell ref="B383:F383"/>
    <mergeCell ref="B384:F384"/>
    <mergeCell ref="B387:F387"/>
    <mergeCell ref="B388:F388"/>
    <mergeCell ref="C362:D362"/>
    <mergeCell ref="C363:D363"/>
    <mergeCell ref="C364:D364"/>
    <mergeCell ref="C365:D365"/>
    <mergeCell ref="C366:D366"/>
    <mergeCell ref="B380:F380"/>
    <mergeCell ref="C354:D354"/>
    <mergeCell ref="C355:D355"/>
    <mergeCell ref="C356:D356"/>
    <mergeCell ref="C359:D359"/>
    <mergeCell ref="C360:D360"/>
    <mergeCell ref="C361:D361"/>
    <mergeCell ref="B345:H345"/>
    <mergeCell ref="C349:D349"/>
    <mergeCell ref="C350:D350"/>
    <mergeCell ref="C351:D351"/>
    <mergeCell ref="C352:D352"/>
    <mergeCell ref="C353:D353"/>
    <mergeCell ref="V328:W328"/>
    <mergeCell ref="B330:F330"/>
    <mergeCell ref="B336:H336"/>
    <mergeCell ref="B338:F338"/>
    <mergeCell ref="B340:H343"/>
    <mergeCell ref="B344:H344"/>
    <mergeCell ref="V321:W322"/>
    <mergeCell ref="V323:W323"/>
    <mergeCell ref="V324:W324"/>
    <mergeCell ref="V325:W325"/>
    <mergeCell ref="V326:W326"/>
    <mergeCell ref="V327:W327"/>
    <mergeCell ref="B274:H274"/>
    <mergeCell ref="B275:H275"/>
    <mergeCell ref="B286:C286"/>
    <mergeCell ref="B287:F287"/>
    <mergeCell ref="B316:F317"/>
    <mergeCell ref="B320:C321"/>
    <mergeCell ref="C265:D265"/>
    <mergeCell ref="C266:D266"/>
    <mergeCell ref="C267:D267"/>
    <mergeCell ref="C268:D268"/>
    <mergeCell ref="B270:H270"/>
    <mergeCell ref="B271:H273"/>
    <mergeCell ref="F129:H129"/>
    <mergeCell ref="F130:H130"/>
    <mergeCell ref="B141:H141"/>
    <mergeCell ref="C259:D259"/>
    <mergeCell ref="C260:D260"/>
    <mergeCell ref="C261:D261"/>
    <mergeCell ref="B263:B264"/>
    <mergeCell ref="C263:H263"/>
    <mergeCell ref="C264:D264"/>
    <mergeCell ref="B229:F229"/>
    <mergeCell ref="B237:F237"/>
    <mergeCell ref="B256:B257"/>
    <mergeCell ref="C256:H256"/>
    <mergeCell ref="C257:D257"/>
    <mergeCell ref="C258:D258"/>
    <mergeCell ref="B995:H995"/>
    <mergeCell ref="B996:H996"/>
    <mergeCell ref="B77:H77"/>
    <mergeCell ref="F78:F79"/>
    <mergeCell ref="B89:C89"/>
    <mergeCell ref="B93:C93"/>
    <mergeCell ref="B103:C103"/>
    <mergeCell ref="B104:C104"/>
    <mergeCell ref="B3:H3"/>
    <mergeCell ref="B4:H4"/>
    <mergeCell ref="F6:F7"/>
    <mergeCell ref="F10:F11"/>
    <mergeCell ref="F63:H63"/>
    <mergeCell ref="B76:H76"/>
    <mergeCell ref="F31:F32"/>
    <mergeCell ref="B142:H142"/>
    <mergeCell ref="F209:H209"/>
    <mergeCell ref="F210:H210"/>
    <mergeCell ref="B221:H221"/>
    <mergeCell ref="B222:H222"/>
    <mergeCell ref="B228:F228"/>
    <mergeCell ref="B110:E110"/>
    <mergeCell ref="B112:C112"/>
    <mergeCell ref="B113:C113"/>
  </mergeCells>
  <printOptions horizontalCentered="1"/>
  <pageMargins left="0.19685039370078741" right="3.937007874015748E-2" top="0.43307086614173229" bottom="0.31496062992125984" header="0.31496062992125984" footer="0.19685039370078741"/>
  <pageSetup paperSize="9" scale="10" orientation="portrait" horizontalDpi="4294967293" r:id="rId1"/>
  <rowBreaks count="6" manualBreakCount="6">
    <brk id="74" max="16383" man="1"/>
    <brk id="75" max="16383" man="1"/>
    <brk id="140" max="16383" man="1"/>
    <brk id="220" max="16383" man="1"/>
    <brk id="273" max="16383" man="1"/>
    <brk id="343" min="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BA53-D42A-455E-B378-E660EC6A5258}">
  <dimension ref="B1:P72"/>
  <sheetViews>
    <sheetView workbookViewId="0">
      <selection activeCell="I1" sqref="I1"/>
    </sheetView>
  </sheetViews>
  <sheetFormatPr defaultRowHeight="14.4"/>
  <cols>
    <col min="2" max="2" width="5.44140625" bestFit="1" customWidth="1"/>
    <col min="3" max="3" width="35.44140625" bestFit="1" customWidth="1"/>
    <col min="4" max="4" width="23.44140625" bestFit="1" customWidth="1"/>
    <col min="5" max="5" width="14.33203125" bestFit="1" customWidth="1"/>
    <col min="6" max="6" width="10.33203125" bestFit="1" customWidth="1"/>
    <col min="7" max="7" width="14.109375" bestFit="1" customWidth="1"/>
    <col min="8" max="8" width="21" bestFit="1" customWidth="1"/>
    <col min="9" max="9" width="18.88671875" customWidth="1"/>
    <col min="10" max="10" width="6" hidden="1" customWidth="1"/>
    <col min="11" max="11" width="9.6640625" hidden="1" customWidth="1"/>
    <col min="12" max="12" width="7.6640625" hidden="1" customWidth="1"/>
    <col min="13" max="15" width="12" hidden="1" customWidth="1"/>
    <col min="16" max="16" width="19.6640625" bestFit="1" customWidth="1"/>
  </cols>
  <sheetData>
    <row r="1" spans="2:16">
      <c r="H1" s="346">
        <v>45382</v>
      </c>
      <c r="I1" s="3">
        <f>+SUM(I3:I72)</f>
        <v>10295126</v>
      </c>
      <c r="J1">
        <v>0.19500000000000001</v>
      </c>
      <c r="P1" s="3">
        <f>+SUM(P3:P72)</f>
        <v>3260275.3854138013</v>
      </c>
    </row>
    <row r="2" spans="2:16" ht="43.2">
      <c r="B2" s="2202" t="s">
        <v>2011</v>
      </c>
      <c r="C2" s="2202" t="s">
        <v>463</v>
      </c>
      <c r="D2" s="2202" t="s">
        <v>3153</v>
      </c>
      <c r="E2" s="2202" t="s">
        <v>2582</v>
      </c>
      <c r="F2" s="2202" t="s">
        <v>1981</v>
      </c>
      <c r="G2" s="2202" t="s">
        <v>4735</v>
      </c>
      <c r="H2" s="2203" t="s">
        <v>4736</v>
      </c>
      <c r="I2" s="2203" t="s">
        <v>4744</v>
      </c>
      <c r="J2" s="2202" t="s">
        <v>4737</v>
      </c>
      <c r="K2" s="2202" t="s">
        <v>4742</v>
      </c>
      <c r="L2" s="2202" t="s">
        <v>4743</v>
      </c>
      <c r="M2" s="2202" t="s">
        <v>4738</v>
      </c>
      <c r="N2" s="2202" t="s">
        <v>4739</v>
      </c>
      <c r="O2" s="2202" t="s">
        <v>4740</v>
      </c>
      <c r="P2" s="2203" t="s">
        <v>4741</v>
      </c>
    </row>
    <row r="3" spans="2:16">
      <c r="B3" s="2199">
        <v>1</v>
      </c>
      <c r="C3" s="856" t="s">
        <v>113</v>
      </c>
      <c r="D3" s="856" t="s">
        <v>3162</v>
      </c>
      <c r="E3" s="856" t="s">
        <v>3338</v>
      </c>
      <c r="F3" s="2200">
        <v>45276</v>
      </c>
      <c r="G3" s="2200">
        <f>+F3+45</f>
        <v>45321</v>
      </c>
      <c r="H3" s="2201">
        <f>+$H$1-G3</f>
        <v>61</v>
      </c>
      <c r="I3" s="857">
        <v>193711</v>
      </c>
      <c r="J3" s="856">
        <f>1+$J$1</f>
        <v>1.1950000000000001</v>
      </c>
      <c r="K3" s="856">
        <v>4</v>
      </c>
      <c r="L3" s="857">
        <v>0.33333333333333331</v>
      </c>
      <c r="M3" s="857">
        <f>+K3*L3</f>
        <v>1.3333333333333333</v>
      </c>
      <c r="N3" s="857">
        <f>+J3/K3</f>
        <v>0.29875000000000002</v>
      </c>
      <c r="O3" s="859">
        <f>+N3^M3</f>
        <v>0.19971493896649767</v>
      </c>
      <c r="P3" s="859">
        <f>+I3*O3</f>
        <v>38686.98054213923</v>
      </c>
    </row>
    <row r="4" spans="2:16">
      <c r="B4" s="2199">
        <v>2</v>
      </c>
      <c r="C4" s="856" t="s">
        <v>113</v>
      </c>
      <c r="D4" s="856" t="s">
        <v>3162</v>
      </c>
      <c r="E4" s="856" t="s">
        <v>3341</v>
      </c>
      <c r="F4" s="2200">
        <v>45276</v>
      </c>
      <c r="G4" s="2200">
        <f t="shared" ref="G4:G67" si="0">+F4+45</f>
        <v>45321</v>
      </c>
      <c r="H4" s="2201">
        <f t="shared" ref="H4:H67" si="1">+$H$1-G4</f>
        <v>61</v>
      </c>
      <c r="I4" s="857">
        <v>167376</v>
      </c>
      <c r="J4" s="856">
        <f t="shared" ref="J4:J67" si="2">1+$J$1</f>
        <v>1.1950000000000001</v>
      </c>
      <c r="K4" s="856">
        <v>4</v>
      </c>
      <c r="L4" s="857">
        <v>0.33333333333333331</v>
      </c>
      <c r="M4" s="857">
        <f t="shared" ref="M4:M67" si="3">+K4*L4</f>
        <v>1.3333333333333333</v>
      </c>
      <c r="N4" s="857">
        <f t="shared" ref="N4:N67" si="4">+J4/K4</f>
        <v>0.29875000000000002</v>
      </c>
      <c r="O4" s="859">
        <f t="shared" ref="O4:O67" si="5">+N4^M4</f>
        <v>0.19971493896649767</v>
      </c>
      <c r="P4" s="859">
        <f t="shared" ref="P4:P67" si="6">+I4*O4</f>
        <v>33427.487624456517</v>
      </c>
    </row>
    <row r="5" spans="2:16">
      <c r="B5" s="2199">
        <v>3</v>
      </c>
      <c r="C5" s="856" t="s">
        <v>113</v>
      </c>
      <c r="D5" s="856" t="s">
        <v>3162</v>
      </c>
      <c r="E5" s="856" t="s">
        <v>3342</v>
      </c>
      <c r="F5" s="2200">
        <v>45277</v>
      </c>
      <c r="G5" s="2200">
        <f t="shared" si="0"/>
        <v>45322</v>
      </c>
      <c r="H5" s="2201">
        <f t="shared" si="1"/>
        <v>60</v>
      </c>
      <c r="I5" s="857">
        <v>166848</v>
      </c>
      <c r="J5" s="856">
        <f t="shared" si="2"/>
        <v>1.1950000000000001</v>
      </c>
      <c r="K5" s="856">
        <v>3</v>
      </c>
      <c r="L5" s="857">
        <v>0.25</v>
      </c>
      <c r="M5" s="857">
        <f t="shared" si="3"/>
        <v>0.75</v>
      </c>
      <c r="N5" s="857">
        <f t="shared" si="4"/>
        <v>0.39833333333333337</v>
      </c>
      <c r="O5" s="859">
        <f t="shared" si="5"/>
        <v>0.50140076001992195</v>
      </c>
      <c r="P5" s="859">
        <f t="shared" si="6"/>
        <v>83657.714007803937</v>
      </c>
    </row>
    <row r="6" spans="2:16">
      <c r="B6" s="2199">
        <v>4</v>
      </c>
      <c r="C6" s="856" t="s">
        <v>113</v>
      </c>
      <c r="D6" s="856" t="s">
        <v>3162</v>
      </c>
      <c r="E6" s="856" t="s">
        <v>3343</v>
      </c>
      <c r="F6" s="2200">
        <v>45277</v>
      </c>
      <c r="G6" s="2200">
        <f t="shared" si="0"/>
        <v>45322</v>
      </c>
      <c r="H6" s="2201">
        <f t="shared" si="1"/>
        <v>60</v>
      </c>
      <c r="I6" s="857">
        <v>152064</v>
      </c>
      <c r="J6" s="856">
        <f t="shared" si="2"/>
        <v>1.1950000000000001</v>
      </c>
      <c r="K6" s="856">
        <v>3</v>
      </c>
      <c r="L6" s="857">
        <v>0.25</v>
      </c>
      <c r="M6" s="857">
        <f t="shared" si="3"/>
        <v>0.75</v>
      </c>
      <c r="N6" s="857">
        <f t="shared" si="4"/>
        <v>0.39833333333333337</v>
      </c>
      <c r="O6" s="859">
        <f t="shared" si="5"/>
        <v>0.50140076001992195</v>
      </c>
      <c r="P6" s="859">
        <f t="shared" si="6"/>
        <v>76245.005171669414</v>
      </c>
    </row>
    <row r="7" spans="2:16">
      <c r="B7" s="2199">
        <v>5</v>
      </c>
      <c r="C7" s="856" t="s">
        <v>113</v>
      </c>
      <c r="D7" s="856" t="s">
        <v>3162</v>
      </c>
      <c r="E7" s="856" t="s">
        <v>3344</v>
      </c>
      <c r="F7" s="2200">
        <v>45277</v>
      </c>
      <c r="G7" s="2200">
        <f t="shared" si="0"/>
        <v>45322</v>
      </c>
      <c r="H7" s="2201">
        <f t="shared" si="1"/>
        <v>60</v>
      </c>
      <c r="I7" s="857">
        <v>190080</v>
      </c>
      <c r="J7" s="856">
        <f t="shared" si="2"/>
        <v>1.1950000000000001</v>
      </c>
      <c r="K7" s="856">
        <v>3</v>
      </c>
      <c r="L7" s="857">
        <v>0.25</v>
      </c>
      <c r="M7" s="857">
        <f t="shared" si="3"/>
        <v>0.75</v>
      </c>
      <c r="N7" s="857">
        <f t="shared" si="4"/>
        <v>0.39833333333333337</v>
      </c>
      <c r="O7" s="859">
        <f t="shared" si="5"/>
        <v>0.50140076001992195</v>
      </c>
      <c r="P7" s="859">
        <f t="shared" si="6"/>
        <v>95306.256464586768</v>
      </c>
    </row>
    <row r="8" spans="2:16">
      <c r="B8" s="2199">
        <v>6</v>
      </c>
      <c r="C8" s="856" t="s">
        <v>113</v>
      </c>
      <c r="D8" s="856" t="s">
        <v>3162</v>
      </c>
      <c r="E8" s="856" t="s">
        <v>3345</v>
      </c>
      <c r="F8" s="2200">
        <v>45278</v>
      </c>
      <c r="G8" s="2200">
        <f t="shared" si="0"/>
        <v>45323</v>
      </c>
      <c r="H8" s="2201">
        <f t="shared" si="1"/>
        <v>59</v>
      </c>
      <c r="I8" s="857">
        <v>195822</v>
      </c>
      <c r="J8" s="856">
        <f t="shared" si="2"/>
        <v>1.1950000000000001</v>
      </c>
      <c r="K8" s="856">
        <v>3</v>
      </c>
      <c r="L8" s="857">
        <v>0.25</v>
      </c>
      <c r="M8" s="857">
        <f t="shared" si="3"/>
        <v>0.75</v>
      </c>
      <c r="N8" s="857">
        <f t="shared" si="4"/>
        <v>0.39833333333333337</v>
      </c>
      <c r="O8" s="859">
        <f t="shared" si="5"/>
        <v>0.50140076001992195</v>
      </c>
      <c r="P8" s="859">
        <f t="shared" si="6"/>
        <v>98185.299628621156</v>
      </c>
    </row>
    <row r="9" spans="2:16">
      <c r="B9" s="2199">
        <v>7</v>
      </c>
      <c r="C9" s="856" t="s">
        <v>113</v>
      </c>
      <c r="D9" s="856" t="s">
        <v>3162</v>
      </c>
      <c r="E9" s="856" t="s">
        <v>3346</v>
      </c>
      <c r="F9" s="2200">
        <v>45278</v>
      </c>
      <c r="G9" s="2200">
        <f t="shared" si="0"/>
        <v>45323</v>
      </c>
      <c r="H9" s="2201">
        <f t="shared" si="1"/>
        <v>59</v>
      </c>
      <c r="I9" s="857">
        <v>202224</v>
      </c>
      <c r="J9" s="856">
        <f t="shared" si="2"/>
        <v>1.1950000000000001</v>
      </c>
      <c r="K9" s="856">
        <v>3</v>
      </c>
      <c r="L9" s="857">
        <v>0.25</v>
      </c>
      <c r="M9" s="857">
        <f t="shared" si="3"/>
        <v>0.75</v>
      </c>
      <c r="N9" s="857">
        <f t="shared" si="4"/>
        <v>0.39833333333333337</v>
      </c>
      <c r="O9" s="859">
        <f t="shared" si="5"/>
        <v>0.50140076001992195</v>
      </c>
      <c r="P9" s="859">
        <f t="shared" si="6"/>
        <v>101395.26729426869</v>
      </c>
    </row>
    <row r="10" spans="2:16">
      <c r="B10" s="2199">
        <v>8</v>
      </c>
      <c r="C10" s="856" t="s">
        <v>113</v>
      </c>
      <c r="D10" s="856" t="s">
        <v>3162</v>
      </c>
      <c r="E10" s="856" t="s">
        <v>3347</v>
      </c>
      <c r="F10" s="2200">
        <v>45278</v>
      </c>
      <c r="G10" s="2200">
        <f t="shared" si="0"/>
        <v>45323</v>
      </c>
      <c r="H10" s="2201">
        <f t="shared" si="1"/>
        <v>59</v>
      </c>
      <c r="I10" s="857">
        <v>168432</v>
      </c>
      <c r="J10" s="856">
        <f t="shared" si="2"/>
        <v>1.1950000000000001</v>
      </c>
      <c r="K10" s="856">
        <v>3</v>
      </c>
      <c r="L10" s="857">
        <v>0.25</v>
      </c>
      <c r="M10" s="857">
        <f t="shared" si="3"/>
        <v>0.75</v>
      </c>
      <c r="N10" s="857">
        <f t="shared" si="4"/>
        <v>0.39833333333333337</v>
      </c>
      <c r="O10" s="859">
        <f t="shared" si="5"/>
        <v>0.50140076001992195</v>
      </c>
      <c r="P10" s="859">
        <f t="shared" si="6"/>
        <v>84451.932811675491</v>
      </c>
    </row>
    <row r="11" spans="2:16">
      <c r="B11" s="2199">
        <v>9</v>
      </c>
      <c r="C11" s="856" t="s">
        <v>113</v>
      </c>
      <c r="D11" s="856" t="s">
        <v>3162</v>
      </c>
      <c r="E11" s="856" t="s">
        <v>3348</v>
      </c>
      <c r="F11" s="2200">
        <v>45281</v>
      </c>
      <c r="G11" s="2200">
        <f t="shared" si="0"/>
        <v>45326</v>
      </c>
      <c r="H11" s="2201">
        <f t="shared" si="1"/>
        <v>56</v>
      </c>
      <c r="I11" s="857">
        <v>171006</v>
      </c>
      <c r="J11" s="856">
        <f t="shared" si="2"/>
        <v>1.1950000000000001</v>
      </c>
      <c r="K11" s="856">
        <v>3</v>
      </c>
      <c r="L11" s="857">
        <v>0.25</v>
      </c>
      <c r="M11" s="857">
        <f t="shared" si="3"/>
        <v>0.75</v>
      </c>
      <c r="N11" s="857">
        <f t="shared" si="4"/>
        <v>0.39833333333333337</v>
      </c>
      <c r="O11" s="859">
        <f t="shared" si="5"/>
        <v>0.50140076001992195</v>
      </c>
      <c r="P11" s="859">
        <f t="shared" si="6"/>
        <v>85742.538367966772</v>
      </c>
    </row>
    <row r="12" spans="2:16">
      <c r="B12" s="2199">
        <v>10</v>
      </c>
      <c r="C12" s="856" t="s">
        <v>113</v>
      </c>
      <c r="D12" s="856" t="s">
        <v>3162</v>
      </c>
      <c r="E12" s="856" t="s">
        <v>3349</v>
      </c>
      <c r="F12" s="2200">
        <v>45281</v>
      </c>
      <c r="G12" s="2200">
        <f t="shared" si="0"/>
        <v>45326</v>
      </c>
      <c r="H12" s="2201">
        <f t="shared" si="1"/>
        <v>56</v>
      </c>
      <c r="I12" s="857">
        <v>160974</v>
      </c>
      <c r="J12" s="856">
        <f t="shared" si="2"/>
        <v>1.1950000000000001</v>
      </c>
      <c r="K12" s="856">
        <v>3</v>
      </c>
      <c r="L12" s="857">
        <v>0.25</v>
      </c>
      <c r="M12" s="857">
        <f t="shared" si="3"/>
        <v>0.75</v>
      </c>
      <c r="N12" s="857">
        <f t="shared" si="4"/>
        <v>0.39833333333333337</v>
      </c>
      <c r="O12" s="859">
        <f t="shared" si="5"/>
        <v>0.50140076001992195</v>
      </c>
      <c r="P12" s="859">
        <f t="shared" si="6"/>
        <v>80712.485943446911</v>
      </c>
    </row>
    <row r="13" spans="2:16">
      <c r="B13" s="2199">
        <v>11</v>
      </c>
      <c r="C13" s="856" t="s">
        <v>113</v>
      </c>
      <c r="D13" s="856" t="s">
        <v>3162</v>
      </c>
      <c r="E13" s="856" t="s">
        <v>3350</v>
      </c>
      <c r="F13" s="2200">
        <v>45283</v>
      </c>
      <c r="G13" s="2200">
        <f t="shared" si="0"/>
        <v>45328</v>
      </c>
      <c r="H13" s="2201">
        <f t="shared" si="1"/>
        <v>54</v>
      </c>
      <c r="I13" s="857">
        <v>192522</v>
      </c>
      <c r="J13" s="856">
        <f t="shared" si="2"/>
        <v>1.1950000000000001</v>
      </c>
      <c r="K13" s="856">
        <v>3</v>
      </c>
      <c r="L13" s="857">
        <v>0.25</v>
      </c>
      <c r="M13" s="857">
        <f t="shared" si="3"/>
        <v>0.75</v>
      </c>
      <c r="N13" s="857">
        <f t="shared" si="4"/>
        <v>0.39833333333333337</v>
      </c>
      <c r="O13" s="859">
        <f t="shared" si="5"/>
        <v>0.50140076001992195</v>
      </c>
      <c r="P13" s="859">
        <f t="shared" si="6"/>
        <v>96530.677120555411</v>
      </c>
    </row>
    <row r="14" spans="2:16">
      <c r="B14" s="2199">
        <v>12</v>
      </c>
      <c r="C14" s="856" t="s">
        <v>113</v>
      </c>
      <c r="D14" s="856" t="s">
        <v>3162</v>
      </c>
      <c r="E14" s="856" t="s">
        <v>3351</v>
      </c>
      <c r="F14" s="2200">
        <v>45284</v>
      </c>
      <c r="G14" s="2200">
        <f t="shared" si="0"/>
        <v>45329</v>
      </c>
      <c r="H14" s="2201">
        <f t="shared" si="1"/>
        <v>53</v>
      </c>
      <c r="I14" s="857">
        <v>168168</v>
      </c>
      <c r="J14" s="856">
        <f t="shared" si="2"/>
        <v>1.1950000000000001</v>
      </c>
      <c r="K14" s="856">
        <v>3</v>
      </c>
      <c r="L14" s="857">
        <v>0.25</v>
      </c>
      <c r="M14" s="857">
        <f t="shared" si="3"/>
        <v>0.75</v>
      </c>
      <c r="N14" s="857">
        <f t="shared" si="4"/>
        <v>0.39833333333333337</v>
      </c>
      <c r="O14" s="859">
        <f t="shared" si="5"/>
        <v>0.50140076001992195</v>
      </c>
      <c r="P14" s="859">
        <f t="shared" si="6"/>
        <v>84319.56301103023</v>
      </c>
    </row>
    <row r="15" spans="2:16">
      <c r="B15" s="2199">
        <v>13</v>
      </c>
      <c r="C15" s="856" t="s">
        <v>113</v>
      </c>
      <c r="D15" s="856" t="s">
        <v>3162</v>
      </c>
      <c r="E15" s="856" t="s">
        <v>3352</v>
      </c>
      <c r="F15" s="2200">
        <v>45285</v>
      </c>
      <c r="G15" s="2200">
        <f t="shared" si="0"/>
        <v>45330</v>
      </c>
      <c r="H15" s="2201">
        <f t="shared" si="1"/>
        <v>52</v>
      </c>
      <c r="I15" s="857">
        <v>163746</v>
      </c>
      <c r="J15" s="856">
        <f t="shared" si="2"/>
        <v>1.1950000000000001</v>
      </c>
      <c r="K15" s="856">
        <v>3</v>
      </c>
      <c r="L15" s="857">
        <v>0.25</v>
      </c>
      <c r="M15" s="857">
        <f t="shared" si="3"/>
        <v>0.75</v>
      </c>
      <c r="N15" s="857">
        <f t="shared" si="4"/>
        <v>0.39833333333333337</v>
      </c>
      <c r="O15" s="859">
        <f t="shared" si="5"/>
        <v>0.50140076001992195</v>
      </c>
      <c r="P15" s="859">
        <f t="shared" si="6"/>
        <v>82102.368850222134</v>
      </c>
    </row>
    <row r="16" spans="2:16">
      <c r="B16" s="2199">
        <v>14</v>
      </c>
      <c r="C16" s="856" t="s">
        <v>113</v>
      </c>
      <c r="D16" s="856" t="s">
        <v>3162</v>
      </c>
      <c r="E16" s="856" t="s">
        <v>3353</v>
      </c>
      <c r="F16" s="2200">
        <v>45286</v>
      </c>
      <c r="G16" s="2200">
        <f t="shared" si="0"/>
        <v>45331</v>
      </c>
      <c r="H16" s="2201">
        <f t="shared" si="1"/>
        <v>51</v>
      </c>
      <c r="I16" s="857">
        <v>198924</v>
      </c>
      <c r="J16" s="856">
        <f t="shared" si="2"/>
        <v>1.1950000000000001</v>
      </c>
      <c r="K16" s="856">
        <v>3</v>
      </c>
      <c r="L16" s="857">
        <v>0.25</v>
      </c>
      <c r="M16" s="857">
        <f t="shared" si="3"/>
        <v>0.75</v>
      </c>
      <c r="N16" s="857">
        <f t="shared" si="4"/>
        <v>0.39833333333333337</v>
      </c>
      <c r="O16" s="859">
        <f t="shared" si="5"/>
        <v>0.50140076001992195</v>
      </c>
      <c r="P16" s="859">
        <f t="shared" si="6"/>
        <v>99740.64478620296</v>
      </c>
    </row>
    <row r="17" spans="2:16">
      <c r="B17" s="2199">
        <v>15</v>
      </c>
      <c r="C17" s="856" t="s">
        <v>113</v>
      </c>
      <c r="D17" s="856" t="s">
        <v>3162</v>
      </c>
      <c r="E17" s="856" t="s">
        <v>3354</v>
      </c>
      <c r="F17" s="2200">
        <v>45288</v>
      </c>
      <c r="G17" s="2200">
        <f t="shared" si="0"/>
        <v>45333</v>
      </c>
      <c r="H17" s="2201">
        <f t="shared" si="1"/>
        <v>49</v>
      </c>
      <c r="I17" s="857">
        <v>191862</v>
      </c>
      <c r="J17" s="856">
        <f t="shared" si="2"/>
        <v>1.1950000000000001</v>
      </c>
      <c r="K17" s="856">
        <v>3</v>
      </c>
      <c r="L17" s="857">
        <v>0.25</v>
      </c>
      <c r="M17" s="857">
        <f t="shared" si="3"/>
        <v>0.75</v>
      </c>
      <c r="N17" s="857">
        <f t="shared" si="4"/>
        <v>0.39833333333333337</v>
      </c>
      <c r="O17" s="859">
        <f t="shared" si="5"/>
        <v>0.50140076001992195</v>
      </c>
      <c r="P17" s="859">
        <f t="shared" si="6"/>
        <v>96199.752618942264</v>
      </c>
    </row>
    <row r="18" spans="2:16">
      <c r="B18" s="2199">
        <v>16</v>
      </c>
      <c r="C18" s="856" t="s">
        <v>113</v>
      </c>
      <c r="D18" s="856" t="s">
        <v>3162</v>
      </c>
      <c r="E18" s="856" t="s">
        <v>3355</v>
      </c>
      <c r="F18" s="2200">
        <v>45288</v>
      </c>
      <c r="G18" s="2200">
        <f t="shared" si="0"/>
        <v>45333</v>
      </c>
      <c r="H18" s="2201">
        <f t="shared" si="1"/>
        <v>49</v>
      </c>
      <c r="I18" s="857">
        <v>198198</v>
      </c>
      <c r="J18" s="856">
        <f t="shared" si="2"/>
        <v>1.1950000000000001</v>
      </c>
      <c r="K18" s="856">
        <v>3</v>
      </c>
      <c r="L18" s="857">
        <v>0.25</v>
      </c>
      <c r="M18" s="857">
        <f t="shared" si="3"/>
        <v>0.75</v>
      </c>
      <c r="N18" s="857">
        <f t="shared" si="4"/>
        <v>0.39833333333333337</v>
      </c>
      <c r="O18" s="859">
        <f t="shared" si="5"/>
        <v>0.50140076001992195</v>
      </c>
      <c r="P18" s="859">
        <f t="shared" si="6"/>
        <v>99376.627834428495</v>
      </c>
    </row>
    <row r="19" spans="2:16">
      <c r="B19" s="2199">
        <v>17</v>
      </c>
      <c r="C19" s="856" t="s">
        <v>113</v>
      </c>
      <c r="D19" s="856" t="s">
        <v>3162</v>
      </c>
      <c r="E19" s="856" t="s">
        <v>3356</v>
      </c>
      <c r="F19" s="2200">
        <v>45289</v>
      </c>
      <c r="G19" s="2200">
        <f t="shared" si="0"/>
        <v>45334</v>
      </c>
      <c r="H19" s="2201">
        <f t="shared" si="1"/>
        <v>48</v>
      </c>
      <c r="I19" s="857">
        <v>199254</v>
      </c>
      <c r="J19" s="856">
        <f t="shared" si="2"/>
        <v>1.1950000000000001</v>
      </c>
      <c r="K19" s="856">
        <v>3</v>
      </c>
      <c r="L19" s="857">
        <v>0.25</v>
      </c>
      <c r="M19" s="857">
        <f t="shared" si="3"/>
        <v>0.75</v>
      </c>
      <c r="N19" s="857">
        <f t="shared" si="4"/>
        <v>0.39833333333333337</v>
      </c>
      <c r="O19" s="859">
        <f t="shared" si="5"/>
        <v>0.50140076001992195</v>
      </c>
      <c r="P19" s="859">
        <f t="shared" si="6"/>
        <v>99906.107037009526</v>
      </c>
    </row>
    <row r="20" spans="2:16">
      <c r="B20" s="2199">
        <v>18</v>
      </c>
      <c r="C20" s="856" t="s">
        <v>113</v>
      </c>
      <c r="D20" s="856" t="s">
        <v>3162</v>
      </c>
      <c r="E20" s="856" t="s">
        <v>3357</v>
      </c>
      <c r="F20" s="2200">
        <v>45289</v>
      </c>
      <c r="G20" s="2200">
        <f t="shared" si="0"/>
        <v>45334</v>
      </c>
      <c r="H20" s="2201">
        <f t="shared" si="1"/>
        <v>48</v>
      </c>
      <c r="I20" s="857">
        <v>194304</v>
      </c>
      <c r="J20" s="856">
        <f t="shared" si="2"/>
        <v>1.1950000000000001</v>
      </c>
      <c r="K20" s="856">
        <v>3</v>
      </c>
      <c r="L20" s="857">
        <v>0.25</v>
      </c>
      <c r="M20" s="857">
        <f t="shared" si="3"/>
        <v>0.75</v>
      </c>
      <c r="N20" s="857">
        <f t="shared" si="4"/>
        <v>0.39833333333333337</v>
      </c>
      <c r="O20" s="859">
        <f t="shared" si="5"/>
        <v>0.50140076001992195</v>
      </c>
      <c r="P20" s="859">
        <f t="shared" si="6"/>
        <v>97424.173274910921</v>
      </c>
    </row>
    <row r="21" spans="2:16">
      <c r="B21" s="2199">
        <v>19</v>
      </c>
      <c r="C21" s="856" t="s">
        <v>113</v>
      </c>
      <c r="D21" s="856" t="s">
        <v>3162</v>
      </c>
      <c r="E21" s="856" t="s">
        <v>3358</v>
      </c>
      <c r="F21" s="2200">
        <v>45290</v>
      </c>
      <c r="G21" s="2200">
        <f t="shared" si="0"/>
        <v>45335</v>
      </c>
      <c r="H21" s="2201">
        <f t="shared" si="1"/>
        <v>47</v>
      </c>
      <c r="I21" s="857">
        <v>169290</v>
      </c>
      <c r="J21" s="856">
        <f t="shared" si="2"/>
        <v>1.1950000000000001</v>
      </c>
      <c r="K21" s="856">
        <v>3</v>
      </c>
      <c r="L21" s="857">
        <v>0.25</v>
      </c>
      <c r="M21" s="857">
        <f t="shared" si="3"/>
        <v>0.75</v>
      </c>
      <c r="N21" s="857">
        <f t="shared" si="4"/>
        <v>0.39833333333333337</v>
      </c>
      <c r="O21" s="859">
        <f t="shared" si="5"/>
        <v>0.50140076001992195</v>
      </c>
      <c r="P21" s="859">
        <f t="shared" si="6"/>
        <v>84882.134663772595</v>
      </c>
    </row>
    <row r="22" spans="2:16">
      <c r="B22" s="2199">
        <v>20</v>
      </c>
      <c r="C22" s="856" t="s">
        <v>113</v>
      </c>
      <c r="D22" s="856" t="s">
        <v>3162</v>
      </c>
      <c r="E22" s="856" t="s">
        <v>3359</v>
      </c>
      <c r="F22" s="2200">
        <v>45290</v>
      </c>
      <c r="G22" s="2200">
        <f t="shared" si="0"/>
        <v>45335</v>
      </c>
      <c r="H22" s="2201">
        <f t="shared" si="1"/>
        <v>47</v>
      </c>
      <c r="I22" s="857">
        <v>164670</v>
      </c>
      <c r="J22" s="856">
        <f t="shared" si="2"/>
        <v>1.1950000000000001</v>
      </c>
      <c r="K22" s="856">
        <v>3</v>
      </c>
      <c r="L22" s="857">
        <v>0.25</v>
      </c>
      <c r="M22" s="857">
        <f t="shared" si="3"/>
        <v>0.75</v>
      </c>
      <c r="N22" s="857">
        <f t="shared" si="4"/>
        <v>0.39833333333333337</v>
      </c>
      <c r="O22" s="859">
        <f t="shared" si="5"/>
        <v>0.50140076001992195</v>
      </c>
      <c r="P22" s="859">
        <f t="shared" si="6"/>
        <v>82565.663152480542</v>
      </c>
    </row>
    <row r="23" spans="2:16">
      <c r="B23" s="2199">
        <v>21</v>
      </c>
      <c r="C23" s="856" t="s">
        <v>113</v>
      </c>
      <c r="D23" s="856" t="s">
        <v>3162</v>
      </c>
      <c r="E23" s="856" t="s">
        <v>3360</v>
      </c>
      <c r="F23" s="2200">
        <v>45291</v>
      </c>
      <c r="G23" s="2200">
        <f t="shared" si="0"/>
        <v>45336</v>
      </c>
      <c r="H23" s="2201">
        <f t="shared" si="1"/>
        <v>46</v>
      </c>
      <c r="I23" s="857">
        <v>161964</v>
      </c>
      <c r="J23" s="856">
        <f t="shared" si="2"/>
        <v>1.1950000000000001</v>
      </c>
      <c r="K23" s="856">
        <v>3</v>
      </c>
      <c r="L23" s="857">
        <v>0.25</v>
      </c>
      <c r="M23" s="857">
        <f t="shared" si="3"/>
        <v>0.75</v>
      </c>
      <c r="N23" s="857">
        <f t="shared" si="4"/>
        <v>0.39833333333333337</v>
      </c>
      <c r="O23" s="859">
        <f t="shared" si="5"/>
        <v>0.50140076001992195</v>
      </c>
      <c r="P23" s="859">
        <f t="shared" si="6"/>
        <v>81208.872695866638</v>
      </c>
    </row>
    <row r="24" spans="2:16">
      <c r="B24" s="2199">
        <v>22</v>
      </c>
      <c r="C24" s="856" t="s">
        <v>113</v>
      </c>
      <c r="D24" s="856" t="s">
        <v>3162</v>
      </c>
      <c r="E24" s="856" t="s">
        <v>3361</v>
      </c>
      <c r="F24" s="2200">
        <v>45291</v>
      </c>
      <c r="G24" s="2200">
        <f t="shared" si="0"/>
        <v>45336</v>
      </c>
      <c r="H24" s="2201">
        <f t="shared" si="1"/>
        <v>46</v>
      </c>
      <c r="I24" s="857">
        <v>193974</v>
      </c>
      <c r="J24" s="856">
        <f t="shared" si="2"/>
        <v>1.1950000000000001</v>
      </c>
      <c r="K24" s="856">
        <v>3</v>
      </c>
      <c r="L24" s="857">
        <v>0.25</v>
      </c>
      <c r="M24" s="857">
        <f t="shared" si="3"/>
        <v>0.75</v>
      </c>
      <c r="N24" s="857">
        <f t="shared" si="4"/>
        <v>0.39833333333333337</v>
      </c>
      <c r="O24" s="859">
        <f t="shared" si="5"/>
        <v>0.50140076001992195</v>
      </c>
      <c r="P24" s="859">
        <f t="shared" si="6"/>
        <v>97258.711024104341</v>
      </c>
    </row>
    <row r="25" spans="2:16">
      <c r="B25" s="2199">
        <v>23</v>
      </c>
      <c r="C25" s="856" t="s">
        <v>113</v>
      </c>
      <c r="D25" s="856" t="s">
        <v>3162</v>
      </c>
      <c r="E25" s="856" t="s">
        <v>3362</v>
      </c>
      <c r="F25" s="2200">
        <v>45291</v>
      </c>
      <c r="G25" s="2200">
        <f t="shared" si="0"/>
        <v>45336</v>
      </c>
      <c r="H25" s="2201">
        <f t="shared" si="1"/>
        <v>46</v>
      </c>
      <c r="I25" s="857">
        <v>167970</v>
      </c>
      <c r="J25" s="856">
        <f t="shared" si="2"/>
        <v>1.1950000000000001</v>
      </c>
      <c r="K25" s="856">
        <v>3</v>
      </c>
      <c r="L25" s="857">
        <v>0.25</v>
      </c>
      <c r="M25" s="857">
        <f t="shared" si="3"/>
        <v>0.75</v>
      </c>
      <c r="N25" s="857">
        <f t="shared" si="4"/>
        <v>0.39833333333333337</v>
      </c>
      <c r="O25" s="859">
        <f t="shared" si="5"/>
        <v>0.50140076001992195</v>
      </c>
      <c r="P25" s="859">
        <f t="shared" si="6"/>
        <v>84220.285660546288</v>
      </c>
    </row>
    <row r="26" spans="2:16">
      <c r="B26" s="2199">
        <v>24</v>
      </c>
      <c r="C26" s="856" t="s">
        <v>511</v>
      </c>
      <c r="D26" s="856" t="s">
        <v>3162</v>
      </c>
      <c r="E26" s="856" t="s">
        <v>3491</v>
      </c>
      <c r="F26" s="2200">
        <v>45230</v>
      </c>
      <c r="G26" s="2200">
        <f t="shared" si="0"/>
        <v>45275</v>
      </c>
      <c r="H26" s="2201">
        <f t="shared" si="1"/>
        <v>107</v>
      </c>
      <c r="I26" s="857">
        <v>3</v>
      </c>
      <c r="J26" s="856">
        <f t="shared" si="2"/>
        <v>1.1950000000000001</v>
      </c>
      <c r="K26" s="856">
        <v>5</v>
      </c>
      <c r="L26" s="857">
        <v>0.41666666666666669</v>
      </c>
      <c r="M26" s="857">
        <f t="shared" si="3"/>
        <v>2.0833333333333335</v>
      </c>
      <c r="N26" s="857">
        <f t="shared" si="4"/>
        <v>0.23900000000000002</v>
      </c>
      <c r="O26" s="859">
        <f t="shared" si="5"/>
        <v>5.0698560327837851E-2</v>
      </c>
      <c r="P26" s="859">
        <f t="shared" si="6"/>
        <v>0.15209568098351356</v>
      </c>
    </row>
    <row r="27" spans="2:16">
      <c r="B27" s="2199">
        <v>25</v>
      </c>
      <c r="C27" s="856" t="s">
        <v>19</v>
      </c>
      <c r="D27" s="856" t="s">
        <v>3162</v>
      </c>
      <c r="E27" s="856" t="s">
        <v>3761</v>
      </c>
      <c r="F27" s="2200">
        <v>45269</v>
      </c>
      <c r="G27" s="2200">
        <f t="shared" si="0"/>
        <v>45314</v>
      </c>
      <c r="H27" s="2201">
        <f t="shared" si="1"/>
        <v>68</v>
      </c>
      <c r="I27" s="857">
        <v>1241957</v>
      </c>
      <c r="J27" s="856">
        <f t="shared" si="2"/>
        <v>1.1950000000000001</v>
      </c>
      <c r="K27" s="856">
        <v>4</v>
      </c>
      <c r="L27" s="857">
        <v>0.33333333333333331</v>
      </c>
      <c r="M27" s="857">
        <f t="shared" si="3"/>
        <v>1.3333333333333333</v>
      </c>
      <c r="N27" s="857">
        <f t="shared" si="4"/>
        <v>0.29875000000000002</v>
      </c>
      <c r="O27" s="859">
        <f t="shared" si="5"/>
        <v>0.19971493896649767</v>
      </c>
      <c r="P27" s="859">
        <f t="shared" si="6"/>
        <v>248037.36645401455</v>
      </c>
    </row>
    <row r="28" spans="2:16">
      <c r="B28" s="2199">
        <v>26</v>
      </c>
      <c r="C28" s="856" t="s">
        <v>301</v>
      </c>
      <c r="D28" s="856" t="s">
        <v>3162</v>
      </c>
      <c r="E28" s="856" t="s">
        <v>3772</v>
      </c>
      <c r="F28" s="2200">
        <v>45234</v>
      </c>
      <c r="G28" s="2200">
        <f t="shared" si="0"/>
        <v>45279</v>
      </c>
      <c r="H28" s="2201">
        <f t="shared" si="1"/>
        <v>103</v>
      </c>
      <c r="I28" s="857">
        <v>104643</v>
      </c>
      <c r="J28" s="856">
        <f t="shared" si="2"/>
        <v>1.1950000000000001</v>
      </c>
      <c r="K28" s="856">
        <v>5</v>
      </c>
      <c r="L28" s="857">
        <v>0.41666666666666669</v>
      </c>
      <c r="M28" s="857">
        <f t="shared" si="3"/>
        <v>2.0833333333333335</v>
      </c>
      <c r="N28" s="857">
        <f t="shared" si="4"/>
        <v>0.23900000000000002</v>
      </c>
      <c r="O28" s="859">
        <f t="shared" si="5"/>
        <v>5.0698560327837851E-2</v>
      </c>
      <c r="P28" s="859">
        <f t="shared" si="6"/>
        <v>5305.2494483859364</v>
      </c>
    </row>
    <row r="29" spans="2:16">
      <c r="B29" s="2199">
        <v>27</v>
      </c>
      <c r="C29" s="856" t="s">
        <v>301</v>
      </c>
      <c r="D29" s="856" t="s">
        <v>3162</v>
      </c>
      <c r="E29" s="856" t="s">
        <v>3772</v>
      </c>
      <c r="F29" s="2200">
        <v>45236</v>
      </c>
      <c r="G29" s="2200">
        <f t="shared" si="0"/>
        <v>45281</v>
      </c>
      <c r="H29" s="2201">
        <f t="shared" si="1"/>
        <v>101</v>
      </c>
      <c r="I29" s="857">
        <v>87</v>
      </c>
      <c r="J29" s="856">
        <f t="shared" si="2"/>
        <v>1.1950000000000001</v>
      </c>
      <c r="K29" s="856">
        <v>5</v>
      </c>
      <c r="L29" s="857">
        <v>0.41666666666666669</v>
      </c>
      <c r="M29" s="857">
        <f t="shared" si="3"/>
        <v>2.0833333333333335</v>
      </c>
      <c r="N29" s="857">
        <f t="shared" si="4"/>
        <v>0.23900000000000002</v>
      </c>
      <c r="O29" s="859">
        <f t="shared" si="5"/>
        <v>5.0698560327837851E-2</v>
      </c>
      <c r="P29" s="859">
        <f t="shared" si="6"/>
        <v>4.4107747485218933</v>
      </c>
    </row>
    <row r="30" spans="2:16">
      <c r="B30" s="2199">
        <v>28</v>
      </c>
      <c r="C30" s="856" t="s">
        <v>301</v>
      </c>
      <c r="D30" s="856" t="s">
        <v>3162</v>
      </c>
      <c r="E30" s="856" t="s">
        <v>3774</v>
      </c>
      <c r="F30" s="2200">
        <v>45238</v>
      </c>
      <c r="G30" s="2200">
        <f t="shared" si="0"/>
        <v>45283</v>
      </c>
      <c r="H30" s="2201">
        <f t="shared" si="1"/>
        <v>99</v>
      </c>
      <c r="I30" s="857">
        <v>95288</v>
      </c>
      <c r="J30" s="856">
        <f t="shared" si="2"/>
        <v>1.1950000000000001</v>
      </c>
      <c r="K30" s="856">
        <v>5</v>
      </c>
      <c r="L30" s="857">
        <v>0.41666666666666669</v>
      </c>
      <c r="M30" s="857">
        <f t="shared" si="3"/>
        <v>2.0833333333333335</v>
      </c>
      <c r="N30" s="857">
        <f t="shared" si="4"/>
        <v>0.23900000000000002</v>
      </c>
      <c r="O30" s="859">
        <f t="shared" si="5"/>
        <v>5.0698560327837851E-2</v>
      </c>
      <c r="P30" s="859">
        <f t="shared" si="6"/>
        <v>4830.964416519013</v>
      </c>
    </row>
    <row r="31" spans="2:16">
      <c r="B31" s="2199">
        <v>29</v>
      </c>
      <c r="C31" s="856" t="s">
        <v>301</v>
      </c>
      <c r="D31" s="856" t="s">
        <v>3162</v>
      </c>
      <c r="E31" s="856" t="s">
        <v>3774</v>
      </c>
      <c r="F31" s="2200">
        <v>45238</v>
      </c>
      <c r="G31" s="2200">
        <f t="shared" si="0"/>
        <v>45283</v>
      </c>
      <c r="H31" s="2201">
        <f t="shared" si="1"/>
        <v>99</v>
      </c>
      <c r="I31" s="857">
        <v>346</v>
      </c>
      <c r="J31" s="856">
        <f t="shared" si="2"/>
        <v>1.1950000000000001</v>
      </c>
      <c r="K31" s="856">
        <v>5</v>
      </c>
      <c r="L31" s="857">
        <v>0.41666666666666669</v>
      </c>
      <c r="M31" s="857">
        <f t="shared" si="3"/>
        <v>2.0833333333333335</v>
      </c>
      <c r="N31" s="857">
        <f t="shared" si="4"/>
        <v>0.23900000000000002</v>
      </c>
      <c r="O31" s="859">
        <f t="shared" si="5"/>
        <v>5.0698560327837851E-2</v>
      </c>
      <c r="P31" s="859">
        <f t="shared" si="6"/>
        <v>17.541701873431897</v>
      </c>
    </row>
    <row r="32" spans="2:16">
      <c r="B32" s="2199">
        <v>30</v>
      </c>
      <c r="C32" s="856" t="s">
        <v>301</v>
      </c>
      <c r="D32" s="856" t="s">
        <v>3162</v>
      </c>
      <c r="E32" s="856" t="s">
        <v>3775</v>
      </c>
      <c r="F32" s="2200">
        <v>45239</v>
      </c>
      <c r="G32" s="2200">
        <f t="shared" si="0"/>
        <v>45284</v>
      </c>
      <c r="H32" s="2201">
        <f t="shared" si="1"/>
        <v>98</v>
      </c>
      <c r="I32" s="857">
        <v>86972</v>
      </c>
      <c r="J32" s="856">
        <f t="shared" si="2"/>
        <v>1.1950000000000001</v>
      </c>
      <c r="K32" s="856">
        <v>5</v>
      </c>
      <c r="L32" s="857">
        <v>0.41666666666666669</v>
      </c>
      <c r="M32" s="857">
        <f t="shared" si="3"/>
        <v>2.0833333333333335</v>
      </c>
      <c r="N32" s="857">
        <f t="shared" si="4"/>
        <v>0.23900000000000002</v>
      </c>
      <c r="O32" s="859">
        <f t="shared" si="5"/>
        <v>5.0698560327837851E-2</v>
      </c>
      <c r="P32" s="859">
        <f t="shared" si="6"/>
        <v>4409.3551888327138</v>
      </c>
    </row>
    <row r="33" spans="2:16">
      <c r="B33" s="2199">
        <v>31</v>
      </c>
      <c r="C33" s="856" t="s">
        <v>301</v>
      </c>
      <c r="D33" s="856" t="s">
        <v>3162</v>
      </c>
      <c r="E33" s="856" t="s">
        <v>3775</v>
      </c>
      <c r="F33" s="2200">
        <v>45239</v>
      </c>
      <c r="G33" s="2200">
        <f t="shared" si="0"/>
        <v>45284</v>
      </c>
      <c r="H33" s="2201">
        <f t="shared" si="1"/>
        <v>98</v>
      </c>
      <c r="I33" s="857">
        <v>260</v>
      </c>
      <c r="J33" s="856">
        <f t="shared" si="2"/>
        <v>1.1950000000000001</v>
      </c>
      <c r="K33" s="856">
        <v>5</v>
      </c>
      <c r="L33" s="857">
        <v>0.41666666666666669</v>
      </c>
      <c r="M33" s="857">
        <f t="shared" si="3"/>
        <v>2.0833333333333335</v>
      </c>
      <c r="N33" s="857">
        <f t="shared" si="4"/>
        <v>0.23900000000000002</v>
      </c>
      <c r="O33" s="859">
        <f t="shared" si="5"/>
        <v>5.0698560327837851E-2</v>
      </c>
      <c r="P33" s="859">
        <f t="shared" si="6"/>
        <v>13.181625685237842</v>
      </c>
    </row>
    <row r="34" spans="2:16">
      <c r="B34" s="2199">
        <v>32</v>
      </c>
      <c r="C34" s="856" t="s">
        <v>301</v>
      </c>
      <c r="D34" s="856" t="s">
        <v>3162</v>
      </c>
      <c r="E34" s="856" t="s">
        <v>3776</v>
      </c>
      <c r="F34" s="2200">
        <v>45247</v>
      </c>
      <c r="G34" s="2200">
        <f t="shared" si="0"/>
        <v>45292</v>
      </c>
      <c r="H34" s="2201">
        <f t="shared" si="1"/>
        <v>90</v>
      </c>
      <c r="I34" s="857">
        <v>102044</v>
      </c>
      <c r="J34" s="856">
        <f t="shared" si="2"/>
        <v>1.1950000000000001</v>
      </c>
      <c r="K34" s="856">
        <v>4</v>
      </c>
      <c r="L34" s="857">
        <v>0.33333333333333331</v>
      </c>
      <c r="M34" s="857">
        <f t="shared" si="3"/>
        <v>1.3333333333333333</v>
      </c>
      <c r="N34" s="857">
        <f t="shared" si="4"/>
        <v>0.29875000000000002</v>
      </c>
      <c r="O34" s="859">
        <f t="shared" si="5"/>
        <v>0.19971493896649767</v>
      </c>
      <c r="P34" s="859">
        <f t="shared" si="6"/>
        <v>20379.711231897287</v>
      </c>
    </row>
    <row r="35" spans="2:16">
      <c r="B35" s="2199">
        <v>33</v>
      </c>
      <c r="C35" s="856" t="s">
        <v>301</v>
      </c>
      <c r="D35" s="856" t="s">
        <v>3162</v>
      </c>
      <c r="E35" s="856" t="s">
        <v>3777</v>
      </c>
      <c r="F35" s="2200">
        <v>45253</v>
      </c>
      <c r="G35" s="2200">
        <f t="shared" si="0"/>
        <v>45298</v>
      </c>
      <c r="H35" s="2201">
        <f t="shared" si="1"/>
        <v>84</v>
      </c>
      <c r="I35" s="857">
        <v>69993</v>
      </c>
      <c r="J35" s="856">
        <f t="shared" si="2"/>
        <v>1.1950000000000001</v>
      </c>
      <c r="K35" s="856">
        <v>4</v>
      </c>
      <c r="L35" s="857">
        <v>0.33333333333333331</v>
      </c>
      <c r="M35" s="857">
        <f t="shared" si="3"/>
        <v>1.3333333333333333</v>
      </c>
      <c r="N35" s="857">
        <f t="shared" si="4"/>
        <v>0.29875000000000002</v>
      </c>
      <c r="O35" s="859">
        <f t="shared" si="5"/>
        <v>0.19971493896649767</v>
      </c>
      <c r="P35" s="859">
        <f t="shared" si="6"/>
        <v>13978.647723082071</v>
      </c>
    </row>
    <row r="36" spans="2:16">
      <c r="B36" s="2199">
        <v>34</v>
      </c>
      <c r="C36" s="856" t="s">
        <v>301</v>
      </c>
      <c r="D36" s="856" t="s">
        <v>3162</v>
      </c>
      <c r="E36" s="856" t="s">
        <v>3778</v>
      </c>
      <c r="F36" s="2200">
        <v>45254</v>
      </c>
      <c r="G36" s="2200">
        <f t="shared" si="0"/>
        <v>45299</v>
      </c>
      <c r="H36" s="2201">
        <f t="shared" si="1"/>
        <v>83</v>
      </c>
      <c r="I36" s="857">
        <v>606</v>
      </c>
      <c r="J36" s="856">
        <f t="shared" si="2"/>
        <v>1.1950000000000001</v>
      </c>
      <c r="K36" s="856">
        <v>4</v>
      </c>
      <c r="L36" s="857">
        <v>0.33333333333333331</v>
      </c>
      <c r="M36" s="857">
        <f t="shared" si="3"/>
        <v>1.3333333333333333</v>
      </c>
      <c r="N36" s="857">
        <f t="shared" si="4"/>
        <v>0.29875000000000002</v>
      </c>
      <c r="O36" s="859">
        <f t="shared" si="5"/>
        <v>0.19971493896649767</v>
      </c>
      <c r="P36" s="859">
        <f t="shared" si="6"/>
        <v>121.02725301369759</v>
      </c>
    </row>
    <row r="37" spans="2:16">
      <c r="B37" s="2199">
        <v>35</v>
      </c>
      <c r="C37" s="856" t="s">
        <v>301</v>
      </c>
      <c r="D37" s="856" t="s">
        <v>3162</v>
      </c>
      <c r="E37" s="856" t="s">
        <v>3779</v>
      </c>
      <c r="F37" s="2200">
        <v>45255</v>
      </c>
      <c r="G37" s="2200">
        <f t="shared" si="0"/>
        <v>45300</v>
      </c>
      <c r="H37" s="2201">
        <f t="shared" si="1"/>
        <v>82</v>
      </c>
      <c r="I37" s="857">
        <v>161816</v>
      </c>
      <c r="J37" s="856">
        <f t="shared" si="2"/>
        <v>1.1950000000000001</v>
      </c>
      <c r="K37" s="856">
        <v>4</v>
      </c>
      <c r="L37" s="857">
        <v>0.33333333333333331</v>
      </c>
      <c r="M37" s="857">
        <f t="shared" si="3"/>
        <v>1.3333333333333333</v>
      </c>
      <c r="N37" s="857">
        <f t="shared" si="4"/>
        <v>0.29875000000000002</v>
      </c>
      <c r="O37" s="859">
        <f t="shared" si="5"/>
        <v>0.19971493896649767</v>
      </c>
      <c r="P37" s="859">
        <f t="shared" si="6"/>
        <v>32317.072563802787</v>
      </c>
    </row>
    <row r="38" spans="2:16">
      <c r="B38" s="2199">
        <v>36</v>
      </c>
      <c r="C38" s="856" t="s">
        <v>301</v>
      </c>
      <c r="D38" s="856" t="s">
        <v>3162</v>
      </c>
      <c r="E38" s="856" t="s">
        <v>3778</v>
      </c>
      <c r="F38" s="2200">
        <v>45255</v>
      </c>
      <c r="G38" s="2200">
        <f t="shared" si="0"/>
        <v>45300</v>
      </c>
      <c r="H38" s="2201">
        <f t="shared" si="1"/>
        <v>82</v>
      </c>
      <c r="I38" s="857">
        <v>147782</v>
      </c>
      <c r="J38" s="856">
        <f t="shared" si="2"/>
        <v>1.1950000000000001</v>
      </c>
      <c r="K38" s="856">
        <v>4</v>
      </c>
      <c r="L38" s="857">
        <v>0.33333333333333331</v>
      </c>
      <c r="M38" s="857">
        <f t="shared" si="3"/>
        <v>1.3333333333333333</v>
      </c>
      <c r="N38" s="857">
        <f t="shared" si="4"/>
        <v>0.29875000000000002</v>
      </c>
      <c r="O38" s="859">
        <f t="shared" si="5"/>
        <v>0.19971493896649767</v>
      </c>
      <c r="P38" s="859">
        <f t="shared" si="6"/>
        <v>29514.27311034696</v>
      </c>
    </row>
    <row r="39" spans="2:16">
      <c r="B39" s="2199">
        <v>37</v>
      </c>
      <c r="C39" s="856" t="s">
        <v>301</v>
      </c>
      <c r="D39" s="856" t="s">
        <v>3162</v>
      </c>
      <c r="E39" s="856" t="s">
        <v>3781</v>
      </c>
      <c r="F39" s="2200">
        <v>45267</v>
      </c>
      <c r="G39" s="2200">
        <f t="shared" si="0"/>
        <v>45312</v>
      </c>
      <c r="H39" s="2201">
        <f t="shared" si="1"/>
        <v>70</v>
      </c>
      <c r="I39" s="857">
        <v>110707</v>
      </c>
      <c r="J39" s="856">
        <f t="shared" si="2"/>
        <v>1.1950000000000001</v>
      </c>
      <c r="K39" s="856">
        <v>4</v>
      </c>
      <c r="L39" s="857">
        <v>0.33333333333333331</v>
      </c>
      <c r="M39" s="857">
        <f t="shared" si="3"/>
        <v>1.3333333333333333</v>
      </c>
      <c r="N39" s="857">
        <f t="shared" si="4"/>
        <v>0.29875000000000002</v>
      </c>
      <c r="O39" s="859">
        <f t="shared" si="5"/>
        <v>0.19971493896649767</v>
      </c>
      <c r="P39" s="859">
        <f t="shared" si="6"/>
        <v>22109.841748164057</v>
      </c>
    </row>
    <row r="40" spans="2:16">
      <c r="B40" s="2199">
        <v>38</v>
      </c>
      <c r="C40" s="856" t="s">
        <v>301</v>
      </c>
      <c r="D40" s="856" t="s">
        <v>3162</v>
      </c>
      <c r="E40" s="856" t="s">
        <v>3782</v>
      </c>
      <c r="F40" s="2200">
        <v>45271</v>
      </c>
      <c r="G40" s="2200">
        <f t="shared" si="0"/>
        <v>45316</v>
      </c>
      <c r="H40" s="2201">
        <f t="shared" si="1"/>
        <v>66</v>
      </c>
      <c r="I40" s="857">
        <v>193520</v>
      </c>
      <c r="J40" s="856">
        <f t="shared" si="2"/>
        <v>1.1950000000000001</v>
      </c>
      <c r="K40" s="856">
        <v>4</v>
      </c>
      <c r="L40" s="857">
        <v>0.33333333333333331</v>
      </c>
      <c r="M40" s="857">
        <f t="shared" si="3"/>
        <v>1.3333333333333333</v>
      </c>
      <c r="N40" s="857">
        <f t="shared" si="4"/>
        <v>0.29875000000000002</v>
      </c>
      <c r="O40" s="859">
        <f t="shared" si="5"/>
        <v>0.19971493896649767</v>
      </c>
      <c r="P40" s="859">
        <f t="shared" si="6"/>
        <v>38648.834988796632</v>
      </c>
    </row>
    <row r="41" spans="2:16">
      <c r="B41" s="2199">
        <v>39</v>
      </c>
      <c r="C41" s="856" t="s">
        <v>301</v>
      </c>
      <c r="D41" s="856" t="s">
        <v>3162</v>
      </c>
      <c r="E41" s="856" t="s">
        <v>3783</v>
      </c>
      <c r="F41" s="2200">
        <v>45273</v>
      </c>
      <c r="G41" s="2200">
        <f t="shared" si="0"/>
        <v>45318</v>
      </c>
      <c r="H41" s="2201">
        <f t="shared" si="1"/>
        <v>64</v>
      </c>
      <c r="I41" s="857">
        <v>111400</v>
      </c>
      <c r="J41" s="856">
        <f t="shared" si="2"/>
        <v>1.1950000000000001</v>
      </c>
      <c r="K41" s="856">
        <v>4</v>
      </c>
      <c r="L41" s="857">
        <v>0.33333333333333331</v>
      </c>
      <c r="M41" s="857">
        <f t="shared" si="3"/>
        <v>1.3333333333333333</v>
      </c>
      <c r="N41" s="857">
        <f t="shared" si="4"/>
        <v>0.29875000000000002</v>
      </c>
      <c r="O41" s="859">
        <f t="shared" si="5"/>
        <v>0.19971493896649767</v>
      </c>
      <c r="P41" s="859">
        <f t="shared" si="6"/>
        <v>22248.244200867841</v>
      </c>
    </row>
    <row r="42" spans="2:16">
      <c r="B42" s="2199">
        <v>40</v>
      </c>
      <c r="C42" s="856" t="s">
        <v>301</v>
      </c>
      <c r="D42" s="856" t="s">
        <v>3162</v>
      </c>
      <c r="E42" s="856" t="s">
        <v>3784</v>
      </c>
      <c r="F42" s="2200">
        <v>45279</v>
      </c>
      <c r="G42" s="2200">
        <f t="shared" si="0"/>
        <v>45324</v>
      </c>
      <c r="H42" s="2201">
        <f t="shared" si="1"/>
        <v>58</v>
      </c>
      <c r="I42" s="857">
        <v>101871</v>
      </c>
      <c r="J42" s="856">
        <f t="shared" si="2"/>
        <v>1.1950000000000001</v>
      </c>
      <c r="K42" s="856">
        <v>3</v>
      </c>
      <c r="L42" s="857">
        <v>0.25</v>
      </c>
      <c r="M42" s="857">
        <f t="shared" si="3"/>
        <v>0.75</v>
      </c>
      <c r="N42" s="857">
        <f t="shared" si="4"/>
        <v>0.39833333333333337</v>
      </c>
      <c r="O42" s="859">
        <f t="shared" si="5"/>
        <v>0.50140076001992195</v>
      </c>
      <c r="P42" s="859">
        <f t="shared" si="6"/>
        <v>51078.19682398947</v>
      </c>
    </row>
    <row r="43" spans="2:16">
      <c r="B43" s="2199">
        <v>41</v>
      </c>
      <c r="C43" s="856" t="s">
        <v>301</v>
      </c>
      <c r="D43" s="856" t="s">
        <v>3162</v>
      </c>
      <c r="E43" s="856" t="s">
        <v>3784</v>
      </c>
      <c r="F43" s="2200">
        <v>45279</v>
      </c>
      <c r="G43" s="2200">
        <f t="shared" si="0"/>
        <v>45324</v>
      </c>
      <c r="H43" s="2201">
        <f t="shared" si="1"/>
        <v>58</v>
      </c>
      <c r="I43" s="857">
        <v>173</v>
      </c>
      <c r="J43" s="856">
        <f t="shared" si="2"/>
        <v>1.1950000000000001</v>
      </c>
      <c r="K43" s="856">
        <v>3</v>
      </c>
      <c r="L43" s="857">
        <v>0.25</v>
      </c>
      <c r="M43" s="857">
        <f t="shared" si="3"/>
        <v>0.75</v>
      </c>
      <c r="N43" s="857">
        <f t="shared" si="4"/>
        <v>0.39833333333333337</v>
      </c>
      <c r="O43" s="859">
        <f t="shared" si="5"/>
        <v>0.50140076001992195</v>
      </c>
      <c r="P43" s="859">
        <f t="shared" si="6"/>
        <v>86.742331483446492</v>
      </c>
    </row>
    <row r="44" spans="2:16">
      <c r="B44" s="2199">
        <v>42</v>
      </c>
      <c r="C44" s="856" t="s">
        <v>301</v>
      </c>
      <c r="D44" s="856" t="s">
        <v>3162</v>
      </c>
      <c r="E44" s="856" t="s">
        <v>3785</v>
      </c>
      <c r="F44" s="2200">
        <v>45280</v>
      </c>
      <c r="G44" s="2200">
        <f t="shared" si="0"/>
        <v>45325</v>
      </c>
      <c r="H44" s="2201">
        <f t="shared" si="1"/>
        <v>57</v>
      </c>
      <c r="I44" s="857">
        <v>95634</v>
      </c>
      <c r="J44" s="856">
        <f t="shared" si="2"/>
        <v>1.1950000000000001</v>
      </c>
      <c r="K44" s="856">
        <v>3</v>
      </c>
      <c r="L44" s="857">
        <v>0.25</v>
      </c>
      <c r="M44" s="857">
        <f t="shared" si="3"/>
        <v>0.75</v>
      </c>
      <c r="N44" s="857">
        <f t="shared" si="4"/>
        <v>0.39833333333333337</v>
      </c>
      <c r="O44" s="859">
        <f t="shared" si="5"/>
        <v>0.50140076001992195</v>
      </c>
      <c r="P44" s="859">
        <f t="shared" si="6"/>
        <v>47950.960283745218</v>
      </c>
    </row>
    <row r="45" spans="2:16">
      <c r="B45" s="2199">
        <v>43</v>
      </c>
      <c r="C45" s="856" t="s">
        <v>301</v>
      </c>
      <c r="D45" s="856" t="s">
        <v>3162</v>
      </c>
      <c r="E45" s="856" t="s">
        <v>3785</v>
      </c>
      <c r="F45" s="2200">
        <v>45280</v>
      </c>
      <c r="G45" s="2200">
        <f t="shared" si="0"/>
        <v>45325</v>
      </c>
      <c r="H45" s="2201">
        <f t="shared" si="1"/>
        <v>57</v>
      </c>
      <c r="I45" s="857">
        <v>173</v>
      </c>
      <c r="J45" s="856">
        <f t="shared" si="2"/>
        <v>1.1950000000000001</v>
      </c>
      <c r="K45" s="856">
        <v>3</v>
      </c>
      <c r="L45" s="857">
        <v>0.25</v>
      </c>
      <c r="M45" s="857">
        <f t="shared" si="3"/>
        <v>0.75</v>
      </c>
      <c r="N45" s="857">
        <f t="shared" si="4"/>
        <v>0.39833333333333337</v>
      </c>
      <c r="O45" s="859">
        <f t="shared" si="5"/>
        <v>0.50140076001992195</v>
      </c>
      <c r="P45" s="859">
        <f t="shared" si="6"/>
        <v>86.742331483446492</v>
      </c>
    </row>
    <row r="46" spans="2:16">
      <c r="B46" s="2199">
        <v>44</v>
      </c>
      <c r="C46" s="856" t="s">
        <v>301</v>
      </c>
      <c r="D46" s="856" t="s">
        <v>3162</v>
      </c>
      <c r="E46" s="856" t="s">
        <v>3786</v>
      </c>
      <c r="F46" s="2200">
        <v>45282</v>
      </c>
      <c r="G46" s="2200">
        <f t="shared" si="0"/>
        <v>45327</v>
      </c>
      <c r="H46" s="2201">
        <f t="shared" si="1"/>
        <v>55</v>
      </c>
      <c r="I46" s="857">
        <v>140506</v>
      </c>
      <c r="J46" s="856">
        <f t="shared" si="2"/>
        <v>1.1950000000000001</v>
      </c>
      <c r="K46" s="856">
        <v>3</v>
      </c>
      <c r="L46" s="857">
        <v>0.25</v>
      </c>
      <c r="M46" s="857">
        <f t="shared" si="3"/>
        <v>0.75</v>
      </c>
      <c r="N46" s="857">
        <f t="shared" si="4"/>
        <v>0.39833333333333337</v>
      </c>
      <c r="O46" s="859">
        <f t="shared" si="5"/>
        <v>0.50140076001992195</v>
      </c>
      <c r="P46" s="859">
        <f t="shared" si="6"/>
        <v>70449.815187359156</v>
      </c>
    </row>
    <row r="47" spans="2:16">
      <c r="B47" s="2199">
        <v>45</v>
      </c>
      <c r="C47" s="856" t="s">
        <v>301</v>
      </c>
      <c r="D47" s="856" t="s">
        <v>3162</v>
      </c>
      <c r="E47" s="856" t="s">
        <v>3787</v>
      </c>
      <c r="F47" s="2200">
        <v>45283</v>
      </c>
      <c r="G47" s="2200">
        <f t="shared" si="0"/>
        <v>45328</v>
      </c>
      <c r="H47" s="2201">
        <f t="shared" si="1"/>
        <v>54</v>
      </c>
      <c r="I47" s="857">
        <v>103257</v>
      </c>
      <c r="J47" s="856">
        <f t="shared" si="2"/>
        <v>1.1950000000000001</v>
      </c>
      <c r="K47" s="856">
        <v>3</v>
      </c>
      <c r="L47" s="857">
        <v>0.25</v>
      </c>
      <c r="M47" s="857">
        <f t="shared" si="3"/>
        <v>0.75</v>
      </c>
      <c r="N47" s="857">
        <f t="shared" si="4"/>
        <v>0.39833333333333337</v>
      </c>
      <c r="O47" s="859">
        <f t="shared" si="5"/>
        <v>0.50140076001992195</v>
      </c>
      <c r="P47" s="859">
        <f t="shared" si="6"/>
        <v>51773.138277377082</v>
      </c>
    </row>
    <row r="48" spans="2:16">
      <c r="B48" s="2199">
        <v>46</v>
      </c>
      <c r="C48" s="856" t="s">
        <v>2987</v>
      </c>
      <c r="D48" s="856" t="s">
        <v>3162</v>
      </c>
      <c r="E48" s="856" t="s">
        <v>3894</v>
      </c>
      <c r="F48" s="2200">
        <v>45275</v>
      </c>
      <c r="G48" s="2200">
        <f t="shared" si="0"/>
        <v>45320</v>
      </c>
      <c r="H48" s="2201">
        <f t="shared" si="1"/>
        <v>62</v>
      </c>
      <c r="I48" s="857">
        <v>297200</v>
      </c>
      <c r="J48" s="856">
        <f t="shared" si="2"/>
        <v>1.1950000000000001</v>
      </c>
      <c r="K48" s="856">
        <v>4</v>
      </c>
      <c r="L48" s="857">
        <v>0.33333333333333331</v>
      </c>
      <c r="M48" s="857">
        <f t="shared" si="3"/>
        <v>1.3333333333333333</v>
      </c>
      <c r="N48" s="857">
        <f t="shared" si="4"/>
        <v>0.29875000000000002</v>
      </c>
      <c r="O48" s="859">
        <f t="shared" si="5"/>
        <v>0.19971493896649767</v>
      </c>
      <c r="P48" s="859">
        <f t="shared" si="6"/>
        <v>59355.279860843104</v>
      </c>
    </row>
    <row r="49" spans="2:16">
      <c r="B49" s="2199">
        <v>47</v>
      </c>
      <c r="C49" s="856" t="s">
        <v>2987</v>
      </c>
      <c r="D49" s="856" t="s">
        <v>3162</v>
      </c>
      <c r="E49" s="856" t="s">
        <v>3896</v>
      </c>
      <c r="F49" s="2200">
        <v>45275</v>
      </c>
      <c r="G49" s="2200">
        <f t="shared" si="0"/>
        <v>45320</v>
      </c>
      <c r="H49" s="2201">
        <f t="shared" si="1"/>
        <v>62</v>
      </c>
      <c r="I49" s="857">
        <v>292880</v>
      </c>
      <c r="J49" s="856">
        <f t="shared" si="2"/>
        <v>1.1950000000000001</v>
      </c>
      <c r="K49" s="856">
        <v>4</v>
      </c>
      <c r="L49" s="857">
        <v>0.33333333333333331</v>
      </c>
      <c r="M49" s="857">
        <f t="shared" si="3"/>
        <v>1.3333333333333333</v>
      </c>
      <c r="N49" s="857">
        <f t="shared" si="4"/>
        <v>0.29875000000000002</v>
      </c>
      <c r="O49" s="859">
        <f t="shared" si="5"/>
        <v>0.19971493896649767</v>
      </c>
      <c r="P49" s="859">
        <f t="shared" si="6"/>
        <v>58492.511324507839</v>
      </c>
    </row>
    <row r="50" spans="2:16">
      <c r="B50" s="2199">
        <v>48</v>
      </c>
      <c r="C50" s="856" t="s">
        <v>350</v>
      </c>
      <c r="D50" s="856" t="s">
        <v>3162</v>
      </c>
      <c r="E50" s="856" t="s">
        <v>3990</v>
      </c>
      <c r="F50" s="2200">
        <v>45262</v>
      </c>
      <c r="G50" s="2200">
        <f t="shared" si="0"/>
        <v>45307</v>
      </c>
      <c r="H50" s="2201">
        <f t="shared" si="1"/>
        <v>75</v>
      </c>
      <c r="I50" s="857">
        <v>201072</v>
      </c>
      <c r="J50" s="856">
        <f t="shared" si="2"/>
        <v>1.1950000000000001</v>
      </c>
      <c r="K50" s="856">
        <v>4</v>
      </c>
      <c r="L50" s="857">
        <v>0.33333333333333331</v>
      </c>
      <c r="M50" s="857">
        <f t="shared" si="3"/>
        <v>1.3333333333333333</v>
      </c>
      <c r="N50" s="857">
        <f t="shared" si="4"/>
        <v>0.29875000000000002</v>
      </c>
      <c r="O50" s="859">
        <f t="shared" si="5"/>
        <v>0.19971493896649767</v>
      </c>
      <c r="P50" s="859">
        <f t="shared" si="6"/>
        <v>40157.082207871616</v>
      </c>
    </row>
    <row r="51" spans="2:16">
      <c r="B51" s="2199">
        <v>49</v>
      </c>
      <c r="C51" s="856" t="s">
        <v>350</v>
      </c>
      <c r="D51" s="856" t="s">
        <v>3162</v>
      </c>
      <c r="E51" s="856" t="s">
        <v>3992</v>
      </c>
      <c r="F51" s="2200">
        <v>45277</v>
      </c>
      <c r="G51" s="2200">
        <f t="shared" si="0"/>
        <v>45322</v>
      </c>
      <c r="H51" s="2201">
        <f t="shared" si="1"/>
        <v>60</v>
      </c>
      <c r="I51" s="857">
        <v>234584</v>
      </c>
      <c r="J51" s="856">
        <f t="shared" si="2"/>
        <v>1.1950000000000001</v>
      </c>
      <c r="K51" s="856">
        <v>3</v>
      </c>
      <c r="L51" s="857">
        <v>0.25</v>
      </c>
      <c r="M51" s="857">
        <f t="shared" si="3"/>
        <v>0.75</v>
      </c>
      <c r="N51" s="857">
        <f t="shared" si="4"/>
        <v>0.39833333333333337</v>
      </c>
      <c r="O51" s="859">
        <f t="shared" si="5"/>
        <v>0.50140076001992195</v>
      </c>
      <c r="P51" s="859">
        <f t="shared" si="6"/>
        <v>117620.59588851337</v>
      </c>
    </row>
    <row r="52" spans="2:16">
      <c r="B52" s="2199">
        <v>50</v>
      </c>
      <c r="C52" s="856" t="s">
        <v>452</v>
      </c>
      <c r="D52" s="856" t="s">
        <v>4532</v>
      </c>
      <c r="E52" s="856" t="s">
        <v>4533</v>
      </c>
      <c r="F52" s="2200">
        <v>45187</v>
      </c>
      <c r="G52" s="2200">
        <f t="shared" si="0"/>
        <v>45232</v>
      </c>
      <c r="H52" s="2201">
        <f t="shared" si="1"/>
        <v>150</v>
      </c>
      <c r="I52" s="857">
        <v>1392000</v>
      </c>
      <c r="J52" s="856">
        <f t="shared" si="2"/>
        <v>1.1950000000000001</v>
      </c>
      <c r="K52" s="856">
        <v>6</v>
      </c>
      <c r="L52" s="857">
        <v>0.5</v>
      </c>
      <c r="M52" s="857">
        <f t="shared" si="3"/>
        <v>3</v>
      </c>
      <c r="N52" s="857">
        <f t="shared" si="4"/>
        <v>0.19916666666666669</v>
      </c>
      <c r="O52" s="859">
        <f t="shared" si="5"/>
        <v>7.9004160879629654E-3</v>
      </c>
      <c r="P52" s="859">
        <f t="shared" si="6"/>
        <v>10997.379194444447</v>
      </c>
    </row>
    <row r="53" spans="2:16">
      <c r="B53" s="2199">
        <v>51</v>
      </c>
      <c r="C53" s="856" t="s">
        <v>69</v>
      </c>
      <c r="D53" s="856" t="s">
        <v>4544</v>
      </c>
      <c r="E53" s="856" t="s">
        <v>4558</v>
      </c>
      <c r="F53" s="2200">
        <v>45276</v>
      </c>
      <c r="G53" s="2200">
        <f t="shared" si="0"/>
        <v>45321</v>
      </c>
      <c r="H53" s="2201">
        <f t="shared" si="1"/>
        <v>61</v>
      </c>
      <c r="I53" s="857">
        <v>2761</v>
      </c>
      <c r="J53" s="856">
        <f t="shared" si="2"/>
        <v>1.1950000000000001</v>
      </c>
      <c r="K53" s="856">
        <v>4</v>
      </c>
      <c r="L53" s="857">
        <v>0.33333333333333331</v>
      </c>
      <c r="M53" s="857">
        <f t="shared" si="3"/>
        <v>1.3333333333333333</v>
      </c>
      <c r="N53" s="857">
        <f t="shared" si="4"/>
        <v>0.29875000000000002</v>
      </c>
      <c r="O53" s="859">
        <f t="shared" si="5"/>
        <v>0.19971493896649767</v>
      </c>
      <c r="P53" s="859">
        <f t="shared" si="6"/>
        <v>551.41294648650012</v>
      </c>
    </row>
    <row r="54" spans="2:16">
      <c r="B54" s="2199">
        <v>52</v>
      </c>
      <c r="C54" s="856" t="s">
        <v>69</v>
      </c>
      <c r="D54" s="856" t="s">
        <v>4544</v>
      </c>
      <c r="E54" s="856" t="s">
        <v>4560</v>
      </c>
      <c r="F54" s="2200">
        <v>45281</v>
      </c>
      <c r="G54" s="2200">
        <f t="shared" si="0"/>
        <v>45326</v>
      </c>
      <c r="H54" s="2201">
        <f t="shared" si="1"/>
        <v>56</v>
      </c>
      <c r="I54" s="857">
        <v>52551</v>
      </c>
      <c r="J54" s="856">
        <f t="shared" si="2"/>
        <v>1.1950000000000001</v>
      </c>
      <c r="K54" s="856">
        <v>3</v>
      </c>
      <c r="L54" s="857">
        <v>0.25</v>
      </c>
      <c r="M54" s="857">
        <f t="shared" si="3"/>
        <v>0.75</v>
      </c>
      <c r="N54" s="857">
        <f t="shared" si="4"/>
        <v>0.39833333333333337</v>
      </c>
      <c r="O54" s="859">
        <f t="shared" si="5"/>
        <v>0.50140076001992195</v>
      </c>
      <c r="P54" s="859">
        <f t="shared" si="6"/>
        <v>26349.111339806917</v>
      </c>
    </row>
    <row r="55" spans="2:16">
      <c r="B55" s="2199">
        <v>53</v>
      </c>
      <c r="C55" s="856" t="s">
        <v>69</v>
      </c>
      <c r="D55" s="856" t="s">
        <v>4544</v>
      </c>
      <c r="E55" s="856" t="s">
        <v>4561</v>
      </c>
      <c r="F55" s="2200">
        <v>45286</v>
      </c>
      <c r="G55" s="2200">
        <f t="shared" si="0"/>
        <v>45331</v>
      </c>
      <c r="H55" s="2201">
        <f t="shared" si="1"/>
        <v>51</v>
      </c>
      <c r="I55" s="857">
        <v>274161</v>
      </c>
      <c r="J55" s="856">
        <f t="shared" si="2"/>
        <v>1.1950000000000001</v>
      </c>
      <c r="K55" s="856">
        <v>3</v>
      </c>
      <c r="L55" s="857">
        <v>0.25</v>
      </c>
      <c r="M55" s="857">
        <f t="shared" si="3"/>
        <v>0.75</v>
      </c>
      <c r="N55" s="857">
        <f t="shared" si="4"/>
        <v>0.39833333333333337</v>
      </c>
      <c r="O55" s="859">
        <f t="shared" si="5"/>
        <v>0.50140076001992195</v>
      </c>
      <c r="P55" s="859">
        <f t="shared" si="6"/>
        <v>137464.53376782182</v>
      </c>
    </row>
    <row r="56" spans="2:16">
      <c r="B56" s="2199">
        <v>54</v>
      </c>
      <c r="C56" s="856" t="s">
        <v>69</v>
      </c>
      <c r="D56" s="856" t="s">
        <v>4544</v>
      </c>
      <c r="E56" s="856" t="s">
        <v>4562</v>
      </c>
      <c r="F56" s="2200">
        <v>45287</v>
      </c>
      <c r="G56" s="2200">
        <f t="shared" si="0"/>
        <v>45332</v>
      </c>
      <c r="H56" s="2201">
        <f t="shared" si="1"/>
        <v>50</v>
      </c>
      <c r="I56" s="857">
        <v>41111</v>
      </c>
      <c r="J56" s="856">
        <f t="shared" si="2"/>
        <v>1.1950000000000001</v>
      </c>
      <c r="K56" s="856">
        <v>3</v>
      </c>
      <c r="L56" s="857">
        <v>0.25</v>
      </c>
      <c r="M56" s="857">
        <f t="shared" si="3"/>
        <v>0.75</v>
      </c>
      <c r="N56" s="857">
        <f t="shared" si="4"/>
        <v>0.39833333333333337</v>
      </c>
      <c r="O56" s="859">
        <f t="shared" si="5"/>
        <v>0.50140076001992195</v>
      </c>
      <c r="P56" s="859">
        <f t="shared" si="6"/>
        <v>20613.08664517901</v>
      </c>
    </row>
    <row r="57" spans="2:16">
      <c r="B57" s="2199">
        <v>55</v>
      </c>
      <c r="C57" s="856" t="s">
        <v>69</v>
      </c>
      <c r="D57" s="856" t="s">
        <v>4544</v>
      </c>
      <c r="E57" s="856" t="s">
        <v>4563</v>
      </c>
      <c r="F57" s="2200">
        <v>45288</v>
      </c>
      <c r="G57" s="2200">
        <f t="shared" si="0"/>
        <v>45333</v>
      </c>
      <c r="H57" s="2201">
        <f t="shared" si="1"/>
        <v>49</v>
      </c>
      <c r="I57" s="857">
        <v>55224</v>
      </c>
      <c r="J57" s="856">
        <f t="shared" si="2"/>
        <v>1.1950000000000001</v>
      </c>
      <c r="K57" s="856">
        <v>3</v>
      </c>
      <c r="L57" s="857">
        <v>0.25</v>
      </c>
      <c r="M57" s="857">
        <f t="shared" si="3"/>
        <v>0.75</v>
      </c>
      <c r="N57" s="857">
        <f t="shared" si="4"/>
        <v>0.39833333333333337</v>
      </c>
      <c r="O57" s="859">
        <f t="shared" si="5"/>
        <v>0.50140076001992195</v>
      </c>
      <c r="P57" s="859">
        <f t="shared" si="6"/>
        <v>27689.355571340169</v>
      </c>
    </row>
    <row r="58" spans="2:16">
      <c r="B58" s="2199">
        <v>56</v>
      </c>
      <c r="C58" s="856" t="s">
        <v>434</v>
      </c>
      <c r="D58" s="856" t="s">
        <v>4544</v>
      </c>
      <c r="E58" s="856" t="s">
        <v>4583</v>
      </c>
      <c r="F58" s="2200">
        <v>45253</v>
      </c>
      <c r="G58" s="2200">
        <f t="shared" si="0"/>
        <v>45298</v>
      </c>
      <c r="H58" s="2201">
        <f t="shared" si="1"/>
        <v>84</v>
      </c>
      <c r="I58" s="857">
        <v>175160</v>
      </c>
      <c r="J58" s="856">
        <f t="shared" si="2"/>
        <v>1.1950000000000001</v>
      </c>
      <c r="K58" s="856">
        <v>4</v>
      </c>
      <c r="L58" s="857">
        <v>0.33333333333333331</v>
      </c>
      <c r="M58" s="857">
        <f t="shared" si="3"/>
        <v>1.3333333333333333</v>
      </c>
      <c r="N58" s="857">
        <f t="shared" si="4"/>
        <v>0.29875000000000002</v>
      </c>
      <c r="O58" s="859">
        <f t="shared" si="5"/>
        <v>0.19971493896649767</v>
      </c>
      <c r="P58" s="859">
        <f t="shared" si="6"/>
        <v>34982.068709371735</v>
      </c>
    </row>
    <row r="59" spans="2:16">
      <c r="B59" s="2199">
        <v>57</v>
      </c>
      <c r="C59" s="856" t="s">
        <v>564</v>
      </c>
      <c r="D59" s="856" t="s">
        <v>4544</v>
      </c>
      <c r="E59" s="856" t="s">
        <v>4640</v>
      </c>
      <c r="F59" s="2200">
        <v>45266</v>
      </c>
      <c r="G59" s="2200">
        <f t="shared" si="0"/>
        <v>45311</v>
      </c>
      <c r="H59" s="2201">
        <f t="shared" si="1"/>
        <v>71</v>
      </c>
      <c r="I59" s="857">
        <v>12697</v>
      </c>
      <c r="J59" s="856">
        <f t="shared" si="2"/>
        <v>1.1950000000000001</v>
      </c>
      <c r="K59" s="856">
        <v>4</v>
      </c>
      <c r="L59" s="857">
        <v>0.33333333333333331</v>
      </c>
      <c r="M59" s="857">
        <f t="shared" si="3"/>
        <v>1.3333333333333333</v>
      </c>
      <c r="N59" s="857">
        <f t="shared" si="4"/>
        <v>0.29875000000000002</v>
      </c>
      <c r="O59" s="859">
        <f t="shared" si="5"/>
        <v>0.19971493896649767</v>
      </c>
      <c r="P59" s="859">
        <f t="shared" si="6"/>
        <v>2535.7805800576207</v>
      </c>
    </row>
    <row r="60" spans="2:16">
      <c r="B60" s="2199">
        <v>58</v>
      </c>
      <c r="C60" s="856" t="s">
        <v>564</v>
      </c>
      <c r="D60" s="856" t="s">
        <v>4544</v>
      </c>
      <c r="E60" s="856" t="s">
        <v>4642</v>
      </c>
      <c r="F60" s="2200">
        <v>45271</v>
      </c>
      <c r="G60" s="2200">
        <f t="shared" si="0"/>
        <v>45316</v>
      </c>
      <c r="H60" s="2201">
        <f t="shared" si="1"/>
        <v>66</v>
      </c>
      <c r="I60" s="857">
        <v>20926</v>
      </c>
      <c r="J60" s="856">
        <f t="shared" si="2"/>
        <v>1.1950000000000001</v>
      </c>
      <c r="K60" s="856">
        <v>4</v>
      </c>
      <c r="L60" s="857">
        <v>0.33333333333333331</v>
      </c>
      <c r="M60" s="857">
        <f t="shared" si="3"/>
        <v>1.3333333333333333</v>
      </c>
      <c r="N60" s="857">
        <f t="shared" si="4"/>
        <v>0.29875000000000002</v>
      </c>
      <c r="O60" s="859">
        <f t="shared" si="5"/>
        <v>0.19971493896649767</v>
      </c>
      <c r="P60" s="859">
        <f t="shared" si="6"/>
        <v>4179.2348128129306</v>
      </c>
    </row>
    <row r="61" spans="2:16">
      <c r="B61" s="2199">
        <v>59</v>
      </c>
      <c r="C61" s="856" t="s">
        <v>564</v>
      </c>
      <c r="D61" s="856" t="s">
        <v>4544</v>
      </c>
      <c r="E61" s="856" t="s">
        <v>4643</v>
      </c>
      <c r="F61" s="2200">
        <v>45271</v>
      </c>
      <c r="G61" s="2200">
        <f t="shared" si="0"/>
        <v>45316</v>
      </c>
      <c r="H61" s="2201">
        <f t="shared" si="1"/>
        <v>66</v>
      </c>
      <c r="I61" s="857">
        <v>10843</v>
      </c>
      <c r="J61" s="856">
        <f t="shared" si="2"/>
        <v>1.1950000000000001</v>
      </c>
      <c r="K61" s="856">
        <v>4</v>
      </c>
      <c r="L61" s="857">
        <v>0.33333333333333331</v>
      </c>
      <c r="M61" s="857">
        <f t="shared" si="3"/>
        <v>1.3333333333333333</v>
      </c>
      <c r="N61" s="857">
        <f t="shared" si="4"/>
        <v>0.29875000000000002</v>
      </c>
      <c r="O61" s="859">
        <f t="shared" si="5"/>
        <v>0.19971493896649767</v>
      </c>
      <c r="P61" s="859">
        <f t="shared" si="6"/>
        <v>2165.5090832137344</v>
      </c>
    </row>
    <row r="62" spans="2:16">
      <c r="B62" s="2199">
        <v>60</v>
      </c>
      <c r="C62" s="856" t="s">
        <v>564</v>
      </c>
      <c r="D62" s="856" t="s">
        <v>4544</v>
      </c>
      <c r="E62" s="856" t="s">
        <v>4644</v>
      </c>
      <c r="F62" s="2200">
        <v>45272</v>
      </c>
      <c r="G62" s="2200">
        <f t="shared" si="0"/>
        <v>45317</v>
      </c>
      <c r="H62" s="2201">
        <f t="shared" si="1"/>
        <v>65</v>
      </c>
      <c r="I62" s="857">
        <v>14750</v>
      </c>
      <c r="J62" s="856">
        <f t="shared" si="2"/>
        <v>1.1950000000000001</v>
      </c>
      <c r="K62" s="856">
        <v>4</v>
      </c>
      <c r="L62" s="857">
        <v>0.33333333333333331</v>
      </c>
      <c r="M62" s="857">
        <f t="shared" si="3"/>
        <v>1.3333333333333333</v>
      </c>
      <c r="N62" s="857">
        <f t="shared" si="4"/>
        <v>0.29875000000000002</v>
      </c>
      <c r="O62" s="859">
        <f t="shared" si="5"/>
        <v>0.19971493896649767</v>
      </c>
      <c r="P62" s="859">
        <f t="shared" si="6"/>
        <v>2945.7953497558406</v>
      </c>
    </row>
    <row r="63" spans="2:16">
      <c r="B63" s="2199">
        <v>61</v>
      </c>
      <c r="C63" s="856" t="s">
        <v>564</v>
      </c>
      <c r="D63" s="856" t="s">
        <v>4544</v>
      </c>
      <c r="E63" s="856" t="s">
        <v>4645</v>
      </c>
      <c r="F63" s="2200">
        <v>45273</v>
      </c>
      <c r="G63" s="2200">
        <f t="shared" si="0"/>
        <v>45318</v>
      </c>
      <c r="H63" s="2201">
        <f t="shared" si="1"/>
        <v>64</v>
      </c>
      <c r="I63" s="857">
        <v>25052</v>
      </c>
      <c r="J63" s="856">
        <f t="shared" si="2"/>
        <v>1.1950000000000001</v>
      </c>
      <c r="K63" s="856">
        <v>4</v>
      </c>
      <c r="L63" s="857">
        <v>0.33333333333333331</v>
      </c>
      <c r="M63" s="857">
        <f t="shared" si="3"/>
        <v>1.3333333333333333</v>
      </c>
      <c r="N63" s="857">
        <f t="shared" si="4"/>
        <v>0.29875000000000002</v>
      </c>
      <c r="O63" s="859">
        <f t="shared" si="5"/>
        <v>0.19971493896649767</v>
      </c>
      <c r="P63" s="859">
        <f t="shared" si="6"/>
        <v>5003.2586509886996</v>
      </c>
    </row>
    <row r="64" spans="2:16">
      <c r="B64" s="2199">
        <v>62</v>
      </c>
      <c r="C64" s="856" t="s">
        <v>564</v>
      </c>
      <c r="D64" s="856" t="s">
        <v>4544</v>
      </c>
      <c r="E64" s="856" t="s">
        <v>4646</v>
      </c>
      <c r="F64" s="2200">
        <v>45273</v>
      </c>
      <c r="G64" s="2200">
        <f t="shared" si="0"/>
        <v>45318</v>
      </c>
      <c r="H64" s="2201">
        <f t="shared" si="1"/>
        <v>64</v>
      </c>
      <c r="I64" s="857">
        <v>42650</v>
      </c>
      <c r="J64" s="856">
        <f t="shared" si="2"/>
        <v>1.1950000000000001</v>
      </c>
      <c r="K64" s="856">
        <v>4</v>
      </c>
      <c r="L64" s="857">
        <v>0.33333333333333331</v>
      </c>
      <c r="M64" s="857">
        <f t="shared" si="3"/>
        <v>1.3333333333333333</v>
      </c>
      <c r="N64" s="857">
        <f t="shared" si="4"/>
        <v>0.29875000000000002</v>
      </c>
      <c r="O64" s="859">
        <f t="shared" si="5"/>
        <v>0.19971493896649767</v>
      </c>
      <c r="P64" s="859">
        <f t="shared" si="6"/>
        <v>8517.8421469211262</v>
      </c>
    </row>
    <row r="65" spans="2:16">
      <c r="B65" s="2199">
        <v>63</v>
      </c>
      <c r="C65" s="856" t="s">
        <v>564</v>
      </c>
      <c r="D65" s="856" t="s">
        <v>4544</v>
      </c>
      <c r="E65" s="856" t="s">
        <v>4647</v>
      </c>
      <c r="F65" s="2200">
        <v>45280</v>
      </c>
      <c r="G65" s="2200">
        <f t="shared" si="0"/>
        <v>45325</v>
      </c>
      <c r="H65" s="2201">
        <f t="shared" si="1"/>
        <v>57</v>
      </c>
      <c r="I65" s="857">
        <v>18819</v>
      </c>
      <c r="J65" s="856">
        <f t="shared" si="2"/>
        <v>1.1950000000000001</v>
      </c>
      <c r="K65" s="856">
        <v>3</v>
      </c>
      <c r="L65" s="857">
        <v>0.25</v>
      </c>
      <c r="M65" s="857">
        <f t="shared" si="3"/>
        <v>0.75</v>
      </c>
      <c r="N65" s="857">
        <f t="shared" si="4"/>
        <v>0.39833333333333337</v>
      </c>
      <c r="O65" s="859">
        <f t="shared" si="5"/>
        <v>0.50140076001992195</v>
      </c>
      <c r="P65" s="859">
        <f t="shared" si="6"/>
        <v>9435.8609028149112</v>
      </c>
    </row>
    <row r="66" spans="2:16">
      <c r="B66" s="2199">
        <v>64</v>
      </c>
      <c r="C66" s="856" t="s">
        <v>564</v>
      </c>
      <c r="D66" s="856" t="s">
        <v>4544</v>
      </c>
      <c r="E66" s="856" t="s">
        <v>4648</v>
      </c>
      <c r="F66" s="2200">
        <v>45281</v>
      </c>
      <c r="G66" s="2200">
        <f t="shared" si="0"/>
        <v>45326</v>
      </c>
      <c r="H66" s="2201">
        <f t="shared" si="1"/>
        <v>56</v>
      </c>
      <c r="I66" s="857">
        <v>17027</v>
      </c>
      <c r="J66" s="856">
        <f t="shared" si="2"/>
        <v>1.1950000000000001</v>
      </c>
      <c r="K66" s="856">
        <v>3</v>
      </c>
      <c r="L66" s="857">
        <v>0.25</v>
      </c>
      <c r="M66" s="857">
        <f t="shared" si="3"/>
        <v>0.75</v>
      </c>
      <c r="N66" s="857">
        <f t="shared" si="4"/>
        <v>0.39833333333333337</v>
      </c>
      <c r="O66" s="859">
        <f t="shared" si="5"/>
        <v>0.50140076001992195</v>
      </c>
      <c r="P66" s="859">
        <f t="shared" si="6"/>
        <v>8537.3507408592104</v>
      </c>
    </row>
    <row r="67" spans="2:16">
      <c r="B67" s="2199">
        <v>65</v>
      </c>
      <c r="C67" s="856" t="s">
        <v>564</v>
      </c>
      <c r="D67" s="856" t="s">
        <v>4544</v>
      </c>
      <c r="E67" s="856" t="s">
        <v>4649</v>
      </c>
      <c r="F67" s="2200">
        <v>45283</v>
      </c>
      <c r="G67" s="2200">
        <f t="shared" si="0"/>
        <v>45328</v>
      </c>
      <c r="H67" s="2201">
        <f t="shared" si="1"/>
        <v>54</v>
      </c>
      <c r="I67" s="857">
        <v>51937</v>
      </c>
      <c r="J67" s="856">
        <f t="shared" si="2"/>
        <v>1.1950000000000001</v>
      </c>
      <c r="K67" s="856">
        <v>3</v>
      </c>
      <c r="L67" s="857">
        <v>0.25</v>
      </c>
      <c r="M67" s="857">
        <f t="shared" si="3"/>
        <v>0.75</v>
      </c>
      <c r="N67" s="857">
        <f t="shared" si="4"/>
        <v>0.39833333333333337</v>
      </c>
      <c r="O67" s="859">
        <f t="shared" si="5"/>
        <v>0.50140076001992195</v>
      </c>
      <c r="P67" s="859">
        <f t="shared" si="6"/>
        <v>26041.251273154685</v>
      </c>
    </row>
    <row r="68" spans="2:16">
      <c r="B68" s="2199">
        <v>66</v>
      </c>
      <c r="C68" s="856" t="s">
        <v>564</v>
      </c>
      <c r="D68" s="856" t="s">
        <v>4544</v>
      </c>
      <c r="E68" s="856" t="s">
        <v>4650</v>
      </c>
      <c r="F68" s="2200">
        <v>45283</v>
      </c>
      <c r="G68" s="2200">
        <f t="shared" ref="G68:G72" si="7">+F68+45</f>
        <v>45328</v>
      </c>
      <c r="H68" s="2201">
        <f t="shared" ref="H68:H72" si="8">+$H$1-G68</f>
        <v>54</v>
      </c>
      <c r="I68" s="857">
        <v>7898</v>
      </c>
      <c r="J68" s="856">
        <f t="shared" ref="J68:J72" si="9">1+$J$1</f>
        <v>1.1950000000000001</v>
      </c>
      <c r="K68" s="856">
        <v>3</v>
      </c>
      <c r="L68" s="857">
        <v>0.25</v>
      </c>
      <c r="M68" s="857">
        <f t="shared" ref="M68:M72" si="10">+K68*L68</f>
        <v>0.75</v>
      </c>
      <c r="N68" s="857">
        <f t="shared" ref="N68:N72" si="11">+J68/K68</f>
        <v>0.39833333333333337</v>
      </c>
      <c r="O68" s="859">
        <f t="shared" ref="O68:O72" si="12">+N68^M68</f>
        <v>0.50140076001992195</v>
      </c>
      <c r="P68" s="859">
        <f t="shared" ref="P68:P72" si="13">+I68*O68</f>
        <v>3960.0632026373437</v>
      </c>
    </row>
    <row r="69" spans="2:16">
      <c r="B69" s="2199">
        <v>67</v>
      </c>
      <c r="C69" s="856" t="s">
        <v>564</v>
      </c>
      <c r="D69" s="856" t="s">
        <v>4544</v>
      </c>
      <c r="E69" s="856" t="s">
        <v>4651</v>
      </c>
      <c r="F69" s="2200">
        <v>45285</v>
      </c>
      <c r="G69" s="2200">
        <f t="shared" si="7"/>
        <v>45330</v>
      </c>
      <c r="H69" s="2201">
        <f t="shared" si="8"/>
        <v>52</v>
      </c>
      <c r="I69" s="857">
        <v>17053</v>
      </c>
      <c r="J69" s="856">
        <f t="shared" si="9"/>
        <v>1.1950000000000001</v>
      </c>
      <c r="K69" s="856">
        <v>3</v>
      </c>
      <c r="L69" s="857">
        <v>0.25</v>
      </c>
      <c r="M69" s="857">
        <f t="shared" si="10"/>
        <v>0.75</v>
      </c>
      <c r="N69" s="857">
        <f t="shared" si="11"/>
        <v>0.39833333333333337</v>
      </c>
      <c r="O69" s="859">
        <f t="shared" si="12"/>
        <v>0.50140076001992195</v>
      </c>
      <c r="P69" s="859">
        <f t="shared" si="13"/>
        <v>8550.3871606197299</v>
      </c>
    </row>
    <row r="70" spans="2:16">
      <c r="B70" s="2199">
        <v>68</v>
      </c>
      <c r="C70" s="856" t="s">
        <v>564</v>
      </c>
      <c r="D70" s="856" t="s">
        <v>4544</v>
      </c>
      <c r="E70" s="856" t="s">
        <v>4652</v>
      </c>
      <c r="F70" s="2200">
        <v>45289</v>
      </c>
      <c r="G70" s="2200">
        <f t="shared" si="7"/>
        <v>45334</v>
      </c>
      <c r="H70" s="2201">
        <f t="shared" si="8"/>
        <v>48</v>
      </c>
      <c r="I70" s="857">
        <v>9204</v>
      </c>
      <c r="J70" s="856">
        <f t="shared" si="9"/>
        <v>1.1950000000000001</v>
      </c>
      <c r="K70" s="856">
        <v>3</v>
      </c>
      <c r="L70" s="857">
        <v>0.25</v>
      </c>
      <c r="M70" s="857">
        <f t="shared" si="10"/>
        <v>0.75</v>
      </c>
      <c r="N70" s="857">
        <f t="shared" si="11"/>
        <v>0.39833333333333337</v>
      </c>
      <c r="O70" s="859">
        <f t="shared" si="12"/>
        <v>0.50140076001992195</v>
      </c>
      <c r="P70" s="859">
        <f t="shared" si="13"/>
        <v>4614.8925952233612</v>
      </c>
    </row>
    <row r="71" spans="2:16">
      <c r="B71" s="2199">
        <v>69</v>
      </c>
      <c r="C71" s="856" t="s">
        <v>564</v>
      </c>
      <c r="D71" s="856" t="s">
        <v>4544</v>
      </c>
      <c r="E71" s="856" t="s">
        <v>4653</v>
      </c>
      <c r="F71" s="2200">
        <v>45289</v>
      </c>
      <c r="G71" s="2200">
        <f t="shared" si="7"/>
        <v>45334</v>
      </c>
      <c r="H71" s="2201">
        <f t="shared" si="8"/>
        <v>48</v>
      </c>
      <c r="I71" s="857">
        <v>14424</v>
      </c>
      <c r="J71" s="856">
        <f t="shared" si="9"/>
        <v>1.1950000000000001</v>
      </c>
      <c r="K71" s="856">
        <v>3</v>
      </c>
      <c r="L71" s="857">
        <v>0.25</v>
      </c>
      <c r="M71" s="857">
        <f t="shared" si="10"/>
        <v>0.75</v>
      </c>
      <c r="N71" s="857">
        <f t="shared" si="11"/>
        <v>0.39833333333333337</v>
      </c>
      <c r="O71" s="859">
        <f t="shared" si="12"/>
        <v>0.50140076001992195</v>
      </c>
      <c r="P71" s="859">
        <f t="shared" si="13"/>
        <v>7232.204562527354</v>
      </c>
    </row>
    <row r="72" spans="2:16">
      <c r="B72" s="2199">
        <v>70</v>
      </c>
      <c r="C72" s="856" t="s">
        <v>564</v>
      </c>
      <c r="D72" s="856" t="s">
        <v>4544</v>
      </c>
      <c r="E72" s="856" t="s">
        <v>4654</v>
      </c>
      <c r="F72" s="2200">
        <v>45290</v>
      </c>
      <c r="G72" s="2200">
        <f t="shared" si="7"/>
        <v>45335</v>
      </c>
      <c r="H72" s="2201">
        <f t="shared" si="8"/>
        <v>47</v>
      </c>
      <c r="I72" s="857">
        <v>10721</v>
      </c>
      <c r="J72" s="856">
        <f t="shared" si="9"/>
        <v>1.1950000000000001</v>
      </c>
      <c r="K72" s="856">
        <v>3</v>
      </c>
      <c r="L72" s="857">
        <v>0.25</v>
      </c>
      <c r="M72" s="857">
        <f t="shared" si="10"/>
        <v>0.75</v>
      </c>
      <c r="N72" s="857">
        <f t="shared" si="11"/>
        <v>0.39833333333333337</v>
      </c>
      <c r="O72" s="859">
        <f t="shared" si="12"/>
        <v>0.50140076001992195</v>
      </c>
      <c r="P72" s="859">
        <f t="shared" si="13"/>
        <v>5375.5175481735832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B7C75-B196-4F04-BFE1-1743BB23FD33}">
  <dimension ref="C2:L39"/>
  <sheetViews>
    <sheetView zoomScale="80" zoomScaleNormal="80" workbookViewId="0">
      <selection activeCell="I13" sqref="I13"/>
    </sheetView>
  </sheetViews>
  <sheetFormatPr defaultColWidth="8.88671875" defaultRowHeight="14.4"/>
  <cols>
    <col min="3" max="3" width="59.33203125" bestFit="1" customWidth="1"/>
    <col min="4" max="4" width="5.5546875" bestFit="1" customWidth="1"/>
    <col min="6" max="6" width="42.109375" bestFit="1" customWidth="1"/>
    <col min="9" max="9" width="27.44140625" bestFit="1" customWidth="1"/>
    <col min="10" max="10" width="22.44140625" bestFit="1" customWidth="1"/>
  </cols>
  <sheetData>
    <row r="2" spans="3:12" ht="15.6">
      <c r="C2" s="2440" t="s">
        <v>2078</v>
      </c>
      <c r="D2" s="2440"/>
      <c r="E2" s="2440"/>
      <c r="F2" s="2440"/>
      <c r="G2" s="2440"/>
      <c r="H2" s="2440"/>
      <c r="I2" s="2440"/>
      <c r="J2" s="2440"/>
    </row>
    <row r="3" spans="3:12" ht="15.6">
      <c r="C3" s="2440"/>
      <c r="D3" s="2440"/>
      <c r="E3" s="2440"/>
      <c r="F3" s="2440"/>
      <c r="G3" s="2440"/>
      <c r="H3" s="2440"/>
      <c r="I3" s="2440"/>
      <c r="J3" s="2440"/>
    </row>
    <row r="4" spans="3:12" ht="15.6">
      <c r="C4" s="2440" t="s">
        <v>2188</v>
      </c>
      <c r="D4" s="2440"/>
      <c r="E4" s="2440"/>
      <c r="F4" s="2440"/>
      <c r="G4" s="2440"/>
      <c r="H4" s="2440"/>
      <c r="I4" s="2440"/>
      <c r="J4" s="2440"/>
    </row>
    <row r="5" spans="3:12" ht="15.6">
      <c r="C5" s="2195"/>
      <c r="D5" s="2196"/>
      <c r="E5" s="2196"/>
      <c r="F5" s="2197"/>
      <c r="G5" s="2197"/>
      <c r="H5" s="2197"/>
      <c r="I5" s="2196"/>
      <c r="J5" s="2198"/>
    </row>
    <row r="6" spans="3:12" ht="15.6">
      <c r="C6" s="2441">
        <v>45016</v>
      </c>
      <c r="D6" s="2441"/>
      <c r="E6" s="2441"/>
      <c r="F6" s="2441"/>
      <c r="G6" s="2441"/>
      <c r="H6" s="2441"/>
      <c r="I6" s="2441"/>
      <c r="J6" s="2441"/>
    </row>
    <row r="7" spans="3:12" ht="15.6">
      <c r="C7" s="419"/>
      <c r="D7" s="420"/>
      <c r="E7" s="420"/>
      <c r="F7" s="421"/>
      <c r="G7" s="421"/>
      <c r="H7" s="421"/>
      <c r="I7" s="420"/>
      <c r="J7" s="422">
        <f>+L11</f>
        <v>0.25168000000000001</v>
      </c>
      <c r="L7" s="423">
        <v>0.22</v>
      </c>
    </row>
    <row r="8" spans="3:12" ht="15.6">
      <c r="C8" s="2035" t="s">
        <v>463</v>
      </c>
      <c r="D8" s="2036"/>
      <c r="E8" s="2036"/>
      <c r="F8" s="2037"/>
      <c r="G8" s="2037"/>
      <c r="H8" s="2037"/>
      <c r="I8" s="2038" t="s">
        <v>2173</v>
      </c>
      <c r="J8" s="2038" t="s">
        <v>2174</v>
      </c>
      <c r="L8" s="428">
        <f>+L7*0.1</f>
        <v>2.2000000000000002E-2</v>
      </c>
    </row>
    <row r="9" spans="3:12" ht="15.6">
      <c r="C9" s="2039"/>
      <c r="D9" s="2040"/>
      <c r="E9" s="2040"/>
      <c r="F9" s="2041"/>
      <c r="G9" s="2042"/>
      <c r="H9" s="2041"/>
      <c r="I9" s="2043"/>
      <c r="J9" s="2043"/>
      <c r="L9" s="434">
        <f>+L7+L8</f>
        <v>0.24199999999999999</v>
      </c>
    </row>
    <row r="10" spans="3:12" ht="15.6">
      <c r="C10" s="435">
        <v>44287</v>
      </c>
      <c r="D10" s="436"/>
      <c r="E10" s="436"/>
      <c r="F10" s="437"/>
      <c r="G10" s="438"/>
      <c r="H10" s="437"/>
      <c r="I10" s="438">
        <v>16151128.949873626</v>
      </c>
      <c r="J10" s="439"/>
      <c r="L10" s="434">
        <f>+L9*0.04</f>
        <v>9.6799999999999994E-3</v>
      </c>
    </row>
    <row r="11" spans="3:12" ht="15.6">
      <c r="C11" s="440"/>
      <c r="D11" s="441"/>
      <c r="E11" s="441"/>
      <c r="F11" s="442"/>
      <c r="G11" s="443"/>
      <c r="H11" s="442"/>
      <c r="I11" s="444"/>
      <c r="J11" s="444"/>
      <c r="L11" s="445">
        <f>+L9+L10</f>
        <v>0.25168000000000001</v>
      </c>
    </row>
    <row r="12" spans="3:12" ht="15.6">
      <c r="C12" s="446" t="s">
        <v>2175</v>
      </c>
      <c r="D12" s="441"/>
      <c r="E12" s="441"/>
      <c r="F12" s="442"/>
      <c r="G12" s="443"/>
      <c r="H12" s="442"/>
      <c r="I12" s="444"/>
      <c r="J12" s="444"/>
    </row>
    <row r="13" spans="3:12" ht="15.6">
      <c r="C13" s="440" t="s">
        <v>2176</v>
      </c>
      <c r="D13" s="447"/>
      <c r="E13" s="447"/>
      <c r="F13" s="448"/>
      <c r="G13" s="449"/>
      <c r="H13" s="448"/>
      <c r="I13" s="450">
        <v>146181387.21092948</v>
      </c>
      <c r="J13" s="444"/>
    </row>
    <row r="14" spans="3:12" ht="15.6">
      <c r="C14" s="440" t="s">
        <v>2177</v>
      </c>
      <c r="D14" s="447"/>
      <c r="E14" s="447"/>
      <c r="F14" s="448"/>
      <c r="G14" s="449"/>
      <c r="H14" s="448"/>
      <c r="I14" s="450">
        <v>84427341.534047067</v>
      </c>
      <c r="J14" s="444"/>
    </row>
    <row r="15" spans="3:12" ht="16.2" thickBot="1">
      <c r="C15" s="446"/>
      <c r="D15" s="447"/>
      <c r="E15" s="447"/>
      <c r="F15" s="451" t="s">
        <v>2178</v>
      </c>
      <c r="G15" s="452"/>
      <c r="H15" s="451"/>
      <c r="I15" s="453">
        <f>+I13-I14</f>
        <v>61754045.676882416</v>
      </c>
      <c r="J15" s="454">
        <f>I15*$J$7</f>
        <v>15542258.215957768</v>
      </c>
    </row>
    <row r="16" spans="3:12" ht="16.2" thickTop="1">
      <c r="C16" s="446"/>
      <c r="D16" s="447"/>
      <c r="E16" s="447"/>
      <c r="F16" s="448"/>
      <c r="G16" s="449"/>
      <c r="H16" s="448"/>
      <c r="I16" s="449"/>
      <c r="J16" s="444"/>
    </row>
    <row r="17" spans="3:12" ht="15.6">
      <c r="C17" s="440"/>
      <c r="D17" s="447"/>
      <c r="E17" s="447"/>
      <c r="F17" s="448"/>
      <c r="G17" s="449"/>
      <c r="H17" s="448"/>
      <c r="I17" s="444"/>
      <c r="J17" s="444"/>
    </row>
    <row r="18" spans="3:12" ht="15.6">
      <c r="C18" s="440" t="s">
        <v>2179</v>
      </c>
      <c r="D18" s="447"/>
      <c r="E18" s="447"/>
      <c r="F18" s="448"/>
      <c r="G18" s="449"/>
      <c r="H18" s="448"/>
      <c r="I18" s="455">
        <v>0</v>
      </c>
      <c r="J18" s="444"/>
    </row>
    <row r="19" spans="3:12" ht="15.6">
      <c r="C19" s="440" t="s">
        <v>2180</v>
      </c>
      <c r="D19" s="447"/>
      <c r="E19" s="447"/>
      <c r="F19" s="448"/>
      <c r="G19" s="449"/>
      <c r="H19" s="448"/>
      <c r="I19" s="455">
        <v>871518</v>
      </c>
      <c r="J19" s="444"/>
    </row>
    <row r="20" spans="3:12" ht="15.6">
      <c r="C20" s="440" t="s">
        <v>2181</v>
      </c>
      <c r="D20" s="447"/>
      <c r="E20" s="447"/>
      <c r="F20" s="448"/>
      <c r="G20" s="449"/>
      <c r="H20" s="448"/>
      <c r="I20" s="455">
        <v>233275</v>
      </c>
      <c r="J20" s="444"/>
    </row>
    <row r="21" spans="3:12" ht="16.2" thickBot="1">
      <c r="C21" s="440"/>
      <c r="D21" s="447"/>
      <c r="E21" s="447"/>
      <c r="F21" s="447"/>
      <c r="G21" s="444"/>
      <c r="H21" s="447"/>
      <c r="I21" s="456">
        <f>SUM(I17:I20)</f>
        <v>1104793</v>
      </c>
      <c r="J21" s="454">
        <f>I21*$J$7</f>
        <v>278054.30223999999</v>
      </c>
    </row>
    <row r="22" spans="3:12" ht="16.2" thickTop="1">
      <c r="C22" s="440"/>
      <c r="D22" s="447"/>
      <c r="E22" s="447"/>
      <c r="F22" s="448"/>
      <c r="G22" s="449"/>
      <c r="H22" s="448"/>
      <c r="I22" s="457"/>
      <c r="J22" s="443"/>
    </row>
    <row r="23" spans="3:12" ht="15.6">
      <c r="C23" s="440" t="s">
        <v>2627</v>
      </c>
      <c r="D23" s="447"/>
      <c r="E23" s="447"/>
      <c r="F23" s="448"/>
      <c r="G23" s="449"/>
      <c r="H23" s="448"/>
      <c r="I23" s="917">
        <v>31614851.946512461</v>
      </c>
      <c r="J23" s="444"/>
    </row>
    <row r="24" spans="3:12" ht="16.2" thickBot="1">
      <c r="C24" s="440" t="s">
        <v>132</v>
      </c>
      <c r="D24" s="447"/>
      <c r="E24" s="447"/>
      <c r="F24" s="448"/>
      <c r="G24" s="449"/>
      <c r="H24" s="448"/>
      <c r="I24" s="449">
        <v>12720999.114633983</v>
      </c>
      <c r="J24" s="454">
        <f>(SUM(I23:I24))*$J$7</f>
        <v>11158446.995069338</v>
      </c>
      <c r="L24" s="501"/>
    </row>
    <row r="25" spans="3:12" ht="16.8" thickTop="1" thickBot="1">
      <c r="C25" s="446"/>
      <c r="D25" s="441"/>
      <c r="E25" s="441"/>
      <c r="F25" s="451" t="s">
        <v>2182</v>
      </c>
      <c r="G25" s="452"/>
      <c r="H25" s="451"/>
      <c r="I25" s="453">
        <f>I21+I24+I23</f>
        <v>45440644.061146446</v>
      </c>
      <c r="J25" s="453">
        <f>SUM(J21:J24)</f>
        <v>11436501.297309337</v>
      </c>
    </row>
    <row r="26" spans="3:12" ht="16.2" thickTop="1">
      <c r="C26" s="440"/>
      <c r="D26" s="447"/>
      <c r="E26" s="447"/>
      <c r="F26" s="458"/>
      <c r="G26" s="459"/>
      <c r="H26" s="458"/>
      <c r="I26" s="449"/>
      <c r="J26" s="460"/>
    </row>
    <row r="27" spans="3:12" ht="15.6">
      <c r="C27" s="440" t="s">
        <v>2183</v>
      </c>
      <c r="D27" s="447"/>
      <c r="E27" s="447"/>
      <c r="F27" s="458"/>
      <c r="G27" s="459"/>
      <c r="H27" s="458"/>
      <c r="I27" s="449"/>
      <c r="J27" s="449">
        <f>+J25</f>
        <v>11436501.297309337</v>
      </c>
    </row>
    <row r="28" spans="3:12" ht="15.6">
      <c r="C28" s="440" t="s">
        <v>2184</v>
      </c>
      <c r="D28" s="447"/>
      <c r="E28" s="447"/>
      <c r="F28" s="458"/>
      <c r="G28" s="459"/>
      <c r="H28" s="458"/>
      <c r="I28" s="449"/>
      <c r="J28" s="449">
        <f>+J15</f>
        <v>15542258.215957768</v>
      </c>
    </row>
    <row r="29" spans="3:12" ht="16.2" thickBot="1">
      <c r="C29" s="446"/>
      <c r="D29" s="441"/>
      <c r="E29" s="441"/>
      <c r="F29" s="451" t="str">
        <f>IF(J27&gt;J28,"Net Deferred Tax Asset","Net Deferred Tax Liability")</f>
        <v>Net Deferred Tax Liability</v>
      </c>
      <c r="G29" s="452"/>
      <c r="H29" s="451"/>
      <c r="I29" s="453">
        <f>IF(I27&gt;I28,(I27-I28),(I28-I27))</f>
        <v>0</v>
      </c>
      <c r="J29" s="453">
        <f>IF(J27&gt;J28,(J27-J28),(J28-J27))</f>
        <v>4105756.9186484311</v>
      </c>
    </row>
    <row r="30" spans="3:12" ht="16.2" thickTop="1">
      <c r="C30" s="440"/>
      <c r="D30" s="441"/>
      <c r="E30" s="447"/>
      <c r="F30" s="448"/>
      <c r="G30" s="449"/>
      <c r="H30" s="448"/>
      <c r="I30" s="443"/>
      <c r="J30" s="444"/>
    </row>
    <row r="31" spans="3:12" ht="15.6">
      <c r="C31" s="440" t="str">
        <f>IF(J28&lt;J27,"Closing Balance of Deferred Tax Assets","Closing Balance of Deferred Tax Liability")</f>
        <v>Closing Balance of Deferred Tax Liability</v>
      </c>
      <c r="D31" s="441"/>
      <c r="E31" s="447"/>
      <c r="F31" s="448"/>
      <c r="G31" s="449"/>
      <c r="H31" s="448"/>
      <c r="I31" s="449">
        <f>IF(J28&lt;J27,(J27-J28),(J28-J27))</f>
        <v>4105756.9186484311</v>
      </c>
      <c r="J31" s="461"/>
    </row>
    <row r="32" spans="3:12" ht="15.6">
      <c r="C32" s="440" t="s">
        <v>2185</v>
      </c>
      <c r="D32" s="441"/>
      <c r="E32" s="447"/>
      <c r="F32" s="448"/>
      <c r="G32" s="449"/>
      <c r="H32" s="448"/>
      <c r="I32" s="449">
        <f>+I10</f>
        <v>16151128.949873626</v>
      </c>
      <c r="J32" s="444"/>
    </row>
    <row r="33" spans="3:10" ht="15.6">
      <c r="C33" s="440"/>
      <c r="D33" s="441"/>
      <c r="E33" s="447"/>
      <c r="F33" s="448"/>
      <c r="G33" s="449"/>
      <c r="H33" s="448"/>
      <c r="I33" s="449"/>
      <c r="J33" s="444"/>
    </row>
    <row r="34" spans="3:10" ht="16.2" thickBot="1">
      <c r="C34" s="462" t="s">
        <v>4726</v>
      </c>
      <c r="D34" s="441"/>
      <c r="E34" s="447"/>
      <c r="F34" s="448"/>
      <c r="G34" s="449"/>
      <c r="H34" s="448"/>
      <c r="I34" s="453">
        <f>I31-I32</f>
        <v>-12045372.031225195</v>
      </c>
      <c r="J34" s="444"/>
    </row>
    <row r="35" spans="3:10" ht="16.2" thickTop="1">
      <c r="C35" s="463"/>
      <c r="D35" s="464"/>
      <c r="E35" s="465"/>
      <c r="F35" s="466"/>
      <c r="G35" s="467"/>
      <c r="H35" s="466"/>
      <c r="I35" s="468"/>
      <c r="J35" s="469"/>
    </row>
    <row r="36" spans="3:10" ht="15.6">
      <c r="C36" s="446"/>
      <c r="D36" s="441"/>
      <c r="E36" s="447"/>
      <c r="F36" s="448"/>
      <c r="G36" s="449"/>
      <c r="H36" s="448"/>
      <c r="I36" s="443"/>
      <c r="J36" s="444"/>
    </row>
    <row r="37" spans="3:10" ht="15.6">
      <c r="C37" s="446" t="s">
        <v>2186</v>
      </c>
      <c r="D37" s="447"/>
      <c r="E37" s="447"/>
      <c r="F37" s="448"/>
      <c r="G37" s="449"/>
      <c r="H37" s="448"/>
      <c r="I37" s="444"/>
      <c r="J37" s="444"/>
    </row>
    <row r="38" spans="3:10" ht="15.6">
      <c r="C38" s="470" t="s">
        <v>116</v>
      </c>
      <c r="D38" s="2044" t="s">
        <v>2187</v>
      </c>
      <c r="E38" s="436"/>
      <c r="F38" s="472"/>
      <c r="G38" s="473"/>
      <c r="H38" s="472"/>
      <c r="I38" s="474">
        <f>ABS(J39)</f>
        <v>12045372.031225195</v>
      </c>
      <c r="J38" s="475"/>
    </row>
    <row r="39" spans="3:10" ht="15.6">
      <c r="C39" s="476" t="s">
        <v>2490</v>
      </c>
      <c r="D39" s="477"/>
      <c r="E39" s="477"/>
      <c r="F39" s="478"/>
      <c r="G39" s="479"/>
      <c r="H39" s="478"/>
      <c r="I39" s="480"/>
      <c r="J39" s="481">
        <f>ABS(I34)</f>
        <v>12045372.031225195</v>
      </c>
    </row>
  </sheetData>
  <customSheetViews>
    <customSheetView guid="{ADEA4918-0326-423A-8D00-FB47A486004B}" scale="80" topLeftCell="A12">
      <selection activeCell="I13" sqref="I13"/>
      <pageMargins left="0.7" right="0.7" top="0.75" bottom="0.75" header="0.3" footer="0.3"/>
    </customSheetView>
    <customSheetView guid="{DC5DA12B-0FA6-4F41-A983-6E433AD4604D}" scale="80" topLeftCell="A12">
      <selection activeCell="I13" sqref="I13"/>
      <pageMargins left="0.7" right="0.7" top="0.75" bottom="0.75" header="0.3" footer="0.3"/>
    </customSheetView>
  </customSheetViews>
  <mergeCells count="4">
    <mergeCell ref="C2:J2"/>
    <mergeCell ref="C3:J3"/>
    <mergeCell ref="C4:J4"/>
    <mergeCell ref="C6:J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h 4 q M W P C / M x C l A A A A 9 g A A A B I A H A B D b 2 5 m a W c v U G F j a 2 F n Z S 5 4 b W w g o h g A K K A U A A A A A A A A A A A A A A A A A A A A A A A A A A A A h Y + x D o I w F E V / h X S n L X X A k E c Z n E z E m J g Y 1 w Y r N M L D 0 G L 5 N w c / y V 8 Q o 6 i b 4 z 3 3 D P f e r z f I h q Y O L r q z p s W U R J S T Q G P R H g y W K e n d M Z y T T M J G F S d V 6 m C U 0 S a D P a S k c u 6 c M O a 9 p 3 5 G 2 6 5 k g v O I 7 f P V t q h 0 o 8 h H N v / l 0 K B 1 C g t N J O x e Y 6 S g k Y i p i G P K g U 0 Q c o N f Q Y x 7 n + 0 P h E V f u 7 7 T U m O 4 X A O b I r D 3 B / k A U E s D B B Q A A g A I A I e K j 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H i o x Y K I p H u A 4 A A A A R A A A A E w A c A E Z v c m 1 1 b G F z L 1 N l Y 3 R p b 2 4 x L m 0 g o h g A K K A U A A A A A A A A A A A A A A A A A A A A A A A A A A A A K 0 5 N L s n M z 1 M I h t C G 1 g B Q S w E C L Q A U A A I A C A C H i o x Y 8 L 8 z E K U A A A D 2 A A A A E g A A A A A A A A A A A A A A A A A A A A A A Q 2 9 u Z m l n L 1 B h Y 2 t h Z 2 U u e G 1 s U E s B A i 0 A F A A C A A g A h 4 q M W A / K 6 a u k A A A A 6 Q A A A B M A A A A A A A A A A A A A A A A A 8 Q A A A F t D b 2 5 0 Z W 5 0 X 1 R 5 c G V z X S 5 4 b W x Q S w E C L Q A U A A I A C A C H i o x 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W 9 Y Y j E O c W k G z L 8 z F 2 e D 8 u A A A A A A C A A A A A A A Q Z g A A A A E A A C A A A A C R H R r 1 F 1 1 D p L Q e i u d b X Z / U u N E T r b q + J E Z h / e n G y T K B H A A A A A A O g A A A A A I A A C A A A A D i 8 R k b 0 e 1 h P z 1 C A s + Y j v F d l x g Z j + 7 W h m F Y Z i 8 t c 2 6 3 u V A A A A B g s H C e s S K q T Q A d l 8 K t 9 A m N D I R r H g i t l + B l q p T I s N G p Q O 9 t p S B f o i K z / 1 m q d 8 O 9 X g P E d z W 4 f s R y B y m W 7 8 f 4 w L v 1 + Q i B Q V R 8 x 5 l t B K 9 y s d T r T k A A A A A p O f a 5 1 Q + Q J e g X 7 W G F e s / V b g 3 y F e e D U s M N K R 7 P e 4 r q k k b k E J i G q Y u r H r X U f o i c B m L w g H Z E 8 B R 6 C B 0 z R O j T x q 8 d < / D a t a M a s h u p > 
</file>

<file path=customXml/itemProps1.xml><?xml version="1.0" encoding="utf-8"?>
<ds:datastoreItem xmlns:ds="http://schemas.openxmlformats.org/officeDocument/2006/customXml" ds:itemID="{D6211448-7ABC-4CB2-B3F6-FFE3772F94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18</vt:i4>
      </vt:variant>
    </vt:vector>
  </HeadingPairs>
  <TitlesOfParts>
    <vt:vector size="64" baseType="lpstr">
      <vt:lpstr>Result 1 P&amp;L</vt:lpstr>
      <vt:lpstr>Result 2 BS</vt:lpstr>
      <vt:lpstr>Result 3 CF</vt:lpstr>
      <vt:lpstr>BSPL</vt:lpstr>
      <vt:lpstr>Ratio Analysis</vt:lpstr>
      <vt:lpstr>Term Loans </vt:lpstr>
      <vt:lpstr>BSPL Lakhs</vt:lpstr>
      <vt:lpstr>MSME Intt</vt:lpstr>
      <vt:lpstr>DT 22-23</vt:lpstr>
      <vt:lpstr>Pivot</vt:lpstr>
      <vt:lpstr>COI</vt:lpstr>
      <vt:lpstr>DT</vt:lpstr>
      <vt:lpstr>Cash Flow</vt:lpstr>
      <vt:lpstr>3CD ratios</vt:lpstr>
      <vt:lpstr>Cash Flow lakhs</vt:lpstr>
      <vt:lpstr>CLOSING STOCK 31-03-24</vt:lpstr>
      <vt:lpstr>FG Valuation</vt:lpstr>
      <vt:lpstr>Ratio Analysis (2)</vt:lpstr>
      <vt:lpstr>Depreciation</vt:lpstr>
      <vt:lpstr>IT Dep</vt:lpstr>
      <vt:lpstr>Creditors Aging</vt:lpstr>
      <vt:lpstr>Sheet3</vt:lpstr>
      <vt:lpstr>HDE2023_2024_BUY_SELL</vt:lpstr>
      <vt:lpstr>Cost Sheet</vt:lpstr>
      <vt:lpstr>Sale of FA</vt:lpstr>
      <vt:lpstr>Depreciation lakhs</vt:lpstr>
      <vt:lpstr>TB 260524</vt:lpstr>
      <vt:lpstr>TB Final</vt:lpstr>
      <vt:lpstr>TB 200524</vt:lpstr>
      <vt:lpstr>TB 110524</vt:lpstr>
      <vt:lpstr>Working Capital</vt:lpstr>
      <vt:lpstr>MSME Int</vt:lpstr>
      <vt:lpstr>Related Parties</vt:lpstr>
      <vt:lpstr>TB 250524</vt:lpstr>
      <vt:lpstr>TB 100424</vt:lpstr>
      <vt:lpstr>Debtor's Ageing</vt:lpstr>
      <vt:lpstr>Dir Rem CA 2013</vt:lpstr>
      <vt:lpstr>Dir Rem</vt:lpstr>
      <vt:lpstr>TL &amp; intt.</vt:lpstr>
      <vt:lpstr>Shareholders List</vt:lpstr>
      <vt:lpstr>Capital Advance</vt:lpstr>
      <vt:lpstr>Loans to staff</vt:lpstr>
      <vt:lpstr>Advance to Supplier</vt:lpstr>
      <vt:lpstr>IPS Sanction Letter &amp; Books</vt:lpstr>
      <vt:lpstr>Debtor's Ageing31.03.24</vt:lpstr>
      <vt:lpstr>Leave Encashment</vt:lpstr>
      <vt:lpstr>BSPL!Print_Area</vt:lpstr>
      <vt:lpstr>'BSPL Lakhs'!Print_Area</vt:lpstr>
      <vt:lpstr>'Cash Flow'!Print_Area</vt:lpstr>
      <vt:lpstr>'Cash Flow lakhs'!Print_Area</vt:lpstr>
      <vt:lpstr>'CLOSING STOCK 31-03-24'!Print_Area</vt:lpstr>
      <vt:lpstr>COI!Print_Area</vt:lpstr>
      <vt:lpstr>'Debtor''s Ageing31.03.24'!Print_Area</vt:lpstr>
      <vt:lpstr>Depreciation!Print_Area</vt:lpstr>
      <vt:lpstr>'Depreciation lakhs'!Print_Area</vt:lpstr>
      <vt:lpstr>'FG Valuation'!Print_Area</vt:lpstr>
      <vt:lpstr>'IT Dep'!Print_Area</vt:lpstr>
      <vt:lpstr>'Leave Encashment'!Print_Area</vt:lpstr>
      <vt:lpstr>'Loans to staff'!Print_Area</vt:lpstr>
      <vt:lpstr>'Ratio Analysis'!Print_Area</vt:lpstr>
      <vt:lpstr>'Ratio Analysis (2)'!Print_Area</vt:lpstr>
      <vt:lpstr>'Result 1 P&amp;L'!Print_Area</vt:lpstr>
      <vt:lpstr>'Result 2 BS'!Print_Area</vt:lpstr>
      <vt:lpstr>'Result 3 CF'!Print_Area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dc:creator>
  <cp:lastModifiedBy>Kaustubh Aurangabadkar</cp:lastModifiedBy>
  <cp:lastPrinted>2024-06-04T11:44:56Z</cp:lastPrinted>
  <dcterms:created xsi:type="dcterms:W3CDTF">2015-06-05T18:17:20Z</dcterms:created>
  <dcterms:modified xsi:type="dcterms:W3CDTF">2024-06-06T09:10:26Z</dcterms:modified>
</cp:coreProperties>
</file>